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2.xml" ContentType="application/vnd.ms-excel.namedsheetviews+xml"/>
  <Override PartName="/xl/drawings/drawing4.xml" ContentType="application/vnd.openxmlformats-officedocument.drawing+xml"/>
  <Override PartName="/xl/namedSheetViews/namedSheetView3.xml" ContentType="application/vnd.ms-excel.namedsheetviews+xml"/>
  <Override PartName="/xl/drawings/drawing5.xml" ContentType="application/vnd.openxmlformats-officedocument.drawing+xml"/>
  <Override PartName="/xl/namedSheetViews/namedSheetView4.xml" ContentType="application/vnd.ms-excel.namedsheetview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namedSheetViews/namedSheetView5.xml" ContentType="application/vnd.ms-excel.namedsheetview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namedSheetViews/namedSheetView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https://symeagroup.sharepoint.com/sites/SYSKERN/Shared Documents/General/UKN PRODUCTS DATABASE &amp; PRICELIST/"/>
    </mc:Choice>
  </mc:AlternateContent>
  <xr:revisionPtr revIDLastSave="1143" documentId="8_{8A25B2F2-8860-4681-820E-9891392C0EA6}" xr6:coauthVersionLast="47" xr6:coauthVersionMax="47" xr10:uidLastSave="{14CD3E9C-F17C-4C1E-A31A-27A78A358A5D}"/>
  <bookViews>
    <workbookView xWindow="-120" yWindow="-120" windowWidth="38640" windowHeight="21120" tabRatio="481" xr2:uid="{00000000-000D-0000-FFFF-FFFF00000000}"/>
  </bookViews>
  <sheets>
    <sheet name="PO &amp; SC Dec 2026" sheetId="1" r:id="rId1"/>
    <sheet name="Info." sheetId="4" r:id="rId2"/>
    <sheet name="SC FRANCE Q1 2025" sheetId="2" r:id="rId3"/>
    <sheet name="SC FRANCE Q1 2025 v2" sheetId="3" r:id="rId4"/>
    <sheet name="ARBORESCENCE FRANCAISE" sheetId="6" r:id="rId5"/>
    <sheet name="SC FRANCE Q3&amp;Q4 2025 v1" sheetId="7" r:id="rId6"/>
    <sheet name="SC FRANCE Q3&amp;Q4 2025 v2" sheetId="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4" hidden="1">'ARBORESCENCE FRANCAISE'!$A$13:$G$544</definedName>
    <definedName name="_xlnm._FilterDatabase" localSheetId="0" hidden="1">'PO &amp; SC Dec 2026'!$A$13:$BE$1067</definedName>
    <definedName name="_xlnm._FilterDatabase" localSheetId="2" hidden="1">'SC FRANCE Q1 2025'!$A$13:$J$228</definedName>
    <definedName name="_xlnm._FilterDatabase" localSheetId="3" hidden="1">'SC FRANCE Q1 2025 v2'!$A$13:$J$225</definedName>
    <definedName name="_xlnm._FilterDatabase" localSheetId="5" hidden="1">'SC FRANCE Q3&amp;Q4 2025 v1'!$A$13:$W$605</definedName>
    <definedName name="_xlnm._FilterDatabase" localSheetId="6" hidden="1">'SC FRANCE Q3&amp;Q4 2025 v2'!$A$10:$W$566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64" i="1" l="1"/>
  <c r="AX673" i="1" l="1"/>
  <c r="AL673" i="1" s="1"/>
  <c r="AO673" i="1"/>
  <c r="AD673" i="1"/>
  <c r="J673" i="1"/>
  <c r="AX733" i="1"/>
  <c r="AL733" i="1" s="1"/>
  <c r="AO733" i="1"/>
  <c r="AD733" i="1"/>
  <c r="J733" i="1"/>
  <c r="AB673" i="1" l="1"/>
  <c r="BB673" i="1" s="1"/>
  <c r="BC673" i="1" s="1"/>
  <c r="AB733" i="1"/>
  <c r="BB733" i="1" s="1"/>
  <c r="BC733" i="1" s="1"/>
  <c r="BD733" i="1" l="1"/>
  <c r="AN733" i="1"/>
  <c r="AH733" i="1"/>
  <c r="AI733" i="1" s="1"/>
  <c r="BE733" i="1"/>
  <c r="AH673" i="1"/>
  <c r="AI673" i="1" s="1"/>
  <c r="BE673" i="1"/>
  <c r="BD673" i="1"/>
  <c r="AN673" i="1"/>
  <c r="AD464" i="1"/>
  <c r="AW747" i="1" l="1"/>
  <c r="AD747" i="1"/>
  <c r="AC747" i="1"/>
  <c r="J747" i="1"/>
  <c r="AW746" i="1"/>
  <c r="AD746" i="1"/>
  <c r="AC746" i="1"/>
  <c r="J746" i="1"/>
  <c r="BB501" i="1"/>
  <c r="BE501" i="1" s="1"/>
  <c r="AD501" i="1"/>
  <c r="AD265" i="1"/>
  <c r="AD264" i="1"/>
  <c r="AD214" i="1"/>
  <c r="AD213" i="1"/>
  <c r="AX706" i="1"/>
  <c r="AL706" i="1" s="1"/>
  <c r="AO706" i="1"/>
  <c r="AD706" i="1"/>
  <c r="J706" i="1"/>
  <c r="AX705" i="1"/>
  <c r="AL705" i="1" s="1"/>
  <c r="AO705" i="1"/>
  <c r="AD705" i="1"/>
  <c r="J705" i="1"/>
  <c r="AD957" i="1"/>
  <c r="J957" i="1"/>
  <c r="AD845" i="1"/>
  <c r="J845" i="1"/>
  <c r="AW1035" i="1"/>
  <c r="AD1035" i="1"/>
  <c r="AR80" i="1"/>
  <c r="AU80" i="1" s="1"/>
  <c r="AV80" i="1" s="1"/>
  <c r="J80" i="1"/>
  <c r="AC80" i="1"/>
  <c r="AU39" i="1"/>
  <c r="AV39" i="1" s="1"/>
  <c r="J39" i="1"/>
  <c r="AC39" i="1"/>
  <c r="BF504" i="1"/>
  <c r="BF432" i="1"/>
  <c r="BF433" i="1"/>
  <c r="BF434" i="1"/>
  <c r="BF435" i="1"/>
  <c r="BF436" i="1"/>
  <c r="BF437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AT745" i="1"/>
  <c r="AV745" i="1" s="1"/>
  <c r="AD745" i="1"/>
  <c r="J745" i="1"/>
  <c r="AD393" i="1"/>
  <c r="AD362" i="1"/>
  <c r="AD355" i="1"/>
  <c r="AD342" i="1"/>
  <c r="AD335" i="1"/>
  <c r="AV1067" i="1"/>
  <c r="AD1067" i="1"/>
  <c r="AV1066" i="1"/>
  <c r="AD1066" i="1"/>
  <c r="AV1065" i="1"/>
  <c r="AD1065" i="1"/>
  <c r="AV1064" i="1"/>
  <c r="AD1064" i="1"/>
  <c r="AT282" i="1"/>
  <c r="AU282" i="1"/>
  <c r="AD282" i="1"/>
  <c r="J282" i="1"/>
  <c r="AD165" i="1"/>
  <c r="AK165" i="1" s="1"/>
  <c r="Z165" i="1"/>
  <c r="J165" i="1"/>
  <c r="AU71" i="1"/>
  <c r="AC71" i="1"/>
  <c r="J71" i="1"/>
  <c r="F6" i="1"/>
  <c r="Z673" i="1" l="1"/>
  <c r="AK673" i="1"/>
  <c r="Z733" i="1"/>
  <c r="AK733" i="1"/>
  <c r="AK747" i="1"/>
  <c r="AK746" i="1"/>
  <c r="AX845" i="1"/>
  <c r="AL845" i="1" s="1"/>
  <c r="Z747" i="1"/>
  <c r="Z746" i="1"/>
  <c r="AX747" i="1"/>
  <c r="AX746" i="1"/>
  <c r="BC501" i="1"/>
  <c r="BD501" i="1"/>
  <c r="Z213" i="1"/>
  <c r="Z214" i="1"/>
  <c r="AK957" i="1"/>
  <c r="Z957" i="1" s="1"/>
  <c r="AM957" i="1" s="1"/>
  <c r="AX957" i="1"/>
  <c r="AL957" i="1" s="1"/>
  <c r="Z705" i="1"/>
  <c r="AK705" i="1"/>
  <c r="AX1035" i="1"/>
  <c r="AL1035" i="1" s="1"/>
  <c r="Z706" i="1"/>
  <c r="AB706" i="1"/>
  <c r="BB706" i="1" s="1"/>
  <c r="AK845" i="1"/>
  <c r="Z845" i="1" s="1"/>
  <c r="AM845" i="1" s="1"/>
  <c r="AK706" i="1"/>
  <c r="AK1035" i="1"/>
  <c r="Z1035" i="1" s="1"/>
  <c r="AM1035" i="1" s="1"/>
  <c r="AB705" i="1"/>
  <c r="AM165" i="1"/>
  <c r="AV282" i="1"/>
  <c r="AV71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4" i="1"/>
  <c r="AX735" i="1"/>
  <c r="AX736" i="1"/>
  <c r="AX737" i="1"/>
  <c r="AX738" i="1"/>
  <c r="AX739" i="1"/>
  <c r="AX740" i="1"/>
  <c r="AX741" i="1"/>
  <c r="AX742" i="1"/>
  <c r="AX743" i="1"/>
  <c r="AX744" i="1"/>
  <c r="AC1063" i="1"/>
  <c r="AU1063" i="1"/>
  <c r="AV1063" i="1" s="1"/>
  <c r="J330" i="1"/>
  <c r="AV294" i="1"/>
  <c r="AU30" i="1"/>
  <c r="J30" i="1"/>
  <c r="AD23" i="1"/>
  <c r="AD24" i="1"/>
  <c r="AD25" i="1"/>
  <c r="AD26" i="1"/>
  <c r="AD45" i="1"/>
  <c r="AD46" i="1"/>
  <c r="AD47" i="1"/>
  <c r="AD48" i="1"/>
  <c r="AD53" i="1"/>
  <c r="AD54" i="1"/>
  <c r="AD62" i="1"/>
  <c r="AD63" i="1"/>
  <c r="AD74" i="1"/>
  <c r="AD75" i="1"/>
  <c r="AD76" i="1"/>
  <c r="AD77" i="1"/>
  <c r="AD78" i="1"/>
  <c r="AD83" i="1"/>
  <c r="AD84" i="1"/>
  <c r="AD93" i="1"/>
  <c r="AD94" i="1"/>
  <c r="AD109" i="1"/>
  <c r="AD110" i="1"/>
  <c r="AD113" i="1"/>
  <c r="AD114" i="1"/>
  <c r="AD748" i="1"/>
  <c r="AD749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3" i="1"/>
  <c r="AD284" i="1"/>
  <c r="AD285" i="1"/>
  <c r="AD286" i="1"/>
  <c r="AD287" i="1"/>
  <c r="AD288" i="1"/>
  <c r="AD289" i="1"/>
  <c r="AD292" i="1"/>
  <c r="AD293" i="1"/>
  <c r="AD294" i="1"/>
  <c r="AD295" i="1"/>
  <c r="AD296" i="1"/>
  <c r="AD297" i="1"/>
  <c r="AD298" i="1"/>
  <c r="AD299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6" i="1"/>
  <c r="AD337" i="1"/>
  <c r="AD338" i="1"/>
  <c r="AD339" i="1"/>
  <c r="AD340" i="1"/>
  <c r="AD341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6" i="1"/>
  <c r="AD357" i="1"/>
  <c r="AD358" i="1"/>
  <c r="AD359" i="1"/>
  <c r="AD360" i="1"/>
  <c r="AD361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4" i="1"/>
  <c r="AD735" i="1"/>
  <c r="AD736" i="1"/>
  <c r="AD737" i="1"/>
  <c r="AD738" i="1"/>
  <c r="AD739" i="1"/>
  <c r="AD740" i="1"/>
  <c r="AD741" i="1"/>
  <c r="AD742" i="1"/>
  <c r="AD743" i="1"/>
  <c r="AD744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F5" i="1"/>
  <c r="AW80" i="1" s="1"/>
  <c r="AM673" i="1" l="1"/>
  <c r="AM733" i="1"/>
  <c r="BB464" i="1"/>
  <c r="AB845" i="1"/>
  <c r="BB845" i="1" s="1"/>
  <c r="AM747" i="1"/>
  <c r="AM746" i="1"/>
  <c r="AM706" i="1"/>
  <c r="AB747" i="1"/>
  <c r="AL747" i="1"/>
  <c r="AB746" i="1"/>
  <c r="AL746" i="1"/>
  <c r="BE706" i="1"/>
  <c r="BD706" i="1"/>
  <c r="AM705" i="1"/>
  <c r="AB1035" i="1"/>
  <c r="AN1035" i="1" s="1"/>
  <c r="BC706" i="1"/>
  <c r="AB957" i="1"/>
  <c r="AH957" i="1" s="1"/>
  <c r="AI957" i="1" s="1"/>
  <c r="AH706" i="1"/>
  <c r="AI706" i="1" s="1"/>
  <c r="AN706" i="1"/>
  <c r="BB705" i="1"/>
  <c r="AH705" i="1"/>
  <c r="AI705" i="1" s="1"/>
  <c r="AN705" i="1"/>
  <c r="AW745" i="1"/>
  <c r="AK745" i="1" s="1"/>
  <c r="AW39" i="1"/>
  <c r="AK80" i="1"/>
  <c r="Z80" i="1"/>
  <c r="BB393" i="1"/>
  <c r="Z362" i="1"/>
  <c r="BB362" i="1"/>
  <c r="BB342" i="1"/>
  <c r="BB335" i="1"/>
  <c r="AW282" i="1"/>
  <c r="Z282" i="1" s="1"/>
  <c r="AW1067" i="1"/>
  <c r="AW1066" i="1"/>
  <c r="AW1064" i="1"/>
  <c r="AW1065" i="1"/>
  <c r="AW71" i="1"/>
  <c r="F7" i="1"/>
  <c r="AW1063" i="1"/>
  <c r="AK1063" i="1" s="1"/>
  <c r="AW30" i="1"/>
  <c r="AV30" i="1"/>
  <c r="F3" i="1"/>
  <c r="AV140" i="1"/>
  <c r="AU428" i="1"/>
  <c r="AU427" i="1"/>
  <c r="AU426" i="1"/>
  <c r="AU425" i="1"/>
  <c r="AU424" i="1"/>
  <c r="AU423" i="1"/>
  <c r="AN845" i="1" l="1"/>
  <c r="AH845" i="1"/>
  <c r="AI845" i="1" s="1"/>
  <c r="BC464" i="1"/>
  <c r="BD464" i="1"/>
  <c r="BE464" i="1"/>
  <c r="AN747" i="1"/>
  <c r="BB747" i="1"/>
  <c r="AH747" i="1"/>
  <c r="AI747" i="1" s="1"/>
  <c r="BB746" i="1"/>
  <c r="AH746" i="1"/>
  <c r="AI746" i="1" s="1"/>
  <c r="AN746" i="1"/>
  <c r="AA746" i="1"/>
  <c r="AA747" i="1"/>
  <c r="BB264" i="1"/>
  <c r="BB265" i="1"/>
  <c r="BB1035" i="1"/>
  <c r="BC1035" i="1" s="1"/>
  <c r="AH1035" i="1"/>
  <c r="AI1035" i="1" s="1"/>
  <c r="BB213" i="1"/>
  <c r="BB214" i="1"/>
  <c r="BB957" i="1"/>
  <c r="BD957" i="1" s="1"/>
  <c r="AN957" i="1"/>
  <c r="BC705" i="1"/>
  <c r="BD705" i="1"/>
  <c r="BE705" i="1"/>
  <c r="BD845" i="1"/>
  <c r="BE845" i="1"/>
  <c r="BC845" i="1"/>
  <c r="AK39" i="1"/>
  <c r="Z39" i="1"/>
  <c r="AA80" i="1"/>
  <c r="AA39" i="1"/>
  <c r="AM80" i="1"/>
  <c r="Z745" i="1"/>
  <c r="AM745" i="1" s="1"/>
  <c r="BE393" i="1"/>
  <c r="BD393" i="1"/>
  <c r="BC393" i="1"/>
  <c r="BE362" i="1"/>
  <c r="BD362" i="1"/>
  <c r="BC362" i="1"/>
  <c r="BC355" i="1"/>
  <c r="BE342" i="1"/>
  <c r="BD342" i="1"/>
  <c r="BC342" i="1"/>
  <c r="BE335" i="1"/>
  <c r="BD335" i="1"/>
  <c r="BC335" i="1"/>
  <c r="AK282" i="1"/>
  <c r="AM282" i="1" s="1"/>
  <c r="AK1065" i="1"/>
  <c r="AK1064" i="1"/>
  <c r="Z1064" i="1" s="1"/>
  <c r="AM1064" i="1" s="1"/>
  <c r="AK1066" i="1"/>
  <c r="Z1066" i="1" s="1"/>
  <c r="AM1066" i="1" s="1"/>
  <c r="AK1067" i="1"/>
  <c r="AK71" i="1"/>
  <c r="Z71" i="1"/>
  <c r="AA1063" i="1"/>
  <c r="AA71" i="1"/>
  <c r="Z1063" i="1"/>
  <c r="AM1063" i="1" s="1"/>
  <c r="Z30" i="1"/>
  <c r="AK30" i="1"/>
  <c r="AT428" i="1"/>
  <c r="J428" i="1"/>
  <c r="AT427" i="1"/>
  <c r="AV427" i="1" s="1"/>
  <c r="J427" i="1"/>
  <c r="AT426" i="1"/>
  <c r="AV426" i="1" s="1"/>
  <c r="J426" i="1"/>
  <c r="AT425" i="1"/>
  <c r="AV425" i="1" s="1"/>
  <c r="J425" i="1"/>
  <c r="AT424" i="1"/>
  <c r="J424" i="1"/>
  <c r="AT423" i="1"/>
  <c r="AV423" i="1" s="1"/>
  <c r="J423" i="1"/>
  <c r="BD747" i="1" l="1"/>
  <c r="BC747" i="1"/>
  <c r="BE747" i="1"/>
  <c r="BC746" i="1"/>
  <c r="BD746" i="1"/>
  <c r="BE746" i="1"/>
  <c r="BD265" i="1"/>
  <c r="BC265" i="1"/>
  <c r="BE265" i="1"/>
  <c r="BD264" i="1"/>
  <c r="BC264" i="1"/>
  <c r="BE264" i="1"/>
  <c r="BE1035" i="1"/>
  <c r="BD1035" i="1"/>
  <c r="BC957" i="1"/>
  <c r="BE957" i="1"/>
  <c r="BE214" i="1"/>
  <c r="BD214" i="1"/>
  <c r="BC214" i="1"/>
  <c r="BC213" i="1"/>
  <c r="BE213" i="1"/>
  <c r="BD213" i="1"/>
  <c r="AM39" i="1"/>
  <c r="Z1067" i="1"/>
  <c r="AM1067" i="1" s="1"/>
  <c r="Z1065" i="1"/>
  <c r="AM1065" i="1" s="1"/>
  <c r="AM71" i="1"/>
  <c r="AM30" i="1"/>
  <c r="AV428" i="1"/>
  <c r="AV424" i="1"/>
  <c r="AQ779" i="1" l="1"/>
  <c r="AR779" i="1" s="1"/>
  <c r="AU779" i="1" s="1"/>
  <c r="AQ778" i="1"/>
  <c r="AR778" i="1" s="1"/>
  <c r="AU778" i="1" s="1"/>
  <c r="AQ777" i="1"/>
  <c r="AR777" i="1" s="1"/>
  <c r="AU777" i="1" s="1"/>
  <c r="AQ776" i="1"/>
  <c r="AR776" i="1" s="1"/>
  <c r="AU776" i="1" s="1"/>
  <c r="AQ775" i="1"/>
  <c r="AR775" i="1" s="1"/>
  <c r="AU775" i="1" s="1"/>
  <c r="AQ774" i="1"/>
  <c r="AR774" i="1" s="1"/>
  <c r="AU774" i="1" s="1"/>
  <c r="AQ773" i="1"/>
  <c r="AR773" i="1" s="1"/>
  <c r="AU773" i="1" s="1"/>
  <c r="AQ772" i="1"/>
  <c r="AR772" i="1" s="1"/>
  <c r="AU772" i="1" s="1"/>
  <c r="AQ771" i="1"/>
  <c r="AR771" i="1" s="1"/>
  <c r="AU771" i="1" s="1"/>
  <c r="AQ770" i="1"/>
  <c r="AR770" i="1" s="1"/>
  <c r="AU770" i="1" s="1"/>
  <c r="AQ769" i="1"/>
  <c r="AR769" i="1" s="1"/>
  <c r="AU769" i="1" s="1"/>
  <c r="AQ768" i="1"/>
  <c r="AR768" i="1" s="1"/>
  <c r="AU768" i="1" s="1"/>
  <c r="AQ767" i="1"/>
  <c r="AR767" i="1" s="1"/>
  <c r="AU767" i="1" s="1"/>
  <c r="AQ766" i="1"/>
  <c r="AR766" i="1" s="1"/>
  <c r="AU766" i="1" s="1"/>
  <c r="AQ765" i="1"/>
  <c r="AR765" i="1" s="1"/>
  <c r="AU765" i="1" s="1"/>
  <c r="AQ764" i="1"/>
  <c r="AR764" i="1" s="1"/>
  <c r="AU764" i="1" s="1"/>
  <c r="AQ763" i="1"/>
  <c r="AR763" i="1" s="1"/>
  <c r="AU763" i="1" s="1"/>
  <c r="AQ762" i="1"/>
  <c r="AR762" i="1" s="1"/>
  <c r="AU762" i="1" s="1"/>
  <c r="AQ761" i="1"/>
  <c r="AR761" i="1" s="1"/>
  <c r="AU761" i="1" s="1"/>
  <c r="AQ760" i="1"/>
  <c r="AR760" i="1" s="1"/>
  <c r="AU760" i="1" s="1"/>
  <c r="AQ759" i="1"/>
  <c r="AR759" i="1" s="1"/>
  <c r="AU759" i="1" s="1"/>
  <c r="AQ758" i="1"/>
  <c r="AR758" i="1" s="1"/>
  <c r="AU758" i="1" s="1"/>
  <c r="AQ757" i="1"/>
  <c r="AR757" i="1" s="1"/>
  <c r="AU757" i="1" s="1"/>
  <c r="AQ756" i="1"/>
  <c r="AR756" i="1" s="1"/>
  <c r="AU756" i="1" s="1"/>
  <c r="AQ755" i="1"/>
  <c r="AR755" i="1" s="1"/>
  <c r="AU755" i="1" s="1"/>
  <c r="AQ754" i="1"/>
  <c r="AR754" i="1" s="1"/>
  <c r="AU754" i="1" s="1"/>
  <c r="AQ753" i="1"/>
  <c r="AR753" i="1" s="1"/>
  <c r="AU753" i="1" s="1"/>
  <c r="AQ752" i="1"/>
  <c r="AR752" i="1" s="1"/>
  <c r="AU752" i="1" s="1"/>
  <c r="AQ751" i="1"/>
  <c r="AR751" i="1" s="1"/>
  <c r="AU751" i="1" s="1"/>
  <c r="AQ750" i="1"/>
  <c r="AR750" i="1" s="1"/>
  <c r="AU750" i="1" s="1"/>
  <c r="AU207" i="1"/>
  <c r="AU208" i="1"/>
  <c r="AU209" i="1"/>
  <c r="AU210" i="1"/>
  <c r="AU211" i="1"/>
  <c r="AU212" i="1"/>
  <c r="AU206" i="1"/>
  <c r="J115" i="1" l="1"/>
  <c r="AV115" i="1"/>
  <c r="J855" i="1" l="1"/>
  <c r="AW48" i="1" l="1"/>
  <c r="J48" i="1"/>
  <c r="AW47" i="1"/>
  <c r="J47" i="1"/>
  <c r="AV148" i="1" l="1"/>
  <c r="J148" i="1"/>
  <c r="AU44" i="1"/>
  <c r="AR43" i="1" l="1"/>
  <c r="AV44" i="1" l="1"/>
  <c r="J44" i="1"/>
  <c r="AU43" i="1"/>
  <c r="AV43" i="1" s="1"/>
  <c r="J43" i="1"/>
  <c r="AU41" i="1" l="1"/>
  <c r="J41" i="1"/>
  <c r="AU40" i="1"/>
  <c r="AV40" i="1" s="1"/>
  <c r="J40" i="1"/>
  <c r="AU36" i="1"/>
  <c r="AU35" i="1"/>
  <c r="J35" i="1"/>
  <c r="J36" i="1"/>
  <c r="AV41" i="1" l="1"/>
  <c r="AV35" i="1"/>
  <c r="AV36" i="1"/>
  <c r="AW848" i="1"/>
  <c r="AW846" i="1"/>
  <c r="AW850" i="1"/>
  <c r="AW842" i="1"/>
  <c r="AV450" i="1" l="1"/>
  <c r="AT448" i="1"/>
  <c r="AT449" i="1" s="1"/>
  <c r="AV456" i="1" l="1"/>
  <c r="AV455" i="1"/>
  <c r="AV454" i="1" l="1"/>
  <c r="AV457" i="1"/>
  <c r="AW427" i="1" l="1"/>
  <c r="AW426" i="1"/>
  <c r="AW423" i="1"/>
  <c r="AW425" i="1"/>
  <c r="AW424" i="1"/>
  <c r="AW428" i="1"/>
  <c r="AW777" i="1"/>
  <c r="AW776" i="1"/>
  <c r="AW762" i="1"/>
  <c r="AW750" i="1"/>
  <c r="AW753" i="1"/>
  <c r="AW763" i="1"/>
  <c r="AW764" i="1"/>
  <c r="AW761" i="1"/>
  <c r="AW766" i="1"/>
  <c r="AW779" i="1"/>
  <c r="AW768" i="1"/>
  <c r="AW769" i="1"/>
  <c r="AW755" i="1"/>
  <c r="AW770" i="1"/>
  <c r="AW756" i="1"/>
  <c r="AW757" i="1"/>
  <c r="AW772" i="1"/>
  <c r="AW773" i="1"/>
  <c r="AW765" i="1"/>
  <c r="AW759" i="1"/>
  <c r="AW767" i="1"/>
  <c r="AW775" i="1"/>
  <c r="AW751" i="1"/>
  <c r="AW754" i="1"/>
  <c r="AW778" i="1"/>
  <c r="AW771" i="1"/>
  <c r="AW758" i="1"/>
  <c r="AW774" i="1"/>
  <c r="AW760" i="1"/>
  <c r="AW752" i="1"/>
  <c r="AW148" i="1"/>
  <c r="Z148" i="1" s="1"/>
  <c r="AW115" i="1"/>
  <c r="AX855" i="1"/>
  <c r="AK855" i="1"/>
  <c r="AX48" i="1"/>
  <c r="AX47" i="1"/>
  <c r="AK48" i="1"/>
  <c r="AK47" i="1"/>
  <c r="Z47" i="1"/>
  <c r="Z48" i="1"/>
  <c r="AW43" i="1"/>
  <c r="AW44" i="1"/>
  <c r="AW41" i="1"/>
  <c r="Z41" i="1" s="1"/>
  <c r="AW450" i="1"/>
  <c r="AW40" i="1"/>
  <c r="AW35" i="1"/>
  <c r="AW36" i="1"/>
  <c r="AX939" i="1"/>
  <c r="AX940" i="1"/>
  <c r="AX941" i="1"/>
  <c r="AX942" i="1"/>
  <c r="AX943" i="1"/>
  <c r="AX944" i="1"/>
  <c r="AK939" i="1"/>
  <c r="Z939" i="1" s="1"/>
  <c r="AM939" i="1" s="1"/>
  <c r="AK938" i="1"/>
  <c r="Z938" i="1" s="1"/>
  <c r="AM938" i="1" s="1"/>
  <c r="AK937" i="1"/>
  <c r="Z937" i="1" s="1"/>
  <c r="AM937" i="1" s="1"/>
  <c r="AK943" i="1"/>
  <c r="Z943" i="1" s="1"/>
  <c r="AM943" i="1" s="1"/>
  <c r="AK941" i="1"/>
  <c r="Z941" i="1" s="1"/>
  <c r="AM941" i="1" s="1"/>
  <c r="AK940" i="1"/>
  <c r="AK945" i="1"/>
  <c r="Z945" i="1" s="1"/>
  <c r="AM945" i="1" s="1"/>
  <c r="AK944" i="1"/>
  <c r="Z944" i="1" s="1"/>
  <c r="AM944" i="1" s="1"/>
  <c r="AK942" i="1"/>
  <c r="Z942" i="1" s="1"/>
  <c r="AM942" i="1" s="1"/>
  <c r="AX871" i="1"/>
  <c r="AX851" i="1"/>
  <c r="AX843" i="1"/>
  <c r="AX872" i="1"/>
  <c r="AX874" i="1"/>
  <c r="AK871" i="1"/>
  <c r="Z871" i="1" s="1"/>
  <c r="AM871" i="1" s="1"/>
  <c r="AX873" i="1"/>
  <c r="AX875" i="1"/>
  <c r="AX847" i="1"/>
  <c r="AL847" i="1" s="1"/>
  <c r="AX876" i="1"/>
  <c r="AX877" i="1"/>
  <c r="AX849" i="1"/>
  <c r="AX879" i="1"/>
  <c r="AX878" i="1"/>
  <c r="AX852" i="1"/>
  <c r="AX880" i="1"/>
  <c r="AK879" i="1"/>
  <c r="Z879" i="1" s="1"/>
  <c r="AM879" i="1" s="1"/>
  <c r="AK873" i="1"/>
  <c r="Z873" i="1" s="1"/>
  <c r="AM873" i="1" s="1"/>
  <c r="AX844" i="1"/>
  <c r="AK874" i="1"/>
  <c r="AK880" i="1"/>
  <c r="Z880" i="1" s="1"/>
  <c r="AM880" i="1" s="1"/>
  <c r="AX842" i="1"/>
  <c r="AK843" i="1"/>
  <c r="Z843" i="1" s="1"/>
  <c r="AM843" i="1" s="1"/>
  <c r="AK850" i="1"/>
  <c r="AK878" i="1"/>
  <c r="Z878" i="1" s="1"/>
  <c r="AM878" i="1" s="1"/>
  <c r="AK852" i="1"/>
  <c r="AK876" i="1"/>
  <c r="Z876" i="1" s="1"/>
  <c r="AM876" i="1" s="1"/>
  <c r="AK872" i="1"/>
  <c r="AX850" i="1"/>
  <c r="AK877" i="1"/>
  <c r="Z877" i="1" s="1"/>
  <c r="AM877" i="1" s="1"/>
  <c r="AX846" i="1"/>
  <c r="AX848" i="1"/>
  <c r="AK851" i="1"/>
  <c r="Z851" i="1" s="1"/>
  <c r="AM851" i="1" s="1"/>
  <c r="AK847" i="1"/>
  <c r="AK875" i="1"/>
  <c r="Z875" i="1" s="1"/>
  <c r="AM875" i="1" s="1"/>
  <c r="AK848" i="1"/>
  <c r="AK842" i="1"/>
  <c r="Z842" i="1" s="1"/>
  <c r="AM842" i="1" s="1"/>
  <c r="AK844" i="1"/>
  <c r="Z844" i="1" s="1"/>
  <c r="AM844" i="1" s="1"/>
  <c r="AK846" i="1"/>
  <c r="Z846" i="1" s="1"/>
  <c r="AM846" i="1" s="1"/>
  <c r="AW454" i="1"/>
  <c r="AW455" i="1"/>
  <c r="AW456" i="1"/>
  <c r="AW457" i="1"/>
  <c r="AW458" i="1"/>
  <c r="AW807" i="1"/>
  <c r="J807" i="1"/>
  <c r="AW806" i="1"/>
  <c r="J806" i="1"/>
  <c r="AW805" i="1"/>
  <c r="J805" i="1"/>
  <c r="AW804" i="1"/>
  <c r="J804" i="1"/>
  <c r="AW803" i="1"/>
  <c r="AX803" i="1" s="1"/>
  <c r="J803" i="1"/>
  <c r="AW309" i="1"/>
  <c r="J309" i="1"/>
  <c r="AW303" i="1"/>
  <c r="AK428" i="1" l="1"/>
  <c r="AK424" i="1"/>
  <c r="Z175" i="1"/>
  <c r="AK175" i="1"/>
  <c r="AK426" i="1"/>
  <c r="AK425" i="1"/>
  <c r="AK423" i="1"/>
  <c r="AK427" i="1"/>
  <c r="AK148" i="1"/>
  <c r="AM148" i="1" s="1"/>
  <c r="Z115" i="1"/>
  <c r="AK115" i="1"/>
  <c r="AM48" i="1"/>
  <c r="AB855" i="1"/>
  <c r="AL855" i="1"/>
  <c r="AM47" i="1"/>
  <c r="AL47" i="1"/>
  <c r="AB47" i="1"/>
  <c r="AL48" i="1"/>
  <c r="AB48" i="1"/>
  <c r="Z855" i="1"/>
  <c r="AM855" i="1" s="1"/>
  <c r="AK41" i="1"/>
  <c r="AM41" i="1" s="1"/>
  <c r="Z44" i="1"/>
  <c r="AK44" i="1"/>
  <c r="AK43" i="1"/>
  <c r="Z43" i="1"/>
  <c r="AK36" i="1"/>
  <c r="Z36" i="1"/>
  <c r="Z35" i="1"/>
  <c r="AK35" i="1"/>
  <c r="Z40" i="1"/>
  <c r="AK40" i="1"/>
  <c r="Z940" i="1"/>
  <c r="AM940" i="1" s="1"/>
  <c r="AL942" i="1"/>
  <c r="AB942" i="1"/>
  <c r="AH942" i="1" s="1"/>
  <c r="AI942" i="1" s="1"/>
  <c r="AL940" i="1"/>
  <c r="AB940" i="1"/>
  <c r="AH940" i="1" s="1"/>
  <c r="AI940" i="1" s="1"/>
  <c r="AL944" i="1"/>
  <c r="AB944" i="1"/>
  <c r="AH944" i="1" s="1"/>
  <c r="AI944" i="1" s="1"/>
  <c r="AB943" i="1"/>
  <c r="AH943" i="1" s="1"/>
  <c r="AI943" i="1" s="1"/>
  <c r="AL943" i="1"/>
  <c r="AL941" i="1"/>
  <c r="AB941" i="1"/>
  <c r="AH941" i="1" s="1"/>
  <c r="AI941" i="1" s="1"/>
  <c r="AB939" i="1"/>
  <c r="AH939" i="1" s="1"/>
  <c r="AI939" i="1" s="1"/>
  <c r="AL939" i="1"/>
  <c r="AB852" i="1"/>
  <c r="AH852" i="1" s="1"/>
  <c r="AI852" i="1" s="1"/>
  <c r="AL852" i="1"/>
  <c r="Z848" i="1"/>
  <c r="AM848" i="1" s="1"/>
  <c r="AB878" i="1"/>
  <c r="AH878" i="1" s="1"/>
  <c r="AI878" i="1" s="1"/>
  <c r="AL878" i="1"/>
  <c r="AL879" i="1"/>
  <c r="AB879" i="1"/>
  <c r="AH879" i="1" s="1"/>
  <c r="AI879" i="1" s="1"/>
  <c r="AB880" i="1"/>
  <c r="AH880" i="1" s="1"/>
  <c r="AI880" i="1" s="1"/>
  <c r="AL880" i="1"/>
  <c r="AB877" i="1"/>
  <c r="AH877" i="1" s="1"/>
  <c r="AI877" i="1" s="1"/>
  <c r="AL877" i="1"/>
  <c r="AL848" i="1"/>
  <c r="AB848" i="1"/>
  <c r="AH848" i="1" s="1"/>
  <c r="AI848" i="1" s="1"/>
  <c r="AB876" i="1"/>
  <c r="AH876" i="1" s="1"/>
  <c r="AI876" i="1" s="1"/>
  <c r="AL876" i="1"/>
  <c r="AB846" i="1"/>
  <c r="AH846" i="1" s="1"/>
  <c r="AI846" i="1" s="1"/>
  <c r="AL846" i="1"/>
  <c r="AL875" i="1"/>
  <c r="AB875" i="1"/>
  <c r="AH875" i="1" s="1"/>
  <c r="AI875" i="1" s="1"/>
  <c r="AL850" i="1"/>
  <c r="AB850" i="1"/>
  <c r="AH850" i="1" s="1"/>
  <c r="AI850" i="1" s="1"/>
  <c r="AB873" i="1"/>
  <c r="AH873" i="1" s="1"/>
  <c r="AI873" i="1" s="1"/>
  <c r="AL873" i="1"/>
  <c r="Z872" i="1"/>
  <c r="AM872" i="1" s="1"/>
  <c r="Z874" i="1"/>
  <c r="AM874" i="1" s="1"/>
  <c r="AB872" i="1"/>
  <c r="AH872" i="1" s="1"/>
  <c r="AI872" i="1" s="1"/>
  <c r="AL872" i="1"/>
  <c r="AB874" i="1"/>
  <c r="AH874" i="1" s="1"/>
  <c r="AI874" i="1" s="1"/>
  <c r="AL874" i="1"/>
  <c r="Z852" i="1"/>
  <c r="AM852" i="1" s="1"/>
  <c r="Z850" i="1"/>
  <c r="AM850" i="1" s="1"/>
  <c r="AB851" i="1"/>
  <c r="AH851" i="1" s="1"/>
  <c r="AI851" i="1" s="1"/>
  <c r="AL851" i="1"/>
  <c r="AB844" i="1"/>
  <c r="AH844" i="1" s="1"/>
  <c r="AI844" i="1" s="1"/>
  <c r="AL844" i="1"/>
  <c r="AL871" i="1"/>
  <c r="AB871" i="1"/>
  <c r="AH871" i="1" s="1"/>
  <c r="AI871" i="1" s="1"/>
  <c r="AL843" i="1"/>
  <c r="AB843" i="1"/>
  <c r="AH843" i="1" s="1"/>
  <c r="AI843" i="1" s="1"/>
  <c r="AB842" i="1"/>
  <c r="AH842" i="1" s="1"/>
  <c r="AI842" i="1" s="1"/>
  <c r="AL842" i="1"/>
  <c r="AK457" i="1"/>
  <c r="AK456" i="1"/>
  <c r="AK455" i="1"/>
  <c r="AK454" i="1"/>
  <c r="Z804" i="1"/>
  <c r="Z805" i="1"/>
  <c r="Z806" i="1"/>
  <c r="AK807" i="1"/>
  <c r="AX805" i="1"/>
  <c r="AB805" i="1" s="1"/>
  <c r="AH805" i="1" s="1"/>
  <c r="AI805" i="1" s="1"/>
  <c r="AX804" i="1"/>
  <c r="AL804" i="1" s="1"/>
  <c r="AK806" i="1"/>
  <c r="AK804" i="1"/>
  <c r="AK805" i="1"/>
  <c r="Z803" i="1"/>
  <c r="AK803" i="1"/>
  <c r="AX807" i="1"/>
  <c r="AX806" i="1"/>
  <c r="Z807" i="1"/>
  <c r="AL803" i="1"/>
  <c r="AB803" i="1"/>
  <c r="AH803" i="1" s="1"/>
  <c r="AI803" i="1" s="1"/>
  <c r="AM175" i="1" l="1"/>
  <c r="Z427" i="1"/>
  <c r="AM427" i="1" s="1"/>
  <c r="Z423" i="1"/>
  <c r="AM423" i="1" s="1"/>
  <c r="Z426" i="1"/>
  <c r="AM426" i="1" s="1"/>
  <c r="Z424" i="1"/>
  <c r="AM424" i="1" s="1"/>
  <c r="Z425" i="1"/>
  <c r="AM425" i="1" s="1"/>
  <c r="Z428" i="1"/>
  <c r="AM428" i="1" s="1"/>
  <c r="AM115" i="1"/>
  <c r="AN47" i="1"/>
  <c r="AH855" i="1"/>
  <c r="AI855" i="1" s="1"/>
  <c r="BB855" i="1"/>
  <c r="AN48" i="1"/>
  <c r="BB47" i="1"/>
  <c r="AH47" i="1"/>
  <c r="AI47" i="1" s="1"/>
  <c r="BB48" i="1"/>
  <c r="AH48" i="1"/>
  <c r="AI48" i="1" s="1"/>
  <c r="AN855" i="1"/>
  <c r="AM44" i="1"/>
  <c r="AN943" i="1"/>
  <c r="AN844" i="1"/>
  <c r="AM40" i="1"/>
  <c r="AM35" i="1"/>
  <c r="AM43" i="1"/>
  <c r="AN939" i="1"/>
  <c r="AM36" i="1"/>
  <c r="AN942" i="1"/>
  <c r="AN940" i="1"/>
  <c r="AN941" i="1"/>
  <c r="AN944" i="1"/>
  <c r="AN877" i="1"/>
  <c r="AN851" i="1"/>
  <c r="AN878" i="1"/>
  <c r="AN846" i="1"/>
  <c r="AN874" i="1"/>
  <c r="AN876" i="1"/>
  <c r="AN873" i="1"/>
  <c r="AN842" i="1"/>
  <c r="AN852" i="1"/>
  <c r="AN871" i="1"/>
  <c r="AN880" i="1"/>
  <c r="AN872" i="1"/>
  <c r="AN875" i="1"/>
  <c r="AN848" i="1"/>
  <c r="AN843" i="1"/>
  <c r="AN879" i="1"/>
  <c r="AN850" i="1"/>
  <c r="Z457" i="1"/>
  <c r="AM457" i="1" s="1"/>
  <c r="Z454" i="1"/>
  <c r="AM454" i="1" s="1"/>
  <c r="Z455" i="1"/>
  <c r="AM455" i="1" s="1"/>
  <c r="Z456" i="1"/>
  <c r="AM456" i="1" s="1"/>
  <c r="AM805" i="1"/>
  <c r="AM806" i="1"/>
  <c r="AM804" i="1"/>
  <c r="AM807" i="1"/>
  <c r="AL805" i="1"/>
  <c r="AN805" i="1" s="1"/>
  <c r="AB804" i="1"/>
  <c r="AH804" i="1" s="1"/>
  <c r="AI804" i="1" s="1"/>
  <c r="AM803" i="1"/>
  <c r="AB806" i="1"/>
  <c r="AH806" i="1" s="1"/>
  <c r="AI806" i="1" s="1"/>
  <c r="AL806" i="1"/>
  <c r="AL807" i="1"/>
  <c r="AB807" i="1"/>
  <c r="AH807" i="1" s="1"/>
  <c r="AI807" i="1" s="1"/>
  <c r="AN803" i="1"/>
  <c r="BE855" i="1" l="1"/>
  <c r="BD855" i="1"/>
  <c r="BC855" i="1"/>
  <c r="BE48" i="1"/>
  <c r="BC48" i="1"/>
  <c r="BD48" i="1"/>
  <c r="BD47" i="1"/>
  <c r="BE47" i="1"/>
  <c r="BC47" i="1"/>
  <c r="AN806" i="1"/>
  <c r="AN804" i="1"/>
  <c r="AN807" i="1"/>
  <c r="AO513" i="1" l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4" i="1"/>
  <c r="AO735" i="1"/>
  <c r="AO736" i="1"/>
  <c r="AO737" i="1"/>
  <c r="AO738" i="1"/>
  <c r="AO739" i="1"/>
  <c r="AO740" i="1"/>
  <c r="AO741" i="1"/>
  <c r="AO742" i="1"/>
  <c r="AO743" i="1"/>
  <c r="AO744" i="1"/>
  <c r="AO512" i="1"/>
  <c r="AU174" i="1"/>
  <c r="AU172" i="1"/>
  <c r="AV172" i="1" l="1"/>
  <c r="J172" i="1"/>
  <c r="AW312" i="1"/>
  <c r="Z123" i="1"/>
  <c r="Z124" i="1"/>
  <c r="AK123" i="1"/>
  <c r="AK124" i="1"/>
  <c r="AU87" i="1"/>
  <c r="AV87" i="1" s="1"/>
  <c r="AW23" i="1"/>
  <c r="J87" i="1"/>
  <c r="AX309" i="1" l="1"/>
  <c r="AK309" i="1"/>
  <c r="Z309" i="1"/>
  <c r="AX303" i="1"/>
  <c r="AK303" i="1"/>
  <c r="Z303" i="1"/>
  <c r="AM124" i="1"/>
  <c r="AW172" i="1"/>
  <c r="AM123" i="1"/>
  <c r="AM309" i="1" l="1"/>
  <c r="AL309" i="1"/>
  <c r="AB309" i="1"/>
  <c r="AH309" i="1" s="1"/>
  <c r="AI309" i="1" s="1"/>
  <c r="AM303" i="1"/>
  <c r="AL303" i="1"/>
  <c r="AB303" i="1"/>
  <c r="AH303" i="1" s="1"/>
  <c r="AI303" i="1" s="1"/>
  <c r="AK172" i="1"/>
  <c r="Z172" i="1"/>
  <c r="AN309" i="1" l="1"/>
  <c r="AN303" i="1"/>
  <c r="AM172" i="1"/>
  <c r="AW749" i="1" l="1"/>
  <c r="AX75" i="1" l="1"/>
  <c r="AX76" i="1"/>
  <c r="AX302" i="1"/>
  <c r="AX304" i="1"/>
  <c r="AX23" i="1"/>
  <c r="AX78" i="1"/>
  <c r="AX305" i="1"/>
  <c r="AX306" i="1"/>
  <c r="AX307" i="1"/>
  <c r="AX93" i="1"/>
  <c r="AX94" i="1"/>
  <c r="AX748" i="1"/>
  <c r="AX63" i="1"/>
  <c r="AX300" i="1"/>
  <c r="AX301" i="1"/>
  <c r="AX77" i="1"/>
  <c r="AX84" i="1"/>
  <c r="AX308" i="1"/>
  <c r="AX310" i="1"/>
  <c r="AX749" i="1"/>
  <c r="AX24" i="1"/>
  <c r="AX83" i="1"/>
  <c r="AX25" i="1"/>
  <c r="AX26" i="1"/>
  <c r="AX45" i="1"/>
  <c r="AX46" i="1"/>
  <c r="AX99" i="1"/>
  <c r="AX311" i="1"/>
  <c r="AX53" i="1"/>
  <c r="AX54" i="1"/>
  <c r="AX62" i="1"/>
  <c r="AX74" i="1"/>
  <c r="AL744" i="1"/>
  <c r="J744" i="1"/>
  <c r="AL743" i="1"/>
  <c r="J743" i="1"/>
  <c r="AL742" i="1"/>
  <c r="AL741" i="1"/>
  <c r="AL740" i="1"/>
  <c r="AL739" i="1"/>
  <c r="J739" i="1"/>
  <c r="J738" i="1"/>
  <c r="J737" i="1"/>
  <c r="J736" i="1"/>
  <c r="AL735" i="1"/>
  <c r="J735" i="1"/>
  <c r="AB734" i="1"/>
  <c r="AH734" i="1" s="1"/>
  <c r="J734" i="1"/>
  <c r="AB732" i="1"/>
  <c r="J732" i="1"/>
  <c r="AB731" i="1"/>
  <c r="BB731" i="1" s="1"/>
  <c r="J731" i="1"/>
  <c r="J730" i="1"/>
  <c r="AL729" i="1"/>
  <c r="J729" i="1"/>
  <c r="AL728" i="1"/>
  <c r="J728" i="1"/>
  <c r="AL727" i="1"/>
  <c r="J727" i="1"/>
  <c r="AL726" i="1"/>
  <c r="J726" i="1"/>
  <c r="AL725" i="1"/>
  <c r="J725" i="1"/>
  <c r="AL724" i="1"/>
  <c r="J724" i="1"/>
  <c r="AL723" i="1"/>
  <c r="AL722" i="1"/>
  <c r="J722" i="1"/>
  <c r="AB721" i="1"/>
  <c r="J721" i="1"/>
  <c r="J720" i="1"/>
  <c r="J719" i="1"/>
  <c r="AL718" i="1"/>
  <c r="J718" i="1"/>
  <c r="AL717" i="1"/>
  <c r="J717" i="1"/>
  <c r="AL716" i="1"/>
  <c r="J716" i="1"/>
  <c r="J715" i="1"/>
  <c r="AB714" i="1"/>
  <c r="AH714" i="1" s="1"/>
  <c r="J714" i="1"/>
  <c r="AB713" i="1"/>
  <c r="J713" i="1"/>
  <c r="AL712" i="1"/>
  <c r="J712" i="1"/>
  <c r="AL711" i="1"/>
  <c r="J711" i="1"/>
  <c r="AL710" i="1"/>
  <c r="J710" i="1"/>
  <c r="AL709" i="1"/>
  <c r="J709" i="1"/>
  <c r="AB708" i="1"/>
  <c r="J708" i="1"/>
  <c r="AB707" i="1"/>
  <c r="J707" i="1"/>
  <c r="AL704" i="1"/>
  <c r="J704" i="1"/>
  <c r="AL703" i="1"/>
  <c r="J703" i="1"/>
  <c r="J702" i="1"/>
  <c r="AL701" i="1"/>
  <c r="J701" i="1"/>
  <c r="AB700" i="1"/>
  <c r="BB700" i="1" s="1"/>
  <c r="BE700" i="1" s="1"/>
  <c r="J700" i="1"/>
  <c r="AB699" i="1"/>
  <c r="AH699" i="1" s="1"/>
  <c r="J699" i="1"/>
  <c r="AL698" i="1"/>
  <c r="J698" i="1"/>
  <c r="AL697" i="1"/>
  <c r="J697" i="1"/>
  <c r="AL696" i="1"/>
  <c r="J696" i="1"/>
  <c r="AL695" i="1"/>
  <c r="J695" i="1"/>
  <c r="AL694" i="1"/>
  <c r="J694" i="1"/>
  <c r="AL693" i="1"/>
  <c r="J693" i="1"/>
  <c r="AB692" i="1"/>
  <c r="J692" i="1"/>
  <c r="AL691" i="1"/>
  <c r="J691" i="1"/>
  <c r="AL690" i="1"/>
  <c r="J690" i="1"/>
  <c r="AB689" i="1"/>
  <c r="BB689" i="1" s="1"/>
  <c r="BC689" i="1" s="1"/>
  <c r="J689" i="1"/>
  <c r="AL688" i="1"/>
  <c r="J688" i="1"/>
  <c r="AB687" i="1"/>
  <c r="J687" i="1"/>
  <c r="AL686" i="1"/>
  <c r="J686" i="1"/>
  <c r="J685" i="1"/>
  <c r="AL684" i="1"/>
  <c r="J684" i="1"/>
  <c r="AB683" i="1"/>
  <c r="AH683" i="1" s="1"/>
  <c r="J683" i="1"/>
  <c r="AL682" i="1"/>
  <c r="J682" i="1"/>
  <c r="AL681" i="1"/>
  <c r="J681" i="1"/>
  <c r="AL680" i="1"/>
  <c r="J680" i="1"/>
  <c r="AL679" i="1"/>
  <c r="J679" i="1"/>
  <c r="AB678" i="1"/>
  <c r="J678" i="1"/>
  <c r="AL677" i="1"/>
  <c r="J677" i="1"/>
  <c r="AL676" i="1"/>
  <c r="J676" i="1"/>
  <c r="J675" i="1"/>
  <c r="AL674" i="1"/>
  <c r="J674" i="1"/>
  <c r="J672" i="1"/>
  <c r="AL671" i="1"/>
  <c r="J671" i="1"/>
  <c r="AL670" i="1"/>
  <c r="J670" i="1"/>
  <c r="AL669" i="1"/>
  <c r="J669" i="1"/>
  <c r="AB668" i="1"/>
  <c r="J668" i="1"/>
  <c r="AB667" i="1"/>
  <c r="BB667" i="1" s="1"/>
  <c r="BE667" i="1" s="1"/>
  <c r="J667" i="1"/>
  <c r="AL666" i="1"/>
  <c r="J666" i="1"/>
  <c r="AB665" i="1"/>
  <c r="J665" i="1"/>
  <c r="AL664" i="1"/>
  <c r="J664" i="1"/>
  <c r="AL663" i="1"/>
  <c r="J663" i="1"/>
  <c r="AL662" i="1"/>
  <c r="J662" i="1"/>
  <c r="AB661" i="1"/>
  <c r="J661" i="1"/>
  <c r="AL660" i="1"/>
  <c r="J660" i="1"/>
  <c r="AB659" i="1"/>
  <c r="AH659" i="1" s="1"/>
  <c r="AI659" i="1" s="1"/>
  <c r="J659" i="1"/>
  <c r="J658" i="1"/>
  <c r="AL657" i="1"/>
  <c r="J657" i="1"/>
  <c r="J656" i="1"/>
  <c r="AL655" i="1"/>
  <c r="J655" i="1"/>
  <c r="J654" i="1"/>
  <c r="AL653" i="1"/>
  <c r="J653" i="1"/>
  <c r="AB652" i="1"/>
  <c r="BB652" i="1" s="1"/>
  <c r="BC652" i="1" s="1"/>
  <c r="J652" i="1"/>
  <c r="AB651" i="1"/>
  <c r="AH651" i="1" s="1"/>
  <c r="AI651" i="1" s="1"/>
  <c r="J651" i="1"/>
  <c r="AL650" i="1"/>
  <c r="J650" i="1"/>
  <c r="J649" i="1"/>
  <c r="J648" i="1"/>
  <c r="AL647" i="1"/>
  <c r="AB646" i="1"/>
  <c r="BB646" i="1" s="1"/>
  <c r="J646" i="1"/>
  <c r="AL645" i="1"/>
  <c r="J645" i="1"/>
  <c r="AB644" i="1"/>
  <c r="J644" i="1"/>
  <c r="AL643" i="1"/>
  <c r="J643" i="1"/>
  <c r="AB642" i="1"/>
  <c r="J642" i="1"/>
  <c r="AB641" i="1"/>
  <c r="AH641" i="1" s="1"/>
  <c r="J641" i="1"/>
  <c r="J640" i="1"/>
  <c r="AB639" i="1"/>
  <c r="AH639" i="1" s="1"/>
  <c r="J639" i="1"/>
  <c r="AL638" i="1"/>
  <c r="J638" i="1"/>
  <c r="AL637" i="1"/>
  <c r="J637" i="1"/>
  <c r="AL636" i="1"/>
  <c r="J636" i="1"/>
  <c r="AB635" i="1"/>
  <c r="BB635" i="1" s="1"/>
  <c r="J635" i="1"/>
  <c r="AL634" i="1"/>
  <c r="J634" i="1"/>
  <c r="J633" i="1"/>
  <c r="J632" i="1"/>
  <c r="AB631" i="1"/>
  <c r="J631" i="1"/>
  <c r="AB630" i="1"/>
  <c r="BB630" i="1" s="1"/>
  <c r="J630" i="1"/>
  <c r="AB629" i="1"/>
  <c r="J629" i="1"/>
  <c r="AB628" i="1"/>
  <c r="BB628" i="1" s="1"/>
  <c r="J628" i="1"/>
  <c r="AL627" i="1"/>
  <c r="J627" i="1"/>
  <c r="AL626" i="1"/>
  <c r="J626" i="1"/>
  <c r="AB625" i="1"/>
  <c r="BB625" i="1" s="1"/>
  <c r="J625" i="1"/>
  <c r="AL624" i="1"/>
  <c r="J624" i="1"/>
  <c r="J623" i="1"/>
  <c r="AB622" i="1"/>
  <c r="AH622" i="1" s="1"/>
  <c r="J622" i="1"/>
  <c r="J621" i="1"/>
  <c r="AB620" i="1"/>
  <c r="AH620" i="1" s="1"/>
  <c r="J620" i="1"/>
  <c r="J619" i="1"/>
  <c r="AB618" i="1"/>
  <c r="BB618" i="1" s="1"/>
  <c r="J618" i="1"/>
  <c r="AL617" i="1"/>
  <c r="J617" i="1"/>
  <c r="AL616" i="1"/>
  <c r="J616" i="1"/>
  <c r="J615" i="1"/>
  <c r="AL614" i="1"/>
  <c r="J614" i="1"/>
  <c r="J613" i="1"/>
  <c r="AL612" i="1"/>
  <c r="J612" i="1"/>
  <c r="AL611" i="1"/>
  <c r="J611" i="1"/>
  <c r="AB610" i="1"/>
  <c r="J610" i="1"/>
  <c r="AX609" i="1"/>
  <c r="AL609" i="1" s="1"/>
  <c r="J609" i="1"/>
  <c r="AX608" i="1"/>
  <c r="AL608" i="1" s="1"/>
  <c r="J608" i="1"/>
  <c r="AX607" i="1"/>
  <c r="AL607" i="1" s="1"/>
  <c r="J607" i="1"/>
  <c r="AX606" i="1"/>
  <c r="AB606" i="1" s="1"/>
  <c r="BB606" i="1" s="1"/>
  <c r="BE606" i="1" s="1"/>
  <c r="J606" i="1"/>
  <c r="AX605" i="1"/>
  <c r="AB605" i="1" s="1"/>
  <c r="BB605" i="1" s="1"/>
  <c r="J605" i="1"/>
  <c r="AX604" i="1"/>
  <c r="AB604" i="1" s="1"/>
  <c r="J604" i="1"/>
  <c r="AX603" i="1"/>
  <c r="AL603" i="1" s="1"/>
  <c r="J603" i="1"/>
  <c r="AX602" i="1"/>
  <c r="AL602" i="1" s="1"/>
  <c r="J602" i="1"/>
  <c r="AX601" i="1"/>
  <c r="AL601" i="1" s="1"/>
  <c r="J601" i="1"/>
  <c r="AX600" i="1"/>
  <c r="AL600" i="1" s="1"/>
  <c r="J600" i="1"/>
  <c r="AX599" i="1"/>
  <c r="J599" i="1"/>
  <c r="AX598" i="1"/>
  <c r="AB598" i="1" s="1"/>
  <c r="AH598" i="1" s="1"/>
  <c r="AI598" i="1" s="1"/>
  <c r="J598" i="1"/>
  <c r="AX597" i="1"/>
  <c r="AL597" i="1" s="1"/>
  <c r="J597" i="1"/>
  <c r="AX596" i="1"/>
  <c r="AB596" i="1" s="1"/>
  <c r="AH596" i="1" s="1"/>
  <c r="J596" i="1"/>
  <c r="AX595" i="1"/>
  <c r="AL595" i="1" s="1"/>
  <c r="J595" i="1"/>
  <c r="AX594" i="1"/>
  <c r="AB594" i="1" s="1"/>
  <c r="BB594" i="1" s="1"/>
  <c r="BC594" i="1" s="1"/>
  <c r="J594" i="1"/>
  <c r="AX593" i="1"/>
  <c r="AL593" i="1" s="1"/>
  <c r="J593" i="1"/>
  <c r="AX592" i="1"/>
  <c r="AL592" i="1" s="1"/>
  <c r="J592" i="1"/>
  <c r="AX591" i="1"/>
  <c r="AL591" i="1" s="1"/>
  <c r="J591" i="1"/>
  <c r="AX590" i="1"/>
  <c r="AL590" i="1" s="1"/>
  <c r="J590" i="1"/>
  <c r="AX589" i="1"/>
  <c r="AB589" i="1" s="1"/>
  <c r="J589" i="1"/>
  <c r="AX588" i="1"/>
  <c r="AB588" i="1" s="1"/>
  <c r="AH588" i="1" s="1"/>
  <c r="J588" i="1"/>
  <c r="AX587" i="1"/>
  <c r="AL587" i="1" s="1"/>
  <c r="J587" i="1"/>
  <c r="AX586" i="1"/>
  <c r="AB586" i="1" s="1"/>
  <c r="J586" i="1"/>
  <c r="AX585" i="1"/>
  <c r="AL585" i="1" s="1"/>
  <c r="J585" i="1"/>
  <c r="AX584" i="1"/>
  <c r="AL584" i="1" s="1"/>
  <c r="J584" i="1"/>
  <c r="AX583" i="1"/>
  <c r="J583" i="1"/>
  <c r="AX582" i="1"/>
  <c r="AB582" i="1" s="1"/>
  <c r="BB582" i="1" s="1"/>
  <c r="BE582" i="1" s="1"/>
  <c r="J582" i="1"/>
  <c r="AX581" i="1"/>
  <c r="AL581" i="1" s="1"/>
  <c r="J581" i="1"/>
  <c r="AX580" i="1"/>
  <c r="AL580" i="1" s="1"/>
  <c r="J580" i="1"/>
  <c r="AB600" i="1" l="1"/>
  <c r="AH600" i="1" s="1"/>
  <c r="AI600" i="1" s="1"/>
  <c r="AL630" i="1"/>
  <c r="AL596" i="1"/>
  <c r="AN596" i="1" s="1"/>
  <c r="AL586" i="1"/>
  <c r="AI641" i="1"/>
  <c r="AH700" i="1"/>
  <c r="AI700" i="1" s="1"/>
  <c r="AB593" i="1"/>
  <c r="BB593" i="1" s="1"/>
  <c r="BC593" i="1" s="1"/>
  <c r="AB697" i="1"/>
  <c r="AN697" i="1" s="1"/>
  <c r="AL639" i="1"/>
  <c r="AN639" i="1" s="1"/>
  <c r="AL687" i="1"/>
  <c r="AN687" i="1" s="1"/>
  <c r="BB598" i="1"/>
  <c r="BE598" i="1" s="1"/>
  <c r="AB688" i="1"/>
  <c r="AN688" i="1" s="1"/>
  <c r="AB662" i="1"/>
  <c r="BB662" i="1" s="1"/>
  <c r="BC662" i="1" s="1"/>
  <c r="AL659" i="1"/>
  <c r="AN659" i="1" s="1"/>
  <c r="AB616" i="1"/>
  <c r="BB616" i="1" s="1"/>
  <c r="BD616" i="1" s="1"/>
  <c r="AB711" i="1"/>
  <c r="AN711" i="1" s="1"/>
  <c r="AH586" i="1"/>
  <c r="AI586" i="1" s="1"/>
  <c r="BB586" i="1"/>
  <c r="BE586" i="1" s="1"/>
  <c r="AB614" i="1"/>
  <c r="BB614" i="1" s="1"/>
  <c r="BD614" i="1" s="1"/>
  <c r="AL683" i="1"/>
  <c r="AB643" i="1"/>
  <c r="AH643" i="1" s="1"/>
  <c r="AI643" i="1" s="1"/>
  <c r="AB710" i="1"/>
  <c r="BB710" i="1" s="1"/>
  <c r="BE710" i="1" s="1"/>
  <c r="AB724" i="1"/>
  <c r="BB724" i="1" s="1"/>
  <c r="BC724" i="1" s="1"/>
  <c r="AB584" i="1"/>
  <c r="AH584" i="1" s="1"/>
  <c r="AI584" i="1" s="1"/>
  <c r="AL731" i="1"/>
  <c r="AN731" i="1" s="1"/>
  <c r="AB722" i="1"/>
  <c r="AH722" i="1" s="1"/>
  <c r="AI722" i="1" s="1"/>
  <c r="AL589" i="1"/>
  <c r="AN589" i="1" s="1"/>
  <c r="AI622" i="1"/>
  <c r="AB627" i="1"/>
  <c r="BB627" i="1" s="1"/>
  <c r="BE627" i="1" s="1"/>
  <c r="AL651" i="1"/>
  <c r="AB671" i="1"/>
  <c r="BB671" i="1" s="1"/>
  <c r="BB665" i="1"/>
  <c r="BE665" i="1" s="1"/>
  <c r="AH665" i="1"/>
  <c r="AI665" i="1" s="1"/>
  <c r="AB603" i="1"/>
  <c r="AN603" i="1" s="1"/>
  <c r="BB620" i="1"/>
  <c r="BD620" i="1" s="1"/>
  <c r="AL665" i="1"/>
  <c r="AN665" i="1" s="1"/>
  <c r="AH625" i="1"/>
  <c r="AI625" i="1" s="1"/>
  <c r="AL629" i="1"/>
  <c r="AB695" i="1"/>
  <c r="BB695" i="1" s="1"/>
  <c r="BC695" i="1" s="1"/>
  <c r="AH618" i="1"/>
  <c r="AI618" i="1" s="1"/>
  <c r="AL618" i="1"/>
  <c r="AL622" i="1"/>
  <c r="AN622" i="1" s="1"/>
  <c r="AL635" i="1"/>
  <c r="AB590" i="1"/>
  <c r="BB590" i="1" s="1"/>
  <c r="BE590" i="1" s="1"/>
  <c r="AI596" i="1"/>
  <c r="AB636" i="1"/>
  <c r="AN636" i="1" s="1"/>
  <c r="BB659" i="1"/>
  <c r="BE659" i="1" s="1"/>
  <c r="AB727" i="1"/>
  <c r="AN727" i="1" s="1"/>
  <c r="AB694" i="1"/>
  <c r="AI620" i="1"/>
  <c r="AB587" i="1"/>
  <c r="AH587" i="1" s="1"/>
  <c r="AI587" i="1" s="1"/>
  <c r="AB591" i="1"/>
  <c r="AL594" i="1"/>
  <c r="AN594" i="1" s="1"/>
  <c r="AL620" i="1"/>
  <c r="AL628" i="1"/>
  <c r="AH721" i="1"/>
  <c r="AI721" i="1" s="1"/>
  <c r="BB721" i="1"/>
  <c r="BC721" i="1" s="1"/>
  <c r="BD635" i="1"/>
  <c r="BE635" i="1"/>
  <c r="BC635" i="1"/>
  <c r="BB692" i="1"/>
  <c r="AH692" i="1"/>
  <c r="AI692" i="1" s="1"/>
  <c r="BB610" i="1"/>
  <c r="BD610" i="1" s="1"/>
  <c r="AH610" i="1"/>
  <c r="AI610" i="1" s="1"/>
  <c r="BB708" i="1"/>
  <c r="AH708" i="1"/>
  <c r="AI708" i="1" s="1"/>
  <c r="BB629" i="1"/>
  <c r="BC629" i="1" s="1"/>
  <c r="AH629" i="1"/>
  <c r="AI629" i="1" s="1"/>
  <c r="AH589" i="1"/>
  <c r="AI589" i="1" s="1"/>
  <c r="BB589" i="1"/>
  <c r="BD589" i="1" s="1"/>
  <c r="AB653" i="1"/>
  <c r="AN653" i="1" s="1"/>
  <c r="BB699" i="1"/>
  <c r="BD699" i="1" s="1"/>
  <c r="AL721" i="1"/>
  <c r="AB726" i="1"/>
  <c r="AB729" i="1"/>
  <c r="BB729" i="1" s="1"/>
  <c r="BD729" i="1" s="1"/>
  <c r="AB607" i="1"/>
  <c r="AH607" i="1" s="1"/>
  <c r="AI607" i="1" s="1"/>
  <c r="AL610" i="1"/>
  <c r="AH635" i="1"/>
  <c r="AI635" i="1" s="1"/>
  <c r="AL642" i="1"/>
  <c r="AH646" i="1"/>
  <c r="AI646" i="1" s="1"/>
  <c r="AB690" i="1"/>
  <c r="AH690" i="1" s="1"/>
  <c r="AI690" i="1" s="1"/>
  <c r="AL692" i="1"/>
  <c r="AL708" i="1"/>
  <c r="AL734" i="1"/>
  <c r="AB679" i="1"/>
  <c r="BB679" i="1" s="1"/>
  <c r="BC679" i="1" s="1"/>
  <c r="AI683" i="1"/>
  <c r="AB698" i="1"/>
  <c r="AN698" i="1" s="1"/>
  <c r="AB704" i="1"/>
  <c r="AH704" i="1" s="1"/>
  <c r="AI704" i="1" s="1"/>
  <c r="BB734" i="1"/>
  <c r="AB611" i="1"/>
  <c r="AH611" i="1" s="1"/>
  <c r="AI611" i="1" s="1"/>
  <c r="BB622" i="1"/>
  <c r="BB683" i="1"/>
  <c r="BD683" i="1" s="1"/>
  <c r="AB691" i="1"/>
  <c r="AN691" i="1" s="1"/>
  <c r="AB693" i="1"/>
  <c r="AN693" i="1" s="1"/>
  <c r="AL700" i="1"/>
  <c r="AN700" i="1" s="1"/>
  <c r="AB709" i="1"/>
  <c r="AH709" i="1" s="1"/>
  <c r="AI709" i="1" s="1"/>
  <c r="BB651" i="1"/>
  <c r="AB676" i="1"/>
  <c r="AN676" i="1" s="1"/>
  <c r="AB743" i="1"/>
  <c r="AB609" i="1"/>
  <c r="BB609" i="1" s="1"/>
  <c r="BC609" i="1" s="1"/>
  <c r="AB712" i="1"/>
  <c r="AB716" i="1"/>
  <c r="AH716" i="1" s="1"/>
  <c r="AI716" i="1" s="1"/>
  <c r="AB723" i="1"/>
  <c r="AN723" i="1" s="1"/>
  <c r="AB725" i="1"/>
  <c r="AN725" i="1" s="1"/>
  <c r="AH731" i="1"/>
  <c r="AI731" i="1" s="1"/>
  <c r="AB612" i="1"/>
  <c r="AB696" i="1"/>
  <c r="AN696" i="1" s="1"/>
  <c r="AB617" i="1"/>
  <c r="AN617" i="1" s="1"/>
  <c r="AH582" i="1"/>
  <c r="AI582" i="1" s="1"/>
  <c r="AL598" i="1"/>
  <c r="AN598" i="1" s="1"/>
  <c r="AB602" i="1"/>
  <c r="AL605" i="1"/>
  <c r="AB660" i="1"/>
  <c r="BB660" i="1" s="1"/>
  <c r="AB681" i="1"/>
  <c r="BB681" i="1" s="1"/>
  <c r="BE681" i="1" s="1"/>
  <c r="AB728" i="1"/>
  <c r="BB728" i="1" s="1"/>
  <c r="BE728" i="1" s="1"/>
  <c r="AB741" i="1"/>
  <c r="AN741" i="1" s="1"/>
  <c r="AL582" i="1"/>
  <c r="AN582" i="1" s="1"/>
  <c r="AI699" i="1"/>
  <c r="AB624" i="1"/>
  <c r="AN624" i="1" s="1"/>
  <c r="AL699" i="1"/>
  <c r="AN699" i="1" s="1"/>
  <c r="BE625" i="1"/>
  <c r="BD625" i="1"/>
  <c r="BC625" i="1"/>
  <c r="AH604" i="1"/>
  <c r="AI604" i="1" s="1"/>
  <c r="BB604" i="1"/>
  <c r="BD605" i="1"/>
  <c r="BE605" i="1"/>
  <c r="BC605" i="1"/>
  <c r="AH631" i="1"/>
  <c r="AI631" i="1" s="1"/>
  <c r="BB631" i="1"/>
  <c r="BC606" i="1"/>
  <c r="AB615" i="1"/>
  <c r="AL615" i="1"/>
  <c r="BD606" i="1"/>
  <c r="AL621" i="1"/>
  <c r="BB678" i="1"/>
  <c r="AH678" i="1"/>
  <c r="AI678" i="1" s="1"/>
  <c r="AL619" i="1"/>
  <c r="BB661" i="1"/>
  <c r="AH661" i="1"/>
  <c r="AI661" i="1" s="1"/>
  <c r="AB585" i="1"/>
  <c r="AN585" i="1" s="1"/>
  <c r="AH605" i="1"/>
  <c r="AI605" i="1" s="1"/>
  <c r="AL588" i="1"/>
  <c r="AN588" i="1" s="1"/>
  <c r="AI588" i="1"/>
  <c r="BE594" i="1"/>
  <c r="BD594" i="1"/>
  <c r="AB597" i="1"/>
  <c r="AN597" i="1" s="1"/>
  <c r="AL583" i="1"/>
  <c r="AB583" i="1"/>
  <c r="AB595" i="1"/>
  <c r="AN595" i="1" s="1"/>
  <c r="BD630" i="1"/>
  <c r="BE630" i="1"/>
  <c r="AB633" i="1"/>
  <c r="AL633" i="1"/>
  <c r="AB581" i="1"/>
  <c r="AN581" i="1" s="1"/>
  <c r="AB648" i="1"/>
  <c r="AL648" i="1"/>
  <c r="BB596" i="1"/>
  <c r="AB613" i="1"/>
  <c r="BE628" i="1"/>
  <c r="BC628" i="1"/>
  <c r="BD628" i="1"/>
  <c r="BB644" i="1"/>
  <c r="AH644" i="1"/>
  <c r="AI644" i="1" s="1"/>
  <c r="AH606" i="1"/>
  <c r="AI606" i="1" s="1"/>
  <c r="BE618" i="1"/>
  <c r="BD618" i="1"/>
  <c r="BC618" i="1"/>
  <c r="BB588" i="1"/>
  <c r="BC582" i="1"/>
  <c r="BD582" i="1"/>
  <c r="AB601" i="1"/>
  <c r="AL604" i="1"/>
  <c r="AH628" i="1"/>
  <c r="AI628" i="1" s="1"/>
  <c r="BC630" i="1"/>
  <c r="AB580" i="1"/>
  <c r="AB592" i="1"/>
  <c r="AL599" i="1"/>
  <c r="AB599" i="1"/>
  <c r="AH594" i="1"/>
  <c r="AI594" i="1" s="1"/>
  <c r="AB608" i="1"/>
  <c r="AL613" i="1"/>
  <c r="AB619" i="1"/>
  <c r="AB621" i="1"/>
  <c r="AL623" i="1"/>
  <c r="AB623" i="1"/>
  <c r="AL652" i="1"/>
  <c r="AB654" i="1"/>
  <c r="AL654" i="1"/>
  <c r="AB666" i="1"/>
  <c r="AN666" i="1" s="1"/>
  <c r="BD652" i="1"/>
  <c r="AL685" i="1"/>
  <c r="AB685" i="1"/>
  <c r="AL631" i="1"/>
  <c r="AN631" i="1" s="1"/>
  <c r="AL606" i="1"/>
  <c r="AB626" i="1"/>
  <c r="AN626" i="1" s="1"/>
  <c r="AH630" i="1"/>
  <c r="AI630" i="1" s="1"/>
  <c r="AB634" i="1"/>
  <c r="AN634" i="1" s="1"/>
  <c r="BB639" i="1"/>
  <c r="BE652" i="1"/>
  <c r="AB655" i="1"/>
  <c r="AL641" i="1"/>
  <c r="AN641" i="1" s="1"/>
  <c r="AL649" i="1"/>
  <c r="AB649" i="1"/>
  <c r="AB663" i="1"/>
  <c r="AL644" i="1"/>
  <c r="AL675" i="1"/>
  <c r="AB675" i="1"/>
  <c r="AB637" i="1"/>
  <c r="BB641" i="1"/>
  <c r="AL646" i="1"/>
  <c r="BB713" i="1"/>
  <c r="AH713" i="1"/>
  <c r="AI713" i="1" s="1"/>
  <c r="AB638" i="1"/>
  <c r="BE689" i="1"/>
  <c r="BD689" i="1"/>
  <c r="AL661" i="1"/>
  <c r="AN661" i="1" s="1"/>
  <c r="BC667" i="1"/>
  <c r="AL678" i="1"/>
  <c r="BB707" i="1"/>
  <c r="AH707" i="1"/>
  <c r="AI707" i="1" s="1"/>
  <c r="BD646" i="1"/>
  <c r="BE646" i="1"/>
  <c r="AB632" i="1"/>
  <c r="AB645" i="1"/>
  <c r="AN645" i="1" s="1"/>
  <c r="BC646" i="1"/>
  <c r="BD667" i="1"/>
  <c r="AB702" i="1"/>
  <c r="AL702" i="1"/>
  <c r="AL672" i="1"/>
  <c r="AB672" i="1"/>
  <c r="BB687" i="1"/>
  <c r="AH687" i="1"/>
  <c r="AI687" i="1" s="1"/>
  <c r="AL625" i="1"/>
  <c r="AL640" i="1"/>
  <c r="AB640" i="1"/>
  <c r="AB647" i="1"/>
  <c r="AB650" i="1"/>
  <c r="BB668" i="1"/>
  <c r="AH668" i="1"/>
  <c r="AI668" i="1" s="1"/>
  <c r="AL632" i="1"/>
  <c r="AI639" i="1"/>
  <c r="AB682" i="1"/>
  <c r="AB684" i="1"/>
  <c r="AN684" i="1" s="1"/>
  <c r="AH652" i="1"/>
  <c r="AI652" i="1" s="1"/>
  <c r="AL668" i="1"/>
  <c r="BB642" i="1"/>
  <c r="AH642" i="1"/>
  <c r="AI642" i="1" s="1"/>
  <c r="AL656" i="1"/>
  <c r="AB656" i="1"/>
  <c r="AL658" i="1"/>
  <c r="AB658" i="1"/>
  <c r="AB664" i="1"/>
  <c r="AN664" i="1" s="1"/>
  <c r="AB674" i="1"/>
  <c r="BD700" i="1"/>
  <c r="BC700" i="1"/>
  <c r="AB715" i="1"/>
  <c r="AL715" i="1"/>
  <c r="AB680" i="1"/>
  <c r="AL730" i="1"/>
  <c r="AB730" i="1"/>
  <c r="AL732" i="1"/>
  <c r="AN732" i="1" s="1"/>
  <c r="AB670" i="1"/>
  <c r="AN670" i="1" s="1"/>
  <c r="AB701" i="1"/>
  <c r="AN701" i="1" s="1"/>
  <c r="BB714" i="1"/>
  <c r="AL720" i="1"/>
  <c r="AB720" i="1"/>
  <c r="AL737" i="1"/>
  <c r="AB737" i="1"/>
  <c r="AB717" i="1"/>
  <c r="BB732" i="1"/>
  <c r="AH732" i="1"/>
  <c r="AI732" i="1" s="1"/>
  <c r="AB669" i="1"/>
  <c r="AN669" i="1" s="1"/>
  <c r="AL713" i="1"/>
  <c r="AB735" i="1"/>
  <c r="AN735" i="1" s="1"/>
  <c r="AB677" i="1"/>
  <c r="AN677" i="1" s="1"/>
  <c r="AB657" i="1"/>
  <c r="AN657" i="1" s="1"/>
  <c r="AH667" i="1"/>
  <c r="AI667" i="1" s="1"/>
  <c r="AB719" i="1"/>
  <c r="AL719" i="1"/>
  <c r="AL738" i="1"/>
  <c r="AB738" i="1"/>
  <c r="AB686" i="1"/>
  <c r="AL707" i="1"/>
  <c r="AL667" i="1"/>
  <c r="AH689" i="1"/>
  <c r="AI689" i="1" s="1"/>
  <c r="BE731" i="1"/>
  <c r="BD731" i="1"/>
  <c r="AB703" i="1"/>
  <c r="AI714" i="1"/>
  <c r="BC731" i="1"/>
  <c r="AB736" i="1"/>
  <c r="AL736" i="1"/>
  <c r="AL689" i="1"/>
  <c r="AL714" i="1"/>
  <c r="AB718" i="1"/>
  <c r="AI734" i="1"/>
  <c r="AB744" i="1"/>
  <c r="AN744" i="1" s="1"/>
  <c r="AB742" i="1"/>
  <c r="AN742" i="1" s="1"/>
  <c r="AB740" i="1"/>
  <c r="AN740" i="1" s="1"/>
  <c r="AB739" i="1"/>
  <c r="AN606" i="1" l="1"/>
  <c r="AN708" i="1"/>
  <c r="AN628" i="1"/>
  <c r="AN618" i="1"/>
  <c r="AN610" i="1"/>
  <c r="AN689" i="1"/>
  <c r="AN605" i="1"/>
  <c r="AN734" i="1"/>
  <c r="AN692" i="1"/>
  <c r="AN620" i="1"/>
  <c r="AN668" i="1"/>
  <c r="AN625" i="1"/>
  <c r="AN644" i="1"/>
  <c r="AN629" i="1"/>
  <c r="AN678" i="1"/>
  <c r="AN642" i="1"/>
  <c r="AN683" i="1"/>
  <c r="AN667" i="1"/>
  <c r="AN604" i="1"/>
  <c r="AN707" i="1"/>
  <c r="AN652" i="1"/>
  <c r="AN721" i="1"/>
  <c r="AN651" i="1"/>
  <c r="AN630" i="1"/>
  <c r="AN713" i="1"/>
  <c r="AN714" i="1"/>
  <c r="AN646" i="1"/>
  <c r="AN635" i="1"/>
  <c r="AN586" i="1"/>
  <c r="BD593" i="1"/>
  <c r="BE614" i="1"/>
  <c r="BB600" i="1"/>
  <c r="BC600" i="1" s="1"/>
  <c r="AN600" i="1"/>
  <c r="AN709" i="1"/>
  <c r="AN724" i="1"/>
  <c r="BB643" i="1"/>
  <c r="BC643" i="1" s="1"/>
  <c r="AN593" i="1"/>
  <c r="AH593" i="1"/>
  <c r="AI593" i="1" s="1"/>
  <c r="BD724" i="1"/>
  <c r="BD710" i="1"/>
  <c r="BB697" i="1"/>
  <c r="BD697" i="1" s="1"/>
  <c r="AH697" i="1"/>
  <c r="AI697" i="1" s="1"/>
  <c r="AN633" i="1"/>
  <c r="BE593" i="1"/>
  <c r="AN715" i="1"/>
  <c r="AH679" i="1"/>
  <c r="AI679" i="1" s="1"/>
  <c r="AN695" i="1"/>
  <c r="BB716" i="1"/>
  <c r="BE716" i="1" s="1"/>
  <c r="BD662" i="1"/>
  <c r="AH688" i="1"/>
  <c r="AI688" i="1" s="1"/>
  <c r="AH624" i="1"/>
  <c r="AI624" i="1" s="1"/>
  <c r="BE662" i="1"/>
  <c r="AN662" i="1"/>
  <c r="BD598" i="1"/>
  <c r="BD609" i="1"/>
  <c r="AH681" i="1"/>
  <c r="AI681" i="1" s="1"/>
  <c r="AN671" i="1"/>
  <c r="AN654" i="1"/>
  <c r="AH662" i="1"/>
  <c r="AI662" i="1" s="1"/>
  <c r="BC710" i="1"/>
  <c r="AN710" i="1"/>
  <c r="BC598" i="1"/>
  <c r="BE616" i="1"/>
  <c r="BC586" i="1"/>
  <c r="BC683" i="1"/>
  <c r="BB688" i="1"/>
  <c r="BE688" i="1" s="1"/>
  <c r="BD590" i="1"/>
  <c r="AH616" i="1"/>
  <c r="AI616" i="1" s="1"/>
  <c r="BC614" i="1"/>
  <c r="BB690" i="1"/>
  <c r="BC690" i="1" s="1"/>
  <c r="AH603" i="1"/>
  <c r="AI603" i="1" s="1"/>
  <c r="AN722" i="1"/>
  <c r="AH724" i="1"/>
  <c r="AI724" i="1" s="1"/>
  <c r="BD659" i="1"/>
  <c r="BE724" i="1"/>
  <c r="AH727" i="1"/>
  <c r="AI727" i="1" s="1"/>
  <c r="BE679" i="1"/>
  <c r="BB727" i="1"/>
  <c r="BC727" i="1" s="1"/>
  <c r="AN590" i="1"/>
  <c r="BB603" i="1"/>
  <c r="BC603" i="1" s="1"/>
  <c r="BE589" i="1"/>
  <c r="BD586" i="1"/>
  <c r="BC627" i="1"/>
  <c r="AN616" i="1"/>
  <c r="AH710" i="1"/>
  <c r="AI710" i="1" s="1"/>
  <c r="BB709" i="1"/>
  <c r="BD709" i="1" s="1"/>
  <c r="BC616" i="1"/>
  <c r="BB711" i="1"/>
  <c r="AH711" i="1"/>
  <c r="AI711" i="1" s="1"/>
  <c r="BB584" i="1"/>
  <c r="BC584" i="1" s="1"/>
  <c r="AN643" i="1"/>
  <c r="BB722" i="1"/>
  <c r="BE722" i="1" s="1"/>
  <c r="AH614" i="1"/>
  <c r="AI614" i="1" s="1"/>
  <c r="AH695" i="1"/>
  <c r="AI695" i="1" s="1"/>
  <c r="AN614" i="1"/>
  <c r="AH671" i="1"/>
  <c r="AI671" i="1" s="1"/>
  <c r="BD627" i="1"/>
  <c r="BC665" i="1"/>
  <c r="BE695" i="1"/>
  <c r="BB587" i="1"/>
  <c r="BE587" i="1" s="1"/>
  <c r="BD665" i="1"/>
  <c r="AH653" i="1"/>
  <c r="AI653" i="1" s="1"/>
  <c r="BD695" i="1"/>
  <c r="AH627" i="1"/>
  <c r="AI627" i="1" s="1"/>
  <c r="AN607" i="1"/>
  <c r="AN627" i="1"/>
  <c r="BD679" i="1"/>
  <c r="BB617" i="1"/>
  <c r="BD617" i="1" s="1"/>
  <c r="AH617" i="1"/>
  <c r="AI617" i="1" s="1"/>
  <c r="BB653" i="1"/>
  <c r="BE653" i="1" s="1"/>
  <c r="AN584" i="1"/>
  <c r="BE609" i="1"/>
  <c r="AN587" i="1"/>
  <c r="BB591" i="1"/>
  <c r="AH591" i="1"/>
  <c r="AI591" i="1" s="1"/>
  <c r="AN690" i="1"/>
  <c r="BB636" i="1"/>
  <c r="BE636" i="1" s="1"/>
  <c r="AH660" i="1"/>
  <c r="AI660" i="1" s="1"/>
  <c r="AN613" i="1"/>
  <c r="AH694" i="1"/>
  <c r="AI694" i="1" s="1"/>
  <c r="BB694" i="1"/>
  <c r="AH636" i="1"/>
  <c r="AI636" i="1" s="1"/>
  <c r="BC610" i="1"/>
  <c r="BB696" i="1"/>
  <c r="BE696" i="1" s="1"/>
  <c r="BE610" i="1"/>
  <c r="AN609" i="1"/>
  <c r="BB624" i="1"/>
  <c r="BD624" i="1" s="1"/>
  <c r="AN591" i="1"/>
  <c r="AN694" i="1"/>
  <c r="BD629" i="1"/>
  <c r="BC589" i="1"/>
  <c r="BE683" i="1"/>
  <c r="BE620" i="1"/>
  <c r="BC620" i="1"/>
  <c r="AH609" i="1"/>
  <c r="AI609" i="1" s="1"/>
  <c r="AN702" i="1"/>
  <c r="BC659" i="1"/>
  <c r="BC590" i="1"/>
  <c r="AH590" i="1"/>
  <c r="AI590" i="1" s="1"/>
  <c r="AN660" i="1"/>
  <c r="BB611" i="1"/>
  <c r="BD611" i="1" s="1"/>
  <c r="BD622" i="1"/>
  <c r="BE622" i="1"/>
  <c r="BC622" i="1"/>
  <c r="AN729" i="1"/>
  <c r="AH729" i="1"/>
  <c r="AI729" i="1" s="1"/>
  <c r="AH696" i="1"/>
  <c r="AI696" i="1" s="1"/>
  <c r="AH743" i="1"/>
  <c r="AI743" i="1" s="1"/>
  <c r="BB743" i="1"/>
  <c r="BB612" i="1"/>
  <c r="AH612" i="1"/>
  <c r="AI612" i="1" s="1"/>
  <c r="BE651" i="1"/>
  <c r="BC651" i="1"/>
  <c r="BD651" i="1"/>
  <c r="BB726" i="1"/>
  <c r="AH726" i="1"/>
  <c r="AI726" i="1" s="1"/>
  <c r="AH725" i="1"/>
  <c r="AI725" i="1" s="1"/>
  <c r="BB725" i="1"/>
  <c r="BC728" i="1"/>
  <c r="BB712" i="1"/>
  <c r="AH712" i="1"/>
  <c r="AI712" i="1" s="1"/>
  <c r="BB693" i="1"/>
  <c r="AH693" i="1"/>
  <c r="AI693" i="1" s="1"/>
  <c r="AN716" i="1"/>
  <c r="BC734" i="1"/>
  <c r="BE734" i="1"/>
  <c r="BD734" i="1"/>
  <c r="AN672" i="1"/>
  <c r="BB607" i="1"/>
  <c r="BC607" i="1" s="1"/>
  <c r="BE660" i="1"/>
  <c r="BC660" i="1"/>
  <c r="BD660" i="1"/>
  <c r="BB691" i="1"/>
  <c r="AH691" i="1"/>
  <c r="AI691" i="1" s="1"/>
  <c r="AN612" i="1"/>
  <c r="BB741" i="1"/>
  <c r="AH741" i="1"/>
  <c r="AI741" i="1" s="1"/>
  <c r="BC729" i="1"/>
  <c r="BE729" i="1"/>
  <c r="AN743" i="1"/>
  <c r="BE708" i="1"/>
  <c r="BD708" i="1"/>
  <c r="AN583" i="1"/>
  <c r="BB704" i="1"/>
  <c r="BE704" i="1" s="1"/>
  <c r="BB723" i="1"/>
  <c r="AH723" i="1"/>
  <c r="AI723" i="1" s="1"/>
  <c r="BC681" i="1"/>
  <c r="BE629" i="1"/>
  <c r="AH602" i="1"/>
  <c r="AI602" i="1" s="1"/>
  <c r="BB602" i="1"/>
  <c r="AN611" i="1"/>
  <c r="AN712" i="1"/>
  <c r="AN602" i="1"/>
  <c r="AH676" i="1"/>
  <c r="AI676" i="1" s="1"/>
  <c r="BB676" i="1"/>
  <c r="BD721" i="1"/>
  <c r="BE721" i="1"/>
  <c r="BE699" i="1"/>
  <c r="BC699" i="1"/>
  <c r="BD681" i="1"/>
  <c r="AN681" i="1"/>
  <c r="BC692" i="1"/>
  <c r="BE692" i="1"/>
  <c r="BD692" i="1"/>
  <c r="AN728" i="1"/>
  <c r="AH698" i="1"/>
  <c r="AI698" i="1" s="1"/>
  <c r="BB698" i="1"/>
  <c r="BD728" i="1"/>
  <c r="BC708" i="1"/>
  <c r="AH728" i="1"/>
  <c r="AI728" i="1" s="1"/>
  <c r="AN679" i="1"/>
  <c r="AN726" i="1"/>
  <c r="AN704" i="1"/>
  <c r="AH650" i="1"/>
  <c r="AI650" i="1" s="1"/>
  <c r="BB650" i="1"/>
  <c r="BE707" i="1"/>
  <c r="BC707" i="1"/>
  <c r="BD707" i="1"/>
  <c r="AH580" i="1"/>
  <c r="AI580" i="1" s="1"/>
  <c r="BB580" i="1"/>
  <c r="BB648" i="1"/>
  <c r="AH648" i="1"/>
  <c r="AI648" i="1" s="1"/>
  <c r="AH615" i="1"/>
  <c r="AI615" i="1" s="1"/>
  <c r="BB615" i="1"/>
  <c r="BC678" i="1"/>
  <c r="BD678" i="1"/>
  <c r="BE678" i="1"/>
  <c r="BC604" i="1"/>
  <c r="BD604" i="1"/>
  <c r="BE604" i="1"/>
  <c r="AH717" i="1"/>
  <c r="AI717" i="1" s="1"/>
  <c r="BB717" i="1"/>
  <c r="AH637" i="1"/>
  <c r="AI637" i="1" s="1"/>
  <c r="BB637" i="1"/>
  <c r="AN637" i="1"/>
  <c r="AH702" i="1"/>
  <c r="AI702" i="1" s="1"/>
  <c r="BB702" i="1"/>
  <c r="BE644" i="1"/>
  <c r="BC644" i="1"/>
  <c r="BD644" i="1"/>
  <c r="BB742" i="1"/>
  <c r="AH742" i="1"/>
  <c r="AI742" i="1" s="1"/>
  <c r="AH674" i="1"/>
  <c r="AI674" i="1" s="1"/>
  <c r="BB674" i="1"/>
  <c r="AH682" i="1"/>
  <c r="AI682" i="1" s="1"/>
  <c r="BB682" i="1"/>
  <c r="AN640" i="1"/>
  <c r="BB638" i="1"/>
  <c r="AH638" i="1"/>
  <c r="AI638" i="1" s="1"/>
  <c r="AH675" i="1"/>
  <c r="AI675" i="1" s="1"/>
  <c r="BB675" i="1"/>
  <c r="AH663" i="1"/>
  <c r="AI663" i="1" s="1"/>
  <c r="BB663" i="1"/>
  <c r="AN685" i="1"/>
  <c r="BC588" i="1"/>
  <c r="BE588" i="1"/>
  <c r="BD588" i="1"/>
  <c r="AN638" i="1"/>
  <c r="BE642" i="1"/>
  <c r="BD642" i="1"/>
  <c r="BC642" i="1"/>
  <c r="BB670" i="1"/>
  <c r="AH670" i="1"/>
  <c r="AI670" i="1" s="1"/>
  <c r="AH655" i="1"/>
  <c r="AI655" i="1" s="1"/>
  <c r="BB655" i="1"/>
  <c r="AH608" i="1"/>
  <c r="AI608" i="1" s="1"/>
  <c r="BB608" i="1"/>
  <c r="AH684" i="1"/>
  <c r="AI684" i="1" s="1"/>
  <c r="BB684" i="1"/>
  <c r="AN717" i="1"/>
  <c r="AN675" i="1"/>
  <c r="AN682" i="1"/>
  <c r="BB581" i="1"/>
  <c r="AH581" i="1"/>
  <c r="AI581" i="1" s="1"/>
  <c r="AH685" i="1"/>
  <c r="AI685" i="1" s="1"/>
  <c r="BB685" i="1"/>
  <c r="AH640" i="1"/>
  <c r="AI640" i="1" s="1"/>
  <c r="BB640" i="1"/>
  <c r="BB744" i="1"/>
  <c r="AH744" i="1"/>
  <c r="AI744" i="1" s="1"/>
  <c r="AN737" i="1"/>
  <c r="AH730" i="1"/>
  <c r="AI730" i="1" s="1"/>
  <c r="BB730" i="1"/>
  <c r="BB595" i="1"/>
  <c r="AH595" i="1"/>
  <c r="AI595" i="1" s="1"/>
  <c r="AH585" i="1"/>
  <c r="AI585" i="1" s="1"/>
  <c r="BB585" i="1"/>
  <c r="AN621" i="1"/>
  <c r="BE631" i="1"/>
  <c r="BD631" i="1"/>
  <c r="BC631" i="1"/>
  <c r="AN580" i="1"/>
  <c r="BE641" i="1"/>
  <c r="BD641" i="1"/>
  <c r="BC641" i="1"/>
  <c r="AH703" i="1"/>
  <c r="AI703" i="1" s="1"/>
  <c r="BB703" i="1"/>
  <c r="AH737" i="1"/>
  <c r="AI737" i="1" s="1"/>
  <c r="BB737" i="1"/>
  <c r="AH686" i="1"/>
  <c r="AI686" i="1" s="1"/>
  <c r="BB686" i="1"/>
  <c r="AN730" i="1"/>
  <c r="BE671" i="1"/>
  <c r="BD671" i="1"/>
  <c r="BC671" i="1"/>
  <c r="AN663" i="1"/>
  <c r="AH613" i="1"/>
  <c r="AI613" i="1" s="1"/>
  <c r="BB613" i="1"/>
  <c r="AH583" i="1"/>
  <c r="AI583" i="1" s="1"/>
  <c r="BB583" i="1"/>
  <c r="BB718" i="1"/>
  <c r="AH718" i="1"/>
  <c r="AI718" i="1" s="1"/>
  <c r="AN718" i="1"/>
  <c r="AH739" i="1"/>
  <c r="AI739" i="1" s="1"/>
  <c r="BB739" i="1"/>
  <c r="BE713" i="1"/>
  <c r="BD713" i="1"/>
  <c r="BC713" i="1"/>
  <c r="BB597" i="1"/>
  <c r="AH597" i="1"/>
  <c r="AI597" i="1" s="1"/>
  <c r="AH720" i="1"/>
  <c r="AI720" i="1" s="1"/>
  <c r="BB720" i="1"/>
  <c r="BB664" i="1"/>
  <c r="AH664" i="1"/>
  <c r="AI664" i="1" s="1"/>
  <c r="AN649" i="1"/>
  <c r="BD639" i="1"/>
  <c r="BC639" i="1"/>
  <c r="BE639" i="1"/>
  <c r="AH601" i="1"/>
  <c r="AI601" i="1" s="1"/>
  <c r="BB601" i="1"/>
  <c r="AH633" i="1"/>
  <c r="AI633" i="1" s="1"/>
  <c r="BB633" i="1"/>
  <c r="AN674" i="1"/>
  <c r="AN736" i="1"/>
  <c r="BB680" i="1"/>
  <c r="AH680" i="1"/>
  <c r="AI680" i="1" s="1"/>
  <c r="BC668" i="1"/>
  <c r="BD668" i="1"/>
  <c r="BE668" i="1"/>
  <c r="BB645" i="1"/>
  <c r="AH645" i="1"/>
  <c r="AI645" i="1" s="1"/>
  <c r="AH634" i="1"/>
  <c r="AI634" i="1" s="1"/>
  <c r="BB634" i="1"/>
  <c r="AN623" i="1"/>
  <c r="AN601" i="1"/>
  <c r="AN650" i="1"/>
  <c r="BB621" i="1"/>
  <c r="AH621" i="1"/>
  <c r="AI621" i="1" s="1"/>
  <c r="AH701" i="1"/>
  <c r="AI701" i="1" s="1"/>
  <c r="BB701" i="1"/>
  <c r="AH740" i="1"/>
  <c r="AI740" i="1" s="1"/>
  <c r="BB740" i="1"/>
  <c r="AH649" i="1"/>
  <c r="AI649" i="1" s="1"/>
  <c r="BB649" i="1"/>
  <c r="AN608" i="1"/>
  <c r="AN720" i="1"/>
  <c r="BB658" i="1"/>
  <c r="AH658" i="1"/>
  <c r="AI658" i="1" s="1"/>
  <c r="AH666" i="1"/>
  <c r="AI666" i="1" s="1"/>
  <c r="BB666" i="1"/>
  <c r="AH599" i="1"/>
  <c r="AI599" i="1" s="1"/>
  <c r="BB599" i="1"/>
  <c r="BD596" i="1"/>
  <c r="BC596" i="1"/>
  <c r="BE596" i="1"/>
  <c r="AN655" i="1"/>
  <c r="BC661" i="1"/>
  <c r="BD661" i="1"/>
  <c r="BE661" i="1"/>
  <c r="AN719" i="1"/>
  <c r="AH735" i="1"/>
  <c r="AI735" i="1" s="1"/>
  <c r="BB735" i="1"/>
  <c r="AH669" i="1"/>
  <c r="AI669" i="1" s="1"/>
  <c r="BB669" i="1"/>
  <c r="BE714" i="1"/>
  <c r="BC714" i="1"/>
  <c r="BD714" i="1"/>
  <c r="AN658" i="1"/>
  <c r="AN632" i="1"/>
  <c r="BE687" i="1"/>
  <c r="BD687" i="1"/>
  <c r="BC687" i="1"/>
  <c r="BB626" i="1"/>
  <c r="AH626" i="1"/>
  <c r="AI626" i="1" s="1"/>
  <c r="BB619" i="1"/>
  <c r="AH619" i="1"/>
  <c r="AI619" i="1" s="1"/>
  <c r="AN599" i="1"/>
  <c r="AH657" i="1"/>
  <c r="AI657" i="1" s="1"/>
  <c r="BB657" i="1"/>
  <c r="BB677" i="1"/>
  <c r="AH677" i="1"/>
  <c r="AI677" i="1" s="1"/>
  <c r="AH647" i="1"/>
  <c r="AI647" i="1" s="1"/>
  <c r="BB647" i="1"/>
  <c r="AH623" i="1"/>
  <c r="AI623" i="1" s="1"/>
  <c r="BB623" i="1"/>
  <c r="AH738" i="1"/>
  <c r="AI738" i="1" s="1"/>
  <c r="BB738" i="1"/>
  <c r="AH736" i="1"/>
  <c r="AI736" i="1" s="1"/>
  <c r="BB736" i="1"/>
  <c r="AN738" i="1"/>
  <c r="AH632" i="1"/>
  <c r="AI632" i="1" s="1"/>
  <c r="BB632" i="1"/>
  <c r="AH719" i="1"/>
  <c r="AI719" i="1" s="1"/>
  <c r="BB719" i="1"/>
  <c r="BB656" i="1"/>
  <c r="AH656" i="1"/>
  <c r="AI656" i="1" s="1"/>
  <c r="BB592" i="1"/>
  <c r="AH592" i="1"/>
  <c r="AI592" i="1" s="1"/>
  <c r="AN647" i="1"/>
  <c r="AN739" i="1"/>
  <c r="BE732" i="1"/>
  <c r="BD732" i="1"/>
  <c r="BC732" i="1"/>
  <c r="BB715" i="1"/>
  <c r="AH715" i="1"/>
  <c r="AI715" i="1" s="1"/>
  <c r="AN656" i="1"/>
  <c r="AN703" i="1"/>
  <c r="BB672" i="1"/>
  <c r="AH672" i="1"/>
  <c r="AI672" i="1" s="1"/>
  <c r="AN686" i="1"/>
  <c r="AN680" i="1"/>
  <c r="BB654" i="1"/>
  <c r="AH654" i="1"/>
  <c r="AI654" i="1" s="1"/>
  <c r="AN648" i="1"/>
  <c r="AN619" i="1"/>
  <c r="AN615" i="1"/>
  <c r="AN592" i="1"/>
  <c r="BD643" i="1" l="1"/>
  <c r="BE600" i="1"/>
  <c r="BC697" i="1"/>
  <c r="BE697" i="1"/>
  <c r="BE643" i="1"/>
  <c r="BD600" i="1"/>
  <c r="BC716" i="1"/>
  <c r="BD716" i="1"/>
  <c r="BE584" i="1"/>
  <c r="BE690" i="1"/>
  <c r="BD690" i="1"/>
  <c r="BD603" i="1"/>
  <c r="BE603" i="1"/>
  <c r="BD584" i="1"/>
  <c r="BC722" i="1"/>
  <c r="BD722" i="1"/>
  <c r="BE617" i="1"/>
  <c r="BD688" i="1"/>
  <c r="BC688" i="1"/>
  <c r="BE727" i="1"/>
  <c r="BC617" i="1"/>
  <c r="BC711" i="1"/>
  <c r="BE711" i="1"/>
  <c r="BD711" i="1"/>
  <c r="BC709" i="1"/>
  <c r="BE709" i="1"/>
  <c r="BC636" i="1"/>
  <c r="BD636" i="1"/>
  <c r="BD727" i="1"/>
  <c r="BC653" i="1"/>
  <c r="BC611" i="1"/>
  <c r="BD653" i="1"/>
  <c r="BC587" i="1"/>
  <c r="BD587" i="1"/>
  <c r="BD694" i="1"/>
  <c r="BC694" i="1"/>
  <c r="BE694" i="1"/>
  <c r="BE611" i="1"/>
  <c r="BD696" i="1"/>
  <c r="BE624" i="1"/>
  <c r="BC696" i="1"/>
  <c r="BC624" i="1"/>
  <c r="BC591" i="1"/>
  <c r="BE591" i="1"/>
  <c r="BD591" i="1"/>
  <c r="BD726" i="1"/>
  <c r="BE726" i="1"/>
  <c r="BC726" i="1"/>
  <c r="BC723" i="1"/>
  <c r="BE723" i="1"/>
  <c r="BD723" i="1"/>
  <c r="BD607" i="1"/>
  <c r="BE607" i="1"/>
  <c r="BC693" i="1"/>
  <c r="BD693" i="1"/>
  <c r="BE693" i="1"/>
  <c r="BD676" i="1"/>
  <c r="BE676" i="1"/>
  <c r="BC676" i="1"/>
  <c r="BC704" i="1"/>
  <c r="BD704" i="1"/>
  <c r="BC741" i="1"/>
  <c r="BE741" i="1"/>
  <c r="BD741" i="1"/>
  <c r="BE712" i="1"/>
  <c r="BC712" i="1"/>
  <c r="BD712" i="1"/>
  <c r="BD743" i="1"/>
  <c r="BE743" i="1"/>
  <c r="BC743" i="1"/>
  <c r="BE602" i="1"/>
  <c r="BD602" i="1"/>
  <c r="BC602" i="1"/>
  <c r="BE725" i="1"/>
  <c r="BC725" i="1"/>
  <c r="BD725" i="1"/>
  <c r="BC612" i="1"/>
  <c r="BE612" i="1"/>
  <c r="BD612" i="1"/>
  <c r="BE698" i="1"/>
  <c r="BD698" i="1"/>
  <c r="BC698" i="1"/>
  <c r="BD691" i="1"/>
  <c r="BE691" i="1"/>
  <c r="BC691" i="1"/>
  <c r="BD632" i="1"/>
  <c r="BE632" i="1"/>
  <c r="BC632" i="1"/>
  <c r="BE666" i="1"/>
  <c r="BC666" i="1"/>
  <c r="BD666" i="1"/>
  <c r="BE621" i="1"/>
  <c r="BD621" i="1"/>
  <c r="BC621" i="1"/>
  <c r="BE682" i="1"/>
  <c r="BD682" i="1"/>
  <c r="BC682" i="1"/>
  <c r="BD580" i="1"/>
  <c r="BC580" i="1"/>
  <c r="BE580" i="1"/>
  <c r="BE619" i="1"/>
  <c r="BC619" i="1"/>
  <c r="BD619" i="1"/>
  <c r="BE585" i="1"/>
  <c r="BD585" i="1"/>
  <c r="BC585" i="1"/>
  <c r="BC658" i="1"/>
  <c r="BE658" i="1"/>
  <c r="BD658" i="1"/>
  <c r="BE739" i="1"/>
  <c r="BD739" i="1"/>
  <c r="BC739" i="1"/>
  <c r="BE684" i="1"/>
  <c r="BC684" i="1"/>
  <c r="BD684" i="1"/>
  <c r="BE634" i="1"/>
  <c r="BC634" i="1"/>
  <c r="BD634" i="1"/>
  <c r="BE595" i="1"/>
  <c r="BC595" i="1"/>
  <c r="BD595" i="1"/>
  <c r="BD608" i="1"/>
  <c r="BC608" i="1"/>
  <c r="BE608" i="1"/>
  <c r="BC742" i="1"/>
  <c r="BD742" i="1"/>
  <c r="BE742" i="1"/>
  <c r="BE650" i="1"/>
  <c r="BD650" i="1"/>
  <c r="BC650" i="1"/>
  <c r="BD626" i="1"/>
  <c r="BC626" i="1"/>
  <c r="BE626" i="1"/>
  <c r="BE640" i="1"/>
  <c r="BD640" i="1"/>
  <c r="BC640" i="1"/>
  <c r="BD737" i="1"/>
  <c r="BE737" i="1"/>
  <c r="BC737" i="1"/>
  <c r="BC645" i="1"/>
  <c r="BE645" i="1"/>
  <c r="BD645" i="1"/>
  <c r="BE718" i="1"/>
  <c r="BD718" i="1"/>
  <c r="BC718" i="1"/>
  <c r="BE655" i="1"/>
  <c r="BD655" i="1"/>
  <c r="BC655" i="1"/>
  <c r="BE601" i="1"/>
  <c r="BC601" i="1"/>
  <c r="BD601" i="1"/>
  <c r="BE736" i="1"/>
  <c r="BC736" i="1"/>
  <c r="BD736" i="1"/>
  <c r="BC685" i="1"/>
  <c r="BE685" i="1"/>
  <c r="BD685" i="1"/>
  <c r="BE738" i="1"/>
  <c r="BD738" i="1"/>
  <c r="BC738" i="1"/>
  <c r="BE649" i="1"/>
  <c r="BD649" i="1"/>
  <c r="BC649" i="1"/>
  <c r="BE672" i="1"/>
  <c r="BD672" i="1"/>
  <c r="BC672" i="1"/>
  <c r="BE623" i="1"/>
  <c r="BD623" i="1"/>
  <c r="BC623" i="1"/>
  <c r="BD592" i="1"/>
  <c r="BC592" i="1"/>
  <c r="BE592" i="1"/>
  <c r="BE740" i="1"/>
  <c r="BD740" i="1"/>
  <c r="BC740" i="1"/>
  <c r="BC583" i="1"/>
  <c r="BD583" i="1"/>
  <c r="BE583" i="1"/>
  <c r="BE703" i="1"/>
  <c r="BC703" i="1"/>
  <c r="BD703" i="1"/>
  <c r="BD686" i="1"/>
  <c r="BC686" i="1"/>
  <c r="BE686" i="1"/>
  <c r="BE581" i="1"/>
  <c r="BD581" i="1"/>
  <c r="BC581" i="1"/>
  <c r="BE663" i="1"/>
  <c r="BD663" i="1"/>
  <c r="BC663" i="1"/>
  <c r="BC615" i="1"/>
  <c r="BE615" i="1"/>
  <c r="BD615" i="1"/>
  <c r="BD701" i="1"/>
  <c r="BC701" i="1"/>
  <c r="BE701" i="1"/>
  <c r="BD613" i="1"/>
  <c r="BE613" i="1"/>
  <c r="BC613" i="1"/>
  <c r="BD715" i="1"/>
  <c r="BC715" i="1"/>
  <c r="BE715" i="1"/>
  <c r="BD675" i="1"/>
  <c r="BE675" i="1"/>
  <c r="BC675" i="1"/>
  <c r="BD637" i="1"/>
  <c r="BE637" i="1"/>
  <c r="BC637" i="1"/>
  <c r="BD657" i="1"/>
  <c r="BE657" i="1"/>
  <c r="BC657" i="1"/>
  <c r="BE744" i="1"/>
  <c r="BD744" i="1"/>
  <c r="BC744" i="1"/>
  <c r="BE730" i="1"/>
  <c r="BD730" i="1"/>
  <c r="BC730" i="1"/>
  <c r="BC670" i="1"/>
  <c r="BE670" i="1"/>
  <c r="BD670" i="1"/>
  <c r="BE677" i="1"/>
  <c r="BD677" i="1"/>
  <c r="BC677" i="1"/>
  <c r="BE720" i="1"/>
  <c r="BC720" i="1"/>
  <c r="BD720" i="1"/>
  <c r="BD735" i="1"/>
  <c r="BE735" i="1"/>
  <c r="BC735" i="1"/>
  <c r="BE599" i="1"/>
  <c r="BD599" i="1"/>
  <c r="BC599" i="1"/>
  <c r="BD638" i="1"/>
  <c r="BE638" i="1"/>
  <c r="BC638" i="1"/>
  <c r="BE717" i="1"/>
  <c r="BD717" i="1"/>
  <c r="BC717" i="1"/>
  <c r="BE674" i="1"/>
  <c r="BD674" i="1"/>
  <c r="BC674" i="1"/>
  <c r="BD654" i="1"/>
  <c r="BC654" i="1"/>
  <c r="BE654" i="1"/>
  <c r="BE647" i="1"/>
  <c r="BD647" i="1"/>
  <c r="BC647" i="1"/>
  <c r="BE702" i="1"/>
  <c r="BD702" i="1"/>
  <c r="BC702" i="1"/>
  <c r="BE664" i="1"/>
  <c r="BD664" i="1"/>
  <c r="BC664" i="1"/>
  <c r="BE669" i="1"/>
  <c r="BD669" i="1"/>
  <c r="BC669" i="1"/>
  <c r="BE680" i="1"/>
  <c r="BD680" i="1"/>
  <c r="BC680" i="1"/>
  <c r="BD648" i="1"/>
  <c r="BE648" i="1"/>
  <c r="BC648" i="1"/>
  <c r="BD656" i="1"/>
  <c r="BE656" i="1"/>
  <c r="BC656" i="1"/>
  <c r="BE719" i="1"/>
  <c r="BD719" i="1"/>
  <c r="BC719" i="1"/>
  <c r="BD633" i="1"/>
  <c r="BC633" i="1"/>
  <c r="BE633" i="1"/>
  <c r="BE597" i="1"/>
  <c r="BD597" i="1"/>
  <c r="BC597" i="1"/>
  <c r="AK749" i="1" l="1"/>
  <c r="Z749" i="1"/>
  <c r="AK736" i="1"/>
  <c r="Z730" i="1"/>
  <c r="Z714" i="1"/>
  <c r="Z731" i="1"/>
  <c r="AK738" i="1"/>
  <c r="Z732" i="1"/>
  <c r="Z716" i="1"/>
  <c r="AK703" i="1"/>
  <c r="Z698" i="1"/>
  <c r="AK687" i="1"/>
  <c r="Z682" i="1"/>
  <c r="Z734" i="1"/>
  <c r="Z717" i="1"/>
  <c r="Z699" i="1"/>
  <c r="Z683" i="1"/>
  <c r="Z666" i="1"/>
  <c r="Z650" i="1"/>
  <c r="Z634" i="1"/>
  <c r="AK740" i="1"/>
  <c r="Z735" i="1"/>
  <c r="Z718" i="1"/>
  <c r="AK741" i="1"/>
  <c r="Z736" i="1"/>
  <c r="AK724" i="1"/>
  <c r="Z719" i="1"/>
  <c r="Z701" i="1"/>
  <c r="Z685" i="1"/>
  <c r="AK742" i="1"/>
  <c r="Z737" i="1"/>
  <c r="AK743" i="1"/>
  <c r="Z738" i="1"/>
  <c r="Z739" i="1"/>
  <c r="Z722" i="1"/>
  <c r="Z740" i="1"/>
  <c r="Z741" i="1"/>
  <c r="Z724" i="1"/>
  <c r="Z742" i="1"/>
  <c r="Z743" i="1"/>
  <c r="Z744" i="1"/>
  <c r="AK735" i="1"/>
  <c r="Z729" i="1"/>
  <c r="AK718" i="1"/>
  <c r="Z713" i="1"/>
  <c r="AK730" i="1"/>
  <c r="Z702" i="1"/>
  <c r="Z696" i="1"/>
  <c r="AK693" i="1"/>
  <c r="Z687" i="1"/>
  <c r="Z671" i="1"/>
  <c r="Z653" i="1"/>
  <c r="AK728" i="1"/>
  <c r="Z725" i="1"/>
  <c r="Z720" i="1"/>
  <c r="Z681" i="1"/>
  <c r="AK665" i="1"/>
  <c r="Z662" i="1"/>
  <c r="AK656" i="1"/>
  <c r="AK726" i="1"/>
  <c r="Z709" i="1"/>
  <c r="Z697" i="1"/>
  <c r="Z688" i="1"/>
  <c r="AK684" i="1"/>
  <c r="Z723" i="1"/>
  <c r="AK711" i="1"/>
  <c r="Z703" i="1"/>
  <c r="AK694" i="1"/>
  <c r="AK677" i="1"/>
  <c r="Z674" i="1"/>
  <c r="Z655" i="1"/>
  <c r="AK648" i="1"/>
  <c r="Z728" i="1"/>
  <c r="Z693" i="1"/>
  <c r="Z664" i="1"/>
  <c r="Z646" i="1"/>
  <c r="AK715" i="1"/>
  <c r="Z710" i="1"/>
  <c r="AK685" i="1"/>
  <c r="AK678" i="1"/>
  <c r="Z675" i="1"/>
  <c r="AK668" i="1"/>
  <c r="Z665" i="1"/>
  <c r="AK734" i="1"/>
  <c r="Z726" i="1"/>
  <c r="Z721" i="1"/>
  <c r="AK707" i="1"/>
  <c r="Z704" i="1"/>
  <c r="AK700" i="1"/>
  <c r="Z689" i="1"/>
  <c r="Z684" i="1"/>
  <c r="Z647" i="1"/>
  <c r="AK731" i="1"/>
  <c r="AK712" i="1"/>
  <c r="AK679" i="1"/>
  <c r="Z676" i="1"/>
  <c r="AK660" i="1"/>
  <c r="Z657" i="1"/>
  <c r="Z711" i="1"/>
  <c r="Z694" i="1"/>
  <c r="Z677" i="1"/>
  <c r="Z667" i="1"/>
  <c r="Z648" i="1"/>
  <c r="Z630" i="1"/>
  <c r="Z617" i="1"/>
  <c r="Z707" i="1"/>
  <c r="Z700" i="1"/>
  <c r="Z690" i="1"/>
  <c r="Z678" i="1"/>
  <c r="Z668" i="1"/>
  <c r="Z631" i="1"/>
  <c r="Z619" i="1"/>
  <c r="Z712" i="1"/>
  <c r="Z679" i="1"/>
  <c r="Z660" i="1"/>
  <c r="Z651" i="1"/>
  <c r="Z632" i="1"/>
  <c r="Z621" i="1"/>
  <c r="Z727" i="1"/>
  <c r="AK709" i="1"/>
  <c r="AK697" i="1"/>
  <c r="AK682" i="1"/>
  <c r="AK732" i="1"/>
  <c r="AK652" i="1"/>
  <c r="Z649" i="1"/>
  <c r="Z644" i="1"/>
  <c r="AK666" i="1"/>
  <c r="AK654" i="1"/>
  <c r="AK647" i="1"/>
  <c r="AK636" i="1"/>
  <c r="AK628" i="1"/>
  <c r="AK618" i="1"/>
  <c r="Z615" i="1"/>
  <c r="Z604" i="1"/>
  <c r="Z715" i="1"/>
  <c r="Z708" i="1"/>
  <c r="Z692" i="1"/>
  <c r="Z635" i="1"/>
  <c r="Z616" i="1"/>
  <c r="Z605" i="1"/>
  <c r="Z658" i="1"/>
  <c r="Z654" i="1"/>
  <c r="Z652" i="1"/>
  <c r="Z642" i="1"/>
  <c r="Z639" i="1"/>
  <c r="AK720" i="1"/>
  <c r="Z656" i="1"/>
  <c r="AK714" i="1"/>
  <c r="AK681" i="1"/>
  <c r="Z636" i="1"/>
  <c r="AK629" i="1"/>
  <c r="Z628" i="1"/>
  <c r="Z624" i="1"/>
  <c r="AK612" i="1"/>
  <c r="Z609" i="1"/>
  <c r="Z593" i="1"/>
  <c r="Z645" i="1"/>
  <c r="Z670" i="1"/>
  <c r="AK691" i="1"/>
  <c r="AK663" i="1"/>
  <c r="AK661" i="1"/>
  <c r="AK686" i="1"/>
  <c r="Z640" i="1"/>
  <c r="Z633" i="1"/>
  <c r="AK621" i="1"/>
  <c r="Z620" i="1"/>
  <c r="Z611" i="1"/>
  <c r="Z596" i="1"/>
  <c r="Z580" i="1"/>
  <c r="Z672" i="1"/>
  <c r="AK646" i="1"/>
  <c r="Z637" i="1"/>
  <c r="Z625" i="1"/>
  <c r="AK614" i="1"/>
  <c r="AK602" i="1"/>
  <c r="Z597" i="1"/>
  <c r="AK586" i="1"/>
  <c r="Z581" i="1"/>
  <c r="Z612" i="1"/>
  <c r="AK603" i="1"/>
  <c r="Z598" i="1"/>
  <c r="AK587" i="1"/>
  <c r="Z582" i="1"/>
  <c r="AK638" i="1"/>
  <c r="AK716" i="1"/>
  <c r="Z695" i="1"/>
  <c r="Z686" i="1"/>
  <c r="AK680" i="1"/>
  <c r="Z643" i="1"/>
  <c r="AK630" i="1"/>
  <c r="Z629" i="1"/>
  <c r="AK701" i="1"/>
  <c r="Z691" i="1"/>
  <c r="Z663" i="1"/>
  <c r="Z661" i="1"/>
  <c r="Z659" i="1"/>
  <c r="AK644" i="1"/>
  <c r="Z669" i="1"/>
  <c r="Z613" i="1"/>
  <c r="Z600" i="1"/>
  <c r="Z584" i="1"/>
  <c r="Z641" i="1"/>
  <c r="Z626" i="1"/>
  <c r="Z601" i="1"/>
  <c r="AK623" i="1"/>
  <c r="Z622" i="1"/>
  <c r="Z680" i="1"/>
  <c r="Z585" i="1"/>
  <c r="Z638" i="1"/>
  <c r="AK631" i="1"/>
  <c r="AK583" i="1"/>
  <c r="AK580" i="1"/>
  <c r="Z589" i="1"/>
  <c r="Z586" i="1"/>
  <c r="Z583" i="1"/>
  <c r="AK613" i="1"/>
  <c r="Z610" i="1"/>
  <c r="Z608" i="1"/>
  <c r="AK592" i="1"/>
  <c r="Z591" i="1"/>
  <c r="Z595" i="1"/>
  <c r="AK584" i="1"/>
  <c r="AK599" i="1"/>
  <c r="AK593" i="1"/>
  <c r="AK600" i="1"/>
  <c r="AK615" i="1"/>
  <c r="Z623" i="1"/>
  <c r="AK595" i="1"/>
  <c r="Z594" i="1"/>
  <c r="AK611" i="1"/>
  <c r="Z606" i="1"/>
  <c r="Z592" i="1"/>
  <c r="AK607" i="1"/>
  <c r="Z618" i="1"/>
  <c r="Z587" i="1"/>
  <c r="AK632" i="1"/>
  <c r="Z614" i="1"/>
  <c r="Z607" i="1"/>
  <c r="Z602" i="1"/>
  <c r="Z599" i="1"/>
  <c r="Z590" i="1"/>
  <c r="AK610" i="1"/>
  <c r="Z627" i="1"/>
  <c r="AK619" i="1"/>
  <c r="AK617" i="1"/>
  <c r="Z603" i="1"/>
  <c r="AK597" i="1"/>
  <c r="AK594" i="1"/>
  <c r="Z588" i="1"/>
  <c r="AK625" i="1"/>
  <c r="AK710" i="1"/>
  <c r="AK708" i="1"/>
  <c r="AK729" i="1"/>
  <c r="AK588" i="1"/>
  <c r="AK590" i="1"/>
  <c r="AK634" i="1"/>
  <c r="AK676" i="1"/>
  <c r="AK744" i="1"/>
  <c r="AK737" i="1"/>
  <c r="AK605" i="1"/>
  <c r="AK596" i="1"/>
  <c r="AK689" i="1"/>
  <c r="AK608" i="1"/>
  <c r="AK672" i="1"/>
  <c r="AK664" i="1"/>
  <c r="AK695" i="1"/>
  <c r="AK721" i="1"/>
  <c r="AK650" i="1"/>
  <c r="AK609" i="1"/>
  <c r="AK671" i="1"/>
  <c r="AK702" i="1"/>
  <c r="AK717" i="1"/>
  <c r="AK635" i="1"/>
  <c r="AK670" i="1"/>
  <c r="AK606" i="1"/>
  <c r="AK725" i="1"/>
  <c r="AK723" i="1"/>
  <c r="AK627" i="1"/>
  <c r="AK581" i="1"/>
  <c r="AK626" i="1"/>
  <c r="AK589" i="1"/>
  <c r="AK651" i="1"/>
  <c r="AK624" i="1"/>
  <c r="AK739" i="1"/>
  <c r="AK640" i="1"/>
  <c r="AK642" i="1"/>
  <c r="AK649" i="1"/>
  <c r="AK722" i="1"/>
  <c r="AK675" i="1"/>
  <c r="AK659" i="1"/>
  <c r="AK633" i="1"/>
  <c r="AK690" i="1"/>
  <c r="AK653" i="1"/>
  <c r="AK692" i="1"/>
  <c r="AK674" i="1"/>
  <c r="AK645" i="1"/>
  <c r="AK669" i="1"/>
  <c r="AK604" i="1"/>
  <c r="AK598" i="1"/>
  <c r="AK637" i="1"/>
  <c r="AK582" i="1"/>
  <c r="AK655" i="1"/>
  <c r="AK698" i="1"/>
  <c r="AK719" i="1"/>
  <c r="AK688" i="1"/>
  <c r="AK591" i="1"/>
  <c r="AK601" i="1"/>
  <c r="AK620" i="1"/>
  <c r="AK658" i="1"/>
  <c r="AK662" i="1"/>
  <c r="AK585" i="1"/>
  <c r="AK639" i="1"/>
  <c r="AK667" i="1"/>
  <c r="AK699" i="1"/>
  <c r="AK616" i="1"/>
  <c r="AK622" i="1"/>
  <c r="AK683" i="1"/>
  <c r="AK713" i="1"/>
  <c r="AK696" i="1"/>
  <c r="AK727" i="1"/>
  <c r="AK641" i="1"/>
  <c r="AK657" i="1"/>
  <c r="AK643" i="1"/>
  <c r="AK704" i="1"/>
  <c r="AW1030" i="1"/>
  <c r="AW1031" i="1"/>
  <c r="AW1032" i="1"/>
  <c r="AW1033" i="1"/>
  <c r="AW1034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29" i="1"/>
  <c r="AM702" i="1" l="1"/>
  <c r="AM716" i="1"/>
  <c r="AM616" i="1"/>
  <c r="AM637" i="1"/>
  <c r="AM657" i="1"/>
  <c r="AM713" i="1"/>
  <c r="AM675" i="1"/>
  <c r="AM650" i="1"/>
  <c r="AM674" i="1"/>
  <c r="AM749" i="1"/>
  <c r="AB749" i="1"/>
  <c r="AL749" i="1"/>
  <c r="AM665" i="1"/>
  <c r="AM717" i="1"/>
  <c r="AM661" i="1"/>
  <c r="AM604" i="1"/>
  <c r="AM735" i="1"/>
  <c r="AM724" i="1"/>
  <c r="AM744" i="1"/>
  <c r="AM711" i="1"/>
  <c r="AM660" i="1"/>
  <c r="AM722" i="1"/>
  <c r="AM634" i="1"/>
  <c r="AM696" i="1"/>
  <c r="AM671" i="1"/>
  <c r="AM683" i="1"/>
  <c r="AM640" i="1"/>
  <c r="AM729" i="1"/>
  <c r="AM623" i="1"/>
  <c r="AM656" i="1"/>
  <c r="AM651" i="1"/>
  <c r="AM612" i="1"/>
  <c r="AM703" i="1"/>
  <c r="AM613" i="1"/>
  <c r="AM648" i="1"/>
  <c r="AM627" i="1"/>
  <c r="AM653" i="1"/>
  <c r="AM740" i="1"/>
  <c r="AM591" i="1"/>
  <c r="AM659" i="1"/>
  <c r="AM610" i="1"/>
  <c r="AM615" i="1"/>
  <c r="AM631" i="1"/>
  <c r="AM720" i="1"/>
  <c r="AM636" i="1"/>
  <c r="AM725" i="1"/>
  <c r="AM688" i="1"/>
  <c r="AM676" i="1"/>
  <c r="AM586" i="1"/>
  <c r="AM655" i="1"/>
  <c r="AM642" i="1"/>
  <c r="AM588" i="1"/>
  <c r="AM584" i="1"/>
  <c r="AM630" i="1"/>
  <c r="AM614" i="1"/>
  <c r="AM730" i="1"/>
  <c r="AM742" i="1"/>
  <c r="AM695" i="1"/>
  <c r="AM582" i="1"/>
  <c r="AM731" i="1"/>
  <c r="AM715" i="1"/>
  <c r="AM718" i="1"/>
  <c r="AM672" i="1"/>
  <c r="AM727" i="1"/>
  <c r="AM598" i="1"/>
  <c r="AM624" i="1"/>
  <c r="AM721" i="1"/>
  <c r="AM592" i="1"/>
  <c r="AM646" i="1"/>
  <c r="AM667" i="1"/>
  <c r="AM669" i="1"/>
  <c r="AM611" i="1"/>
  <c r="AM620" i="1"/>
  <c r="AM633" i="1"/>
  <c r="AM668" i="1"/>
  <c r="AM641" i="1"/>
  <c r="AM635" i="1"/>
  <c r="AM600" i="1"/>
  <c r="AM647" i="1"/>
  <c r="AM693" i="1"/>
  <c r="AM670" i="1"/>
  <c r="AM686" i="1"/>
  <c r="AM719" i="1"/>
  <c r="AM593" i="1"/>
  <c r="AM701" i="1"/>
  <c r="AM663" i="1"/>
  <c r="AM654" i="1"/>
  <c r="AM678" i="1"/>
  <c r="AM684" i="1"/>
  <c r="AM743" i="1"/>
  <c r="AM698" i="1"/>
  <c r="AM649" i="1"/>
  <c r="AM666" i="1"/>
  <c r="AM685" i="1"/>
  <c r="AM739" i="1"/>
  <c r="AM708" i="1"/>
  <c r="AM632" i="1"/>
  <c r="AM726" i="1"/>
  <c r="AM732" i="1"/>
  <c r="AM682" i="1"/>
  <c r="AM710" i="1"/>
  <c r="AM589" i="1"/>
  <c r="AM664" i="1"/>
  <c r="AM626" i="1"/>
  <c r="AM594" i="1"/>
  <c r="AM608" i="1"/>
  <c r="AM707" i="1"/>
  <c r="AM645" i="1"/>
  <c r="AM709" i="1"/>
  <c r="AM741" i="1"/>
  <c r="AM662" i="1"/>
  <c r="AM692" i="1"/>
  <c r="AM689" i="1"/>
  <c r="AM704" i="1"/>
  <c r="AM714" i="1"/>
  <c r="AM590" i="1"/>
  <c r="AM599" i="1"/>
  <c r="AM602" i="1"/>
  <c r="AM691" i="1"/>
  <c r="AM679" i="1"/>
  <c r="AM712" i="1"/>
  <c r="AM609" i="1"/>
  <c r="AM622" i="1"/>
  <c r="AM680" i="1"/>
  <c r="AM652" i="1"/>
  <c r="AM687" i="1"/>
  <c r="AM699" i="1"/>
  <c r="AM625" i="1"/>
  <c r="AM607" i="1"/>
  <c r="AM697" i="1"/>
  <c r="AM700" i="1"/>
  <c r="AM639" i="1"/>
  <c r="AM638" i="1"/>
  <c r="AM585" i="1"/>
  <c r="AM581" i="1"/>
  <c r="AM597" i="1"/>
  <c r="AM629" i="1"/>
  <c r="AM738" i="1"/>
  <c r="AM587" i="1"/>
  <c r="AM658" i="1"/>
  <c r="AM723" i="1"/>
  <c r="AM596" i="1"/>
  <c r="AM617" i="1"/>
  <c r="AM644" i="1"/>
  <c r="AM621" i="1"/>
  <c r="AM681" i="1"/>
  <c r="AM677" i="1"/>
  <c r="AM728" i="1"/>
  <c r="AM690" i="1"/>
  <c r="AM605" i="1"/>
  <c r="AM619" i="1"/>
  <c r="AM595" i="1"/>
  <c r="AM580" i="1"/>
  <c r="AM603" i="1"/>
  <c r="AM618" i="1"/>
  <c r="AM734" i="1"/>
  <c r="AM694" i="1"/>
  <c r="AM643" i="1"/>
  <c r="AM601" i="1"/>
  <c r="AM606" i="1"/>
  <c r="AM737" i="1"/>
  <c r="AM583" i="1"/>
  <c r="AM628" i="1"/>
  <c r="AM736" i="1"/>
  <c r="AK1051" i="1"/>
  <c r="Z1051" i="1" s="1"/>
  <c r="AK1030" i="1"/>
  <c r="Z1030" i="1" s="1"/>
  <c r="AM1030" i="1" s="1"/>
  <c r="AK1048" i="1"/>
  <c r="Z1048" i="1" s="1"/>
  <c r="AK1055" i="1"/>
  <c r="Z1055" i="1" s="1"/>
  <c r="AM1055" i="1" s="1"/>
  <c r="AK1031" i="1"/>
  <c r="Z1031" i="1" s="1"/>
  <c r="AK1047" i="1"/>
  <c r="Z1047" i="1" s="1"/>
  <c r="AM1047" i="1" s="1"/>
  <c r="AK1038" i="1"/>
  <c r="Z1038" i="1" s="1"/>
  <c r="AK1044" i="1"/>
  <c r="Z1044" i="1" s="1"/>
  <c r="AM1044" i="1" s="1"/>
  <c r="AK1040" i="1"/>
  <c r="Z1040" i="1" s="1"/>
  <c r="AM1040" i="1" s="1"/>
  <c r="AK1042" i="1"/>
  <c r="Z1042" i="1" s="1"/>
  <c r="AK1043" i="1"/>
  <c r="AK1041" i="1"/>
  <c r="Z1041" i="1" s="1"/>
  <c r="AM1041" i="1" s="1"/>
  <c r="AK1037" i="1"/>
  <c r="Z1037" i="1" s="1"/>
  <c r="AM1037" i="1" s="1"/>
  <c r="AK1046" i="1"/>
  <c r="Z1046" i="1" s="1"/>
  <c r="AM1046" i="1" s="1"/>
  <c r="AK1045" i="1"/>
  <c r="Z1045" i="1" s="1"/>
  <c r="AM1045" i="1" s="1"/>
  <c r="AK1032" i="1"/>
  <c r="Z1032" i="1" s="1"/>
  <c r="AM1032" i="1" s="1"/>
  <c r="AK1036" i="1"/>
  <c r="Z1036" i="1" s="1"/>
  <c r="AK1050" i="1"/>
  <c r="Z1050" i="1" s="1"/>
  <c r="AM1050" i="1" s="1"/>
  <c r="AK1033" i="1"/>
  <c r="Z1033" i="1" s="1"/>
  <c r="AM1033" i="1" s="1"/>
  <c r="AK1049" i="1"/>
  <c r="Z1049" i="1" s="1"/>
  <c r="AK1039" i="1"/>
  <c r="Z1039" i="1" s="1"/>
  <c r="AM1039" i="1" s="1"/>
  <c r="AK1053" i="1"/>
  <c r="Z1053" i="1" s="1"/>
  <c r="AK1054" i="1"/>
  <c r="Z1054" i="1" s="1"/>
  <c r="AK1034" i="1"/>
  <c r="Z1034" i="1" s="1"/>
  <c r="AK1052" i="1"/>
  <c r="Z1052" i="1" s="1"/>
  <c r="AM1052" i="1" s="1"/>
  <c r="AK1056" i="1"/>
  <c r="Z1056" i="1" s="1"/>
  <c r="AM1056" i="1" s="1"/>
  <c r="AK1029" i="1"/>
  <c r="Z1029" i="1" s="1"/>
  <c r="AN749" i="1" l="1"/>
  <c r="BB749" i="1"/>
  <c r="AH749" i="1"/>
  <c r="AI749" i="1" s="1"/>
  <c r="AM1048" i="1"/>
  <c r="AM1051" i="1"/>
  <c r="AM1031" i="1"/>
  <c r="AM1042" i="1"/>
  <c r="AM1038" i="1"/>
  <c r="Z1043" i="1"/>
  <c r="AM1043" i="1" s="1"/>
  <c r="AM1053" i="1"/>
  <c r="AM1054" i="1"/>
  <c r="AM1049" i="1"/>
  <c r="AM1034" i="1"/>
  <c r="AM1036" i="1"/>
  <c r="AM1029" i="1"/>
  <c r="BE749" i="1" l="1"/>
  <c r="BD749" i="1"/>
  <c r="BC749" i="1"/>
  <c r="AX1038" i="1"/>
  <c r="AX1040" i="1"/>
  <c r="AX1030" i="1"/>
  <c r="AX1055" i="1"/>
  <c r="AX1047" i="1"/>
  <c r="AX1045" i="1"/>
  <c r="AX1039" i="1"/>
  <c r="AX1044" i="1"/>
  <c r="AX1043" i="1"/>
  <c r="AX1051" i="1"/>
  <c r="AX1049" i="1"/>
  <c r="AX1033" i="1"/>
  <c r="AX1036" i="1"/>
  <c r="AX1050" i="1"/>
  <c r="AX1056" i="1"/>
  <c r="AX1029" i="1"/>
  <c r="AB1029" i="1" s="1"/>
  <c r="AH1029" i="1" s="1"/>
  <c r="AX1037" i="1"/>
  <c r="AX1034" i="1"/>
  <c r="AX1053" i="1"/>
  <c r="AX1046" i="1"/>
  <c r="AX1048" i="1"/>
  <c r="AX1032" i="1"/>
  <c r="AX1041" i="1"/>
  <c r="AX1052" i="1"/>
  <c r="AX1031" i="1"/>
  <c r="AX1042" i="1"/>
  <c r="AX1054" i="1"/>
  <c r="AH320" i="1"/>
  <c r="AH319" i="1"/>
  <c r="AH106" i="1"/>
  <c r="AH105" i="1"/>
  <c r="AL821" i="1"/>
  <c r="AB821" i="1"/>
  <c r="BB821" i="1" s="1"/>
  <c r="BE821" i="1" s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23" i="1"/>
  <c r="Z579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4" i="1"/>
  <c r="Z575" i="1"/>
  <c r="Z576" i="1"/>
  <c r="Z577" i="1"/>
  <c r="Z578" i="1"/>
  <c r="BB105" i="1"/>
  <c r="BB106" i="1"/>
  <c r="BB319" i="1"/>
  <c r="BB320" i="1"/>
  <c r="AW87" i="1" l="1"/>
  <c r="AW512" i="1"/>
  <c r="Z512" i="1" s="1"/>
  <c r="AB1046" i="1"/>
  <c r="AL1046" i="1"/>
  <c r="AL1053" i="1"/>
  <c r="AB1053" i="1"/>
  <c r="AB1034" i="1"/>
  <c r="AL1034" i="1"/>
  <c r="AL1048" i="1"/>
  <c r="AB1048" i="1"/>
  <c r="AL1037" i="1"/>
  <c r="AB1037" i="1"/>
  <c r="AL1036" i="1"/>
  <c r="AB1036" i="1"/>
  <c r="AL1051" i="1"/>
  <c r="AB1051" i="1"/>
  <c r="AL1032" i="1"/>
  <c r="AB1032" i="1"/>
  <c r="AB1043" i="1"/>
  <c r="AL1043" i="1"/>
  <c r="AL1039" i="1"/>
  <c r="AB1039" i="1"/>
  <c r="AB1054" i="1"/>
  <c r="AL1054" i="1"/>
  <c r="AL1047" i="1"/>
  <c r="AB1047" i="1"/>
  <c r="AB1033" i="1"/>
  <c r="AL1033" i="1"/>
  <c r="AB1042" i="1"/>
  <c r="AL1042" i="1"/>
  <c r="AB1055" i="1"/>
  <c r="AL1055" i="1"/>
  <c r="AB1049" i="1"/>
  <c r="AL1049" i="1"/>
  <c r="AL1044" i="1"/>
  <c r="AB1044" i="1"/>
  <c r="AL1029" i="1"/>
  <c r="AN1029" i="1" s="1"/>
  <c r="AB1031" i="1"/>
  <c r="AL1031" i="1"/>
  <c r="AL1030" i="1"/>
  <c r="AB1030" i="1"/>
  <c r="AL1052" i="1"/>
  <c r="AB1052" i="1"/>
  <c r="AB1040" i="1"/>
  <c r="AL1040" i="1"/>
  <c r="AB1056" i="1"/>
  <c r="AL1056" i="1"/>
  <c r="AB1050" i="1"/>
  <c r="AL1050" i="1"/>
  <c r="AL1045" i="1"/>
  <c r="AB1045" i="1"/>
  <c r="AL1041" i="1"/>
  <c r="AB1041" i="1"/>
  <c r="AB1038" i="1"/>
  <c r="AL1038" i="1"/>
  <c r="AI1029" i="1"/>
  <c r="BB1029" i="1"/>
  <c r="AH821" i="1"/>
  <c r="AN821" i="1"/>
  <c r="BC821" i="1"/>
  <c r="BD320" i="1"/>
  <c r="BE320" i="1"/>
  <c r="BC320" i="1"/>
  <c r="BC319" i="1"/>
  <c r="BE319" i="1"/>
  <c r="BD319" i="1"/>
  <c r="BE106" i="1"/>
  <c r="BD106" i="1"/>
  <c r="BC106" i="1"/>
  <c r="BD105" i="1"/>
  <c r="BE105" i="1"/>
  <c r="BC105" i="1"/>
  <c r="BD821" i="1"/>
  <c r="AW1020" i="1"/>
  <c r="AW1021" i="1"/>
  <c r="AW1022" i="1"/>
  <c r="AW1023" i="1"/>
  <c r="AW1024" i="1"/>
  <c r="AW1025" i="1"/>
  <c r="AW1026" i="1"/>
  <c r="AW1027" i="1"/>
  <c r="AW1028" i="1"/>
  <c r="AX1028" i="1" s="1"/>
  <c r="AW1019" i="1"/>
  <c r="Z87" i="1" l="1"/>
  <c r="AK87" i="1"/>
  <c r="AN1038" i="1"/>
  <c r="AN1031" i="1"/>
  <c r="AN1043" i="1"/>
  <c r="AN1042" i="1"/>
  <c r="AN1046" i="1"/>
  <c r="AN1055" i="1"/>
  <c r="AN1033" i="1"/>
  <c r="AN1054" i="1"/>
  <c r="AN1049" i="1"/>
  <c r="AN1034" i="1"/>
  <c r="AN1030" i="1"/>
  <c r="AH1052" i="1"/>
  <c r="AI1052" i="1" s="1"/>
  <c r="BB1052" i="1"/>
  <c r="AH1031" i="1"/>
  <c r="AI1031" i="1" s="1"/>
  <c r="BB1031" i="1"/>
  <c r="BB1048" i="1"/>
  <c r="AH1048" i="1"/>
  <c r="AI1048" i="1" s="1"/>
  <c r="AH1040" i="1"/>
  <c r="AI1040" i="1" s="1"/>
  <c r="BB1040" i="1"/>
  <c r="BB1039" i="1"/>
  <c r="AH1039" i="1"/>
  <c r="AI1039" i="1" s="1"/>
  <c r="AH1030" i="1"/>
  <c r="AI1030" i="1" s="1"/>
  <c r="BB1030" i="1"/>
  <c r="BB1051" i="1"/>
  <c r="AH1051" i="1"/>
  <c r="AI1051" i="1" s="1"/>
  <c r="BB1036" i="1"/>
  <c r="AH1036" i="1"/>
  <c r="AI1036" i="1" s="1"/>
  <c r="AH1037" i="1"/>
  <c r="AI1037" i="1" s="1"/>
  <c r="BB1037" i="1"/>
  <c r="AN1050" i="1"/>
  <c r="AH1034" i="1"/>
  <c r="AI1034" i="1" s="1"/>
  <c r="BB1034" i="1"/>
  <c r="AN1039" i="1"/>
  <c r="AH1032" i="1"/>
  <c r="AI1032" i="1" s="1"/>
  <c r="BB1032" i="1"/>
  <c r="AN1051" i="1"/>
  <c r="AN1036" i="1"/>
  <c r="BB1041" i="1"/>
  <c r="AH1041" i="1"/>
  <c r="AI1041" i="1" s="1"/>
  <c r="AN1037" i="1"/>
  <c r="AN1041" i="1"/>
  <c r="BB1055" i="1"/>
  <c r="AH1055" i="1"/>
  <c r="AI1055" i="1" s="1"/>
  <c r="AH1045" i="1"/>
  <c r="AI1045" i="1" s="1"/>
  <c r="BB1045" i="1"/>
  <c r="AN1048" i="1"/>
  <c r="AN1045" i="1"/>
  <c r="AH1050" i="1"/>
  <c r="AI1050" i="1" s="1"/>
  <c r="BB1050" i="1"/>
  <c r="AN1053" i="1"/>
  <c r="AH1053" i="1"/>
  <c r="AI1053" i="1" s="1"/>
  <c r="BB1053" i="1"/>
  <c r="BB1049" i="1"/>
  <c r="AH1049" i="1"/>
  <c r="AI1049" i="1" s="1"/>
  <c r="AN1056" i="1"/>
  <c r="AH1033" i="1"/>
  <c r="AI1033" i="1" s="1"/>
  <c r="BB1033" i="1"/>
  <c r="BB1054" i="1"/>
  <c r="AH1054" i="1"/>
  <c r="AI1054" i="1" s="1"/>
  <c r="BB1038" i="1"/>
  <c r="AH1038" i="1"/>
  <c r="AI1038" i="1" s="1"/>
  <c r="AH1056" i="1"/>
  <c r="AI1056" i="1" s="1"/>
  <c r="BB1056" i="1"/>
  <c r="AH1047" i="1"/>
  <c r="AI1047" i="1" s="1"/>
  <c r="BB1047" i="1"/>
  <c r="AN1052" i="1"/>
  <c r="BB1043" i="1"/>
  <c r="AH1043" i="1"/>
  <c r="AI1043" i="1" s="1"/>
  <c r="AN1032" i="1"/>
  <c r="BB1044" i="1"/>
  <c r="AH1044" i="1"/>
  <c r="AI1044" i="1" s="1"/>
  <c r="AN1044" i="1"/>
  <c r="AH1042" i="1"/>
  <c r="AI1042" i="1" s="1"/>
  <c r="BB1042" i="1"/>
  <c r="AN1040" i="1"/>
  <c r="AN1047" i="1"/>
  <c r="AH1046" i="1"/>
  <c r="AI1046" i="1" s="1"/>
  <c r="BB1046" i="1"/>
  <c r="BE1029" i="1"/>
  <c r="BC1029" i="1"/>
  <c r="BD1029" i="1"/>
  <c r="AK1021" i="1"/>
  <c r="AK1024" i="1"/>
  <c r="AK1026" i="1"/>
  <c r="AK1022" i="1"/>
  <c r="AK1027" i="1"/>
  <c r="AK1025" i="1"/>
  <c r="AK1028" i="1"/>
  <c r="AK1023" i="1"/>
  <c r="AM87" i="1" l="1"/>
  <c r="BC1053" i="1"/>
  <c r="BD1053" i="1"/>
  <c r="BE1053" i="1"/>
  <c r="BC1040" i="1"/>
  <c r="BE1040" i="1"/>
  <c r="BD1040" i="1"/>
  <c r="BC1031" i="1"/>
  <c r="BE1031" i="1"/>
  <c r="BD1031" i="1"/>
  <c r="BD1034" i="1"/>
  <c r="BE1034" i="1"/>
  <c r="BC1034" i="1"/>
  <c r="BC1042" i="1"/>
  <c r="BD1042" i="1"/>
  <c r="BE1042" i="1"/>
  <c r="BC1037" i="1"/>
  <c r="BD1037" i="1"/>
  <c r="BE1037" i="1"/>
  <c r="BE1045" i="1"/>
  <c r="BC1045" i="1"/>
  <c r="BD1045" i="1"/>
  <c r="BC1047" i="1"/>
  <c r="BD1047" i="1"/>
  <c r="BE1047" i="1"/>
  <c r="BD1055" i="1"/>
  <c r="BE1055" i="1"/>
  <c r="BC1055" i="1"/>
  <c r="BE1056" i="1"/>
  <c r="BC1056" i="1"/>
  <c r="BD1056" i="1"/>
  <c r="BD1038" i="1"/>
  <c r="BE1038" i="1"/>
  <c r="BC1038" i="1"/>
  <c r="BC1041" i="1"/>
  <c r="BD1041" i="1"/>
  <c r="BE1041" i="1"/>
  <c r="BC1054" i="1"/>
  <c r="BD1054" i="1"/>
  <c r="BE1054" i="1"/>
  <c r="BC1036" i="1"/>
  <c r="BE1036" i="1"/>
  <c r="BD1036" i="1"/>
  <c r="BE1051" i="1"/>
  <c r="BD1051" i="1"/>
  <c r="BC1051" i="1"/>
  <c r="BC1032" i="1"/>
  <c r="BD1032" i="1"/>
  <c r="BE1032" i="1"/>
  <c r="BE1052" i="1"/>
  <c r="BC1052" i="1"/>
  <c r="BD1052" i="1"/>
  <c r="BE1049" i="1"/>
  <c r="BD1049" i="1"/>
  <c r="BC1049" i="1"/>
  <c r="BE1050" i="1"/>
  <c r="BC1050" i="1"/>
  <c r="BD1050" i="1"/>
  <c r="BD1044" i="1"/>
  <c r="BE1044" i="1"/>
  <c r="BC1044" i="1"/>
  <c r="BD1043" i="1"/>
  <c r="BC1043" i="1"/>
  <c r="BE1043" i="1"/>
  <c r="BE1030" i="1"/>
  <c r="BD1030" i="1"/>
  <c r="BC1030" i="1"/>
  <c r="BE1039" i="1"/>
  <c r="BC1039" i="1"/>
  <c r="BD1039" i="1"/>
  <c r="BC1048" i="1"/>
  <c r="BE1048" i="1"/>
  <c r="BD1048" i="1"/>
  <c r="BE1033" i="1"/>
  <c r="BD1033" i="1"/>
  <c r="BC1033" i="1"/>
  <c r="BD1046" i="1"/>
  <c r="BE1046" i="1"/>
  <c r="BC1046" i="1"/>
  <c r="Z1027" i="1"/>
  <c r="AM1027" i="1" s="1"/>
  <c r="Z1026" i="1"/>
  <c r="AM1026" i="1" s="1"/>
  <c r="Z1021" i="1"/>
  <c r="AM1021" i="1" s="1"/>
  <c r="Z1023" i="1"/>
  <c r="AM1023" i="1" s="1"/>
  <c r="Z1028" i="1"/>
  <c r="AM1028" i="1" s="1"/>
  <c r="Z1025" i="1"/>
  <c r="AM1025" i="1" s="1"/>
  <c r="Z1022" i="1"/>
  <c r="AM1022" i="1" s="1"/>
  <c r="Z1024" i="1"/>
  <c r="AM1024" i="1" s="1"/>
  <c r="J103" i="1" l="1"/>
  <c r="AB280" i="1"/>
  <c r="AU248" i="1"/>
  <c r="BB280" i="1" l="1"/>
  <c r="BD280" i="1" s="1"/>
  <c r="AH280" i="1"/>
  <c r="AI280" i="1" s="1"/>
  <c r="AW99" i="1"/>
  <c r="Z99" i="1" s="1"/>
  <c r="BC280" i="1" l="1"/>
  <c r="BE280" i="1"/>
  <c r="AW248" i="1"/>
  <c r="AV495" i="1"/>
  <c r="AV496" i="1"/>
  <c r="AV489" i="1"/>
  <c r="AV490" i="1"/>
  <c r="AV491" i="1"/>
  <c r="AV492" i="1"/>
  <c r="AV493" i="1"/>
  <c r="AV494" i="1"/>
  <c r="S506" i="1"/>
  <c r="S505" i="1"/>
  <c r="AX829" i="1" l="1"/>
  <c r="AX780" i="1"/>
  <c r="AL23" i="1"/>
  <c r="AX1024" i="1"/>
  <c r="AX1021" i="1"/>
  <c r="AK1019" i="1"/>
  <c r="Z1019" i="1" s="1"/>
  <c r="AM1019" i="1" s="1"/>
  <c r="AK1020" i="1"/>
  <c r="Z1020" i="1" s="1"/>
  <c r="AM1020" i="1" s="1"/>
  <c r="AX1027" i="1"/>
  <c r="AX1026" i="1"/>
  <c r="AX1025" i="1"/>
  <c r="AX1022" i="1"/>
  <c r="AX1023" i="1"/>
  <c r="AX1020" i="1"/>
  <c r="AX1019" i="1"/>
  <c r="AK99" i="1"/>
  <c r="AX945" i="1"/>
  <c r="AW492" i="1"/>
  <c r="AK492" i="1" s="1"/>
  <c r="Z492" i="1" s="1"/>
  <c r="AM492" i="1" s="1"/>
  <c r="AW496" i="1"/>
  <c r="AK496" i="1" s="1"/>
  <c r="Z496" i="1" s="1"/>
  <c r="AM496" i="1" s="1"/>
  <c r="AW495" i="1"/>
  <c r="AK495" i="1" s="1"/>
  <c r="Z495" i="1" s="1"/>
  <c r="AM495" i="1" s="1"/>
  <c r="AW491" i="1"/>
  <c r="AK491" i="1" s="1"/>
  <c r="Z491" i="1" s="1"/>
  <c r="AW490" i="1"/>
  <c r="AK490" i="1" s="1"/>
  <c r="AW489" i="1"/>
  <c r="AK489" i="1" s="1"/>
  <c r="Z489" i="1" s="1"/>
  <c r="AM489" i="1" s="1"/>
  <c r="AW494" i="1"/>
  <c r="AK494" i="1" s="1"/>
  <c r="Z494" i="1" s="1"/>
  <c r="AW493" i="1"/>
  <c r="AK493" i="1" s="1"/>
  <c r="Z493" i="1" s="1"/>
  <c r="AX862" i="1"/>
  <c r="AX863" i="1"/>
  <c r="AX864" i="1"/>
  <c r="AX865" i="1"/>
  <c r="AX866" i="1"/>
  <c r="AX867" i="1"/>
  <c r="AX868" i="1"/>
  <c r="AX869" i="1"/>
  <c r="AX87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B935" i="1" s="1"/>
  <c r="AX936" i="1"/>
  <c r="AX937" i="1"/>
  <c r="AX938" i="1"/>
  <c r="AX946" i="1"/>
  <c r="AX947" i="1"/>
  <c r="AX948" i="1"/>
  <c r="AX949" i="1"/>
  <c r="AX950" i="1"/>
  <c r="AX951" i="1"/>
  <c r="AX952" i="1"/>
  <c r="AX953" i="1"/>
  <c r="AX954" i="1"/>
  <c r="AX955" i="1"/>
  <c r="AX956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B847" i="1"/>
  <c r="AB849" i="1"/>
  <c r="AX853" i="1"/>
  <c r="AB853" i="1" s="1"/>
  <c r="AX854" i="1"/>
  <c r="AU467" i="1"/>
  <c r="AU437" i="1" s="1"/>
  <c r="AU466" i="1"/>
  <c r="AU436" i="1" s="1"/>
  <c r="AU465" i="1"/>
  <c r="AU434" i="1" s="1"/>
  <c r="AU463" i="1"/>
  <c r="AU433" i="1" s="1"/>
  <c r="AU462" i="1"/>
  <c r="AU432" i="1" s="1"/>
  <c r="AU478" i="1"/>
  <c r="AU447" i="1" s="1"/>
  <c r="AU449" i="1" s="1"/>
  <c r="AU474" i="1"/>
  <c r="AU441" i="1" s="1"/>
  <c r="AU443" i="1" s="1"/>
  <c r="AU477" i="1"/>
  <c r="AU473" i="1"/>
  <c r="AU476" i="1"/>
  <c r="AU445" i="1" s="1"/>
  <c r="AU472" i="1"/>
  <c r="AU439" i="1" s="1"/>
  <c r="AU475" i="1"/>
  <c r="AU444" i="1" s="1"/>
  <c r="AU471" i="1"/>
  <c r="AU469" i="1"/>
  <c r="AU468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972" i="1"/>
  <c r="AU438" i="1" l="1"/>
  <c r="AV471" i="1"/>
  <c r="AU440" i="1"/>
  <c r="AU442" i="1" s="1"/>
  <c r="AU446" i="1"/>
  <c r="AU448" i="1" s="1"/>
  <c r="AV448" i="1" s="1"/>
  <c r="AB938" i="1"/>
  <c r="AH938" i="1" s="1"/>
  <c r="AI938" i="1" s="1"/>
  <c r="AL938" i="1"/>
  <c r="AB945" i="1"/>
  <c r="AH945" i="1" s="1"/>
  <c r="AI945" i="1" s="1"/>
  <c r="AL945" i="1"/>
  <c r="AB937" i="1"/>
  <c r="AH937" i="1" s="1"/>
  <c r="AI937" i="1" s="1"/>
  <c r="AL937" i="1"/>
  <c r="AH847" i="1"/>
  <c r="AI847" i="1" s="1"/>
  <c r="AN847" i="1"/>
  <c r="AW449" i="1"/>
  <c r="AV449" i="1"/>
  <c r="AW444" i="1"/>
  <c r="AV444" i="1"/>
  <c r="AV439" i="1"/>
  <c r="AW439" i="1"/>
  <c r="AV445" i="1"/>
  <c r="AW445" i="1"/>
  <c r="AV441" i="1"/>
  <c r="AW441" i="1"/>
  <c r="AW447" i="1"/>
  <c r="AV447" i="1"/>
  <c r="AV432" i="1"/>
  <c r="AW432" i="1"/>
  <c r="AV436" i="1"/>
  <c r="AW436" i="1"/>
  <c r="AW437" i="1"/>
  <c r="AV437" i="1"/>
  <c r="AV434" i="1"/>
  <c r="AU435" i="1"/>
  <c r="AV433" i="1"/>
  <c r="AW433" i="1"/>
  <c r="AK1001" i="1"/>
  <c r="Z1001" i="1" s="1"/>
  <c r="AM1001" i="1" s="1"/>
  <c r="AB1024" i="1"/>
  <c r="AL1024" i="1"/>
  <c r="AB1027" i="1"/>
  <c r="AL1027" i="1"/>
  <c r="AB1021" i="1"/>
  <c r="AL1021" i="1"/>
  <c r="AL1028" i="1"/>
  <c r="AB1028" i="1"/>
  <c r="AB780" i="1"/>
  <c r="AH780" i="1" s="1"/>
  <c r="AL780" i="1"/>
  <c r="AB1020" i="1"/>
  <c r="AL1020" i="1"/>
  <c r="AB1025" i="1"/>
  <c r="AL1025" i="1"/>
  <c r="AL1026" i="1"/>
  <c r="AB1026" i="1"/>
  <c r="AL1023" i="1"/>
  <c r="AB1023" i="1"/>
  <c r="AL1019" i="1"/>
  <c r="AB1019" i="1"/>
  <c r="AB1022" i="1"/>
  <c r="AL1022" i="1"/>
  <c r="BB853" i="1"/>
  <c r="BD853" i="1" s="1"/>
  <c r="AH853" i="1"/>
  <c r="AK981" i="1"/>
  <c r="Z981" i="1" s="1"/>
  <c r="AK1003" i="1"/>
  <c r="Z1003" i="1" s="1"/>
  <c r="AM1003" i="1" s="1"/>
  <c r="AK1000" i="1"/>
  <c r="Z1000" i="1" s="1"/>
  <c r="AM1000" i="1" s="1"/>
  <c r="AK997" i="1"/>
  <c r="Z997" i="1" s="1"/>
  <c r="AM997" i="1" s="1"/>
  <c r="AK977" i="1"/>
  <c r="Z977" i="1" s="1"/>
  <c r="AM977" i="1" s="1"/>
  <c r="AX986" i="1"/>
  <c r="AB986" i="1" s="1"/>
  <c r="AK986" i="1"/>
  <c r="Z986" i="1" s="1"/>
  <c r="AM986" i="1" s="1"/>
  <c r="AX1005" i="1"/>
  <c r="AL1005" i="1" s="1"/>
  <c r="AK1005" i="1"/>
  <c r="Z1005" i="1" s="1"/>
  <c r="AM1005" i="1" s="1"/>
  <c r="AX1008" i="1"/>
  <c r="AL1008" i="1" s="1"/>
  <c r="AK1008" i="1"/>
  <c r="Z1008" i="1" s="1"/>
  <c r="AM1008" i="1" s="1"/>
  <c r="AX1004" i="1"/>
  <c r="AB1004" i="1" s="1"/>
  <c r="AK1004" i="1"/>
  <c r="Z1004" i="1" s="1"/>
  <c r="AK1017" i="1"/>
  <c r="Z1017" i="1" s="1"/>
  <c r="AM1017" i="1" s="1"/>
  <c r="AX1014" i="1"/>
  <c r="AL1014" i="1" s="1"/>
  <c r="AK1014" i="1"/>
  <c r="Z1014" i="1" s="1"/>
  <c r="AX992" i="1"/>
  <c r="AL992" i="1" s="1"/>
  <c r="AK992" i="1"/>
  <c r="Z992" i="1" s="1"/>
  <c r="AX1009" i="1"/>
  <c r="AL1009" i="1" s="1"/>
  <c r="AK1009" i="1"/>
  <c r="Z1009" i="1" s="1"/>
  <c r="AM1009" i="1" s="1"/>
  <c r="AK985" i="1"/>
  <c r="Z985" i="1" s="1"/>
  <c r="AK984" i="1"/>
  <c r="Z984" i="1" s="1"/>
  <c r="AM984" i="1" s="1"/>
  <c r="AX983" i="1"/>
  <c r="AB983" i="1" s="1"/>
  <c r="AK983" i="1"/>
  <c r="Z983" i="1" s="1"/>
  <c r="AM983" i="1" s="1"/>
  <c r="AX982" i="1"/>
  <c r="AL982" i="1" s="1"/>
  <c r="AK982" i="1"/>
  <c r="Z982" i="1" s="1"/>
  <c r="AX1002" i="1"/>
  <c r="AB1002" i="1" s="1"/>
  <c r="AK1002" i="1"/>
  <c r="Z1002" i="1" s="1"/>
  <c r="AM1002" i="1" s="1"/>
  <c r="AX978" i="1"/>
  <c r="AB978" i="1" s="1"/>
  <c r="AK978" i="1"/>
  <c r="Z978" i="1" s="1"/>
  <c r="AX998" i="1"/>
  <c r="AB998" i="1" s="1"/>
  <c r="AK998" i="1"/>
  <c r="Z998" i="1" s="1"/>
  <c r="AK972" i="1"/>
  <c r="Z972" i="1" s="1"/>
  <c r="AX1018" i="1"/>
  <c r="AB1018" i="1" s="1"/>
  <c r="AK1018" i="1"/>
  <c r="Z1018" i="1" s="1"/>
  <c r="AM1018" i="1" s="1"/>
  <c r="AX974" i="1"/>
  <c r="AL974" i="1" s="1"/>
  <c r="AK974" i="1"/>
  <c r="Z974" i="1" s="1"/>
  <c r="AM974" i="1" s="1"/>
  <c r="AX973" i="1"/>
  <c r="AL973" i="1" s="1"/>
  <c r="AK973" i="1"/>
  <c r="Z973" i="1" s="1"/>
  <c r="AM973" i="1" s="1"/>
  <c r="AX994" i="1"/>
  <c r="AB994" i="1" s="1"/>
  <c r="AK994" i="1"/>
  <c r="Z994" i="1" s="1"/>
  <c r="AX1013" i="1"/>
  <c r="AK1013" i="1"/>
  <c r="Z1013" i="1" s="1"/>
  <c r="AX991" i="1"/>
  <c r="AL991" i="1" s="1"/>
  <c r="AK991" i="1"/>
  <c r="Z991" i="1" s="1"/>
  <c r="AX1006" i="1"/>
  <c r="AB1006" i="1" s="1"/>
  <c r="AK1006" i="1"/>
  <c r="Z1006" i="1" s="1"/>
  <c r="AM1006" i="1" s="1"/>
  <c r="AX996" i="1"/>
  <c r="AL996" i="1" s="1"/>
  <c r="AK996" i="1"/>
  <c r="Z996" i="1" s="1"/>
  <c r="AM996" i="1" s="1"/>
  <c r="AX1015" i="1"/>
  <c r="AL1015" i="1" s="1"/>
  <c r="AK1015" i="1"/>
  <c r="Z1015" i="1" s="1"/>
  <c r="AM1015" i="1" s="1"/>
  <c r="AX1012" i="1"/>
  <c r="AB1012" i="1" s="1"/>
  <c r="AK1012" i="1"/>
  <c r="Z1012" i="1" s="1"/>
  <c r="AM1012" i="1" s="1"/>
  <c r="AX990" i="1"/>
  <c r="AL990" i="1" s="1"/>
  <c r="AK990" i="1"/>
  <c r="Z990" i="1" s="1"/>
  <c r="AM990" i="1" s="1"/>
  <c r="AX1007" i="1"/>
  <c r="AB1007" i="1" s="1"/>
  <c r="AK1007" i="1"/>
  <c r="Z1007" i="1" s="1"/>
  <c r="AX979" i="1"/>
  <c r="AL979" i="1" s="1"/>
  <c r="AK979" i="1"/>
  <c r="Z979" i="1" s="1"/>
  <c r="AM979" i="1" s="1"/>
  <c r="AX975" i="1"/>
  <c r="AB975" i="1" s="1"/>
  <c r="AK975" i="1"/>
  <c r="Z975" i="1" s="1"/>
  <c r="AX995" i="1"/>
  <c r="AB995" i="1" s="1"/>
  <c r="AK995" i="1"/>
  <c r="Z995" i="1" s="1"/>
  <c r="AM995" i="1" s="1"/>
  <c r="AX993" i="1"/>
  <c r="AB993" i="1" s="1"/>
  <c r="AK993" i="1"/>
  <c r="Z993" i="1" s="1"/>
  <c r="AM993" i="1" s="1"/>
  <c r="AX1011" i="1"/>
  <c r="AL1011" i="1" s="1"/>
  <c r="AK1011" i="1"/>
  <c r="Z1011" i="1" s="1"/>
  <c r="AX989" i="1"/>
  <c r="AB989" i="1" s="1"/>
  <c r="AK989" i="1"/>
  <c r="Z989" i="1" s="1"/>
  <c r="AM989" i="1" s="1"/>
  <c r="AX987" i="1"/>
  <c r="AL987" i="1" s="1"/>
  <c r="AK987" i="1"/>
  <c r="Z987" i="1" s="1"/>
  <c r="AM987" i="1" s="1"/>
  <c r="AX980" i="1"/>
  <c r="AB980" i="1" s="1"/>
  <c r="AK980" i="1"/>
  <c r="Z980" i="1" s="1"/>
  <c r="AX999" i="1"/>
  <c r="AB999" i="1" s="1"/>
  <c r="AK999" i="1"/>
  <c r="Z999" i="1" s="1"/>
  <c r="AM999" i="1" s="1"/>
  <c r="AX976" i="1"/>
  <c r="AB976" i="1" s="1"/>
  <c r="AK976" i="1"/>
  <c r="Z976" i="1" s="1"/>
  <c r="AM976" i="1" s="1"/>
  <c r="AK1016" i="1"/>
  <c r="Z1016" i="1" s="1"/>
  <c r="AM1016" i="1" s="1"/>
  <c r="AX1010" i="1"/>
  <c r="AL1010" i="1" s="1"/>
  <c r="AK1010" i="1"/>
  <c r="Z1010" i="1" s="1"/>
  <c r="AX988" i="1"/>
  <c r="AL988" i="1" s="1"/>
  <c r="AK988" i="1"/>
  <c r="Z988" i="1" s="1"/>
  <c r="AM988" i="1" s="1"/>
  <c r="AM494" i="1"/>
  <c r="AM493" i="1"/>
  <c r="Z490" i="1"/>
  <c r="AM490" i="1" s="1"/>
  <c r="AM491" i="1"/>
  <c r="AX972" i="1"/>
  <c r="AX1003" i="1"/>
  <c r="AB1003" i="1" s="1"/>
  <c r="AX1017" i="1"/>
  <c r="AB1017" i="1" s="1"/>
  <c r="AX1001" i="1"/>
  <c r="AB1001" i="1" s="1"/>
  <c r="AX985" i="1"/>
  <c r="AB985" i="1" s="1"/>
  <c r="AX1016" i="1"/>
  <c r="AB1016" i="1" s="1"/>
  <c r="AX1000" i="1"/>
  <c r="AB1000" i="1" s="1"/>
  <c r="AX984" i="1"/>
  <c r="AB984" i="1" s="1"/>
  <c r="AX997" i="1"/>
  <c r="AL997" i="1" s="1"/>
  <c r="AX981" i="1"/>
  <c r="AL981" i="1" s="1"/>
  <c r="AX977" i="1"/>
  <c r="AL977" i="1" s="1"/>
  <c r="AV438" i="1" l="1"/>
  <c r="AW438" i="1"/>
  <c r="AK438" i="1" s="1"/>
  <c r="Z438" i="1" s="1"/>
  <c r="AM438" i="1" s="1"/>
  <c r="AV446" i="1"/>
  <c r="AW446" i="1"/>
  <c r="AK446" i="1" s="1"/>
  <c r="Z446" i="1" s="1"/>
  <c r="AM446" i="1" s="1"/>
  <c r="AW448" i="1"/>
  <c r="AK448" i="1" s="1"/>
  <c r="Z448" i="1" s="1"/>
  <c r="AM448" i="1" s="1"/>
  <c r="AN945" i="1"/>
  <c r="AV440" i="1"/>
  <c r="AN938" i="1"/>
  <c r="AW440" i="1"/>
  <c r="AK440" i="1" s="1"/>
  <c r="Z440" i="1" s="1"/>
  <c r="AM440" i="1" s="1"/>
  <c r="AN937" i="1"/>
  <c r="AW442" i="1"/>
  <c r="AK442" i="1" s="1"/>
  <c r="Z442" i="1" s="1"/>
  <c r="AM442" i="1" s="1"/>
  <c r="AV442" i="1"/>
  <c r="AK449" i="1"/>
  <c r="Z449" i="1" s="1"/>
  <c r="AM449" i="1" s="1"/>
  <c r="AW443" i="1"/>
  <c r="AV443" i="1"/>
  <c r="AK439" i="1"/>
  <c r="Z439" i="1" s="1"/>
  <c r="AM439" i="1" s="1"/>
  <c r="AK447" i="1"/>
  <c r="Z447" i="1" s="1"/>
  <c r="AM447" i="1" s="1"/>
  <c r="AK444" i="1"/>
  <c r="Z444" i="1" s="1"/>
  <c r="AM444" i="1" s="1"/>
  <c r="AK441" i="1"/>
  <c r="Z441" i="1" s="1"/>
  <c r="AM441" i="1" s="1"/>
  <c r="AK445" i="1"/>
  <c r="Z445" i="1" s="1"/>
  <c r="AM445" i="1" s="1"/>
  <c r="AK433" i="1"/>
  <c r="AK432" i="1"/>
  <c r="AV435" i="1"/>
  <c r="AW435" i="1"/>
  <c r="AW434" i="1"/>
  <c r="AK437" i="1"/>
  <c r="AK436" i="1"/>
  <c r="AN1025" i="1"/>
  <c r="BE853" i="1"/>
  <c r="BC853" i="1"/>
  <c r="AN1027" i="1"/>
  <c r="AN1021" i="1"/>
  <c r="AN1024" i="1"/>
  <c r="AN1020" i="1"/>
  <c r="AN1022" i="1"/>
  <c r="BB1019" i="1"/>
  <c r="AH1019" i="1"/>
  <c r="AI1019" i="1" s="1"/>
  <c r="BB1023" i="1"/>
  <c r="AH1023" i="1"/>
  <c r="AI1023" i="1" s="1"/>
  <c r="BB1026" i="1"/>
  <c r="AH1026" i="1"/>
  <c r="AI1026" i="1" s="1"/>
  <c r="BB1020" i="1"/>
  <c r="AH1020" i="1"/>
  <c r="AI1020" i="1" s="1"/>
  <c r="AN1019" i="1"/>
  <c r="AN1023" i="1"/>
  <c r="AN1026" i="1"/>
  <c r="BB1028" i="1"/>
  <c r="AH1028" i="1"/>
  <c r="AI1028" i="1" s="1"/>
  <c r="AN1028" i="1"/>
  <c r="AH1021" i="1"/>
  <c r="AI1021" i="1" s="1"/>
  <c r="BB1021" i="1"/>
  <c r="BB1025" i="1"/>
  <c r="AH1025" i="1"/>
  <c r="AI1025" i="1" s="1"/>
  <c r="BB1027" i="1"/>
  <c r="AH1027" i="1"/>
  <c r="AI1027" i="1" s="1"/>
  <c r="BB1022" i="1"/>
  <c r="AH1022" i="1"/>
  <c r="AI1022" i="1" s="1"/>
  <c r="BB1024" i="1"/>
  <c r="AH1024" i="1"/>
  <c r="AI1024" i="1" s="1"/>
  <c r="BB975" i="1"/>
  <c r="BD975" i="1" s="1"/>
  <c r="AH975" i="1"/>
  <c r="AI975" i="1" s="1"/>
  <c r="BB1007" i="1"/>
  <c r="BC1007" i="1" s="1"/>
  <c r="AH1007" i="1"/>
  <c r="AI1007" i="1" s="1"/>
  <c r="BB1018" i="1"/>
  <c r="BD1018" i="1" s="1"/>
  <c r="AH1018" i="1"/>
  <c r="AI1018" i="1" s="1"/>
  <c r="BB976" i="1"/>
  <c r="BE976" i="1" s="1"/>
  <c r="AH976" i="1"/>
  <c r="AI976" i="1" s="1"/>
  <c r="BB999" i="1"/>
  <c r="BE999" i="1" s="1"/>
  <c r="AH999" i="1"/>
  <c r="AI999" i="1" s="1"/>
  <c r="BB978" i="1"/>
  <c r="BD978" i="1" s="1"/>
  <c r="AH978" i="1"/>
  <c r="AI978" i="1" s="1"/>
  <c r="BB1016" i="1"/>
  <c r="BD1016" i="1" s="1"/>
  <c r="AH1016" i="1"/>
  <c r="AI1016" i="1" s="1"/>
  <c r="BB986" i="1"/>
  <c r="BD986" i="1" s="1"/>
  <c r="AH986" i="1"/>
  <c r="AI986" i="1" s="1"/>
  <c r="BB1002" i="1"/>
  <c r="BD1002" i="1" s="1"/>
  <c r="AH1002" i="1"/>
  <c r="AI1002" i="1" s="1"/>
  <c r="BB1001" i="1"/>
  <c r="BC1001" i="1" s="1"/>
  <c r="AH1001" i="1"/>
  <c r="AI1001" i="1" s="1"/>
  <c r="BB1003" i="1"/>
  <c r="BE1003" i="1" s="1"/>
  <c r="AH1003" i="1"/>
  <c r="AI1003" i="1" s="1"/>
  <c r="BB1006" i="1"/>
  <c r="BD1006" i="1" s="1"/>
  <c r="AH1006" i="1"/>
  <c r="AI1006" i="1" s="1"/>
  <c r="BB983" i="1"/>
  <c r="BC983" i="1" s="1"/>
  <c r="AH983" i="1"/>
  <c r="AI983" i="1" s="1"/>
  <c r="AB992" i="1"/>
  <c r="BB1004" i="1"/>
  <c r="BE1004" i="1" s="1"/>
  <c r="AH1004" i="1"/>
  <c r="AI1004" i="1" s="1"/>
  <c r="BB998" i="1"/>
  <c r="BE998" i="1" s="1"/>
  <c r="AH998" i="1"/>
  <c r="AI998" i="1" s="1"/>
  <c r="BB984" i="1"/>
  <c r="BC984" i="1" s="1"/>
  <c r="AH984" i="1"/>
  <c r="AI984" i="1" s="1"/>
  <c r="BB1012" i="1"/>
  <c r="BC1012" i="1" s="1"/>
  <c r="AH1012" i="1"/>
  <c r="AI1012" i="1" s="1"/>
  <c r="BB1000" i="1"/>
  <c r="BE1000" i="1" s="1"/>
  <c r="AH1000" i="1"/>
  <c r="AI1000" i="1" s="1"/>
  <c r="BB980" i="1"/>
  <c r="BD980" i="1" s="1"/>
  <c r="AH980" i="1"/>
  <c r="AI980" i="1" s="1"/>
  <c r="BB985" i="1"/>
  <c r="BE985" i="1" s="1"/>
  <c r="AH985" i="1"/>
  <c r="AI985" i="1" s="1"/>
  <c r="BB1017" i="1"/>
  <c r="BD1017" i="1" s="1"/>
  <c r="AH1017" i="1"/>
  <c r="AI1017" i="1" s="1"/>
  <c r="BB989" i="1"/>
  <c r="BC989" i="1" s="1"/>
  <c r="AH989" i="1"/>
  <c r="AI989" i="1" s="1"/>
  <c r="BB993" i="1"/>
  <c r="BE993" i="1" s="1"/>
  <c r="AH993" i="1"/>
  <c r="AI993" i="1" s="1"/>
  <c r="BB852" i="1"/>
  <c r="BC852" i="1" s="1"/>
  <c r="BB995" i="1"/>
  <c r="BD995" i="1" s="1"/>
  <c r="AH995" i="1"/>
  <c r="AI995" i="1" s="1"/>
  <c r="BB994" i="1"/>
  <c r="BE994" i="1" s="1"/>
  <c r="AH994" i="1"/>
  <c r="AI994" i="1" s="1"/>
  <c r="AL993" i="1"/>
  <c r="AN993" i="1" s="1"/>
  <c r="AL975" i="1"/>
  <c r="AN975" i="1" s="1"/>
  <c r="AL978" i="1"/>
  <c r="AN978" i="1" s="1"/>
  <c r="AL976" i="1"/>
  <c r="AN976" i="1" s="1"/>
  <c r="AL980" i="1"/>
  <c r="AN980" i="1" s="1"/>
  <c r="AL1012" i="1"/>
  <c r="AN1012" i="1" s="1"/>
  <c r="AB1010" i="1"/>
  <c r="AB1008" i="1"/>
  <c r="AB1009" i="1"/>
  <c r="AB996" i="1"/>
  <c r="AL994" i="1"/>
  <c r="AN994" i="1" s="1"/>
  <c r="AL986" i="1"/>
  <c r="AN986" i="1" s="1"/>
  <c r="AB987" i="1"/>
  <c r="AB979" i="1"/>
  <c r="AB988" i="1"/>
  <c r="AB990" i="1"/>
  <c r="AL1006" i="1"/>
  <c r="AN1006" i="1" s="1"/>
  <c r="AB1014" i="1"/>
  <c r="AB974" i="1"/>
  <c r="AL1007" i="1"/>
  <c r="AN1007" i="1" s="1"/>
  <c r="AL1004" i="1"/>
  <c r="AN1004" i="1" s="1"/>
  <c r="AL983" i="1"/>
  <c r="AN983" i="1" s="1"/>
  <c r="AB973" i="1"/>
  <c r="AL1002" i="1"/>
  <c r="AN1002" i="1" s="1"/>
  <c r="AB1011" i="1"/>
  <c r="AL989" i="1"/>
  <c r="AN989" i="1" s="1"/>
  <c r="AL1018" i="1"/>
  <c r="AN1018" i="1" s="1"/>
  <c r="AL999" i="1"/>
  <c r="AN999" i="1" s="1"/>
  <c r="AL995" i="1"/>
  <c r="AN995" i="1" s="1"/>
  <c r="AB982" i="1"/>
  <c r="AB1005" i="1"/>
  <c r="AB972" i="1"/>
  <c r="AB977" i="1"/>
  <c r="AL1003" i="1"/>
  <c r="AN1003" i="1" s="1"/>
  <c r="AL972" i="1"/>
  <c r="AL1000" i="1"/>
  <c r="AN1000" i="1" s="1"/>
  <c r="AL984" i="1"/>
  <c r="AN984" i="1" s="1"/>
  <c r="AL1016" i="1"/>
  <c r="AN1016" i="1" s="1"/>
  <c r="AB997" i="1"/>
  <c r="AB981" i="1"/>
  <c r="AL1001" i="1"/>
  <c r="AN1001" i="1" s="1"/>
  <c r="AL1017" i="1"/>
  <c r="AN1017" i="1" s="1"/>
  <c r="AL985" i="1"/>
  <c r="AN985" i="1" s="1"/>
  <c r="AM1013" i="1"/>
  <c r="AM991" i="1"/>
  <c r="AM994" i="1"/>
  <c r="AM1014" i="1"/>
  <c r="AM998" i="1"/>
  <c r="AM1010" i="1"/>
  <c r="AM975" i="1"/>
  <c r="AM985" i="1"/>
  <c r="AM972" i="1"/>
  <c r="AM992" i="1"/>
  <c r="AB991" i="1"/>
  <c r="AM1011" i="1"/>
  <c r="AB1015" i="1"/>
  <c r="AM1007" i="1"/>
  <c r="AM980" i="1"/>
  <c r="AM982" i="1"/>
  <c r="AM1004" i="1"/>
  <c r="AL998" i="1"/>
  <c r="AN998" i="1" s="1"/>
  <c r="AM978" i="1"/>
  <c r="AB1013" i="1"/>
  <c r="AL1013" i="1"/>
  <c r="AM981" i="1"/>
  <c r="AK443" i="1" l="1"/>
  <c r="Z443" i="1" s="1"/>
  <c r="AM443" i="1" s="1"/>
  <c r="Z436" i="1"/>
  <c r="AM436" i="1" s="1"/>
  <c r="AK435" i="1"/>
  <c r="Z435" i="1" s="1"/>
  <c r="AM435" i="1" s="1"/>
  <c r="Z437" i="1"/>
  <c r="AM437" i="1" s="1"/>
  <c r="AK434" i="1"/>
  <c r="Z434" i="1" s="1"/>
  <c r="AM434" i="1" s="1"/>
  <c r="Z432" i="1"/>
  <c r="AM432" i="1" s="1"/>
  <c r="Z433" i="1"/>
  <c r="AM433" i="1" s="1"/>
  <c r="BD983" i="1"/>
  <c r="BE983" i="1"/>
  <c r="BD994" i="1"/>
  <c r="BC994" i="1"/>
  <c r="BE852" i="1"/>
  <c r="BD852" i="1"/>
  <c r="BD984" i="1"/>
  <c r="BE984" i="1"/>
  <c r="BC998" i="1"/>
  <c r="BD998" i="1"/>
  <c r="BD976" i="1"/>
  <c r="BD1007" i="1"/>
  <c r="BE1007" i="1"/>
  <c r="BC975" i="1"/>
  <c r="BC976" i="1"/>
  <c r="BC1004" i="1"/>
  <c r="BE975" i="1"/>
  <c r="BC1006" i="1"/>
  <c r="BE1006" i="1"/>
  <c r="BE1028" i="1"/>
  <c r="BC1028" i="1"/>
  <c r="BD1028" i="1"/>
  <c r="BC1022" i="1"/>
  <c r="BE1022" i="1"/>
  <c r="BD1022" i="1"/>
  <c r="BE1025" i="1"/>
  <c r="BD1025" i="1"/>
  <c r="BC1025" i="1"/>
  <c r="BC1020" i="1"/>
  <c r="BE1020" i="1"/>
  <c r="BD1020" i="1"/>
  <c r="BE1026" i="1"/>
  <c r="BD1026" i="1"/>
  <c r="BC1026" i="1"/>
  <c r="BC993" i="1"/>
  <c r="BD1027" i="1"/>
  <c r="BE1027" i="1"/>
  <c r="BC1027" i="1"/>
  <c r="BE1021" i="1"/>
  <c r="BD1021" i="1"/>
  <c r="BC1021" i="1"/>
  <c r="BE1023" i="1"/>
  <c r="BC1023" i="1"/>
  <c r="BD1023" i="1"/>
  <c r="BD993" i="1"/>
  <c r="BE1024" i="1"/>
  <c r="BD1024" i="1"/>
  <c r="BC1024" i="1"/>
  <c r="BD1019" i="1"/>
  <c r="BC1019" i="1"/>
  <c r="BE1019" i="1"/>
  <c r="BD1001" i="1"/>
  <c r="BE1001" i="1"/>
  <c r="BE1002" i="1"/>
  <c r="BE1012" i="1"/>
  <c r="BC999" i="1"/>
  <c r="BC995" i="1"/>
  <c r="BC1002" i="1"/>
  <c r="BD999" i="1"/>
  <c r="BE995" i="1"/>
  <c r="BD1000" i="1"/>
  <c r="BD1012" i="1"/>
  <c r="BB972" i="1"/>
  <c r="BD972" i="1" s="1"/>
  <c r="AH972" i="1"/>
  <c r="AI972" i="1" s="1"/>
  <c r="BE989" i="1"/>
  <c r="BE980" i="1"/>
  <c r="BB996" i="1"/>
  <c r="BE996" i="1" s="1"/>
  <c r="AH996" i="1"/>
  <c r="AI996" i="1" s="1"/>
  <c r="BD989" i="1"/>
  <c r="BB1015" i="1"/>
  <c r="BC1015" i="1" s="1"/>
  <c r="AH1015" i="1"/>
  <c r="AI1015" i="1" s="1"/>
  <c r="BB991" i="1"/>
  <c r="BD991" i="1" s="1"/>
  <c r="AH991" i="1"/>
  <c r="AI991" i="1" s="1"/>
  <c r="BB977" i="1"/>
  <c r="BD977" i="1" s="1"/>
  <c r="AH977" i="1"/>
  <c r="AI977" i="1" s="1"/>
  <c r="BD985" i="1"/>
  <c r="BC985" i="1"/>
  <c r="BB1005" i="1"/>
  <c r="BC1005" i="1" s="1"/>
  <c r="AH1005" i="1"/>
  <c r="AI1005" i="1" s="1"/>
  <c r="BC986" i="1"/>
  <c r="BE986" i="1"/>
  <c r="BB1009" i="1"/>
  <c r="BD1009" i="1" s="1"/>
  <c r="AH1009" i="1"/>
  <c r="AI1009" i="1" s="1"/>
  <c r="BB1008" i="1"/>
  <c r="BC1008" i="1" s="1"/>
  <c r="AH1008" i="1"/>
  <c r="AI1008" i="1" s="1"/>
  <c r="BC980" i="1"/>
  <c r="BC1003" i="1"/>
  <c r="BB990" i="1"/>
  <c r="BC990" i="1" s="1"/>
  <c r="AH990" i="1"/>
  <c r="AI990" i="1" s="1"/>
  <c r="BB1010" i="1"/>
  <c r="BD1010" i="1" s="1"/>
  <c r="AH1010" i="1"/>
  <c r="AI1010" i="1" s="1"/>
  <c r="BD1003" i="1"/>
  <c r="BE1016" i="1"/>
  <c r="BB1013" i="1"/>
  <c r="BD1013" i="1" s="1"/>
  <c r="AH1013" i="1"/>
  <c r="AI1013" i="1" s="1"/>
  <c r="BB973" i="1"/>
  <c r="BE973" i="1" s="1"/>
  <c r="AH973" i="1"/>
  <c r="AI973" i="1" s="1"/>
  <c r="BB988" i="1"/>
  <c r="BC988" i="1" s="1"/>
  <c r="AH988" i="1"/>
  <c r="AI988" i="1" s="1"/>
  <c r="BC1016" i="1"/>
  <c r="BB979" i="1"/>
  <c r="BD979" i="1" s="1"/>
  <c r="AH979" i="1"/>
  <c r="AI979" i="1" s="1"/>
  <c r="BC978" i="1"/>
  <c r="BD1004" i="1"/>
  <c r="BB992" i="1"/>
  <c r="AH992" i="1"/>
  <c r="AI992" i="1" s="1"/>
  <c r="AN992" i="1"/>
  <c r="BB987" i="1"/>
  <c r="BD987" i="1" s="1"/>
  <c r="AH987" i="1"/>
  <c r="AI987" i="1" s="1"/>
  <c r="BC1017" i="1"/>
  <c r="BE978" i="1"/>
  <c r="BB981" i="1"/>
  <c r="BD981" i="1" s="1"/>
  <c r="AH981" i="1"/>
  <c r="AI981" i="1" s="1"/>
  <c r="BB974" i="1"/>
  <c r="BC974" i="1" s="1"/>
  <c r="AH974" i="1"/>
  <c r="AI974" i="1" s="1"/>
  <c r="BE1017" i="1"/>
  <c r="BE1018" i="1"/>
  <c r="BB997" i="1"/>
  <c r="BE997" i="1" s="1"/>
  <c r="AH997" i="1"/>
  <c r="AI997" i="1" s="1"/>
  <c r="BB1014" i="1"/>
  <c r="BE1014" i="1" s="1"/>
  <c r="AH1014" i="1"/>
  <c r="AI1014" i="1" s="1"/>
  <c r="BC1000" i="1"/>
  <c r="BC1018" i="1"/>
  <c r="BB982" i="1"/>
  <c r="BE982" i="1" s="1"/>
  <c r="AH982" i="1"/>
  <c r="AI982" i="1" s="1"/>
  <c r="BB1011" i="1"/>
  <c r="BD1011" i="1" s="1"/>
  <c r="AH1011" i="1"/>
  <c r="AI1011" i="1" s="1"/>
  <c r="AN990" i="1"/>
  <c r="AN1008" i="1"/>
  <c r="AN979" i="1"/>
  <c r="AN987" i="1"/>
  <c r="AN1010" i="1"/>
  <c r="AN973" i="1"/>
  <c r="AN974" i="1"/>
  <c r="AN1014" i="1"/>
  <c r="AN988" i="1"/>
  <c r="AN982" i="1"/>
  <c r="AN1009" i="1"/>
  <c r="AN1011" i="1"/>
  <c r="AN996" i="1"/>
  <c r="AN1005" i="1"/>
  <c r="AN972" i="1"/>
  <c r="AN977" i="1"/>
  <c r="AN981" i="1"/>
  <c r="AN997" i="1"/>
  <c r="AN1015" i="1"/>
  <c r="AN1013" i="1"/>
  <c r="AN991" i="1"/>
  <c r="AW796" i="1"/>
  <c r="AV796" i="1"/>
  <c r="J796" i="1"/>
  <c r="AW795" i="1"/>
  <c r="J795" i="1"/>
  <c r="AL856" i="1"/>
  <c r="AL857" i="1"/>
  <c r="AL858" i="1"/>
  <c r="AL859" i="1"/>
  <c r="AL860" i="1"/>
  <c r="AL861" i="1"/>
  <c r="AB856" i="1"/>
  <c r="AB857" i="1"/>
  <c r="AB858" i="1"/>
  <c r="AB859" i="1"/>
  <c r="AB860" i="1"/>
  <c r="AB861" i="1"/>
  <c r="AL831" i="1"/>
  <c r="AL832" i="1"/>
  <c r="AL833" i="1"/>
  <c r="AL834" i="1"/>
  <c r="AB835" i="1"/>
  <c r="AB836" i="1"/>
  <c r="AB837" i="1"/>
  <c r="AB839" i="1"/>
  <c r="AB840" i="1"/>
  <c r="AL841" i="1"/>
  <c r="AL854" i="1"/>
  <c r="AB862" i="1"/>
  <c r="AB864" i="1"/>
  <c r="AB865" i="1"/>
  <c r="AL866" i="1"/>
  <c r="AL869" i="1"/>
  <c r="AL870" i="1"/>
  <c r="AB881" i="1"/>
  <c r="AB882" i="1"/>
  <c r="AB883" i="1"/>
  <c r="AL884" i="1"/>
  <c r="AB886" i="1"/>
  <c r="AL887" i="1"/>
  <c r="AB888" i="1"/>
  <c r="AL889" i="1"/>
  <c r="AB890" i="1"/>
  <c r="AB892" i="1"/>
  <c r="AB893" i="1"/>
  <c r="AB894" i="1"/>
  <c r="AL895" i="1"/>
  <c r="AB897" i="1"/>
  <c r="AL898" i="1"/>
  <c r="AL900" i="1"/>
  <c r="AB901" i="1"/>
  <c r="AB903" i="1"/>
  <c r="AB904" i="1"/>
  <c r="AL905" i="1"/>
  <c r="AL906" i="1"/>
  <c r="AB907" i="1"/>
  <c r="AB908" i="1"/>
  <c r="AL909" i="1"/>
  <c r="AB910" i="1"/>
  <c r="AL911" i="1"/>
  <c r="AB912" i="1"/>
  <c r="AB914" i="1"/>
  <c r="AL915" i="1"/>
  <c r="AB916" i="1"/>
  <c r="AB919" i="1"/>
  <c r="AL920" i="1"/>
  <c r="AB922" i="1"/>
  <c r="AB923" i="1"/>
  <c r="AL924" i="1"/>
  <c r="AL926" i="1"/>
  <c r="AL927" i="1"/>
  <c r="AB929" i="1"/>
  <c r="AL930" i="1"/>
  <c r="AB932" i="1"/>
  <c r="AB933" i="1"/>
  <c r="AL934" i="1"/>
  <c r="AL935" i="1"/>
  <c r="AL946" i="1"/>
  <c r="AL947" i="1"/>
  <c r="AB949" i="1"/>
  <c r="AB950" i="1"/>
  <c r="AL952" i="1"/>
  <c r="AB953" i="1"/>
  <c r="AB954" i="1"/>
  <c r="AB956" i="1"/>
  <c r="AB958" i="1"/>
  <c r="AL959" i="1"/>
  <c r="AB960" i="1"/>
  <c r="AB961" i="1"/>
  <c r="AL962" i="1"/>
  <c r="AL963" i="1"/>
  <c r="AB964" i="1"/>
  <c r="AL965" i="1"/>
  <c r="AB966" i="1"/>
  <c r="AB967" i="1"/>
  <c r="AB968" i="1"/>
  <c r="AB969" i="1"/>
  <c r="AL970" i="1"/>
  <c r="AL829" i="1"/>
  <c r="BC997" i="1" l="1"/>
  <c r="BD997" i="1"/>
  <c r="BC977" i="1"/>
  <c r="BE1005" i="1"/>
  <c r="BE977" i="1"/>
  <c r="BE979" i="1"/>
  <c r="BD973" i="1"/>
  <c r="BE1015" i="1"/>
  <c r="BD988" i="1"/>
  <c r="BE988" i="1"/>
  <c r="BD1005" i="1"/>
  <c r="BC973" i="1"/>
  <c r="BC996" i="1"/>
  <c r="BE991" i="1"/>
  <c r="BE987" i="1"/>
  <c r="BC991" i="1"/>
  <c r="BC981" i="1"/>
  <c r="BE981" i="1"/>
  <c r="BE1013" i="1"/>
  <c r="BE1010" i="1"/>
  <c r="BC1010" i="1"/>
  <c r="BD996" i="1"/>
  <c r="BE990" i="1"/>
  <c r="BD990" i="1"/>
  <c r="BC987" i="1"/>
  <c r="BD1015" i="1"/>
  <c r="BB956" i="1"/>
  <c r="BC956" i="1" s="1"/>
  <c r="AH956" i="1"/>
  <c r="AI956" i="1" s="1"/>
  <c r="BB914" i="1"/>
  <c r="BE914" i="1" s="1"/>
  <c r="AH914" i="1"/>
  <c r="AI914" i="1" s="1"/>
  <c r="BB893" i="1"/>
  <c r="BE893" i="1" s="1"/>
  <c r="AH893" i="1"/>
  <c r="AI893" i="1" s="1"/>
  <c r="BB890" i="1"/>
  <c r="BE890" i="1" s="1"/>
  <c r="AH890" i="1"/>
  <c r="AI890" i="1" s="1"/>
  <c r="BB916" i="1"/>
  <c r="BE916" i="1" s="1"/>
  <c r="AH916" i="1"/>
  <c r="AI916" i="1" s="1"/>
  <c r="BB949" i="1"/>
  <c r="BC949" i="1" s="1"/>
  <c r="AH949" i="1"/>
  <c r="AI949" i="1" s="1"/>
  <c r="BE1008" i="1"/>
  <c r="BD982" i="1"/>
  <c r="BB938" i="1"/>
  <c r="BE938" i="1" s="1"/>
  <c r="BB969" i="1"/>
  <c r="BE969" i="1" s="1"/>
  <c r="AH969" i="1"/>
  <c r="AI969" i="1" s="1"/>
  <c r="BB858" i="1"/>
  <c r="BE858" i="1" s="1"/>
  <c r="AH858" i="1"/>
  <c r="AI858" i="1" s="1"/>
  <c r="BB892" i="1"/>
  <c r="BC892" i="1" s="1"/>
  <c r="AH892" i="1"/>
  <c r="AI892" i="1" s="1"/>
  <c r="BB839" i="1"/>
  <c r="BE839" i="1" s="1"/>
  <c r="AH839" i="1"/>
  <c r="AI839" i="1" s="1"/>
  <c r="BB837" i="1"/>
  <c r="BE837" i="1" s="1"/>
  <c r="AH837" i="1"/>
  <c r="AI837" i="1" s="1"/>
  <c r="BB953" i="1"/>
  <c r="BC953" i="1" s="1"/>
  <c r="AH953" i="1"/>
  <c r="AI953" i="1" s="1"/>
  <c r="BB888" i="1"/>
  <c r="BD888" i="1" s="1"/>
  <c r="AH888" i="1"/>
  <c r="AI888" i="1" s="1"/>
  <c r="BB835" i="1"/>
  <c r="BD835" i="1" s="1"/>
  <c r="AH835" i="1"/>
  <c r="AI835" i="1" s="1"/>
  <c r="BE1011" i="1"/>
  <c r="BD1008" i="1"/>
  <c r="BB910" i="1"/>
  <c r="BD910" i="1" s="1"/>
  <c r="AH910" i="1"/>
  <c r="AI910" i="1" s="1"/>
  <c r="BB908" i="1"/>
  <c r="BC908" i="1" s="1"/>
  <c r="AH908" i="1"/>
  <c r="AI908" i="1" s="1"/>
  <c r="BB881" i="1"/>
  <c r="BD881" i="1" s="1"/>
  <c r="AH881" i="1"/>
  <c r="AI881" i="1" s="1"/>
  <c r="BB861" i="1"/>
  <c r="BE861" i="1" s="1"/>
  <c r="AH861" i="1"/>
  <c r="AI861" i="1" s="1"/>
  <c r="BB907" i="1"/>
  <c r="BC907" i="1" s="1"/>
  <c r="AH907" i="1"/>
  <c r="AI907" i="1" s="1"/>
  <c r="BB968" i="1"/>
  <c r="BE968" i="1" s="1"/>
  <c r="AH968" i="1"/>
  <c r="AI968" i="1" s="1"/>
  <c r="BB967" i="1"/>
  <c r="BD967" i="1" s="1"/>
  <c r="AH967" i="1"/>
  <c r="AI967" i="1" s="1"/>
  <c r="BB933" i="1"/>
  <c r="BE933" i="1" s="1"/>
  <c r="AH933" i="1"/>
  <c r="AI933" i="1" s="1"/>
  <c r="BB857" i="1"/>
  <c r="BC857" i="1" s="1"/>
  <c r="AH857" i="1"/>
  <c r="AI857" i="1" s="1"/>
  <c r="BB932" i="1"/>
  <c r="BD932" i="1" s="1"/>
  <c r="AH932" i="1"/>
  <c r="AI932" i="1" s="1"/>
  <c r="BB864" i="1"/>
  <c r="BC864" i="1" s="1"/>
  <c r="AH864" i="1"/>
  <c r="AI864" i="1" s="1"/>
  <c r="BB856" i="1"/>
  <c r="BE856" i="1" s="1"/>
  <c r="AH856" i="1"/>
  <c r="AI856" i="1" s="1"/>
  <c r="BB862" i="1"/>
  <c r="BE862" i="1" s="1"/>
  <c r="AH862" i="1"/>
  <c r="AI862" i="1" s="1"/>
  <c r="BC1014" i="1"/>
  <c r="BC1013" i="1"/>
  <c r="BB929" i="1"/>
  <c r="BE929" i="1" s="1"/>
  <c r="AH929" i="1"/>
  <c r="AI929" i="1" s="1"/>
  <c r="BC1009" i="1"/>
  <c r="BB840" i="1"/>
  <c r="BD840" i="1" s="1"/>
  <c r="AH840" i="1"/>
  <c r="AI840" i="1" s="1"/>
  <c r="BB950" i="1"/>
  <c r="BC950" i="1" s="1"/>
  <c r="AH950" i="1"/>
  <c r="AI950" i="1" s="1"/>
  <c r="BB958" i="1"/>
  <c r="BC958" i="1" s="1"/>
  <c r="AH958" i="1"/>
  <c r="AI958" i="1" s="1"/>
  <c r="BE992" i="1"/>
  <c r="BD992" i="1"/>
  <c r="BC992" i="1"/>
  <c r="BC1011" i="1"/>
  <c r="BB836" i="1"/>
  <c r="BE836" i="1" s="1"/>
  <c r="AH836" i="1"/>
  <c r="AI836" i="1" s="1"/>
  <c r="BB912" i="1"/>
  <c r="BE912" i="1" s="1"/>
  <c r="AH912" i="1"/>
  <c r="AI912" i="1" s="1"/>
  <c r="BC982" i="1"/>
  <c r="BB883" i="1"/>
  <c r="BE883" i="1" s="1"/>
  <c r="AH883" i="1"/>
  <c r="AI883" i="1" s="1"/>
  <c r="BB882" i="1"/>
  <c r="BE882" i="1" s="1"/>
  <c r="AH882" i="1"/>
  <c r="AI882" i="1" s="1"/>
  <c r="BC972" i="1"/>
  <c r="BB937" i="1"/>
  <c r="BC937" i="1" s="1"/>
  <c r="BE972" i="1"/>
  <c r="BB859" i="1"/>
  <c r="BE859" i="1" s="1"/>
  <c r="AH859" i="1"/>
  <c r="AI859" i="1" s="1"/>
  <c r="BB904" i="1"/>
  <c r="BE904" i="1" s="1"/>
  <c r="AH904" i="1"/>
  <c r="AI904" i="1" s="1"/>
  <c r="BB903" i="1"/>
  <c r="BE903" i="1" s="1"/>
  <c r="AH903" i="1"/>
  <c r="AI903" i="1" s="1"/>
  <c r="BC979" i="1"/>
  <c r="BD974" i="1"/>
  <c r="BE1009" i="1"/>
  <c r="BB922" i="1"/>
  <c r="BD922" i="1" s="1"/>
  <c r="AH922" i="1"/>
  <c r="AI922" i="1" s="1"/>
  <c r="BB919" i="1"/>
  <c r="BD919" i="1" s="1"/>
  <c r="AH919" i="1"/>
  <c r="AI919" i="1" s="1"/>
  <c r="BB954" i="1"/>
  <c r="BE954" i="1" s="1"/>
  <c r="AH954" i="1"/>
  <c r="AI954" i="1" s="1"/>
  <c r="BB886" i="1"/>
  <c r="BD886" i="1" s="1"/>
  <c r="AH886" i="1"/>
  <c r="AI886" i="1" s="1"/>
  <c r="BB860" i="1"/>
  <c r="BE860" i="1" s="1"/>
  <c r="AH860" i="1"/>
  <c r="AI860" i="1" s="1"/>
  <c r="BB865" i="1"/>
  <c r="BE865" i="1" s="1"/>
  <c r="AH865" i="1"/>
  <c r="AI865" i="1" s="1"/>
  <c r="BB966" i="1"/>
  <c r="BD966" i="1" s="1"/>
  <c r="AH966" i="1"/>
  <c r="AI966" i="1" s="1"/>
  <c r="BB901" i="1"/>
  <c r="BE901" i="1" s="1"/>
  <c r="AH901" i="1"/>
  <c r="AI901" i="1" s="1"/>
  <c r="BB964" i="1"/>
  <c r="BD964" i="1" s="1"/>
  <c r="AH964" i="1"/>
  <c r="AI964" i="1" s="1"/>
  <c r="BD1014" i="1"/>
  <c r="BB897" i="1"/>
  <c r="BD897" i="1" s="1"/>
  <c r="AH897" i="1"/>
  <c r="AI897" i="1" s="1"/>
  <c r="BB849" i="1"/>
  <c r="BD849" i="1" s="1"/>
  <c r="AH849" i="1"/>
  <c r="AI849" i="1" s="1"/>
  <c r="BE974" i="1"/>
  <c r="BB961" i="1"/>
  <c r="BD961" i="1" s="1"/>
  <c r="AH961" i="1"/>
  <c r="AI961" i="1" s="1"/>
  <c r="BB960" i="1"/>
  <c r="BD960" i="1" s="1"/>
  <c r="AH960" i="1"/>
  <c r="AI960" i="1" s="1"/>
  <c r="BB923" i="1"/>
  <c r="BD923" i="1" s="1"/>
  <c r="AH923" i="1"/>
  <c r="AI923" i="1" s="1"/>
  <c r="BB894" i="1"/>
  <c r="BE894" i="1" s="1"/>
  <c r="AH894" i="1"/>
  <c r="AI894" i="1" s="1"/>
  <c r="AI853" i="1"/>
  <c r="AK796" i="1"/>
  <c r="AK795" i="1"/>
  <c r="AL908" i="1"/>
  <c r="AN908" i="1" s="1"/>
  <c r="AB866" i="1"/>
  <c r="AV795" i="1"/>
  <c r="AL923" i="1"/>
  <c r="AN923" i="1" s="1"/>
  <c r="AB927" i="1"/>
  <c r="AB911" i="1"/>
  <c r="AB889" i="1"/>
  <c r="AB870" i="1"/>
  <c r="AB834" i="1"/>
  <c r="AL969" i="1"/>
  <c r="AN969" i="1" s="1"/>
  <c r="AB963" i="1"/>
  <c r="AL960" i="1"/>
  <c r="AN960" i="1" s="1"/>
  <c r="AL890" i="1"/>
  <c r="AN890" i="1" s="1"/>
  <c r="AB962" i="1"/>
  <c r="AL958" i="1"/>
  <c r="AN958" i="1" s="1"/>
  <c r="AB906" i="1"/>
  <c r="AB900" i="1"/>
  <c r="AL950" i="1"/>
  <c r="AN950" i="1" s="1"/>
  <c r="AL886" i="1"/>
  <c r="AN886" i="1" s="1"/>
  <c r="AB946" i="1"/>
  <c r="AB898" i="1"/>
  <c r="AB841" i="1"/>
  <c r="AL865" i="1"/>
  <c r="AN865" i="1" s="1"/>
  <c r="AB833" i="1"/>
  <c r="AL933" i="1"/>
  <c r="AN933" i="1" s="1"/>
  <c r="AL864" i="1"/>
  <c r="AN864" i="1" s="1"/>
  <c r="AB832" i="1"/>
  <c r="AN860" i="1"/>
  <c r="AB921" i="1"/>
  <c r="AB869" i="1"/>
  <c r="AL966" i="1"/>
  <c r="AN966" i="1" s="1"/>
  <c r="AL922" i="1"/>
  <c r="AN922" i="1" s="1"/>
  <c r="AN859" i="1"/>
  <c r="AB920" i="1"/>
  <c r="AB868" i="1"/>
  <c r="AL921" i="1"/>
  <c r="AB917" i="1"/>
  <c r="AB867" i="1"/>
  <c r="AL919" i="1"/>
  <c r="AN919" i="1" s="1"/>
  <c r="AN857" i="1"/>
  <c r="AN856" i="1"/>
  <c r="AL893" i="1"/>
  <c r="AN893" i="1" s="1"/>
  <c r="AL853" i="1"/>
  <c r="AN853" i="1" s="1"/>
  <c r="AB909" i="1"/>
  <c r="AL961" i="1"/>
  <c r="AN961" i="1" s="1"/>
  <c r="AL892" i="1"/>
  <c r="AN892" i="1" s="1"/>
  <c r="AB955" i="1"/>
  <c r="AB930" i="1"/>
  <c r="AL954" i="1"/>
  <c r="AN954" i="1" s="1"/>
  <c r="AL916" i="1"/>
  <c r="AN916" i="1" s="1"/>
  <c r="AL894" i="1"/>
  <c r="AN894" i="1" s="1"/>
  <c r="AL883" i="1"/>
  <c r="AN883" i="1" s="1"/>
  <c r="AL849" i="1"/>
  <c r="AN849" i="1" s="1"/>
  <c r="AL901" i="1"/>
  <c r="AN901" i="1" s="1"/>
  <c r="AL837" i="1"/>
  <c r="AN837" i="1" s="1"/>
  <c r="AB899" i="1"/>
  <c r="AB965" i="1"/>
  <c r="AB928" i="1"/>
  <c r="AB918" i="1"/>
  <c r="AL912" i="1"/>
  <c r="AN912" i="1" s="1"/>
  <c r="AL897" i="1"/>
  <c r="AN897" i="1" s="1"/>
  <c r="AL862" i="1"/>
  <c r="AN862" i="1" s="1"/>
  <c r="AN858" i="1"/>
  <c r="AB952" i="1"/>
  <c r="AB936" i="1"/>
  <c r="AB926" i="1"/>
  <c r="AB887" i="1"/>
  <c r="AL953" i="1"/>
  <c r="AN953" i="1" s="1"/>
  <c r="AL929" i="1"/>
  <c r="AN929" i="1" s="1"/>
  <c r="AL904" i="1"/>
  <c r="AN904" i="1" s="1"/>
  <c r="AL882" i="1"/>
  <c r="AN882" i="1" s="1"/>
  <c r="AN861" i="1"/>
  <c r="AL840" i="1"/>
  <c r="AN840" i="1" s="1"/>
  <c r="AL836" i="1"/>
  <c r="AN836" i="1" s="1"/>
  <c r="AB896" i="1"/>
  <c r="AB831" i="1"/>
  <c r="AL968" i="1"/>
  <c r="AN968" i="1" s="1"/>
  <c r="AL868" i="1"/>
  <c r="AB925" i="1"/>
  <c r="AB829" i="1"/>
  <c r="AB951" i="1"/>
  <c r="AB915" i="1"/>
  <c r="AB885" i="1"/>
  <c r="AB830" i="1"/>
  <c r="AL956" i="1"/>
  <c r="AN956" i="1" s="1"/>
  <c r="AL949" i="1"/>
  <c r="AN949" i="1" s="1"/>
  <c r="AL936" i="1"/>
  <c r="AL925" i="1"/>
  <c r="AL918" i="1"/>
  <c r="AL907" i="1"/>
  <c r="AN907" i="1" s="1"/>
  <c r="AL885" i="1"/>
  <c r="AB971" i="1"/>
  <c r="AB934" i="1"/>
  <c r="AB924" i="1"/>
  <c r="AB905" i="1"/>
  <c r="AB895" i="1"/>
  <c r="AL964" i="1"/>
  <c r="AN964" i="1" s="1"/>
  <c r="AL932" i="1"/>
  <c r="AN932" i="1" s="1"/>
  <c r="AL896" i="1"/>
  <c r="AL881" i="1"/>
  <c r="AN881" i="1" s="1"/>
  <c r="AL839" i="1"/>
  <c r="AN839" i="1" s="1"/>
  <c r="AL971" i="1"/>
  <c r="AL914" i="1"/>
  <c r="AN914" i="1" s="1"/>
  <c r="AL903" i="1"/>
  <c r="AN903" i="1" s="1"/>
  <c r="AL835" i="1"/>
  <c r="AN835" i="1" s="1"/>
  <c r="AB884" i="1"/>
  <c r="AB854" i="1"/>
  <c r="AB970" i="1"/>
  <c r="AB838" i="1"/>
  <c r="AL910" i="1"/>
  <c r="AN910" i="1" s="1"/>
  <c r="AL899" i="1"/>
  <c r="AB948" i="1"/>
  <c r="AB913" i="1"/>
  <c r="AL955" i="1"/>
  <c r="AL948" i="1"/>
  <c r="AL928" i="1"/>
  <c r="AL917" i="1"/>
  <c r="AL888" i="1"/>
  <c r="AN888" i="1" s="1"/>
  <c r="AL867" i="1"/>
  <c r="AB947" i="1"/>
  <c r="AB902" i="1"/>
  <c r="AB863" i="1"/>
  <c r="AL967" i="1"/>
  <c r="AN967" i="1" s="1"/>
  <c r="AL913" i="1"/>
  <c r="AL863" i="1"/>
  <c r="AL838" i="1"/>
  <c r="AL830" i="1"/>
  <c r="AB959" i="1"/>
  <c r="AB931" i="1"/>
  <c r="AL951" i="1"/>
  <c r="AL931" i="1"/>
  <c r="AL902" i="1"/>
  <c r="AL891" i="1"/>
  <c r="AB891" i="1"/>
  <c r="BD904" i="1" l="1"/>
  <c r="BC904" i="1"/>
  <c r="BE835" i="1"/>
  <c r="BC836" i="1"/>
  <c r="BD901" i="1"/>
  <c r="BC901" i="1"/>
  <c r="BC914" i="1"/>
  <c r="BD908" i="1"/>
  <c r="BE908" i="1"/>
  <c r="BD856" i="1"/>
  <c r="BC932" i="1"/>
  <c r="BE932" i="1"/>
  <c r="BD916" i="1"/>
  <c r="BC903" i="1"/>
  <c r="BC916" i="1"/>
  <c r="BD903" i="1"/>
  <c r="BD949" i="1"/>
  <c r="BD836" i="1"/>
  <c r="BC912" i="1"/>
  <c r="BD914" i="1"/>
  <c r="BE956" i="1"/>
  <c r="BE864" i="1"/>
  <c r="BC859" i="1"/>
  <c r="BD968" i="1"/>
  <c r="BE937" i="1"/>
  <c r="BD839" i="1"/>
  <c r="BD956" i="1"/>
  <c r="BD864" i="1"/>
  <c r="BC968" i="1"/>
  <c r="BC922" i="1"/>
  <c r="BD859" i="1"/>
  <c r="BE922" i="1"/>
  <c r="BD883" i="1"/>
  <c r="BC886" i="1"/>
  <c r="BE910" i="1"/>
  <c r="BC929" i="1"/>
  <c r="BC835" i="1"/>
  <c r="BE949" i="1"/>
  <c r="BD929" i="1"/>
  <c r="BD937" i="1"/>
  <c r="BE857" i="1"/>
  <c r="BC933" i="1"/>
  <c r="BD933" i="1"/>
  <c r="BE888" i="1"/>
  <c r="BD890" i="1"/>
  <c r="BE958" i="1"/>
  <c r="BE886" i="1"/>
  <c r="BC967" i="1"/>
  <c r="BC890" i="1"/>
  <c r="BC893" i="1"/>
  <c r="BE967" i="1"/>
  <c r="BD893" i="1"/>
  <c r="BE950" i="1"/>
  <c r="BD953" i="1"/>
  <c r="BD857" i="1"/>
  <c r="BD950" i="1"/>
  <c r="BC837" i="1"/>
  <c r="BD837" i="1"/>
  <c r="BE953" i="1"/>
  <c r="BC964" i="1"/>
  <c r="BC910" i="1"/>
  <c r="BE964" i="1"/>
  <c r="BC839" i="1"/>
  <c r="BB863" i="1"/>
  <c r="BD863" i="1" s="1"/>
  <c r="AH863" i="1"/>
  <c r="AI863" i="1" s="1"/>
  <c r="BB945" i="1"/>
  <c r="BD945" i="1" s="1"/>
  <c r="BB866" i="1"/>
  <c r="BC866" i="1" s="1"/>
  <c r="AH866" i="1"/>
  <c r="AI866" i="1" s="1"/>
  <c r="BB844" i="1"/>
  <c r="BC844" i="1" s="1"/>
  <c r="BB843" i="1"/>
  <c r="BD843" i="1" s="1"/>
  <c r="BB947" i="1"/>
  <c r="BC947" i="1" s="1"/>
  <c r="AH947" i="1"/>
  <c r="AI947" i="1" s="1"/>
  <c r="BB829" i="1"/>
  <c r="BD829" i="1" s="1"/>
  <c r="AH829" i="1"/>
  <c r="AI829" i="1" s="1"/>
  <c r="BB918" i="1"/>
  <c r="BD918" i="1" s="1"/>
  <c r="AH918" i="1"/>
  <c r="AI918" i="1" s="1"/>
  <c r="BB898" i="1"/>
  <c r="BC898" i="1" s="1"/>
  <c r="AH898" i="1"/>
  <c r="AI898" i="1" s="1"/>
  <c r="BC966" i="1"/>
  <c r="BB925" i="1"/>
  <c r="BD925" i="1" s="1"/>
  <c r="AH925" i="1"/>
  <c r="AI925" i="1" s="1"/>
  <c r="BB928" i="1"/>
  <c r="BE928" i="1" s="1"/>
  <c r="AH928" i="1"/>
  <c r="AI928" i="1" s="1"/>
  <c r="BB946" i="1"/>
  <c r="BC946" i="1" s="1"/>
  <c r="AH946" i="1"/>
  <c r="AI946" i="1" s="1"/>
  <c r="BE966" i="1"/>
  <c r="BB917" i="1"/>
  <c r="BC917" i="1" s="1"/>
  <c r="AH917" i="1"/>
  <c r="AI917" i="1" s="1"/>
  <c r="BC865" i="1"/>
  <c r="BB831" i="1"/>
  <c r="BD831" i="1" s="1"/>
  <c r="AH831" i="1"/>
  <c r="AI831" i="1" s="1"/>
  <c r="BB900" i="1"/>
  <c r="BD900" i="1" s="1"/>
  <c r="AH900" i="1"/>
  <c r="AI900" i="1" s="1"/>
  <c r="BB896" i="1"/>
  <c r="BD896" i="1" s="1"/>
  <c r="AH896" i="1"/>
  <c r="AI896" i="1" s="1"/>
  <c r="BB868" i="1"/>
  <c r="BE868" i="1" s="1"/>
  <c r="AH868" i="1"/>
  <c r="AI868" i="1" s="1"/>
  <c r="BB906" i="1"/>
  <c r="BE906" i="1" s="1"/>
  <c r="AH906" i="1"/>
  <c r="AI906" i="1" s="1"/>
  <c r="BC894" i="1"/>
  <c r="BD858" i="1"/>
  <c r="BD865" i="1"/>
  <c r="BB905" i="1"/>
  <c r="BD905" i="1" s="1"/>
  <c r="AH905" i="1"/>
  <c r="AI905" i="1" s="1"/>
  <c r="BB891" i="1"/>
  <c r="BC891" i="1" s="1"/>
  <c r="AH891" i="1"/>
  <c r="AI891" i="1" s="1"/>
  <c r="BB924" i="1"/>
  <c r="BD924" i="1" s="1"/>
  <c r="AH924" i="1"/>
  <c r="AI924" i="1" s="1"/>
  <c r="BB913" i="1"/>
  <c r="BC913" i="1" s="1"/>
  <c r="AH913" i="1"/>
  <c r="AI913" i="1" s="1"/>
  <c r="BB934" i="1"/>
  <c r="BE934" i="1" s="1"/>
  <c r="AH934" i="1"/>
  <c r="AI934" i="1" s="1"/>
  <c r="BE923" i="1"/>
  <c r="BB948" i="1"/>
  <c r="BE948" i="1" s="1"/>
  <c r="AH948" i="1"/>
  <c r="AI948" i="1" s="1"/>
  <c r="BB971" i="1"/>
  <c r="BE971" i="1" s="1"/>
  <c r="AH971" i="1"/>
  <c r="AI971" i="1" s="1"/>
  <c r="BC923" i="1"/>
  <c r="BE919" i="1"/>
  <c r="BD912" i="1"/>
  <c r="BB869" i="1"/>
  <c r="BD869" i="1" s="1"/>
  <c r="AH869" i="1"/>
  <c r="AI869" i="1" s="1"/>
  <c r="BB963" i="1"/>
  <c r="BD963" i="1" s="1"/>
  <c r="AH963" i="1"/>
  <c r="AI963" i="1" s="1"/>
  <c r="BC919" i="1"/>
  <c r="BB921" i="1"/>
  <c r="BE921" i="1" s="1"/>
  <c r="AH921" i="1"/>
  <c r="AI921" i="1" s="1"/>
  <c r="BB838" i="1"/>
  <c r="BE838" i="1" s="1"/>
  <c r="AH838" i="1"/>
  <c r="AI838" i="1" s="1"/>
  <c r="BB834" i="1"/>
  <c r="BC834" i="1" s="1"/>
  <c r="AH834" i="1"/>
  <c r="AI834" i="1" s="1"/>
  <c r="BC840" i="1"/>
  <c r="BC960" i="1"/>
  <c r="BC961" i="1"/>
  <c r="BD907" i="1"/>
  <c r="BD861" i="1"/>
  <c r="BB931" i="1"/>
  <c r="BD931" i="1" s="1"/>
  <c r="AH931" i="1"/>
  <c r="AI931" i="1" s="1"/>
  <c r="BB970" i="1"/>
  <c r="BE970" i="1" s="1"/>
  <c r="AH970" i="1"/>
  <c r="AI970" i="1" s="1"/>
  <c r="BB887" i="1"/>
  <c r="BE887" i="1" s="1"/>
  <c r="AH887" i="1"/>
  <c r="AI887" i="1" s="1"/>
  <c r="BB955" i="1"/>
  <c r="BC955" i="1" s="1"/>
  <c r="AH955" i="1"/>
  <c r="AI955" i="1" s="1"/>
  <c r="BB832" i="1"/>
  <c r="BD832" i="1" s="1"/>
  <c r="AH832" i="1"/>
  <c r="AI832" i="1" s="1"/>
  <c r="BB870" i="1"/>
  <c r="BD870" i="1" s="1"/>
  <c r="AH870" i="1"/>
  <c r="AI870" i="1" s="1"/>
  <c r="BE840" i="1"/>
  <c r="BE960" i="1"/>
  <c r="BC969" i="1"/>
  <c r="BE961" i="1"/>
  <c r="BE907" i="1"/>
  <c r="BC861" i="1"/>
  <c r="BB959" i="1"/>
  <c r="BD959" i="1" s="1"/>
  <c r="AH959" i="1"/>
  <c r="AI959" i="1" s="1"/>
  <c r="BB926" i="1"/>
  <c r="BC926" i="1" s="1"/>
  <c r="AH926" i="1"/>
  <c r="AI926" i="1" s="1"/>
  <c r="BB889" i="1"/>
  <c r="BE889" i="1" s="1"/>
  <c r="AH889" i="1"/>
  <c r="AI889" i="1" s="1"/>
  <c r="BC849" i="1"/>
  <c r="BD969" i="1"/>
  <c r="BC881" i="1"/>
  <c r="BC888" i="1"/>
  <c r="BB854" i="1"/>
  <c r="BD854" i="1" s="1"/>
  <c r="AH854" i="1"/>
  <c r="AI854" i="1" s="1"/>
  <c r="BB936" i="1"/>
  <c r="BE936" i="1" s="1"/>
  <c r="AH936" i="1"/>
  <c r="AI936" i="1" s="1"/>
  <c r="BB911" i="1"/>
  <c r="BE911" i="1" s="1"/>
  <c r="AH911" i="1"/>
  <c r="AI911" i="1" s="1"/>
  <c r="BD892" i="1"/>
  <c r="BE849" i="1"/>
  <c r="BC862" i="1"/>
  <c r="BE881" i="1"/>
  <c r="BC882" i="1"/>
  <c r="BB935" i="1"/>
  <c r="BD935" i="1" s="1"/>
  <c r="AH935" i="1"/>
  <c r="AI935" i="1" s="1"/>
  <c r="BB902" i="1"/>
  <c r="BE902" i="1" s="1"/>
  <c r="AH902" i="1"/>
  <c r="AI902" i="1" s="1"/>
  <c r="BB951" i="1"/>
  <c r="BC951" i="1" s="1"/>
  <c r="AH951" i="1"/>
  <c r="AI951" i="1" s="1"/>
  <c r="BB965" i="1"/>
  <c r="BC965" i="1" s="1"/>
  <c r="AH965" i="1"/>
  <c r="AI965" i="1" s="1"/>
  <c r="BB867" i="1"/>
  <c r="BD867" i="1" s="1"/>
  <c r="AH867" i="1"/>
  <c r="AI867" i="1" s="1"/>
  <c r="BB899" i="1"/>
  <c r="BD899" i="1" s="1"/>
  <c r="AH899" i="1"/>
  <c r="AI899" i="1" s="1"/>
  <c r="BB895" i="1"/>
  <c r="BC895" i="1" s="1"/>
  <c r="AH895" i="1"/>
  <c r="AI895" i="1" s="1"/>
  <c r="BB920" i="1"/>
  <c r="BD920" i="1" s="1"/>
  <c r="AH920" i="1"/>
  <c r="AI920" i="1" s="1"/>
  <c r="BD894" i="1"/>
  <c r="BC858" i="1"/>
  <c r="BB962" i="1"/>
  <c r="BD962" i="1" s="1"/>
  <c r="AH962" i="1"/>
  <c r="AI962" i="1" s="1"/>
  <c r="BB847" i="1"/>
  <c r="BD847" i="1" s="1"/>
  <c r="BB851" i="1"/>
  <c r="BE851" i="1" s="1"/>
  <c r="BB930" i="1"/>
  <c r="BD930" i="1" s="1"/>
  <c r="AH930" i="1"/>
  <c r="AI930" i="1" s="1"/>
  <c r="BB884" i="1"/>
  <c r="BC884" i="1" s="1"/>
  <c r="AH884" i="1"/>
  <c r="AI884" i="1" s="1"/>
  <c r="BB952" i="1"/>
  <c r="BC952" i="1" s="1"/>
  <c r="AH952" i="1"/>
  <c r="AI952" i="1" s="1"/>
  <c r="BB833" i="1"/>
  <c r="BE833" i="1" s="1"/>
  <c r="AH833" i="1"/>
  <c r="AI833" i="1" s="1"/>
  <c r="BB927" i="1"/>
  <c r="BD927" i="1" s="1"/>
  <c r="AH927" i="1"/>
  <c r="AI927" i="1" s="1"/>
  <c r="BE892" i="1"/>
  <c r="BC860" i="1"/>
  <c r="BD862" i="1"/>
  <c r="BD882" i="1"/>
  <c r="BB830" i="1"/>
  <c r="BE830" i="1" s="1"/>
  <c r="AH830" i="1"/>
  <c r="AI830" i="1" s="1"/>
  <c r="BC897" i="1"/>
  <c r="BD860" i="1"/>
  <c r="BC938" i="1"/>
  <c r="BC954" i="1"/>
  <c r="BB885" i="1"/>
  <c r="BC885" i="1" s="1"/>
  <c r="AH885" i="1"/>
  <c r="AI885" i="1" s="1"/>
  <c r="BB909" i="1"/>
  <c r="BE909" i="1" s="1"/>
  <c r="AH909" i="1"/>
  <c r="AI909" i="1" s="1"/>
  <c r="BD958" i="1"/>
  <c r="BE897" i="1"/>
  <c r="BC856" i="1"/>
  <c r="BD938" i="1"/>
  <c r="BC883" i="1"/>
  <c r="BD954" i="1"/>
  <c r="BB915" i="1"/>
  <c r="BC915" i="1" s="1"/>
  <c r="AH915" i="1"/>
  <c r="AI915" i="1" s="1"/>
  <c r="BB841" i="1"/>
  <c r="BE841" i="1" s="1"/>
  <c r="AH841" i="1"/>
  <c r="AI841" i="1" s="1"/>
  <c r="Z796" i="1"/>
  <c r="AM796" i="1" s="1"/>
  <c r="AN866" i="1"/>
  <c r="AN906" i="1"/>
  <c r="AN889" i="1"/>
  <c r="AN927" i="1"/>
  <c r="Z795" i="1"/>
  <c r="AM795" i="1" s="1"/>
  <c r="AN921" i="1"/>
  <c r="AN915" i="1"/>
  <c r="AN911" i="1"/>
  <c r="AN895" i="1"/>
  <c r="AN935" i="1"/>
  <c r="AN917" i="1"/>
  <c r="AN946" i="1"/>
  <c r="AN867" i="1"/>
  <c r="AN898" i="1"/>
  <c r="AN834" i="1"/>
  <c r="AN830" i="1"/>
  <c r="AN838" i="1"/>
  <c r="AN926" i="1"/>
  <c r="AN863" i="1"/>
  <c r="AN832" i="1"/>
  <c r="AN963" i="1"/>
  <c r="AN924" i="1"/>
  <c r="AN870" i="1"/>
  <c r="AN909" i="1"/>
  <c r="AN962" i="1"/>
  <c r="AN959" i="1"/>
  <c r="AN918" i="1"/>
  <c r="AN936" i="1"/>
  <c r="AN841" i="1"/>
  <c r="AN833" i="1"/>
  <c r="AN829" i="1"/>
  <c r="AN934" i="1"/>
  <c r="AN899" i="1"/>
  <c r="AN896" i="1"/>
  <c r="AN869" i="1"/>
  <c r="AN913" i="1"/>
  <c r="AN868" i="1"/>
  <c r="AN925" i="1"/>
  <c r="AN971" i="1"/>
  <c r="AN931" i="1"/>
  <c r="AN900" i="1"/>
  <c r="AN920" i="1"/>
  <c r="AN854" i="1"/>
  <c r="AN952" i="1"/>
  <c r="AN831" i="1"/>
  <c r="AN905" i="1"/>
  <c r="AN891" i="1"/>
  <c r="AN947" i="1"/>
  <c r="AN965" i="1"/>
  <c r="AN970" i="1"/>
  <c r="AN951" i="1"/>
  <c r="AN930" i="1"/>
  <c r="AN948" i="1"/>
  <c r="AN884" i="1"/>
  <c r="AN902" i="1"/>
  <c r="AN887" i="1"/>
  <c r="AN928" i="1"/>
  <c r="AN955" i="1"/>
  <c r="AN885" i="1"/>
  <c r="AK832" i="1"/>
  <c r="AK836" i="1"/>
  <c r="AK837" i="1"/>
  <c r="AK840" i="1"/>
  <c r="AK849" i="1"/>
  <c r="Z849" i="1" s="1"/>
  <c r="AK853" i="1"/>
  <c r="Z853" i="1" s="1"/>
  <c r="AK859" i="1"/>
  <c r="AK862" i="1"/>
  <c r="AK866" i="1"/>
  <c r="AK867" i="1"/>
  <c r="AK870" i="1"/>
  <c r="AK884" i="1"/>
  <c r="AK885" i="1"/>
  <c r="AK888" i="1"/>
  <c r="AK892" i="1"/>
  <c r="AK893" i="1"/>
  <c r="AK895" i="1"/>
  <c r="AK896" i="1"/>
  <c r="AK900" i="1"/>
  <c r="AK901" i="1"/>
  <c r="AK904" i="1"/>
  <c r="AK908" i="1"/>
  <c r="AK909" i="1"/>
  <c r="AK911" i="1"/>
  <c r="AK912" i="1"/>
  <c r="AK916" i="1"/>
  <c r="AK917" i="1"/>
  <c r="AK920" i="1"/>
  <c r="AK924" i="1"/>
  <c r="AK925" i="1"/>
  <c r="AK928" i="1"/>
  <c r="AK932" i="1"/>
  <c r="AK933" i="1"/>
  <c r="AK935" i="1"/>
  <c r="AK936" i="1"/>
  <c r="AK946" i="1"/>
  <c r="AK947" i="1"/>
  <c r="AK949" i="1"/>
  <c r="AK950" i="1"/>
  <c r="AK954" i="1"/>
  <c r="AK955" i="1"/>
  <c r="AK959" i="1"/>
  <c r="AK964" i="1"/>
  <c r="AK967" i="1"/>
  <c r="AK971" i="1"/>
  <c r="AK829" i="1"/>
  <c r="BD844" i="1" l="1"/>
  <c r="BE959" i="1"/>
  <c r="BC930" i="1"/>
  <c r="BE866" i="1"/>
  <c r="BD866" i="1"/>
  <c r="BE847" i="1"/>
  <c r="BC945" i="1"/>
  <c r="BE917" i="1"/>
  <c r="BC847" i="1"/>
  <c r="BE913" i="1"/>
  <c r="BD913" i="1"/>
  <c r="BE924" i="1"/>
  <c r="BC924" i="1"/>
  <c r="BD917" i="1"/>
  <c r="BD884" i="1"/>
  <c r="BE884" i="1"/>
  <c r="BE962" i="1"/>
  <c r="BE891" i="1"/>
  <c r="BE952" i="1"/>
  <c r="BD965" i="1"/>
  <c r="BD834" i="1"/>
  <c r="BE945" i="1"/>
  <c r="BE965" i="1"/>
  <c r="BE834" i="1"/>
  <c r="BC851" i="1"/>
  <c r="BE935" i="1"/>
  <c r="BD952" i="1"/>
  <c r="BD851" i="1"/>
  <c r="BD891" i="1"/>
  <c r="BC863" i="1"/>
  <c r="BD946" i="1"/>
  <c r="BE863" i="1"/>
  <c r="BE946" i="1"/>
  <c r="BE955" i="1"/>
  <c r="BD955" i="1"/>
  <c r="BC931" i="1"/>
  <c r="BC838" i="1"/>
  <c r="BD951" i="1"/>
  <c r="BD838" i="1"/>
  <c r="BE951" i="1"/>
  <c r="BD948" i="1"/>
  <c r="BC962" i="1"/>
  <c r="BC854" i="1"/>
  <c r="BC948" i="1"/>
  <c r="BC869" i="1"/>
  <c r="BC971" i="1"/>
  <c r="BD911" i="1"/>
  <c r="BD889" i="1"/>
  <c r="BC843" i="1"/>
  <c r="BC911" i="1"/>
  <c r="BE854" i="1"/>
  <c r="BE869" i="1"/>
  <c r="BE898" i="1"/>
  <c r="BE947" i="1"/>
  <c r="BC889" i="1"/>
  <c r="BD885" i="1"/>
  <c r="BE885" i="1"/>
  <c r="BE843" i="1"/>
  <c r="BD926" i="1"/>
  <c r="BE896" i="1"/>
  <c r="BD833" i="1"/>
  <c r="BE920" i="1"/>
  <c r="BE926" i="1"/>
  <c r="BC900" i="1"/>
  <c r="BD971" i="1"/>
  <c r="BC841" i="1"/>
  <c r="BD841" i="1"/>
  <c r="BD947" i="1"/>
  <c r="BC833" i="1"/>
  <c r="BE844" i="1"/>
  <c r="BC868" i="1"/>
  <c r="BC959" i="1"/>
  <c r="BE900" i="1"/>
  <c r="BD868" i="1"/>
  <c r="BC963" i="1"/>
  <c r="BD921" i="1"/>
  <c r="BC905" i="1"/>
  <c r="BD915" i="1"/>
  <c r="BE963" i="1"/>
  <c r="BE895" i="1"/>
  <c r="BE915" i="1"/>
  <c r="BC936" i="1"/>
  <c r="BD895" i="1"/>
  <c r="BE832" i="1"/>
  <c r="BC909" i="1"/>
  <c r="BD936" i="1"/>
  <c r="BE831" i="1"/>
  <c r="BC832" i="1"/>
  <c r="BC906" i="1"/>
  <c r="BC902" i="1"/>
  <c r="BD909" i="1"/>
  <c r="BC934" i="1"/>
  <c r="BC831" i="1"/>
  <c r="BD906" i="1"/>
  <c r="BD898" i="1"/>
  <c r="BD902" i="1"/>
  <c r="BC870" i="1"/>
  <c r="BD934" i="1"/>
  <c r="BE931" i="1"/>
  <c r="BE870" i="1"/>
  <c r="BC896" i="1"/>
  <c r="BE905" i="1"/>
  <c r="BE918" i="1"/>
  <c r="BC887" i="1"/>
  <c r="BC867" i="1"/>
  <c r="BE930" i="1"/>
  <c r="BC918" i="1"/>
  <c r="BC830" i="1"/>
  <c r="BD887" i="1"/>
  <c r="BE867" i="1"/>
  <c r="BD830" i="1"/>
  <c r="BC829" i="1"/>
  <c r="BC970" i="1"/>
  <c r="BC928" i="1"/>
  <c r="BE829" i="1"/>
  <c r="BE927" i="1"/>
  <c r="BD970" i="1"/>
  <c r="BE925" i="1"/>
  <c r="BD928" i="1"/>
  <c r="BC899" i="1"/>
  <c r="BC935" i="1"/>
  <c r="BC927" i="1"/>
  <c r="BC920" i="1"/>
  <c r="BC925" i="1"/>
  <c r="BC921" i="1"/>
  <c r="BE899" i="1"/>
  <c r="AK906" i="1"/>
  <c r="Z906" i="1" s="1"/>
  <c r="AM906" i="1" s="1"/>
  <c r="AK927" i="1"/>
  <c r="Z927" i="1" s="1"/>
  <c r="AM927" i="1" s="1"/>
  <c r="AK883" i="1"/>
  <c r="Z883" i="1" s="1"/>
  <c r="AM883" i="1" s="1"/>
  <c r="AK926" i="1"/>
  <c r="Z926" i="1" s="1"/>
  <c r="AM926" i="1" s="1"/>
  <c r="AK882" i="1"/>
  <c r="Z882" i="1" s="1"/>
  <c r="AM882" i="1" s="1"/>
  <c r="AK881" i="1"/>
  <c r="Z881" i="1" s="1"/>
  <c r="AM881" i="1" s="1"/>
  <c r="AK952" i="1"/>
  <c r="Z952" i="1" s="1"/>
  <c r="AM952" i="1" s="1"/>
  <c r="AK902" i="1"/>
  <c r="Z902" i="1" s="1"/>
  <c r="AM902" i="1" s="1"/>
  <c r="AK841" i="1"/>
  <c r="Z841" i="1" s="1"/>
  <c r="AM841" i="1" s="1"/>
  <c r="AK922" i="1"/>
  <c r="Z922" i="1" s="1"/>
  <c r="AM922" i="1" s="1"/>
  <c r="AK921" i="1"/>
  <c r="Z921" i="1" s="1"/>
  <c r="AM921" i="1" s="1"/>
  <c r="AK899" i="1"/>
  <c r="Z899" i="1" s="1"/>
  <c r="AM899" i="1" s="1"/>
  <c r="AK839" i="1"/>
  <c r="Z839" i="1" s="1"/>
  <c r="AM839" i="1" s="1"/>
  <c r="AK948" i="1"/>
  <c r="Z948" i="1" s="1"/>
  <c r="AM948" i="1" s="1"/>
  <c r="AK898" i="1"/>
  <c r="Z898" i="1" s="1"/>
  <c r="AM898" i="1" s="1"/>
  <c r="AK838" i="1"/>
  <c r="Z838" i="1" s="1"/>
  <c r="AM838" i="1" s="1"/>
  <c r="AK970" i="1"/>
  <c r="Z970" i="1" s="1"/>
  <c r="AM970" i="1" s="1"/>
  <c r="AK919" i="1"/>
  <c r="Z919" i="1" s="1"/>
  <c r="AM919" i="1" s="1"/>
  <c r="AK865" i="1"/>
  <c r="Z865" i="1" s="1"/>
  <c r="AM865" i="1" s="1"/>
  <c r="AK918" i="1"/>
  <c r="Z918" i="1" s="1"/>
  <c r="AM918" i="1" s="1"/>
  <c r="AK864" i="1"/>
  <c r="Z864" i="1" s="1"/>
  <c r="AM864" i="1" s="1"/>
  <c r="AK835" i="1"/>
  <c r="Z835" i="1" s="1"/>
  <c r="AM835" i="1" s="1"/>
  <c r="AK966" i="1"/>
  <c r="Z966" i="1" s="1"/>
  <c r="AM966" i="1" s="1"/>
  <c r="AK833" i="1"/>
  <c r="AK965" i="1"/>
  <c r="Z965" i="1" s="1"/>
  <c r="AM965" i="1" s="1"/>
  <c r="AK914" i="1"/>
  <c r="Z914" i="1" s="1"/>
  <c r="AM914" i="1" s="1"/>
  <c r="AK961" i="1"/>
  <c r="Z961" i="1" s="1"/>
  <c r="AM961" i="1" s="1"/>
  <c r="AK910" i="1"/>
  <c r="Z910" i="1" s="1"/>
  <c r="AM910" i="1" s="1"/>
  <c r="AK856" i="1"/>
  <c r="Z856" i="1" s="1"/>
  <c r="AM856" i="1" s="1"/>
  <c r="AK956" i="1"/>
  <c r="Z956" i="1" s="1"/>
  <c r="AM956" i="1" s="1"/>
  <c r="AK905" i="1"/>
  <c r="Z905" i="1" s="1"/>
  <c r="AM905" i="1" s="1"/>
  <c r="AK953" i="1"/>
  <c r="Z953" i="1" s="1"/>
  <c r="AM953" i="1" s="1"/>
  <c r="AK903" i="1"/>
  <c r="Z903" i="1" s="1"/>
  <c r="AM903" i="1" s="1"/>
  <c r="AK951" i="1"/>
  <c r="Z951" i="1" s="1"/>
  <c r="AM951" i="1" s="1"/>
  <c r="AK923" i="1"/>
  <c r="Z923" i="1" s="1"/>
  <c r="AM923" i="1" s="1"/>
  <c r="AK869" i="1"/>
  <c r="Z869" i="1" s="1"/>
  <c r="AM869" i="1" s="1"/>
  <c r="AK868" i="1"/>
  <c r="Z868" i="1" s="1"/>
  <c r="AM868" i="1" s="1"/>
  <c r="AK897" i="1"/>
  <c r="Z897" i="1" s="1"/>
  <c r="AM897" i="1" s="1"/>
  <c r="AK969" i="1"/>
  <c r="Z969" i="1" s="1"/>
  <c r="AM969" i="1" s="1"/>
  <c r="AK968" i="1"/>
  <c r="Z968" i="1" s="1"/>
  <c r="AM968" i="1" s="1"/>
  <c r="AK863" i="1"/>
  <c r="Z863" i="1" s="1"/>
  <c r="AM863" i="1" s="1"/>
  <c r="AK894" i="1"/>
  <c r="Z894" i="1" s="1"/>
  <c r="AM894" i="1" s="1"/>
  <c r="AK834" i="1"/>
  <c r="Z834" i="1" s="1"/>
  <c r="AM834" i="1" s="1"/>
  <c r="AK915" i="1"/>
  <c r="Z915" i="1" s="1"/>
  <c r="AM915" i="1" s="1"/>
  <c r="AK861" i="1"/>
  <c r="Z861" i="1" s="1"/>
  <c r="AM861" i="1" s="1"/>
  <c r="AK860" i="1"/>
  <c r="Z860" i="1" s="1"/>
  <c r="AM860" i="1" s="1"/>
  <c r="AK913" i="1"/>
  <c r="Z913" i="1" s="1"/>
  <c r="AM913" i="1" s="1"/>
  <c r="AK891" i="1"/>
  <c r="Z891" i="1" s="1"/>
  <c r="AM891" i="1" s="1"/>
  <c r="AK831" i="1"/>
  <c r="Z831" i="1" s="1"/>
  <c r="AM831" i="1" s="1"/>
  <c r="AK963" i="1"/>
  <c r="Z963" i="1" s="1"/>
  <c r="AM963" i="1" s="1"/>
  <c r="AK934" i="1"/>
  <c r="Z934" i="1" s="1"/>
  <c r="AM934" i="1" s="1"/>
  <c r="AK890" i="1"/>
  <c r="Z890" i="1" s="1"/>
  <c r="AM890" i="1" s="1"/>
  <c r="AK858" i="1"/>
  <c r="Z858" i="1" s="1"/>
  <c r="AM858" i="1" s="1"/>
  <c r="AK830" i="1"/>
  <c r="Z830" i="1" s="1"/>
  <c r="AM830" i="1" s="1"/>
  <c r="AK962" i="1"/>
  <c r="Z962" i="1" s="1"/>
  <c r="AM962" i="1" s="1"/>
  <c r="AK889" i="1"/>
  <c r="Z889" i="1" s="1"/>
  <c r="AM889" i="1" s="1"/>
  <c r="AK857" i="1"/>
  <c r="Z857" i="1" s="1"/>
  <c r="AM857" i="1" s="1"/>
  <c r="AK960" i="1"/>
  <c r="Z960" i="1" s="1"/>
  <c r="AM960" i="1" s="1"/>
  <c r="AK931" i="1"/>
  <c r="Z931" i="1" s="1"/>
  <c r="AM931" i="1" s="1"/>
  <c r="AK887" i="1"/>
  <c r="Z887" i="1" s="1"/>
  <c r="AM887" i="1" s="1"/>
  <c r="AK854" i="1"/>
  <c r="Z854" i="1" s="1"/>
  <c r="AM854" i="1" s="1"/>
  <c r="AK930" i="1"/>
  <c r="Z930" i="1" s="1"/>
  <c r="AM930" i="1" s="1"/>
  <c r="AK886" i="1"/>
  <c r="Z886" i="1" s="1"/>
  <c r="AM886" i="1" s="1"/>
  <c r="AK958" i="1"/>
  <c r="Z958" i="1" s="1"/>
  <c r="AM958" i="1" s="1"/>
  <c r="AK929" i="1"/>
  <c r="Z929" i="1" s="1"/>
  <c r="AM929" i="1" s="1"/>
  <c r="AK907" i="1"/>
  <c r="Z907" i="1" s="1"/>
  <c r="AM907" i="1" s="1"/>
  <c r="Z959" i="1"/>
  <c r="AM959" i="1" s="1"/>
  <c r="Z936" i="1"/>
  <c r="AM936" i="1" s="1"/>
  <c r="Z920" i="1"/>
  <c r="AM920" i="1" s="1"/>
  <c r="Z904" i="1"/>
  <c r="AM904" i="1" s="1"/>
  <c r="Z888" i="1"/>
  <c r="AM888" i="1" s="1"/>
  <c r="Z862" i="1"/>
  <c r="AM862" i="1" s="1"/>
  <c r="Z840" i="1"/>
  <c r="AM840" i="1" s="1"/>
  <c r="Z935" i="1"/>
  <c r="AM935" i="1" s="1"/>
  <c r="Z829" i="1"/>
  <c r="AM829" i="1" s="1"/>
  <c r="Z955" i="1"/>
  <c r="AM955" i="1" s="1"/>
  <c r="Z933" i="1"/>
  <c r="AM933" i="1" s="1"/>
  <c r="Z917" i="1"/>
  <c r="AM917" i="1" s="1"/>
  <c r="Z901" i="1"/>
  <c r="AM901" i="1" s="1"/>
  <c r="Z885" i="1"/>
  <c r="AM885" i="1" s="1"/>
  <c r="Z859" i="1"/>
  <c r="AM859" i="1" s="1"/>
  <c r="Z837" i="1"/>
  <c r="AM837" i="1" s="1"/>
  <c r="Z916" i="1"/>
  <c r="AM916" i="1" s="1"/>
  <c r="Z932" i="1"/>
  <c r="AM932" i="1" s="1"/>
  <c r="Z884" i="1"/>
  <c r="AM884" i="1" s="1"/>
  <c r="Z895" i="1"/>
  <c r="AM895" i="1" s="1"/>
  <c r="Z954" i="1"/>
  <c r="AM954" i="1" s="1"/>
  <c r="Z950" i="1"/>
  <c r="AM950" i="1" s="1"/>
  <c r="Z896" i="1"/>
  <c r="AM896" i="1" s="1"/>
  <c r="Z832" i="1"/>
  <c r="AM832" i="1" s="1"/>
  <c r="Z949" i="1"/>
  <c r="AM949" i="1" s="1"/>
  <c r="Z911" i="1"/>
  <c r="AM911" i="1" s="1"/>
  <c r="Z947" i="1"/>
  <c r="AM947" i="1" s="1"/>
  <c r="Z909" i="1"/>
  <c r="AM909" i="1" s="1"/>
  <c r="Z867" i="1"/>
  <c r="AM867" i="1" s="1"/>
  <c r="Z946" i="1"/>
  <c r="AM946" i="1" s="1"/>
  <c r="Z924" i="1"/>
  <c r="AM924" i="1" s="1"/>
  <c r="Z908" i="1"/>
  <c r="AM908" i="1" s="1"/>
  <c r="Z892" i="1"/>
  <c r="AM892" i="1" s="1"/>
  <c r="Z866" i="1"/>
  <c r="AM866" i="1" s="1"/>
  <c r="Z971" i="1"/>
  <c r="AM971" i="1" s="1"/>
  <c r="Z900" i="1"/>
  <c r="AM900" i="1" s="1"/>
  <c r="Z836" i="1"/>
  <c r="AM836" i="1" s="1"/>
  <c r="Z967" i="1"/>
  <c r="AM967" i="1" s="1"/>
  <c r="Z928" i="1"/>
  <c r="AM928" i="1" s="1"/>
  <c r="Z912" i="1"/>
  <c r="AM912" i="1" s="1"/>
  <c r="Z870" i="1"/>
  <c r="AM870" i="1" s="1"/>
  <c r="AM853" i="1"/>
  <c r="Z964" i="1"/>
  <c r="AM964" i="1" s="1"/>
  <c r="Z925" i="1"/>
  <c r="AM925" i="1" s="1"/>
  <c r="Z893" i="1"/>
  <c r="AM893" i="1" s="1"/>
  <c r="AM849" i="1"/>
  <c r="AV287" i="1"/>
  <c r="AU246" i="1"/>
  <c r="AV247" i="1"/>
  <c r="Z833" i="1" l="1"/>
  <c r="AM833" i="1" s="1"/>
  <c r="Z847" i="1"/>
  <c r="AM847" i="1" s="1"/>
  <c r="AW247" i="1"/>
  <c r="AU242" i="1"/>
  <c r="AV242" i="1" s="1"/>
  <c r="J247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4" i="1"/>
  <c r="J853" i="1"/>
  <c r="J852" i="1"/>
  <c r="J851" i="1"/>
  <c r="J849" i="1"/>
  <c r="J847" i="1"/>
  <c r="J844" i="1"/>
  <c r="J843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2" i="1"/>
  <c r="J801" i="1"/>
  <c r="J800" i="1"/>
  <c r="J799" i="1"/>
  <c r="J798" i="1"/>
  <c r="J797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8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0" i="1"/>
  <c r="J499" i="1"/>
  <c r="J498" i="1"/>
  <c r="J497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31" i="1"/>
  <c r="J467" i="1"/>
  <c r="J466" i="1"/>
  <c r="J465" i="1"/>
  <c r="J463" i="1"/>
  <c r="J462" i="1"/>
  <c r="J458" i="1"/>
  <c r="J430" i="1"/>
  <c r="J429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3" i="1"/>
  <c r="J402" i="1"/>
  <c r="J401" i="1"/>
  <c r="J400" i="1"/>
  <c r="J397" i="1"/>
  <c r="J396" i="1"/>
  <c r="J395" i="1"/>
  <c r="J394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59" i="1"/>
  <c r="J358" i="1"/>
  <c r="J357" i="1"/>
  <c r="J356" i="1"/>
  <c r="J352" i="1"/>
  <c r="J351" i="1"/>
  <c r="J350" i="1"/>
  <c r="J349" i="1"/>
  <c r="J348" i="1"/>
  <c r="J347" i="1"/>
  <c r="J346" i="1"/>
  <c r="J345" i="1"/>
  <c r="J344" i="1"/>
  <c r="J343" i="1"/>
  <c r="J339" i="1"/>
  <c r="J338" i="1"/>
  <c r="J337" i="1"/>
  <c r="J336" i="1"/>
  <c r="J332" i="1"/>
  <c r="J331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8" i="1"/>
  <c r="J307" i="1"/>
  <c r="J306" i="1"/>
  <c r="J305" i="1"/>
  <c r="J304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1" i="1"/>
  <c r="J280" i="1"/>
  <c r="J279" i="1"/>
  <c r="J278" i="1"/>
  <c r="J275" i="1"/>
  <c r="J274" i="1"/>
  <c r="J273" i="1"/>
  <c r="J272" i="1"/>
  <c r="J271" i="1"/>
  <c r="J270" i="1"/>
  <c r="J269" i="1"/>
  <c r="J268" i="1"/>
  <c r="J267" i="1"/>
  <c r="J266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4" i="1"/>
  <c r="J171" i="1"/>
  <c r="J170" i="1"/>
  <c r="J169" i="1"/>
  <c r="J168" i="1"/>
  <c r="J167" i="1"/>
  <c r="J166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2" i="1"/>
  <c r="J121" i="1"/>
  <c r="J120" i="1"/>
  <c r="J119" i="1"/>
  <c r="J118" i="1"/>
  <c r="J117" i="1"/>
  <c r="J116" i="1"/>
  <c r="J110" i="1"/>
  <c r="J109" i="1"/>
  <c r="J108" i="1"/>
  <c r="J107" i="1"/>
  <c r="J106" i="1"/>
  <c r="J105" i="1"/>
  <c r="J104" i="1"/>
  <c r="J102" i="1"/>
  <c r="J101" i="1"/>
  <c r="J100" i="1"/>
  <c r="J97" i="1"/>
  <c r="J96" i="1"/>
  <c r="J95" i="1"/>
  <c r="J94" i="1"/>
  <c r="J93" i="1"/>
  <c r="J92" i="1"/>
  <c r="J91" i="1"/>
  <c r="J90" i="1"/>
  <c r="J89" i="1"/>
  <c r="J88" i="1"/>
  <c r="J86" i="1"/>
  <c r="J85" i="1"/>
  <c r="J84" i="1"/>
  <c r="J83" i="1"/>
  <c r="J82" i="1"/>
  <c r="J81" i="1"/>
  <c r="J79" i="1"/>
  <c r="J78" i="1"/>
  <c r="J77" i="1"/>
  <c r="J76" i="1"/>
  <c r="J75" i="1"/>
  <c r="J74" i="1"/>
  <c r="J73" i="1"/>
  <c r="J72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6" i="1"/>
  <c r="J45" i="1"/>
  <c r="J42" i="1"/>
  <c r="J38" i="1"/>
  <c r="J37" i="1"/>
  <c r="J34" i="1"/>
  <c r="J33" i="1"/>
  <c r="J32" i="1"/>
  <c r="J31" i="1"/>
  <c r="J29" i="1"/>
  <c r="J28" i="1"/>
  <c r="J27" i="1"/>
  <c r="J26" i="1"/>
  <c r="J25" i="1"/>
  <c r="J24" i="1"/>
  <c r="J22" i="1"/>
  <c r="J21" i="1"/>
  <c r="J23" i="1"/>
  <c r="J20" i="1"/>
  <c r="J19" i="1"/>
  <c r="J18" i="1"/>
  <c r="J17" i="1"/>
  <c r="J16" i="1"/>
  <c r="J15" i="1"/>
  <c r="J14" i="1"/>
  <c r="AW242" i="1" l="1"/>
  <c r="AK247" i="1"/>
  <c r="Z247" i="1"/>
  <c r="AV248" i="1"/>
  <c r="Z242" i="1" l="1"/>
  <c r="AK242" i="1"/>
  <c r="AM247" i="1"/>
  <c r="AU249" i="1"/>
  <c r="AW249" i="1" s="1"/>
  <c r="AK816" i="1"/>
  <c r="AK817" i="1"/>
  <c r="AK818" i="1"/>
  <c r="AK819" i="1"/>
  <c r="AK820" i="1"/>
  <c r="AK821" i="1"/>
  <c r="AM821" i="1" s="1"/>
  <c r="AK822" i="1"/>
  <c r="AK823" i="1"/>
  <c r="AK824" i="1"/>
  <c r="AK825" i="1"/>
  <c r="AK826" i="1"/>
  <c r="AK827" i="1"/>
  <c r="AK828" i="1"/>
  <c r="AX816" i="1"/>
  <c r="AB816" i="1" s="1"/>
  <c r="AX817" i="1"/>
  <c r="AL817" i="1" s="1"/>
  <c r="AX818" i="1"/>
  <c r="AB818" i="1" s="1"/>
  <c r="AX819" i="1"/>
  <c r="AL819" i="1" s="1"/>
  <c r="AX820" i="1"/>
  <c r="AL820" i="1" s="1"/>
  <c r="AX822" i="1"/>
  <c r="AX823" i="1"/>
  <c r="AB823" i="1" s="1"/>
  <c r="AX824" i="1"/>
  <c r="AB824" i="1" s="1"/>
  <c r="AX825" i="1"/>
  <c r="AB825" i="1" s="1"/>
  <c r="AX826" i="1"/>
  <c r="AL826" i="1" s="1"/>
  <c r="AX827" i="1"/>
  <c r="AL827" i="1" s="1"/>
  <c r="AX828" i="1"/>
  <c r="AX815" i="1"/>
  <c r="BB824" i="1" l="1"/>
  <c r="BC824" i="1" s="1"/>
  <c r="AH824" i="1"/>
  <c r="AI824" i="1" s="1"/>
  <c r="BB825" i="1"/>
  <c r="BD825" i="1" s="1"/>
  <c r="AH825" i="1"/>
  <c r="AI825" i="1" s="1"/>
  <c r="BB823" i="1"/>
  <c r="BD823" i="1" s="1"/>
  <c r="AH823" i="1"/>
  <c r="AI823" i="1" s="1"/>
  <c r="BB818" i="1"/>
  <c r="BD818" i="1" s="1"/>
  <c r="AH818" i="1"/>
  <c r="AI818" i="1" s="1"/>
  <c r="BB816" i="1"/>
  <c r="BE816" i="1" s="1"/>
  <c r="AH816" i="1"/>
  <c r="AI816" i="1" s="1"/>
  <c r="AL828" i="1"/>
  <c r="AB828" i="1"/>
  <c r="AH828" i="1" s="1"/>
  <c r="AL822" i="1"/>
  <c r="AB822" i="1"/>
  <c r="AM822" i="1"/>
  <c r="AK248" i="1"/>
  <c r="Z248" i="1"/>
  <c r="AM242" i="1"/>
  <c r="AI821" i="1"/>
  <c r="Z249" i="1"/>
  <c r="AK249" i="1"/>
  <c r="AV249" i="1"/>
  <c r="AL816" i="1"/>
  <c r="AB817" i="1"/>
  <c r="AL818" i="1"/>
  <c r="AB826" i="1"/>
  <c r="AB820" i="1"/>
  <c r="AL825" i="1"/>
  <c r="AL824" i="1"/>
  <c r="AL823" i="1"/>
  <c r="AB827" i="1"/>
  <c r="AB819" i="1"/>
  <c r="AM818" i="1"/>
  <c r="AM817" i="1"/>
  <c r="AM827" i="1"/>
  <c r="AM826" i="1"/>
  <c r="AM825" i="1"/>
  <c r="AM819" i="1"/>
  <c r="AM823" i="1"/>
  <c r="AM824" i="1"/>
  <c r="AM820" i="1"/>
  <c r="AM816" i="1"/>
  <c r="AM828" i="1"/>
  <c r="AL815" i="1"/>
  <c r="AK815" i="1"/>
  <c r="AN823" i="1" l="1"/>
  <c r="AN824" i="1"/>
  <c r="AN825" i="1"/>
  <c r="AN818" i="1"/>
  <c r="AN816" i="1"/>
  <c r="BE825" i="1"/>
  <c r="BE823" i="1"/>
  <c r="BC823" i="1"/>
  <c r="BC816" i="1"/>
  <c r="BD816" i="1"/>
  <c r="BD824" i="1"/>
  <c r="BE824" i="1"/>
  <c r="BB826" i="1"/>
  <c r="BC826" i="1" s="1"/>
  <c r="AH826" i="1"/>
  <c r="AI826" i="1" s="1"/>
  <c r="BC818" i="1"/>
  <c r="BB819" i="1"/>
  <c r="BE819" i="1" s="1"/>
  <c r="AH819" i="1"/>
  <c r="AI819" i="1" s="1"/>
  <c r="BB822" i="1"/>
  <c r="BD822" i="1" s="1"/>
  <c r="AH822" i="1"/>
  <c r="AI822" i="1" s="1"/>
  <c r="BB827" i="1"/>
  <c r="BC827" i="1" s="1"/>
  <c r="AH827" i="1"/>
  <c r="AI827" i="1" s="1"/>
  <c r="BB817" i="1"/>
  <c r="BC817" i="1" s="1"/>
  <c r="AH817" i="1"/>
  <c r="AI817" i="1" s="1"/>
  <c r="BE818" i="1"/>
  <c r="BC825" i="1"/>
  <c r="BB820" i="1"/>
  <c r="BD820" i="1" s="1"/>
  <c r="AH820" i="1"/>
  <c r="AI820" i="1" s="1"/>
  <c r="BB828" i="1"/>
  <c r="AI828" i="1"/>
  <c r="AN828" i="1"/>
  <c r="AN822" i="1"/>
  <c r="AN826" i="1"/>
  <c r="AN817" i="1"/>
  <c r="AN820" i="1"/>
  <c r="AM249" i="1"/>
  <c r="AM248" i="1"/>
  <c r="AN827" i="1"/>
  <c r="AN819" i="1"/>
  <c r="AB815" i="1"/>
  <c r="AM815" i="1"/>
  <c r="BC820" i="1" l="1"/>
  <c r="BE820" i="1"/>
  <c r="BE826" i="1"/>
  <c r="BE822" i="1"/>
  <c r="BC822" i="1"/>
  <c r="BD826" i="1"/>
  <c r="BD817" i="1"/>
  <c r="BD819" i="1"/>
  <c r="BC819" i="1"/>
  <c r="BE827" i="1"/>
  <c r="BB815" i="1"/>
  <c r="BC815" i="1" s="1"/>
  <c r="AH815" i="1"/>
  <c r="AI815" i="1" s="1"/>
  <c r="BD827" i="1"/>
  <c r="BE817" i="1"/>
  <c r="BE828" i="1"/>
  <c r="BC828" i="1"/>
  <c r="BD828" i="1"/>
  <c r="AN815" i="1"/>
  <c r="AX814" i="1"/>
  <c r="AW63" i="1"/>
  <c r="AL62" i="1"/>
  <c r="AW62" i="1"/>
  <c r="AW46" i="1"/>
  <c r="AL45" i="1"/>
  <c r="AW45" i="1"/>
  <c r="AL26" i="1"/>
  <c r="AW26" i="1"/>
  <c r="AL25" i="1"/>
  <c r="AW25" i="1"/>
  <c r="AL24" i="1"/>
  <c r="AW24" i="1"/>
  <c r="Z24" i="1" s="1"/>
  <c r="AB23" i="1"/>
  <c r="AK23" i="1"/>
  <c r="AR82" i="1"/>
  <c r="AK24" i="1" l="1"/>
  <c r="BE815" i="1"/>
  <c r="BD815" i="1"/>
  <c r="BB23" i="1"/>
  <c r="BE23" i="1" s="1"/>
  <c r="AH23" i="1"/>
  <c r="AI23" i="1" s="1"/>
  <c r="AK46" i="1"/>
  <c r="Z46" i="1"/>
  <c r="Z63" i="1"/>
  <c r="AK63" i="1"/>
  <c r="AK26" i="1"/>
  <c r="Z26" i="1"/>
  <c r="AK45" i="1"/>
  <c r="Z45" i="1"/>
  <c r="AB46" i="1"/>
  <c r="AL46" i="1"/>
  <c r="Z62" i="1"/>
  <c r="AK62" i="1"/>
  <c r="AB63" i="1"/>
  <c r="AL63" i="1"/>
  <c r="AK25" i="1"/>
  <c r="Z25" i="1"/>
  <c r="AB62" i="1"/>
  <c r="AB45" i="1"/>
  <c r="AB26" i="1"/>
  <c r="AB25" i="1"/>
  <c r="AB24" i="1"/>
  <c r="AM23" i="1"/>
  <c r="AN23" i="1"/>
  <c r="AU70" i="1"/>
  <c r="AL84" i="1"/>
  <c r="AW84" i="1"/>
  <c r="AU82" i="1"/>
  <c r="AW82" i="1" s="1"/>
  <c r="AW78" i="1"/>
  <c r="AT511" i="1"/>
  <c r="AT510" i="1"/>
  <c r="AT509" i="1"/>
  <c r="O61" i="1"/>
  <c r="O60" i="1"/>
  <c r="AU61" i="1"/>
  <c r="AW61" i="1" s="1"/>
  <c r="BD23" i="1" l="1"/>
  <c r="BC23" i="1"/>
  <c r="BB45" i="1"/>
  <c r="BD45" i="1" s="1"/>
  <c r="AH45" i="1"/>
  <c r="AI45" i="1" s="1"/>
  <c r="BB62" i="1"/>
  <c r="BD62" i="1" s="1"/>
  <c r="AH62" i="1"/>
  <c r="AI62" i="1" s="1"/>
  <c r="BB46" i="1"/>
  <c r="BC46" i="1" s="1"/>
  <c r="AH46" i="1"/>
  <c r="AI46" i="1" s="1"/>
  <c r="BB63" i="1"/>
  <c r="BE63" i="1" s="1"/>
  <c r="AH63" i="1"/>
  <c r="AI63" i="1" s="1"/>
  <c r="BB24" i="1"/>
  <c r="BC24" i="1" s="1"/>
  <c r="AH24" i="1"/>
  <c r="AI24" i="1" s="1"/>
  <c r="BB26" i="1"/>
  <c r="BE26" i="1" s="1"/>
  <c r="AH26" i="1"/>
  <c r="AI26" i="1" s="1"/>
  <c r="AN46" i="1"/>
  <c r="BB25" i="1"/>
  <c r="BD25" i="1" s="1"/>
  <c r="AH25" i="1"/>
  <c r="AI25" i="1" s="1"/>
  <c r="AN63" i="1"/>
  <c r="AM45" i="1"/>
  <c r="Z84" i="1"/>
  <c r="AK84" i="1"/>
  <c r="Z78" i="1"/>
  <c r="AK78" i="1"/>
  <c r="AB78" i="1"/>
  <c r="AL78" i="1"/>
  <c r="AM63" i="1"/>
  <c r="AM46" i="1"/>
  <c r="AM24" i="1"/>
  <c r="AM25" i="1"/>
  <c r="AW70" i="1"/>
  <c r="AK70" i="1" s="1"/>
  <c r="AM62" i="1"/>
  <c r="AM26" i="1"/>
  <c r="AN62" i="1"/>
  <c r="AN45" i="1"/>
  <c r="AN26" i="1"/>
  <c r="AN25" i="1"/>
  <c r="AN24" i="1"/>
  <c r="AV70" i="1"/>
  <c r="AB84" i="1"/>
  <c r="Z82" i="1"/>
  <c r="AK82" i="1"/>
  <c r="AV82" i="1"/>
  <c r="AK61" i="1"/>
  <c r="AV61" i="1"/>
  <c r="Z61" i="1"/>
  <c r="BC62" i="1" l="1"/>
  <c r="BE62" i="1"/>
  <c r="BE45" i="1"/>
  <c r="BC45" i="1"/>
  <c r="BD24" i="1"/>
  <c r="BC63" i="1"/>
  <c r="BC26" i="1"/>
  <c r="BD26" i="1"/>
  <c r="BC25" i="1"/>
  <c r="BE25" i="1"/>
  <c r="BB78" i="1"/>
  <c r="BD78" i="1" s="1"/>
  <c r="AH78" i="1"/>
  <c r="AI78" i="1" s="1"/>
  <c r="BD63" i="1"/>
  <c r="BB84" i="1"/>
  <c r="BC84" i="1" s="1"/>
  <c r="AH84" i="1"/>
  <c r="AI84" i="1" s="1"/>
  <c r="BE24" i="1"/>
  <c r="BD46" i="1"/>
  <c r="BE46" i="1"/>
  <c r="AN78" i="1"/>
  <c r="AM78" i="1"/>
  <c r="AM84" i="1"/>
  <c r="Z70" i="1"/>
  <c r="AM70" i="1" s="1"/>
  <c r="AM82" i="1"/>
  <c r="AN84" i="1"/>
  <c r="AU60" i="1"/>
  <c r="AL748" i="1"/>
  <c r="AW748" i="1"/>
  <c r="AT158" i="1"/>
  <c r="AU177" i="1"/>
  <c r="AV177" i="1" s="1"/>
  <c r="AU176" i="1"/>
  <c r="AV176" i="1" s="1"/>
  <c r="AT157" i="1"/>
  <c r="AV157" i="1" s="1"/>
  <c r="AT156" i="1"/>
  <c r="BD84" i="1" l="1"/>
  <c r="BC78" i="1"/>
  <c r="BE78" i="1"/>
  <c r="BE84" i="1"/>
  <c r="Z748" i="1"/>
  <c r="AK748" i="1"/>
  <c r="AB748" i="1"/>
  <c r="AV60" i="1"/>
  <c r="AV156" i="1"/>
  <c r="AV174" i="1"/>
  <c r="BB748" i="1" l="1"/>
  <c r="BD748" i="1" s="1"/>
  <c r="AH748" i="1"/>
  <c r="AI748" i="1" s="1"/>
  <c r="AM748" i="1"/>
  <c r="AN748" i="1"/>
  <c r="AL77" i="1"/>
  <c r="AW77" i="1"/>
  <c r="AL76" i="1"/>
  <c r="AW76" i="1"/>
  <c r="AR67" i="1"/>
  <c r="AQ67" i="1"/>
  <c r="AR66" i="1"/>
  <c r="AQ66" i="1"/>
  <c r="AT286" i="1"/>
  <c r="AT285" i="1"/>
  <c r="AT283" i="1"/>
  <c r="AT284" i="1"/>
  <c r="AT281" i="1"/>
  <c r="AQ286" i="1"/>
  <c r="AQ285" i="1"/>
  <c r="AQ284" i="1"/>
  <c r="AQ283" i="1"/>
  <c r="AQ281" i="1"/>
  <c r="AR286" i="1"/>
  <c r="AR285" i="1"/>
  <c r="AR284" i="1"/>
  <c r="AR283" i="1"/>
  <c r="AR281" i="1"/>
  <c r="AT488" i="1"/>
  <c r="AT487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V318" i="1"/>
  <c r="AV314" i="1"/>
  <c r="AV315" i="1"/>
  <c r="BE748" i="1" l="1"/>
  <c r="BC748" i="1"/>
  <c r="Z76" i="1"/>
  <c r="AK76" i="1"/>
  <c r="Z77" i="1"/>
  <c r="AK77" i="1"/>
  <c r="AU67" i="1"/>
  <c r="AV67" i="1" s="1"/>
  <c r="AB76" i="1"/>
  <c r="AB77" i="1"/>
  <c r="AU66" i="1"/>
  <c r="AQ65" i="1"/>
  <c r="AQ64" i="1"/>
  <c r="AR65" i="1"/>
  <c r="AR64" i="1"/>
  <c r="AM77" i="1" l="1"/>
  <c r="BB77" i="1"/>
  <c r="BE77" i="1" s="1"/>
  <c r="AH77" i="1"/>
  <c r="AI77" i="1" s="1"/>
  <c r="BB76" i="1"/>
  <c r="BE76" i="1" s="1"/>
  <c r="AH76" i="1"/>
  <c r="AI76" i="1" s="1"/>
  <c r="AV66" i="1"/>
  <c r="AM76" i="1"/>
  <c r="AN76" i="1"/>
  <c r="AN77" i="1"/>
  <c r="AU134" i="1"/>
  <c r="AV134" i="1" s="1"/>
  <c r="AQ106" i="1"/>
  <c r="AR106" i="1"/>
  <c r="AQ105" i="1"/>
  <c r="AR105" i="1"/>
  <c r="AQ97" i="1"/>
  <c r="AR97" i="1"/>
  <c r="AQ103" i="1"/>
  <c r="AR103" i="1"/>
  <c r="AQ100" i="1"/>
  <c r="AR100" i="1"/>
  <c r="AQ98" i="1"/>
  <c r="AR98" i="1"/>
  <c r="BC76" i="1" l="1"/>
  <c r="BD76" i="1"/>
  <c r="BC77" i="1"/>
  <c r="BD77" i="1"/>
  <c r="AU100" i="1"/>
  <c r="AU98" i="1"/>
  <c r="AW98" i="1" s="1"/>
  <c r="AU106" i="1"/>
  <c r="AV106" i="1" s="1"/>
  <c r="AU105" i="1"/>
  <c r="AV105" i="1" s="1"/>
  <c r="AW100" i="1" l="1"/>
  <c r="AV100" i="1"/>
  <c r="AQ85" i="1"/>
  <c r="AR85" i="1"/>
  <c r="AQ58" i="1"/>
  <c r="AQ59" i="1" s="1"/>
  <c r="AR58" i="1"/>
  <c r="AR59" i="1" s="1"/>
  <c r="AQ57" i="1"/>
  <c r="AR56" i="1"/>
  <c r="AQ56" i="1"/>
  <c r="AQ55" i="1"/>
  <c r="AR55" i="1"/>
  <c r="AR57" i="1" s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05" i="1"/>
  <c r="AV488" i="1"/>
  <c r="AG488" i="1"/>
  <c r="AV487" i="1"/>
  <c r="AG487" i="1"/>
  <c r="AV486" i="1"/>
  <c r="AG486" i="1"/>
  <c r="AV485" i="1"/>
  <c r="AG485" i="1"/>
  <c r="AV320" i="1"/>
  <c r="AV319" i="1"/>
  <c r="AV461" i="1"/>
  <c r="AV460" i="1"/>
  <c r="AV458" i="1"/>
  <c r="AV452" i="1"/>
  <c r="AT470" i="1"/>
  <c r="AT431" i="1"/>
  <c r="AW431" i="1" s="1"/>
  <c r="AT430" i="1"/>
  <c r="AT429" i="1"/>
  <c r="AU86" i="1"/>
  <c r="AW86" i="1" s="1"/>
  <c r="AU85" i="1" l="1"/>
  <c r="AV85" i="1" s="1"/>
  <c r="AV459" i="1"/>
  <c r="AV453" i="1"/>
  <c r="AV451" i="1"/>
  <c r="AV86" i="1"/>
  <c r="AU31" i="1" l="1"/>
  <c r="AV31" i="1" s="1"/>
  <c r="AU32" i="1"/>
  <c r="AV32" i="1" s="1"/>
  <c r="AV403" i="1"/>
  <c r="AV402" i="1"/>
  <c r="AV401" i="1"/>
  <c r="AV400" i="1"/>
  <c r="AK561" i="1"/>
  <c r="AK560" i="1"/>
  <c r="AK100" i="1"/>
  <c r="AV399" i="1"/>
  <c r="AV398" i="1"/>
  <c r="AV392" i="1"/>
  <c r="AV386" i="1"/>
  <c r="AV385" i="1"/>
  <c r="AV380" i="1"/>
  <c r="AV379" i="1"/>
  <c r="AV374" i="1"/>
  <c r="AV373" i="1"/>
  <c r="AV368" i="1"/>
  <c r="AV367" i="1"/>
  <c r="AV361" i="1"/>
  <c r="AV354" i="1"/>
  <c r="AV353" i="1"/>
  <c r="AV348" i="1"/>
  <c r="AV347" i="1"/>
  <c r="AV341" i="1"/>
  <c r="AV340" i="1"/>
  <c r="AV334" i="1"/>
  <c r="AV333" i="1"/>
  <c r="AV328" i="1"/>
  <c r="AV327" i="1"/>
  <c r="AL99" i="1"/>
  <c r="AW311" i="1"/>
  <c r="AW310" i="1"/>
  <c r="AL308" i="1"/>
  <c r="AW308" i="1"/>
  <c r="AL307" i="1"/>
  <c r="AW307" i="1"/>
  <c r="AW306" i="1"/>
  <c r="AW305" i="1"/>
  <c r="AW304" i="1"/>
  <c r="AW302" i="1"/>
  <c r="AL301" i="1"/>
  <c r="AW301" i="1"/>
  <c r="AL300" i="1"/>
  <c r="AW300" i="1"/>
  <c r="AU279" i="1"/>
  <c r="G9" i="1"/>
  <c r="AU278" i="1"/>
  <c r="AU277" i="1"/>
  <c r="AV277" i="1" s="1"/>
  <c r="AU276" i="1"/>
  <c r="AU275" i="1"/>
  <c r="AU274" i="1"/>
  <c r="AU273" i="1"/>
  <c r="AU221" i="1"/>
  <c r="AU220" i="1"/>
  <c r="AV220" i="1" s="1"/>
  <c r="AU219" i="1"/>
  <c r="AV219" i="1" s="1"/>
  <c r="AU218" i="1"/>
  <c r="AU217" i="1"/>
  <c r="AU216" i="1"/>
  <c r="AU215" i="1"/>
  <c r="AV215" i="1" s="1"/>
  <c r="AV207" i="1"/>
  <c r="AV206" i="1"/>
  <c r="AV130" i="1"/>
  <c r="AV129" i="1"/>
  <c r="AV128" i="1"/>
  <c r="AU97" i="1"/>
  <c r="AV97" i="1" s="1"/>
  <c r="AU103" i="1"/>
  <c r="AU59" i="1"/>
  <c r="AV59" i="1" s="1"/>
  <c r="AU58" i="1"/>
  <c r="AV58" i="1" s="1"/>
  <c r="AU57" i="1"/>
  <c r="AV57" i="1" s="1"/>
  <c r="AU56" i="1"/>
  <c r="AV56" i="1" s="1"/>
  <c r="AU55" i="1"/>
  <c r="AV55" i="1" s="1"/>
  <c r="AV360" i="1"/>
  <c r="AV391" i="1"/>
  <c r="AV289" i="1"/>
  <c r="G10" i="1"/>
  <c r="S237" i="1"/>
  <c r="S238" i="1"/>
  <c r="S239" i="1"/>
  <c r="S240" i="1"/>
  <c r="S241" i="1"/>
  <c r="S236" i="1"/>
  <c r="AU243" i="1"/>
  <c r="AU244" i="1"/>
  <c r="AU245" i="1"/>
  <c r="R127" i="1"/>
  <c r="AV462" i="1"/>
  <c r="AV463" i="1"/>
  <c r="AV472" i="1"/>
  <c r="AV473" i="1"/>
  <c r="AV474" i="1"/>
  <c r="AV475" i="1"/>
  <c r="AV476" i="1"/>
  <c r="AV477" i="1"/>
  <c r="AV478" i="1"/>
  <c r="AU68" i="1"/>
  <c r="AU91" i="1"/>
  <c r="AW53" i="1"/>
  <c r="Z794" i="1"/>
  <c r="AL814" i="1"/>
  <c r="AB814" i="1"/>
  <c r="AX813" i="1"/>
  <c r="AW798" i="1"/>
  <c r="AX798" i="1" s="1"/>
  <c r="AW799" i="1"/>
  <c r="AX799" i="1" s="1"/>
  <c r="AW800" i="1"/>
  <c r="AX800" i="1" s="1"/>
  <c r="AW801" i="1"/>
  <c r="AX801" i="1" s="1"/>
  <c r="AW802" i="1"/>
  <c r="AX802" i="1" s="1"/>
  <c r="AW808" i="1"/>
  <c r="AX808" i="1" s="1"/>
  <c r="AW809" i="1"/>
  <c r="AX809" i="1" s="1"/>
  <c r="AW810" i="1"/>
  <c r="AX810" i="1" s="1"/>
  <c r="AW811" i="1"/>
  <c r="AX811" i="1" s="1"/>
  <c r="AW812" i="1"/>
  <c r="AX812" i="1" s="1"/>
  <c r="AW797" i="1"/>
  <c r="AX797" i="1" s="1"/>
  <c r="AX781" i="1"/>
  <c r="AX782" i="1"/>
  <c r="AL782" i="1" s="1"/>
  <c r="AX783" i="1"/>
  <c r="AX784" i="1"/>
  <c r="AX785" i="1"/>
  <c r="AL785" i="1" s="1"/>
  <c r="AX786" i="1"/>
  <c r="AX787" i="1"/>
  <c r="AX788" i="1"/>
  <c r="AX789" i="1"/>
  <c r="AX790" i="1"/>
  <c r="AB790" i="1" s="1"/>
  <c r="AX791" i="1"/>
  <c r="AL791" i="1" s="1"/>
  <c r="AX792" i="1"/>
  <c r="AB792" i="1" s="1"/>
  <c r="AX793" i="1"/>
  <c r="AL793" i="1" s="1"/>
  <c r="AK813" i="1"/>
  <c r="AK794" i="1"/>
  <c r="AK793" i="1"/>
  <c r="AK792" i="1"/>
  <c r="AK791" i="1"/>
  <c r="AK790" i="1"/>
  <c r="AK789" i="1"/>
  <c r="AM789" i="1" s="1"/>
  <c r="AK788" i="1"/>
  <c r="AK787" i="1"/>
  <c r="AK786" i="1"/>
  <c r="AK785" i="1"/>
  <c r="AK784" i="1"/>
  <c r="AK783" i="1"/>
  <c r="AK782" i="1"/>
  <c r="AK781" i="1"/>
  <c r="AK579" i="1"/>
  <c r="AK578" i="1"/>
  <c r="AK577" i="1"/>
  <c r="AK576" i="1"/>
  <c r="AM576" i="1" s="1"/>
  <c r="AK575" i="1"/>
  <c r="AK574" i="1"/>
  <c r="AV573" i="1"/>
  <c r="AV572" i="1"/>
  <c r="AV571" i="1"/>
  <c r="AV570" i="1"/>
  <c r="AK569" i="1"/>
  <c r="AM569" i="1" s="1"/>
  <c r="AK568" i="1"/>
  <c r="AM568" i="1" s="1"/>
  <c r="AK567" i="1"/>
  <c r="AK566" i="1"/>
  <c r="AK565" i="1"/>
  <c r="AK564" i="1"/>
  <c r="AM564" i="1" s="1"/>
  <c r="AK563" i="1"/>
  <c r="AK562" i="1"/>
  <c r="AK559" i="1"/>
  <c r="AK558" i="1"/>
  <c r="AV557" i="1"/>
  <c r="AV556" i="1"/>
  <c r="AV555" i="1"/>
  <c r="AV554" i="1"/>
  <c r="AV553" i="1"/>
  <c r="AV552" i="1"/>
  <c r="AV551" i="1"/>
  <c r="AV550" i="1"/>
  <c r="AV549" i="1"/>
  <c r="AV548" i="1"/>
  <c r="AV547" i="1"/>
  <c r="AV546" i="1"/>
  <c r="AV545" i="1"/>
  <c r="AV544" i="1"/>
  <c r="AV543" i="1"/>
  <c r="AV542" i="1"/>
  <c r="AV541" i="1"/>
  <c r="AV540" i="1"/>
  <c r="AV539" i="1"/>
  <c r="AV538" i="1"/>
  <c r="AV537" i="1"/>
  <c r="AV536" i="1"/>
  <c r="AV535" i="1"/>
  <c r="AV534" i="1"/>
  <c r="AV533" i="1"/>
  <c r="AV532" i="1"/>
  <c r="AV531" i="1"/>
  <c r="AV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AV513" i="1"/>
  <c r="AV512" i="1"/>
  <c r="AK512" i="1"/>
  <c r="AW83" i="1"/>
  <c r="AL83" i="1"/>
  <c r="AW75" i="1"/>
  <c r="AW74" i="1"/>
  <c r="AW54" i="1"/>
  <c r="AW94" i="1"/>
  <c r="AW93" i="1"/>
  <c r="AW110" i="1"/>
  <c r="AW109" i="1"/>
  <c r="AW113" i="1"/>
  <c r="AQ73" i="1"/>
  <c r="AR73" i="1"/>
  <c r="AQ37" i="1"/>
  <c r="AR37" i="1"/>
  <c r="AQ20" i="1"/>
  <c r="AQ19" i="1"/>
  <c r="AR20" i="1"/>
  <c r="AR19" i="1"/>
  <c r="AV469" i="1"/>
  <c r="AV431" i="1"/>
  <c r="AV291" i="1"/>
  <c r="AU252" i="1"/>
  <c r="AW114" i="1"/>
  <c r="AL53" i="1"/>
  <c r="G8" i="1"/>
  <c r="AU107" i="1"/>
  <c r="AV290" i="1"/>
  <c r="AU170" i="1"/>
  <c r="AV170" i="1" s="1"/>
  <c r="AU169" i="1"/>
  <c r="AV169" i="1" s="1"/>
  <c r="AU168" i="1"/>
  <c r="AV168" i="1" s="1"/>
  <c r="AU167" i="1"/>
  <c r="AV167" i="1" s="1"/>
  <c r="AU299" i="1"/>
  <c r="AV137" i="1"/>
  <c r="AU257" i="1"/>
  <c r="AV257" i="1" s="1"/>
  <c r="AU258" i="1"/>
  <c r="AV258" i="1" s="1"/>
  <c r="AU259" i="1"/>
  <c r="AU260" i="1"/>
  <c r="AU261" i="1"/>
  <c r="AU262" i="1"/>
  <c r="AU263" i="1"/>
  <c r="AU178" i="1"/>
  <c r="AU179" i="1"/>
  <c r="AU180" i="1"/>
  <c r="AV180" i="1" s="1"/>
  <c r="AU181" i="1"/>
  <c r="AV181" i="1" s="1"/>
  <c r="AU182" i="1"/>
  <c r="AU183" i="1"/>
  <c r="AU184" i="1"/>
  <c r="AU185" i="1"/>
  <c r="AU186" i="1"/>
  <c r="AU187" i="1"/>
  <c r="AV187" i="1" s="1"/>
  <c r="AU188" i="1"/>
  <c r="AU189" i="1"/>
  <c r="AV189" i="1" s="1"/>
  <c r="AU190" i="1"/>
  <c r="AU191" i="1"/>
  <c r="AU192" i="1"/>
  <c r="AU193" i="1"/>
  <c r="AU194" i="1"/>
  <c r="AU195" i="1"/>
  <c r="AV195" i="1" s="1"/>
  <c r="AU196" i="1"/>
  <c r="AV196" i="1" s="1"/>
  <c r="AU197" i="1"/>
  <c r="AU198" i="1"/>
  <c r="AV198" i="1" s="1"/>
  <c r="AU199" i="1"/>
  <c r="AV199" i="1" s="1"/>
  <c r="AU200" i="1"/>
  <c r="AU201" i="1"/>
  <c r="AU202" i="1"/>
  <c r="AV202" i="1" s="1"/>
  <c r="AU203" i="1"/>
  <c r="AU204" i="1"/>
  <c r="AU205" i="1"/>
  <c r="AV205" i="1" s="1"/>
  <c r="AU228" i="1"/>
  <c r="AU227" i="1"/>
  <c r="AU226" i="1"/>
  <c r="AU225" i="1"/>
  <c r="AU224" i="1"/>
  <c r="AU223" i="1"/>
  <c r="AV223" i="1" s="1"/>
  <c r="AU222" i="1"/>
  <c r="AU229" i="1"/>
  <c r="AV229" i="1" s="1"/>
  <c r="AU230" i="1"/>
  <c r="AU231" i="1"/>
  <c r="AV231" i="1" s="1"/>
  <c r="AU232" i="1"/>
  <c r="AU233" i="1"/>
  <c r="AV233" i="1" s="1"/>
  <c r="AU234" i="1"/>
  <c r="AU235" i="1"/>
  <c r="AV235" i="1" s="1"/>
  <c r="AU236" i="1"/>
  <c r="AV236" i="1" s="1"/>
  <c r="AU237" i="1"/>
  <c r="AU238" i="1"/>
  <c r="AU239" i="1"/>
  <c r="AU240" i="1"/>
  <c r="AU241" i="1"/>
  <c r="AU256" i="1"/>
  <c r="AV256" i="1" s="1"/>
  <c r="AU255" i="1"/>
  <c r="AU254" i="1"/>
  <c r="AU253" i="1"/>
  <c r="AU251" i="1"/>
  <c r="AU250" i="1"/>
  <c r="AV250" i="1" s="1"/>
  <c r="AU266" i="1"/>
  <c r="AU267" i="1"/>
  <c r="AU268" i="1"/>
  <c r="AU269" i="1"/>
  <c r="AU270" i="1"/>
  <c r="AV270" i="1" s="1"/>
  <c r="AU271" i="1"/>
  <c r="AU272" i="1"/>
  <c r="AU281" i="1"/>
  <c r="AV281" i="1" s="1"/>
  <c r="AU283" i="1"/>
  <c r="AV283" i="1" s="1"/>
  <c r="AU284" i="1"/>
  <c r="AU285" i="1"/>
  <c r="AV285" i="1" s="1"/>
  <c r="AU286" i="1"/>
  <c r="AL93" i="1"/>
  <c r="AL94" i="1"/>
  <c r="AL75" i="1"/>
  <c r="AV116" i="1"/>
  <c r="AV117" i="1"/>
  <c r="AV118" i="1"/>
  <c r="AV119" i="1"/>
  <c r="AV120" i="1"/>
  <c r="AV121" i="1"/>
  <c r="AV122" i="1"/>
  <c r="AV125" i="1"/>
  <c r="AV126" i="1"/>
  <c r="AV127" i="1"/>
  <c r="AV131" i="1"/>
  <c r="AV132" i="1"/>
  <c r="AV133" i="1"/>
  <c r="AV135" i="1"/>
  <c r="AV136" i="1"/>
  <c r="AV138" i="1"/>
  <c r="AV139" i="1"/>
  <c r="AV141" i="1"/>
  <c r="AV142" i="1"/>
  <c r="AV144" i="1"/>
  <c r="AV146" i="1"/>
  <c r="AV147" i="1"/>
  <c r="AV149" i="1"/>
  <c r="AV150" i="1"/>
  <c r="AV152" i="1"/>
  <c r="AV153" i="1"/>
  <c r="AV155" i="1"/>
  <c r="AV159" i="1"/>
  <c r="AV160" i="1"/>
  <c r="AV161" i="1"/>
  <c r="AV162" i="1"/>
  <c r="AV158" i="1"/>
  <c r="AV163" i="1"/>
  <c r="AV166" i="1"/>
  <c r="AV292" i="1"/>
  <c r="AV293" i="1"/>
  <c r="AV295" i="1"/>
  <c r="AV296" i="1"/>
  <c r="AV297" i="1"/>
  <c r="AV298" i="1"/>
  <c r="AV312" i="1"/>
  <c r="AV313" i="1"/>
  <c r="AV316" i="1"/>
  <c r="AV317" i="1"/>
  <c r="AV321" i="1"/>
  <c r="AV322" i="1"/>
  <c r="AV323" i="1"/>
  <c r="AV324" i="1"/>
  <c r="AV325" i="1"/>
  <c r="AV326" i="1"/>
  <c r="AV329" i="1"/>
  <c r="AV330" i="1"/>
  <c r="AV331" i="1"/>
  <c r="AV332" i="1"/>
  <c r="AV336" i="1"/>
  <c r="AV337" i="1"/>
  <c r="AV338" i="1"/>
  <c r="AV339" i="1"/>
  <c r="AV343" i="1"/>
  <c r="AV344" i="1"/>
  <c r="AV345" i="1"/>
  <c r="AV346" i="1"/>
  <c r="AV349" i="1"/>
  <c r="AV350" i="1"/>
  <c r="AV351" i="1"/>
  <c r="AV352" i="1"/>
  <c r="AV356" i="1"/>
  <c r="AV357" i="1"/>
  <c r="AV358" i="1"/>
  <c r="AV359" i="1"/>
  <c r="AV363" i="1"/>
  <c r="AV364" i="1"/>
  <c r="AV365" i="1"/>
  <c r="AV366" i="1"/>
  <c r="AV369" i="1"/>
  <c r="AV370" i="1"/>
  <c r="AV371" i="1"/>
  <c r="AV372" i="1"/>
  <c r="AV375" i="1"/>
  <c r="AV376" i="1"/>
  <c r="AV377" i="1"/>
  <c r="AV378" i="1"/>
  <c r="AV381" i="1"/>
  <c r="AV382" i="1"/>
  <c r="AV383" i="1"/>
  <c r="AV384" i="1"/>
  <c r="AV387" i="1"/>
  <c r="AV388" i="1"/>
  <c r="AV389" i="1"/>
  <c r="AV390" i="1"/>
  <c r="AV394" i="1"/>
  <c r="AV395" i="1"/>
  <c r="AV396" i="1"/>
  <c r="AV397" i="1"/>
  <c r="AV429" i="1"/>
  <c r="AV430" i="1"/>
  <c r="AV470" i="1"/>
  <c r="AV479" i="1"/>
  <c r="AV480" i="1"/>
  <c r="AV481" i="1"/>
  <c r="AV482" i="1"/>
  <c r="AV483" i="1"/>
  <c r="AV484" i="1"/>
  <c r="AV497" i="1"/>
  <c r="AV499" i="1"/>
  <c r="AV500" i="1"/>
  <c r="AV502" i="1"/>
  <c r="AV503" i="1"/>
  <c r="AV505" i="1"/>
  <c r="AV506" i="1"/>
  <c r="AV507" i="1"/>
  <c r="AV508" i="1"/>
  <c r="AV509" i="1"/>
  <c r="AV510" i="1"/>
  <c r="AV511" i="1"/>
  <c r="AG511" i="1"/>
  <c r="AG510" i="1"/>
  <c r="AG509" i="1"/>
  <c r="AG507" i="1"/>
  <c r="AG506" i="1"/>
  <c r="AG505" i="1"/>
  <c r="AU504" i="1"/>
  <c r="AV504" i="1" s="1"/>
  <c r="AG504" i="1"/>
  <c r="AG503" i="1"/>
  <c r="AG502" i="1"/>
  <c r="AG500" i="1"/>
  <c r="AG499" i="1"/>
  <c r="AU498" i="1"/>
  <c r="AV498" i="1" s="1"/>
  <c r="AG498" i="1"/>
  <c r="AG497" i="1"/>
  <c r="AG292" i="1"/>
  <c r="AU288" i="1"/>
  <c r="AV288" i="1" s="1"/>
  <c r="BA288" i="1" s="1"/>
  <c r="AT154" i="1"/>
  <c r="AV154" i="1" s="1"/>
  <c r="AT151" i="1"/>
  <c r="AV151" i="1" s="1"/>
  <c r="AT145" i="1"/>
  <c r="AV145" i="1" s="1"/>
  <c r="AT143" i="1"/>
  <c r="AV143" i="1" s="1"/>
  <c r="AU112" i="1"/>
  <c r="AV112" i="1" s="1"/>
  <c r="AU111" i="1"/>
  <c r="AU108" i="1"/>
  <c r="AU104" i="1"/>
  <c r="AV104" i="1" s="1"/>
  <c r="AU102" i="1"/>
  <c r="AU101" i="1"/>
  <c r="AV101" i="1" s="1"/>
  <c r="AQ96" i="1"/>
  <c r="AU96" i="1" s="1"/>
  <c r="AU95" i="1"/>
  <c r="AU92" i="1"/>
  <c r="AU90" i="1"/>
  <c r="AV90" i="1" s="1"/>
  <c r="AU89" i="1"/>
  <c r="AU88" i="1"/>
  <c r="AU81" i="1"/>
  <c r="AU79" i="1"/>
  <c r="AU72" i="1"/>
  <c r="AU69" i="1"/>
  <c r="AU65" i="1"/>
  <c r="AU64" i="1"/>
  <c r="AU52" i="1"/>
  <c r="AU51" i="1"/>
  <c r="AV51" i="1" s="1"/>
  <c r="AU50" i="1"/>
  <c r="AV50" i="1" s="1"/>
  <c r="AU49" i="1"/>
  <c r="AV49" i="1" s="1"/>
  <c r="AU42" i="1"/>
  <c r="AV42" i="1" s="1"/>
  <c r="AU38" i="1"/>
  <c r="AW38" i="1" s="1"/>
  <c r="AU34" i="1"/>
  <c r="AW34" i="1" s="1"/>
  <c r="AU33" i="1"/>
  <c r="AR29" i="1"/>
  <c r="AU29" i="1" s="1"/>
  <c r="AU28" i="1"/>
  <c r="AU27" i="1"/>
  <c r="AU22" i="1"/>
  <c r="AU21" i="1"/>
  <c r="AW21" i="1" s="1"/>
  <c r="AK21" i="1" s="1"/>
  <c r="AQ18" i="1"/>
  <c r="AU18" i="1" s="1"/>
  <c r="AQ17" i="1"/>
  <c r="AU17" i="1" s="1"/>
  <c r="AV17" i="1" s="1"/>
  <c r="AQ16" i="1"/>
  <c r="AU16" i="1" s="1"/>
  <c r="AQ15" i="1"/>
  <c r="AU15" i="1" s="1"/>
  <c r="AQ14" i="1"/>
  <c r="AU14" i="1" s="1"/>
  <c r="AV14" i="1" s="1"/>
  <c r="AW394" i="1"/>
  <c r="AW341" i="1"/>
  <c r="AW334" i="1"/>
  <c r="AV467" i="1"/>
  <c r="AV466" i="1"/>
  <c r="AW469" i="1"/>
  <c r="AV465" i="1"/>
  <c r="AW543" i="1"/>
  <c r="Z543" i="1" s="1"/>
  <c r="AX80" i="1" l="1"/>
  <c r="AX745" i="1"/>
  <c r="AX39" i="1"/>
  <c r="AX282" i="1"/>
  <c r="AL282" i="1" s="1"/>
  <c r="AX1065" i="1"/>
  <c r="AX1064" i="1"/>
  <c r="AX1067" i="1"/>
  <c r="AX1066" i="1"/>
  <c r="AX71" i="1"/>
  <c r="AB71" i="1" s="1"/>
  <c r="AX165" i="1"/>
  <c r="AX30" i="1"/>
  <c r="AL30" i="1" s="1"/>
  <c r="AX1063" i="1"/>
  <c r="AB1063" i="1" s="1"/>
  <c r="AV201" i="1"/>
  <c r="AW201" i="1"/>
  <c r="Z201" i="1" s="1"/>
  <c r="AX428" i="1"/>
  <c r="AX424" i="1"/>
  <c r="AX426" i="1"/>
  <c r="AX425" i="1"/>
  <c r="AX423" i="1"/>
  <c r="AX175" i="1"/>
  <c r="AX427" i="1"/>
  <c r="AX148" i="1"/>
  <c r="AL148" i="1" s="1"/>
  <c r="AX115" i="1"/>
  <c r="AX44" i="1"/>
  <c r="AX43" i="1"/>
  <c r="AX41" i="1"/>
  <c r="AB41" i="1" s="1"/>
  <c r="AX35" i="1"/>
  <c r="AX40" i="1"/>
  <c r="AX36" i="1"/>
  <c r="AX450" i="1"/>
  <c r="AX445" i="1"/>
  <c r="AX449" i="1"/>
  <c r="AX439" i="1"/>
  <c r="AX437" i="1"/>
  <c r="AX446" i="1"/>
  <c r="AX441" i="1"/>
  <c r="AX436" i="1"/>
  <c r="AX444" i="1"/>
  <c r="AX448" i="1"/>
  <c r="AX447" i="1"/>
  <c r="AX440" i="1"/>
  <c r="AX438" i="1"/>
  <c r="AX443" i="1"/>
  <c r="AX442" i="1"/>
  <c r="AX457" i="1"/>
  <c r="AX455" i="1"/>
  <c r="AX458" i="1"/>
  <c r="AX454" i="1"/>
  <c r="AX456" i="1"/>
  <c r="AX172" i="1"/>
  <c r="AL172" i="1" s="1"/>
  <c r="AX433" i="1"/>
  <c r="AX432" i="1"/>
  <c r="AX435" i="1"/>
  <c r="AL435" i="1" s="1"/>
  <c r="AX434" i="1"/>
  <c r="AL434" i="1" s="1"/>
  <c r="AX794" i="1"/>
  <c r="AL794" i="1" s="1"/>
  <c r="AX123" i="1"/>
  <c r="AX124" i="1"/>
  <c r="AX110" i="1"/>
  <c r="AX113" i="1"/>
  <c r="AL113" i="1" s="1"/>
  <c r="AX109" i="1"/>
  <c r="AL109" i="1" s="1"/>
  <c r="AX114" i="1"/>
  <c r="AL114" i="1" s="1"/>
  <c r="AX777" i="1"/>
  <c r="AB777" i="1" s="1"/>
  <c r="AX577" i="1"/>
  <c r="AB577" i="1" s="1"/>
  <c r="AX87" i="1"/>
  <c r="AX512" i="1"/>
  <c r="AB512" i="1" s="1"/>
  <c r="BB792" i="1"/>
  <c r="BD792" i="1" s="1"/>
  <c r="AH792" i="1"/>
  <c r="AI792" i="1" s="1"/>
  <c r="BB790" i="1"/>
  <c r="BC790" i="1" s="1"/>
  <c r="AH790" i="1"/>
  <c r="AI790" i="1" s="1"/>
  <c r="BB814" i="1"/>
  <c r="BD814" i="1" s="1"/>
  <c r="AH814" i="1"/>
  <c r="AI814" i="1" s="1"/>
  <c r="AK780" i="1"/>
  <c r="AM780" i="1" s="1"/>
  <c r="Z808" i="1"/>
  <c r="AK808" i="1"/>
  <c r="Z113" i="1"/>
  <c r="AK113" i="1"/>
  <c r="AB305" i="1"/>
  <c r="BB305" i="1" s="1"/>
  <c r="BE305" i="1" s="1"/>
  <c r="AL305" i="1"/>
  <c r="AB74" i="1"/>
  <c r="AL74" i="1"/>
  <c r="Z109" i="1"/>
  <c r="AK109" i="1"/>
  <c r="AK306" i="1"/>
  <c r="Z306" i="1"/>
  <c r="Z110" i="1"/>
  <c r="AK110" i="1"/>
  <c r="AB306" i="1"/>
  <c r="BB306" i="1" s="1"/>
  <c r="BE306" i="1" s="1"/>
  <c r="AL306" i="1"/>
  <c r="Z93" i="1"/>
  <c r="AK93" i="1"/>
  <c r="AK307" i="1"/>
  <c r="Z307" i="1"/>
  <c r="AK302" i="1"/>
  <c r="Z302" i="1"/>
  <c r="Z305" i="1"/>
  <c r="AK305" i="1"/>
  <c r="AB54" i="1"/>
  <c r="AL54" i="1"/>
  <c r="Z94" i="1"/>
  <c r="AK94" i="1"/>
  <c r="AK53" i="1"/>
  <c r="Z53" i="1"/>
  <c r="Z802" i="1"/>
  <c r="AK802" i="1"/>
  <c r="Z54" i="1"/>
  <c r="AK54" i="1"/>
  <c r="AK308" i="1"/>
  <c r="Z308" i="1"/>
  <c r="Z114" i="1"/>
  <c r="AK114" i="1"/>
  <c r="AK74" i="1"/>
  <c r="Z74" i="1"/>
  <c r="Z75" i="1"/>
  <c r="AK75" i="1"/>
  <c r="Z310" i="1"/>
  <c r="AK310" i="1"/>
  <c r="Z800" i="1"/>
  <c r="AK800" i="1"/>
  <c r="AB310" i="1"/>
  <c r="BB310" i="1" s="1"/>
  <c r="BE310" i="1" s="1"/>
  <c r="AL310" i="1"/>
  <c r="Z83" i="1"/>
  <c r="AK83" i="1"/>
  <c r="Z311" i="1"/>
  <c r="AK311" i="1"/>
  <c r="AB311" i="1"/>
  <c r="BB311" i="1" s="1"/>
  <c r="BE311" i="1" s="1"/>
  <c r="AL311" i="1"/>
  <c r="AK799" i="1"/>
  <c r="Z799" i="1"/>
  <c r="Z797" i="1"/>
  <c r="AK797" i="1"/>
  <c r="Z801" i="1"/>
  <c r="AK801" i="1"/>
  <c r="Z812" i="1"/>
  <c r="AK812" i="1"/>
  <c r="AB302" i="1"/>
  <c r="BB302" i="1" s="1"/>
  <c r="BD302" i="1" s="1"/>
  <c r="AL302" i="1"/>
  <c r="AB304" i="1"/>
  <c r="BB304" i="1" s="1"/>
  <c r="BC304" i="1" s="1"/>
  <c r="AL304" i="1"/>
  <c r="Z811" i="1"/>
  <c r="AK811" i="1"/>
  <c r="AK300" i="1"/>
  <c r="Z300" i="1"/>
  <c r="AK798" i="1"/>
  <c r="Z798" i="1"/>
  <c r="Z810" i="1"/>
  <c r="AK810" i="1"/>
  <c r="Z304" i="1"/>
  <c r="AK304" i="1"/>
  <c r="Z809" i="1"/>
  <c r="AK809" i="1"/>
  <c r="AK301" i="1"/>
  <c r="Z301" i="1"/>
  <c r="AB307" i="1"/>
  <c r="BB307" i="1" s="1"/>
  <c r="AB308" i="1"/>
  <c r="BB308" i="1" s="1"/>
  <c r="AB301" i="1"/>
  <c r="BB301" i="1" s="1"/>
  <c r="AB300" i="1"/>
  <c r="BB300" i="1" s="1"/>
  <c r="AK814" i="1"/>
  <c r="Z814" i="1" s="1"/>
  <c r="AM814" i="1" s="1"/>
  <c r="AL810" i="1"/>
  <c r="AL802" i="1"/>
  <c r="AX560" i="1"/>
  <c r="AB560" i="1" s="1"/>
  <c r="AX248" i="1"/>
  <c r="AX100" i="1"/>
  <c r="AB100" i="1" s="1"/>
  <c r="AX98" i="1"/>
  <c r="AX563" i="1"/>
  <c r="AL563" i="1" s="1"/>
  <c r="AX565" i="1"/>
  <c r="AB565" i="1" s="1"/>
  <c r="AX578" i="1"/>
  <c r="AL578" i="1" s="1"/>
  <c r="AX559" i="1"/>
  <c r="AL559" i="1" s="1"/>
  <c r="AX576" i="1"/>
  <c r="AB576" i="1" s="1"/>
  <c r="AX564" i="1"/>
  <c r="AL564" i="1" s="1"/>
  <c r="AX558" i="1"/>
  <c r="AL558" i="1" s="1"/>
  <c r="AX796" i="1"/>
  <c r="AL796" i="1" s="1"/>
  <c r="AX492" i="1"/>
  <c r="AX491" i="1"/>
  <c r="AX493" i="1"/>
  <c r="AX490" i="1"/>
  <c r="AX494" i="1"/>
  <c r="AX489" i="1"/>
  <c r="AX496" i="1"/>
  <c r="AX495" i="1"/>
  <c r="AX795" i="1"/>
  <c r="AX247" i="1"/>
  <c r="AB247" i="1" s="1"/>
  <c r="AX242" i="1"/>
  <c r="AX568" i="1"/>
  <c r="AB568" i="1" s="1"/>
  <c r="AX249" i="1"/>
  <c r="AB249" i="1" s="1"/>
  <c r="AX561" i="1"/>
  <c r="AL561" i="1" s="1"/>
  <c r="AX70" i="1"/>
  <c r="AL70" i="1" s="1"/>
  <c r="AX61" i="1"/>
  <c r="AL61" i="1" s="1"/>
  <c r="AX82" i="1"/>
  <c r="AW557" i="1"/>
  <c r="AW60" i="1"/>
  <c r="AW463" i="1"/>
  <c r="AX463" i="1" s="1"/>
  <c r="AB463" i="1" s="1"/>
  <c r="AW398" i="1"/>
  <c r="AK398" i="1" s="1"/>
  <c r="Z398" i="1" s="1"/>
  <c r="AW133" i="1"/>
  <c r="AK133" i="1" s="1"/>
  <c r="AW395" i="1"/>
  <c r="AX395" i="1" s="1"/>
  <c r="AB395" i="1" s="1"/>
  <c r="AW327" i="1"/>
  <c r="AX327" i="1" s="1"/>
  <c r="AB327" i="1" s="1"/>
  <c r="AW399" i="1"/>
  <c r="AK399" i="1" s="1"/>
  <c r="AW538" i="1"/>
  <c r="AW142" i="1"/>
  <c r="Z142" i="1" s="1"/>
  <c r="AW551" i="1"/>
  <c r="AW295" i="1"/>
  <c r="AK295" i="1" s="1"/>
  <c r="AW289" i="1"/>
  <c r="Z289" i="1" s="1"/>
  <c r="AW118" i="1"/>
  <c r="AX118" i="1" s="1"/>
  <c r="AL118" i="1" s="1"/>
  <c r="AW571" i="1"/>
  <c r="AW149" i="1"/>
  <c r="AX149" i="1" s="1"/>
  <c r="AL149" i="1" s="1"/>
  <c r="AW549" i="1"/>
  <c r="AW166" i="1"/>
  <c r="AK166" i="1" s="1"/>
  <c r="AW316" i="1"/>
  <c r="AX316" i="1" s="1"/>
  <c r="AB316" i="1" s="1"/>
  <c r="AW368" i="1"/>
  <c r="AX368" i="1" s="1"/>
  <c r="AB368" i="1" s="1"/>
  <c r="AW544" i="1"/>
  <c r="AW136" i="1"/>
  <c r="AX136" i="1" s="1"/>
  <c r="AL136" i="1" s="1"/>
  <c r="AW397" i="1"/>
  <c r="AX397" i="1" s="1"/>
  <c r="AB397" i="1" s="1"/>
  <c r="AW290" i="1"/>
  <c r="AK290" i="1" s="1"/>
  <c r="AW367" i="1"/>
  <c r="AX367" i="1" s="1"/>
  <c r="AB367" i="1" s="1"/>
  <c r="AW507" i="1"/>
  <c r="AX507" i="1" s="1"/>
  <c r="AB507" i="1" s="1"/>
  <c r="AW158" i="1"/>
  <c r="AX158" i="1" s="1"/>
  <c r="AB158" i="1" s="1"/>
  <c r="AW366" i="1"/>
  <c r="AX366" i="1" s="1"/>
  <c r="AW530" i="1"/>
  <c r="AW533" i="1"/>
  <c r="AW350" i="1"/>
  <c r="AX350" i="1" s="1"/>
  <c r="AW162" i="1"/>
  <c r="Z162" i="1" s="1"/>
  <c r="AW141" i="1"/>
  <c r="AK141" i="1" s="1"/>
  <c r="AW339" i="1"/>
  <c r="AX339" i="1" s="1"/>
  <c r="AL339" i="1" s="1"/>
  <c r="AW120" i="1"/>
  <c r="AX120" i="1" s="1"/>
  <c r="AK312" i="1"/>
  <c r="AW382" i="1"/>
  <c r="AK382" i="1" s="1"/>
  <c r="Z382" i="1" s="1"/>
  <c r="AW174" i="1"/>
  <c r="AW157" i="1"/>
  <c r="AW156" i="1"/>
  <c r="AW176" i="1"/>
  <c r="AW177" i="1"/>
  <c r="AW66" i="1"/>
  <c r="AW67" i="1"/>
  <c r="AW318" i="1"/>
  <c r="AW315" i="1"/>
  <c r="AW314" i="1"/>
  <c r="AW106" i="1"/>
  <c r="AX106" i="1" s="1"/>
  <c r="AW105" i="1"/>
  <c r="AX105" i="1" s="1"/>
  <c r="AW85" i="1"/>
  <c r="AW291" i="1"/>
  <c r="Z291" i="1" s="1"/>
  <c r="AX562" i="1"/>
  <c r="AB562" i="1" s="1"/>
  <c r="AX574" i="1"/>
  <c r="AB574" i="1" s="1"/>
  <c r="AX567" i="1"/>
  <c r="AL567" i="1" s="1"/>
  <c r="AX569" i="1"/>
  <c r="AB569" i="1" s="1"/>
  <c r="AW336" i="1"/>
  <c r="AX336" i="1" s="1"/>
  <c r="AW541" i="1"/>
  <c r="AW470" i="1"/>
  <c r="AK470" i="1" s="1"/>
  <c r="Z470" i="1" s="1"/>
  <c r="AW573" i="1"/>
  <c r="AW297" i="1"/>
  <c r="Z297" i="1" s="1"/>
  <c r="AW481" i="1"/>
  <c r="AX481" i="1" s="1"/>
  <c r="AL481" i="1" s="1"/>
  <c r="AW126" i="1"/>
  <c r="AK126" i="1" s="1"/>
  <c r="AW540" i="1"/>
  <c r="AW473" i="1"/>
  <c r="AX473" i="1" s="1"/>
  <c r="AL473" i="1" s="1"/>
  <c r="AW387" i="1"/>
  <c r="AX387" i="1" s="1"/>
  <c r="AL387" i="1" s="1"/>
  <c r="AW128" i="1"/>
  <c r="Z128" i="1" s="1"/>
  <c r="AW520" i="1"/>
  <c r="AW556" i="1"/>
  <c r="AW522" i="1"/>
  <c r="AW515" i="1"/>
  <c r="AW137" i="1"/>
  <c r="Z137" i="1" s="1"/>
  <c r="AW338" i="1"/>
  <c r="AX338" i="1" s="1"/>
  <c r="AB338" i="1" s="1"/>
  <c r="AW380" i="1"/>
  <c r="AX380" i="1" s="1"/>
  <c r="AL380" i="1" s="1"/>
  <c r="AW378" i="1"/>
  <c r="AX378" i="1" s="1"/>
  <c r="AW228" i="1"/>
  <c r="AK228" i="1" s="1"/>
  <c r="AW190" i="1"/>
  <c r="AX190" i="1" s="1"/>
  <c r="AW324" i="1"/>
  <c r="AX324" i="1" s="1"/>
  <c r="AL324" i="1" s="1"/>
  <c r="AW502" i="1"/>
  <c r="AX502" i="1" s="1"/>
  <c r="AL502" i="1" s="1"/>
  <c r="AW119" i="1"/>
  <c r="AX119" i="1" s="1"/>
  <c r="AW523" i="1"/>
  <c r="AW344" i="1"/>
  <c r="AX344" i="1" s="1"/>
  <c r="AL344" i="1" s="1"/>
  <c r="AW127" i="1"/>
  <c r="Z127" i="1" s="1"/>
  <c r="AW547" i="1"/>
  <c r="AW516" i="1"/>
  <c r="AW383" i="1"/>
  <c r="AX383" i="1" s="1"/>
  <c r="AB383" i="1" s="1"/>
  <c r="AW140" i="1"/>
  <c r="AK140" i="1" s="1"/>
  <c r="AW546" i="1"/>
  <c r="AW147" i="1"/>
  <c r="AW396" i="1"/>
  <c r="AK396" i="1" s="1"/>
  <c r="AW528" i="1"/>
  <c r="AW152" i="1"/>
  <c r="AX152" i="1" s="1"/>
  <c r="AL152" i="1" s="1"/>
  <c r="AW462" i="1"/>
  <c r="AX462" i="1" s="1"/>
  <c r="AL462" i="1" s="1"/>
  <c r="AW389" i="1"/>
  <c r="AK389" i="1" s="1"/>
  <c r="Z389" i="1" s="1"/>
  <c r="AM389" i="1" s="1"/>
  <c r="AX750" i="1"/>
  <c r="AW150" i="1"/>
  <c r="Z150" i="1" s="1"/>
  <c r="AW135" i="1"/>
  <c r="AX135" i="1" s="1"/>
  <c r="AW552" i="1"/>
  <c r="AW130" i="1"/>
  <c r="Z130" i="1" s="1"/>
  <c r="AW508" i="1"/>
  <c r="AX508" i="1" s="1"/>
  <c r="AW139" i="1"/>
  <c r="Z139" i="1" s="1"/>
  <c r="AW296" i="1"/>
  <c r="AX296" i="1" s="1"/>
  <c r="AL296" i="1" s="1"/>
  <c r="AW353" i="1"/>
  <c r="AX353" i="1" s="1"/>
  <c r="AW345" i="1"/>
  <c r="AX345" i="1" s="1"/>
  <c r="AX575" i="1"/>
  <c r="AB575" i="1" s="1"/>
  <c r="AX579" i="1"/>
  <c r="AB579" i="1" s="1"/>
  <c r="AX566" i="1"/>
  <c r="AL566" i="1" s="1"/>
  <c r="AW215" i="1"/>
  <c r="AK215" i="1" s="1"/>
  <c r="AW488" i="1"/>
  <c r="AW487" i="1"/>
  <c r="AW401" i="1"/>
  <c r="AX401" i="1" s="1"/>
  <c r="AB401" i="1" s="1"/>
  <c r="AW486" i="1"/>
  <c r="AW485" i="1"/>
  <c r="AW203" i="1"/>
  <c r="Z203" i="1" s="1"/>
  <c r="AW266" i="1"/>
  <c r="AX266" i="1" s="1"/>
  <c r="AB266" i="1" s="1"/>
  <c r="AW476" i="1"/>
  <c r="AX476" i="1" s="1"/>
  <c r="AW328" i="1"/>
  <c r="AX328" i="1" s="1"/>
  <c r="AL328" i="1" s="1"/>
  <c r="AW322" i="1"/>
  <c r="AK322" i="1" s="1"/>
  <c r="Z322" i="1" s="1"/>
  <c r="Z171" i="1"/>
  <c r="AW392" i="1"/>
  <c r="AX392" i="1" s="1"/>
  <c r="AB392" i="1" s="1"/>
  <c r="AW122" i="1"/>
  <c r="AX122" i="1" s="1"/>
  <c r="AW357" i="1"/>
  <c r="AX357" i="1" s="1"/>
  <c r="AW325" i="1"/>
  <c r="AX325" i="1" s="1"/>
  <c r="AL325" i="1" s="1"/>
  <c r="AW131" i="1"/>
  <c r="Z131" i="1" s="1"/>
  <c r="AW548" i="1"/>
  <c r="AW510" i="1"/>
  <c r="AK510" i="1" s="1"/>
  <c r="Z510" i="1" s="1"/>
  <c r="AW134" i="1"/>
  <c r="Z134" i="1" s="1"/>
  <c r="AW537" i="1"/>
  <c r="AW351" i="1"/>
  <c r="AX351" i="1" s="1"/>
  <c r="AW330" i="1"/>
  <c r="AX330" i="1" s="1"/>
  <c r="AL330" i="1" s="1"/>
  <c r="AW465" i="1"/>
  <c r="AX465" i="1" s="1"/>
  <c r="AL465" i="1" s="1"/>
  <c r="AW348" i="1"/>
  <c r="AX348" i="1" s="1"/>
  <c r="AL348" i="1" s="1"/>
  <c r="AW525" i="1"/>
  <c r="AW356" i="1"/>
  <c r="AX356" i="1" s="1"/>
  <c r="AL356" i="1" s="1"/>
  <c r="AW377" i="1"/>
  <c r="AX377" i="1" s="1"/>
  <c r="AL377" i="1" s="1"/>
  <c r="AW539" i="1"/>
  <c r="AW287" i="1"/>
  <c r="AK287" i="1" s="1"/>
  <c r="AW121" i="1"/>
  <c r="Z121" i="1" s="1"/>
  <c r="AW570" i="1"/>
  <c r="AW298" i="1"/>
  <c r="AX298" i="1" s="1"/>
  <c r="AL298" i="1" s="1"/>
  <c r="AW347" i="1"/>
  <c r="AK347" i="1" s="1"/>
  <c r="Z347" i="1" s="1"/>
  <c r="AM347" i="1" s="1"/>
  <c r="AW545" i="1"/>
  <c r="AW479" i="1"/>
  <c r="AX479" i="1" s="1"/>
  <c r="AB479" i="1" s="1"/>
  <c r="AW369" i="1"/>
  <c r="AX369" i="1" s="1"/>
  <c r="AB369" i="1" s="1"/>
  <c r="AW337" i="1"/>
  <c r="AX337" i="1" s="1"/>
  <c r="AL337" i="1" s="1"/>
  <c r="AW160" i="1"/>
  <c r="AK160" i="1" s="1"/>
  <c r="AW509" i="1"/>
  <c r="AK509" i="1" s="1"/>
  <c r="AW534" i="1"/>
  <c r="AW364" i="1"/>
  <c r="AX364" i="1" s="1"/>
  <c r="AL364" i="1" s="1"/>
  <c r="AW153" i="1"/>
  <c r="AX153" i="1" s="1"/>
  <c r="AW292" i="1"/>
  <c r="Z292" i="1" s="1"/>
  <c r="AW390" i="1"/>
  <c r="AX390" i="1" s="1"/>
  <c r="AW365" i="1"/>
  <c r="AX365" i="1" s="1"/>
  <c r="AB365" i="1" s="1"/>
  <c r="AW313" i="1"/>
  <c r="AK313" i="1" s="1"/>
  <c r="AW299" i="1"/>
  <c r="AX299" i="1" s="1"/>
  <c r="AB299" i="1" s="1"/>
  <c r="AW349" i="1"/>
  <c r="AX349" i="1" s="1"/>
  <c r="AL349" i="1" s="1"/>
  <c r="AW555" i="1"/>
  <c r="AW317" i="1"/>
  <c r="AK317" i="1" s="1"/>
  <c r="Z317" i="1" s="1"/>
  <c r="AM317" i="1" s="1"/>
  <c r="AW159" i="1"/>
  <c r="AX159" i="1" s="1"/>
  <c r="AL159" i="1" s="1"/>
  <c r="AW474" i="1"/>
  <c r="AX474" i="1" s="1"/>
  <c r="AB474" i="1" s="1"/>
  <c r="AW391" i="1"/>
  <c r="AX391" i="1" s="1"/>
  <c r="AL391" i="1" s="1"/>
  <c r="AW161" i="1"/>
  <c r="Z161" i="1" s="1"/>
  <c r="AW340" i="1"/>
  <c r="AX340" i="1" s="1"/>
  <c r="AB340" i="1" s="1"/>
  <c r="AW354" i="1"/>
  <c r="AX354" i="1" s="1"/>
  <c r="AB354" i="1" s="1"/>
  <c r="AW572" i="1"/>
  <c r="AW497" i="1"/>
  <c r="AX497" i="1" s="1"/>
  <c r="AL497" i="1" s="1"/>
  <c r="AW477" i="1"/>
  <c r="AX477" i="1" s="1"/>
  <c r="AL477" i="1" s="1"/>
  <c r="AW531" i="1"/>
  <c r="AW125" i="1"/>
  <c r="Z125" i="1" s="1"/>
  <c r="AW29" i="1"/>
  <c r="AK29" i="1" s="1"/>
  <c r="AW254" i="1"/>
  <c r="Z254" i="1" s="1"/>
  <c r="AW343" i="1"/>
  <c r="AX343" i="1" s="1"/>
  <c r="AB343" i="1" s="1"/>
  <c r="AW517" i="1"/>
  <c r="AW381" i="1"/>
  <c r="AX381" i="1" s="1"/>
  <c r="AB381" i="1" s="1"/>
  <c r="AW360" i="1"/>
  <c r="AK360" i="1" s="1"/>
  <c r="Z360" i="1" s="1"/>
  <c r="AW346" i="1"/>
  <c r="AX346" i="1" s="1"/>
  <c r="AB346" i="1" s="1"/>
  <c r="AW402" i="1"/>
  <c r="AX402" i="1" s="1"/>
  <c r="AL402" i="1" s="1"/>
  <c r="AK34" i="1"/>
  <c r="AW92" i="1"/>
  <c r="Z92" i="1" s="1"/>
  <c r="AW179" i="1"/>
  <c r="AX179" i="1" s="1"/>
  <c r="AL179" i="1" s="1"/>
  <c r="AW529" i="1"/>
  <c r="AW471" i="1"/>
  <c r="AX471" i="1" s="1"/>
  <c r="AW361" i="1"/>
  <c r="AK361" i="1" s="1"/>
  <c r="Z361" i="1" s="1"/>
  <c r="AM361" i="1" s="1"/>
  <c r="AW430" i="1"/>
  <c r="AX430" i="1" s="1"/>
  <c r="AB430" i="1" s="1"/>
  <c r="AW358" i="1"/>
  <c r="AK358" i="1" s="1"/>
  <c r="Z358" i="1" s="1"/>
  <c r="AM358" i="1" s="1"/>
  <c r="AW116" i="1"/>
  <c r="Z116" i="1" s="1"/>
  <c r="AX767" i="1"/>
  <c r="AW480" i="1"/>
  <c r="AX480" i="1" s="1"/>
  <c r="AB480" i="1" s="1"/>
  <c r="AW400" i="1"/>
  <c r="AX400" i="1" s="1"/>
  <c r="AL400" i="1" s="1"/>
  <c r="AW514" i="1"/>
  <c r="AW536" i="1"/>
  <c r="AW155" i="1"/>
  <c r="AK155" i="1" s="1"/>
  <c r="AW293" i="1"/>
  <c r="Z293" i="1" s="1"/>
  <c r="AW500" i="1"/>
  <c r="AX500" i="1" s="1"/>
  <c r="AL500" i="1" s="1"/>
  <c r="AW483" i="1"/>
  <c r="AX483" i="1" s="1"/>
  <c r="AL483" i="1" s="1"/>
  <c r="AW542" i="1"/>
  <c r="AW375" i="1"/>
  <c r="AX375" i="1" s="1"/>
  <c r="AB375" i="1" s="1"/>
  <c r="AW373" i="1"/>
  <c r="AX373" i="1" s="1"/>
  <c r="AW372" i="1"/>
  <c r="AX372" i="1" s="1"/>
  <c r="AB372" i="1" s="1"/>
  <c r="AW499" i="1"/>
  <c r="AX499" i="1" s="1"/>
  <c r="AL499" i="1" s="1"/>
  <c r="AW513" i="1"/>
  <c r="AW526" i="1"/>
  <c r="AW332" i="1"/>
  <c r="AX332" i="1" s="1"/>
  <c r="AL332" i="1" s="1"/>
  <c r="AW225" i="1"/>
  <c r="Z225" i="1" s="1"/>
  <c r="AW263" i="1"/>
  <c r="Z263" i="1" s="1"/>
  <c r="AW370" i="1"/>
  <c r="AX370" i="1" s="1"/>
  <c r="AL370" i="1" s="1"/>
  <c r="AW505" i="1"/>
  <c r="AX505" i="1" s="1"/>
  <c r="AB505" i="1" s="1"/>
  <c r="AW384" i="1"/>
  <c r="AX384" i="1" s="1"/>
  <c r="AL384" i="1" s="1"/>
  <c r="AW472" i="1"/>
  <c r="AX472" i="1" s="1"/>
  <c r="AB472" i="1" s="1"/>
  <c r="AW138" i="1"/>
  <c r="Z138" i="1" s="1"/>
  <c r="AW482" i="1"/>
  <c r="AX482" i="1" s="1"/>
  <c r="AL482" i="1" s="1"/>
  <c r="AW363" i="1"/>
  <c r="AX363" i="1" s="1"/>
  <c r="AL363" i="1" s="1"/>
  <c r="AW374" i="1"/>
  <c r="AX374" i="1" s="1"/>
  <c r="AL374" i="1" s="1"/>
  <c r="AW329" i="1"/>
  <c r="AX329" i="1" s="1"/>
  <c r="AW429" i="1"/>
  <c r="AX429" i="1" s="1"/>
  <c r="AL429" i="1" s="1"/>
  <c r="AW371" i="1"/>
  <c r="AK371" i="1" s="1"/>
  <c r="AW352" i="1"/>
  <c r="AX352" i="1" s="1"/>
  <c r="AB352" i="1" s="1"/>
  <c r="AW376" i="1"/>
  <c r="AX376" i="1" s="1"/>
  <c r="AL376" i="1" s="1"/>
  <c r="AW403" i="1"/>
  <c r="AX403" i="1" s="1"/>
  <c r="AB403" i="1" s="1"/>
  <c r="AW554" i="1"/>
  <c r="AW129" i="1"/>
  <c r="AK129" i="1" s="1"/>
  <c r="AW117" i="1"/>
  <c r="Z117" i="1" s="1"/>
  <c r="AW550" i="1"/>
  <c r="AW484" i="1"/>
  <c r="AX484" i="1" s="1"/>
  <c r="AL484" i="1" s="1"/>
  <c r="AW379" i="1"/>
  <c r="AX379" i="1" s="1"/>
  <c r="AL379" i="1" s="1"/>
  <c r="AW388" i="1"/>
  <c r="AX388" i="1" s="1"/>
  <c r="AW331" i="1"/>
  <c r="AX331" i="1" s="1"/>
  <c r="AL331" i="1" s="1"/>
  <c r="AW326" i="1"/>
  <c r="AK326" i="1" s="1"/>
  <c r="Z326" i="1" s="1"/>
  <c r="AW553" i="1"/>
  <c r="AW191" i="1"/>
  <c r="AX191" i="1" s="1"/>
  <c r="AB191" i="1" s="1"/>
  <c r="AW261" i="1"/>
  <c r="Z261" i="1" s="1"/>
  <c r="AW420" i="1"/>
  <c r="AW405" i="1"/>
  <c r="AW419" i="1"/>
  <c r="AW415" i="1"/>
  <c r="AW411" i="1"/>
  <c r="AW407" i="1"/>
  <c r="AW417" i="1"/>
  <c r="AW409" i="1"/>
  <c r="AW416" i="1"/>
  <c r="AW422" i="1"/>
  <c r="AW418" i="1"/>
  <c r="AW414" i="1"/>
  <c r="AW410" i="1"/>
  <c r="AW406" i="1"/>
  <c r="AW408" i="1"/>
  <c r="AW412" i="1"/>
  <c r="AW421" i="1"/>
  <c r="AW413" i="1"/>
  <c r="AW132" i="1"/>
  <c r="Z132" i="1" s="1"/>
  <c r="AW294" i="1"/>
  <c r="AX294" i="1" s="1"/>
  <c r="AL294" i="1" s="1"/>
  <c r="AW475" i="1"/>
  <c r="AK475" i="1" s="1"/>
  <c r="AW527" i="1"/>
  <c r="AW524" i="1"/>
  <c r="AW146" i="1"/>
  <c r="AX146" i="1" s="1"/>
  <c r="AB146" i="1" s="1"/>
  <c r="AW503" i="1"/>
  <c r="AX503" i="1" s="1"/>
  <c r="AB503" i="1" s="1"/>
  <c r="AW321" i="1"/>
  <c r="AK321" i="1" s="1"/>
  <c r="AW385" i="1"/>
  <c r="AX385" i="1" s="1"/>
  <c r="AL385" i="1" s="1"/>
  <c r="AW511" i="1"/>
  <c r="AW506" i="1"/>
  <c r="AX506" i="1" s="1"/>
  <c r="AL506" i="1" s="1"/>
  <c r="AX754" i="1"/>
  <c r="AW519" i="1"/>
  <c r="AW259" i="1"/>
  <c r="AK259" i="1" s="1"/>
  <c r="AW144" i="1"/>
  <c r="Z144" i="1" s="1"/>
  <c r="AW323" i="1"/>
  <c r="AK323" i="1" s="1"/>
  <c r="AW478" i="1"/>
  <c r="AX478" i="1" s="1"/>
  <c r="AB478" i="1" s="1"/>
  <c r="AW532" i="1"/>
  <c r="AW521" i="1"/>
  <c r="AX164" i="1"/>
  <c r="AB164" i="1" s="1"/>
  <c r="AW163" i="1"/>
  <c r="AX163" i="1" s="1"/>
  <c r="AL163" i="1" s="1"/>
  <c r="AW333" i="1"/>
  <c r="AX333" i="1" s="1"/>
  <c r="AL333" i="1" s="1"/>
  <c r="AW386" i="1"/>
  <c r="AX386" i="1" s="1"/>
  <c r="AB386" i="1" s="1"/>
  <c r="AW518" i="1"/>
  <c r="AW535" i="1"/>
  <c r="AX431" i="1"/>
  <c r="AL431" i="1" s="1"/>
  <c r="AW16" i="1"/>
  <c r="AK16" i="1" s="1"/>
  <c r="AB782" i="1"/>
  <c r="AW320" i="1"/>
  <c r="AW319" i="1"/>
  <c r="AW460" i="1"/>
  <c r="AW459" i="1"/>
  <c r="AX459" i="1" s="1"/>
  <c r="AW461" i="1"/>
  <c r="AW504" i="1"/>
  <c r="AX504" i="1" s="1"/>
  <c r="AL504" i="1" s="1"/>
  <c r="AW468" i="1"/>
  <c r="AX468" i="1" s="1"/>
  <c r="AL468" i="1" s="1"/>
  <c r="AW453" i="1"/>
  <c r="AW452" i="1"/>
  <c r="AW466" i="1"/>
  <c r="AX466" i="1" s="1"/>
  <c r="AL466" i="1" s="1"/>
  <c r="AW451" i="1"/>
  <c r="AW168" i="1"/>
  <c r="AW467" i="1"/>
  <c r="AX467" i="1" s="1"/>
  <c r="AB467" i="1" s="1"/>
  <c r="AW167" i="1"/>
  <c r="AX167" i="1" s="1"/>
  <c r="AW91" i="1"/>
  <c r="AK91" i="1" s="1"/>
  <c r="AW170" i="1"/>
  <c r="AX170" i="1" s="1"/>
  <c r="AB170" i="1" s="1"/>
  <c r="AW359" i="1"/>
  <c r="AX359" i="1" s="1"/>
  <c r="AB359" i="1" s="1"/>
  <c r="AW288" i="1"/>
  <c r="AK288" i="1" s="1"/>
  <c r="AV179" i="1"/>
  <c r="AV91" i="1"/>
  <c r="AW275" i="1"/>
  <c r="AK275" i="1" s="1"/>
  <c r="AW235" i="1"/>
  <c r="Z235" i="1" s="1"/>
  <c r="AW15" i="1"/>
  <c r="Z15" i="1" s="1"/>
  <c r="AW192" i="1"/>
  <c r="AX192" i="1" s="1"/>
  <c r="AL192" i="1" s="1"/>
  <c r="AW262" i="1"/>
  <c r="AK262" i="1" s="1"/>
  <c r="AV468" i="1"/>
  <c r="AW143" i="1"/>
  <c r="Z143" i="1" s="1"/>
  <c r="AW269" i="1"/>
  <c r="AK269" i="1" s="1"/>
  <c r="AW188" i="1"/>
  <c r="Z188" i="1" s="1"/>
  <c r="AW219" i="1"/>
  <c r="AX219" i="1" s="1"/>
  <c r="AL219" i="1" s="1"/>
  <c r="AW278" i="1"/>
  <c r="AX278" i="1" s="1"/>
  <c r="AW22" i="1"/>
  <c r="AX22" i="1" s="1"/>
  <c r="AB22" i="1" s="1"/>
  <c r="AW234" i="1"/>
  <c r="AX234" i="1" s="1"/>
  <c r="AB234" i="1" s="1"/>
  <c r="AW169" i="1"/>
  <c r="AX169" i="1" s="1"/>
  <c r="AL169" i="1" s="1"/>
  <c r="AW97" i="1"/>
  <c r="AX97" i="1" s="1"/>
  <c r="AL97" i="1" s="1"/>
  <c r="AW253" i="1"/>
  <c r="AX253" i="1" s="1"/>
  <c r="AW182" i="1"/>
  <c r="AX182" i="1" s="1"/>
  <c r="AB182" i="1" s="1"/>
  <c r="AW197" i="1"/>
  <c r="Z197" i="1" s="1"/>
  <c r="AW255" i="1"/>
  <c r="Z255" i="1" s="1"/>
  <c r="AW224" i="1"/>
  <c r="AX224" i="1" s="1"/>
  <c r="AL224" i="1" s="1"/>
  <c r="AM794" i="1"/>
  <c r="AW154" i="1"/>
  <c r="AX154" i="1" s="1"/>
  <c r="AL154" i="1" s="1"/>
  <c r="AW151" i="1"/>
  <c r="AK151" i="1" s="1"/>
  <c r="AW498" i="1"/>
  <c r="AX498" i="1" s="1"/>
  <c r="AL498" i="1" s="1"/>
  <c r="AW207" i="1"/>
  <c r="Z207" i="1" s="1"/>
  <c r="AW217" i="1"/>
  <c r="Z217" i="1" s="1"/>
  <c r="AW218" i="1"/>
  <c r="AX218" i="1" s="1"/>
  <c r="AL218" i="1" s="1"/>
  <c r="AW279" i="1"/>
  <c r="Z279" i="1" s="1"/>
  <c r="AW145" i="1"/>
  <c r="AK145" i="1" s="1"/>
  <c r="AW31" i="1"/>
  <c r="AM567" i="1"/>
  <c r="AW233" i="1"/>
  <c r="Z233" i="1" s="1"/>
  <c r="AW14" i="1"/>
  <c r="AX14" i="1" s="1"/>
  <c r="AW32" i="1"/>
  <c r="AK32" i="1" s="1"/>
  <c r="AW181" i="1"/>
  <c r="AX181" i="1" s="1"/>
  <c r="AL181" i="1" s="1"/>
  <c r="AV275" i="1"/>
  <c r="AL790" i="1"/>
  <c r="AN790" i="1" s="1"/>
  <c r="AB785" i="1"/>
  <c r="AK341" i="1"/>
  <c r="Z341" i="1" s="1"/>
  <c r="AV190" i="1"/>
  <c r="AW205" i="1"/>
  <c r="AX205" i="1" s="1"/>
  <c r="AB205" i="1" s="1"/>
  <c r="AB791" i="1"/>
  <c r="AW90" i="1"/>
  <c r="AX90" i="1" s="1"/>
  <c r="AV188" i="1"/>
  <c r="AV269" i="1"/>
  <c r="AW257" i="1"/>
  <c r="Z257" i="1" s="1"/>
  <c r="AW236" i="1"/>
  <c r="AX236" i="1" s="1"/>
  <c r="AL792" i="1"/>
  <c r="AN792" i="1" s="1"/>
  <c r="AW187" i="1"/>
  <c r="AX187" i="1" s="1"/>
  <c r="AB187" i="1" s="1"/>
  <c r="AW231" i="1"/>
  <c r="AX231" i="1" s="1"/>
  <c r="AL231" i="1" s="1"/>
  <c r="AX341" i="1"/>
  <c r="AL341" i="1" s="1"/>
  <c r="AV234" i="1"/>
  <c r="AV92" i="1"/>
  <c r="AV228" i="1"/>
  <c r="AM783" i="1"/>
  <c r="AM563" i="1"/>
  <c r="AW285" i="1"/>
  <c r="Z285" i="1" s="1"/>
  <c r="AV182" i="1"/>
  <c r="AM566" i="1"/>
  <c r="AW256" i="1"/>
  <c r="Z256" i="1" s="1"/>
  <c r="AV255" i="1"/>
  <c r="AK777" i="1"/>
  <c r="AW202" i="1"/>
  <c r="AX202" i="1" s="1"/>
  <c r="AL202" i="1" s="1"/>
  <c r="AV217" i="1"/>
  <c r="AW195" i="1"/>
  <c r="Z195" i="1" s="1"/>
  <c r="AW189" i="1"/>
  <c r="Z189" i="1" s="1"/>
  <c r="AW223" i="1"/>
  <c r="Z223" i="1" s="1"/>
  <c r="AV38" i="1"/>
  <c r="AW57" i="1"/>
  <c r="Z57" i="1" s="1"/>
  <c r="AV191" i="1"/>
  <c r="AW277" i="1"/>
  <c r="AK277" i="1" s="1"/>
  <c r="AW283" i="1"/>
  <c r="AK283" i="1" s="1"/>
  <c r="AW58" i="1"/>
  <c r="AV253" i="1"/>
  <c r="AU20" i="1"/>
  <c r="AV262" i="1"/>
  <c r="AW180" i="1"/>
  <c r="Z180" i="1" s="1"/>
  <c r="Z777" i="1"/>
  <c r="AW49" i="1"/>
  <c r="Z49" i="1" s="1"/>
  <c r="AM787" i="1"/>
  <c r="AW270" i="1"/>
  <c r="AK270" i="1" s="1"/>
  <c r="AW17" i="1"/>
  <c r="AV263" i="1"/>
  <c r="AW51" i="1"/>
  <c r="AX51" i="1" s="1"/>
  <c r="AL51" i="1" s="1"/>
  <c r="AV266" i="1"/>
  <c r="AV203" i="1"/>
  <c r="AV254" i="1"/>
  <c r="AV16" i="1"/>
  <c r="AV22" i="1"/>
  <c r="AV192" i="1"/>
  <c r="AW229" i="1"/>
  <c r="AV225" i="1"/>
  <c r="AW250" i="1"/>
  <c r="Z250" i="1" s="1"/>
  <c r="AW42" i="1"/>
  <c r="AW281" i="1"/>
  <c r="Z281" i="1" s="1"/>
  <c r="AV15" i="1"/>
  <c r="AV34" i="1"/>
  <c r="AM579" i="1"/>
  <c r="AV218" i="1"/>
  <c r="AV197" i="1"/>
  <c r="AB793" i="1"/>
  <c r="AW69" i="1"/>
  <c r="AK69" i="1" s="1"/>
  <c r="AV69" i="1"/>
  <c r="AW239" i="1"/>
  <c r="AV239" i="1"/>
  <c r="AW28" i="1"/>
  <c r="AK28" i="1" s="1"/>
  <c r="AV28" i="1"/>
  <c r="AV268" i="1"/>
  <c r="AW268" i="1"/>
  <c r="AK268" i="1" s="1"/>
  <c r="AW238" i="1"/>
  <c r="Z238" i="1" s="1"/>
  <c r="AV238" i="1"/>
  <c r="AL809" i="1"/>
  <c r="AV79" i="1"/>
  <c r="AW79" i="1"/>
  <c r="AK79" i="1" s="1"/>
  <c r="AV237" i="1"/>
  <c r="AW237" i="1"/>
  <c r="AK237" i="1" s="1"/>
  <c r="AV226" i="1"/>
  <c r="AW226" i="1"/>
  <c r="AK226" i="1" s="1"/>
  <c r="AM575" i="1"/>
  <c r="AB788" i="1"/>
  <c r="AL788" i="1"/>
  <c r="AB94" i="1"/>
  <c r="AV185" i="1"/>
  <c r="AW185" i="1"/>
  <c r="AW258" i="1"/>
  <c r="AK258" i="1" s="1"/>
  <c r="AW88" i="1"/>
  <c r="AV88" i="1"/>
  <c r="AB786" i="1"/>
  <c r="AL786" i="1"/>
  <c r="AX469" i="1"/>
  <c r="AL469" i="1" s="1"/>
  <c r="AK469" i="1"/>
  <c r="Z469" i="1" s="1"/>
  <c r="AM469" i="1" s="1"/>
  <c r="BB780" i="1"/>
  <c r="AW196" i="1"/>
  <c r="AX196" i="1" s="1"/>
  <c r="AX334" i="1"/>
  <c r="AK334" i="1"/>
  <c r="Z334" i="1" s="1"/>
  <c r="AL799" i="1"/>
  <c r="AB783" i="1"/>
  <c r="AL783" i="1"/>
  <c r="AW246" i="1"/>
  <c r="AV246" i="1"/>
  <c r="AV98" i="1"/>
  <c r="AB83" i="1"/>
  <c r="AW55" i="1"/>
  <c r="AX55" i="1" s="1"/>
  <c r="AW221" i="1"/>
  <c r="AX221" i="1" s="1"/>
  <c r="AL221" i="1" s="1"/>
  <c r="AV221" i="1"/>
  <c r="AM560" i="1"/>
  <c r="AW206" i="1"/>
  <c r="AX206" i="1" s="1"/>
  <c r="AV273" i="1"/>
  <c r="AW273" i="1"/>
  <c r="AK273" i="1" s="1"/>
  <c r="AW222" i="1"/>
  <c r="Z222" i="1" s="1"/>
  <c r="AV222" i="1"/>
  <c r="AW200" i="1"/>
  <c r="AK200" i="1" s="1"/>
  <c r="AV200" i="1"/>
  <c r="AV260" i="1"/>
  <c r="AW260" i="1"/>
  <c r="AX260" i="1" s="1"/>
  <c r="AL781" i="1"/>
  <c r="AB781" i="1"/>
  <c r="AV27" i="1"/>
  <c r="AW27" i="1"/>
  <c r="Z27" i="1" s="1"/>
  <c r="AV65" i="1"/>
  <c r="AW65" i="1"/>
  <c r="AV241" i="1"/>
  <c r="AW241" i="1"/>
  <c r="AM562" i="1"/>
  <c r="AW56" i="1"/>
  <c r="AW199" i="1"/>
  <c r="AU73" i="1"/>
  <c r="AV73" i="1" s="1"/>
  <c r="AL797" i="1"/>
  <c r="AW209" i="1"/>
  <c r="AK209" i="1" s="1"/>
  <c r="AV209" i="1"/>
  <c r="AV178" i="1"/>
  <c r="AW178" i="1"/>
  <c r="AV95" i="1"/>
  <c r="AW95" i="1"/>
  <c r="AV276" i="1"/>
  <c r="AW276" i="1"/>
  <c r="AW230" i="1"/>
  <c r="AK230" i="1" s="1"/>
  <c r="AV230" i="1"/>
  <c r="AW204" i="1"/>
  <c r="AV204" i="1"/>
  <c r="AW107" i="1"/>
  <c r="AV107" i="1"/>
  <c r="AM578" i="1"/>
  <c r="AL789" i="1"/>
  <c r="AB789" i="1"/>
  <c r="AW243" i="1"/>
  <c r="AV243" i="1"/>
  <c r="AV259" i="1"/>
  <c r="AV29" i="1"/>
  <c r="AV278" i="1"/>
  <c r="AV216" i="1"/>
  <c r="AW216" i="1"/>
  <c r="AV271" i="1"/>
  <c r="AW271" i="1"/>
  <c r="AL813" i="1"/>
  <c r="AV245" i="1"/>
  <c r="AW245" i="1"/>
  <c r="AV208" i="1"/>
  <c r="AW208" i="1"/>
  <c r="AV274" i="1"/>
  <c r="AW274" i="1"/>
  <c r="AB53" i="1"/>
  <c r="AU37" i="1"/>
  <c r="AW104" i="1"/>
  <c r="AV33" i="1"/>
  <c r="AW33" i="1"/>
  <c r="AX33" i="1" s="1"/>
  <c r="AV186" i="1"/>
  <c r="AW186" i="1"/>
  <c r="AL811" i="1"/>
  <c r="AN814" i="1"/>
  <c r="Z100" i="1"/>
  <c r="AM100" i="1" s="1"/>
  <c r="AM790" i="1"/>
  <c r="AV210" i="1"/>
  <c r="AW210" i="1"/>
  <c r="AK210" i="1" s="1"/>
  <c r="AW112" i="1"/>
  <c r="AV224" i="1"/>
  <c r="AV212" i="1"/>
  <c r="AW212" i="1"/>
  <c r="AM574" i="1"/>
  <c r="AB813" i="1"/>
  <c r="AV18" i="1"/>
  <c r="AW18" i="1"/>
  <c r="Z18" i="1" s="1"/>
  <c r="AW50" i="1"/>
  <c r="AW59" i="1"/>
  <c r="AW220" i="1"/>
  <c r="AW102" i="1"/>
  <c r="AV102" i="1"/>
  <c r="AW244" i="1"/>
  <c r="Z244" i="1" s="1"/>
  <c r="AV244" i="1"/>
  <c r="AV103" i="1"/>
  <c r="AW103" i="1"/>
  <c r="AB99" i="1"/>
  <c r="AX394" i="1"/>
  <c r="AK394" i="1"/>
  <c r="Z394" i="1" s="1"/>
  <c r="AM394" i="1" s="1"/>
  <c r="AW72" i="1"/>
  <c r="AV72" i="1"/>
  <c r="AW108" i="1"/>
  <c r="AV108" i="1"/>
  <c r="AB75" i="1"/>
  <c r="AW267" i="1"/>
  <c r="AV267" i="1"/>
  <c r="AB784" i="1"/>
  <c r="AL784" i="1"/>
  <c r="AV279" i="1"/>
  <c r="AW198" i="1"/>
  <c r="AM792" i="1"/>
  <c r="AL808" i="1"/>
  <c r="AV211" i="1"/>
  <c r="AW211" i="1"/>
  <c r="AW286" i="1"/>
  <c r="AV286" i="1"/>
  <c r="AV68" i="1"/>
  <c r="AW68" i="1"/>
  <c r="Z68" i="1" s="1"/>
  <c r="AV21" i="1"/>
  <c r="AV52" i="1"/>
  <c r="AW52" i="1"/>
  <c r="AW96" i="1"/>
  <c r="AV96" i="1"/>
  <c r="AV232" i="1"/>
  <c r="AW232" i="1"/>
  <c r="AW89" i="1"/>
  <c r="Z89" i="1" s="1"/>
  <c r="AV89" i="1"/>
  <c r="AL787" i="1"/>
  <c r="AB787" i="1"/>
  <c r="AV194" i="1"/>
  <c r="AW194" i="1"/>
  <c r="AV272" i="1"/>
  <c r="AW272" i="1"/>
  <c r="AX272" i="1" s="1"/>
  <c r="AU19" i="1"/>
  <c r="AW19" i="1" s="1"/>
  <c r="AK19" i="1" s="1"/>
  <c r="Z813" i="1"/>
  <c r="AM813" i="1" s="1"/>
  <c r="AW101" i="1"/>
  <c r="AV184" i="1"/>
  <c r="AW184" i="1"/>
  <c r="AK184" i="1" s="1"/>
  <c r="AV252" i="1"/>
  <c r="AW252" i="1"/>
  <c r="AW193" i="1"/>
  <c r="AV193" i="1"/>
  <c r="AV261" i="1"/>
  <c r="AV240" i="1"/>
  <c r="AW240" i="1"/>
  <c r="AM558" i="1"/>
  <c r="AM781" i="1"/>
  <c r="AL798" i="1"/>
  <c r="AM788" i="1"/>
  <c r="AW64" i="1"/>
  <c r="AX64" i="1" s="1"/>
  <c r="AB64" i="1" s="1"/>
  <c r="AV64" i="1"/>
  <c r="AW284" i="1"/>
  <c r="AV284" i="1"/>
  <c r="AW251" i="1"/>
  <c r="AV251" i="1"/>
  <c r="AM785" i="1"/>
  <c r="AK543" i="1"/>
  <c r="AX543" i="1"/>
  <c r="AV227" i="1"/>
  <c r="AW227" i="1"/>
  <c r="AV183" i="1"/>
  <c r="AW183" i="1"/>
  <c r="AM577" i="1"/>
  <c r="AW111" i="1"/>
  <c r="AV111" i="1"/>
  <c r="AM791" i="1"/>
  <c r="AM559" i="1"/>
  <c r="AM784" i="1"/>
  <c r="AV81" i="1"/>
  <c r="AW81" i="1"/>
  <c r="AM565" i="1"/>
  <c r="AM786" i="1"/>
  <c r="AM793" i="1"/>
  <c r="AM561" i="1"/>
  <c r="AB93" i="1"/>
  <c r="AM782" i="1"/>
  <c r="AB39" i="1" l="1"/>
  <c r="AL39" i="1"/>
  <c r="AB745" i="1"/>
  <c r="AL745" i="1"/>
  <c r="AB80" i="1"/>
  <c r="AL80" i="1"/>
  <c r="AB282" i="1"/>
  <c r="AH282" i="1" s="1"/>
  <c r="AI282" i="1" s="1"/>
  <c r="AL71" i="1"/>
  <c r="AN71" i="1" s="1"/>
  <c r="AB1066" i="1"/>
  <c r="AL1066" i="1"/>
  <c r="AL1064" i="1"/>
  <c r="AB1064" i="1"/>
  <c r="AL1067" i="1"/>
  <c r="AB1067" i="1"/>
  <c r="AB1065" i="1"/>
  <c r="AL1065" i="1"/>
  <c r="AB30" i="1"/>
  <c r="AH30" i="1" s="1"/>
  <c r="AI30" i="1" s="1"/>
  <c r="AL165" i="1"/>
  <c r="AB165" i="1"/>
  <c r="AH71" i="1"/>
  <c r="AI71" i="1" s="1"/>
  <c r="BB71" i="1"/>
  <c r="AL1063" i="1"/>
  <c r="AN1063" i="1" s="1"/>
  <c r="AL14" i="1"/>
  <c r="AB14" i="1"/>
  <c r="AH14" i="1" s="1"/>
  <c r="AI14" i="1" s="1"/>
  <c r="AL247" i="1"/>
  <c r="AB248" i="1"/>
  <c r="AB427" i="1"/>
  <c r="AL427" i="1"/>
  <c r="AL175" i="1"/>
  <c r="AB175" i="1"/>
  <c r="AH175" i="1" s="1"/>
  <c r="AI175" i="1" s="1"/>
  <c r="AL423" i="1"/>
  <c r="AB423" i="1"/>
  <c r="AL425" i="1"/>
  <c r="AB425" i="1"/>
  <c r="AL426" i="1"/>
  <c r="AB426" i="1"/>
  <c r="AL424" i="1"/>
  <c r="AB424" i="1"/>
  <c r="AB428" i="1"/>
  <c r="AL428" i="1"/>
  <c r="Z312" i="1"/>
  <c r="AM312" i="1" s="1"/>
  <c r="Z321" i="1"/>
  <c r="AM321" i="1" s="1"/>
  <c r="AB148" i="1"/>
  <c r="BB148" i="1" s="1"/>
  <c r="AB115" i="1"/>
  <c r="AL115" i="1"/>
  <c r="AL41" i="1"/>
  <c r="AN41" i="1" s="1"/>
  <c r="AL43" i="1"/>
  <c r="AB43" i="1"/>
  <c r="AL44" i="1"/>
  <c r="AB44" i="1"/>
  <c r="BB41" i="1"/>
  <c r="AH41" i="1"/>
  <c r="AI41" i="1" s="1"/>
  <c r="AL36" i="1"/>
  <c r="AB36" i="1"/>
  <c r="AB40" i="1"/>
  <c r="AL40" i="1"/>
  <c r="AL35" i="1"/>
  <c r="AB35" i="1"/>
  <c r="AL442" i="1"/>
  <c r="AB442" i="1"/>
  <c r="AH442" i="1" s="1"/>
  <c r="AI442" i="1" s="1"/>
  <c r="AL443" i="1"/>
  <c r="AB443" i="1"/>
  <c r="AH443" i="1" s="1"/>
  <c r="AI443" i="1" s="1"/>
  <c r="AL438" i="1"/>
  <c r="AB438" i="1"/>
  <c r="AH438" i="1" s="1"/>
  <c r="AI438" i="1" s="1"/>
  <c r="AB440" i="1"/>
  <c r="AH440" i="1" s="1"/>
  <c r="AI440" i="1" s="1"/>
  <c r="AL440" i="1"/>
  <c r="AL447" i="1"/>
  <c r="AB447" i="1"/>
  <c r="AH447" i="1" s="1"/>
  <c r="AI447" i="1" s="1"/>
  <c r="AL448" i="1"/>
  <c r="AB448" i="1"/>
  <c r="AH448" i="1" s="1"/>
  <c r="AI448" i="1" s="1"/>
  <c r="AL444" i="1"/>
  <c r="AB444" i="1"/>
  <c r="AH444" i="1" s="1"/>
  <c r="AI444" i="1" s="1"/>
  <c r="AL436" i="1"/>
  <c r="AB436" i="1"/>
  <c r="AH436" i="1" s="1"/>
  <c r="AI436" i="1" s="1"/>
  <c r="AL441" i="1"/>
  <c r="AB441" i="1"/>
  <c r="AH441" i="1" s="1"/>
  <c r="AI441" i="1" s="1"/>
  <c r="AL446" i="1"/>
  <c r="AB446" i="1"/>
  <c r="AH446" i="1" s="1"/>
  <c r="AI446" i="1" s="1"/>
  <c r="AB439" i="1"/>
  <c r="AH439" i="1" s="1"/>
  <c r="AI439" i="1" s="1"/>
  <c r="AL439" i="1"/>
  <c r="AL449" i="1"/>
  <c r="AB449" i="1"/>
  <c r="AH449" i="1" s="1"/>
  <c r="AI449" i="1" s="1"/>
  <c r="AL445" i="1"/>
  <c r="AB445" i="1"/>
  <c r="AH445" i="1" s="1"/>
  <c r="AI445" i="1" s="1"/>
  <c r="AB437" i="1"/>
  <c r="AH437" i="1" s="1"/>
  <c r="AI437" i="1" s="1"/>
  <c r="AL437" i="1"/>
  <c r="AB172" i="1"/>
  <c r="AN172" i="1" s="1"/>
  <c r="AL456" i="1"/>
  <c r="AB456" i="1"/>
  <c r="AH456" i="1" s="1"/>
  <c r="AI456" i="1" s="1"/>
  <c r="AL454" i="1"/>
  <c r="AB454" i="1"/>
  <c r="AH454" i="1" s="1"/>
  <c r="AI454" i="1" s="1"/>
  <c r="AL455" i="1"/>
  <c r="AB455" i="1"/>
  <c r="AH455" i="1" s="1"/>
  <c r="AI455" i="1" s="1"/>
  <c r="AL457" i="1"/>
  <c r="AB457" i="1"/>
  <c r="AH457" i="1" s="1"/>
  <c r="AI457" i="1" s="1"/>
  <c r="AB434" i="1"/>
  <c r="AH434" i="1" s="1"/>
  <c r="AI434" i="1" s="1"/>
  <c r="AB435" i="1"/>
  <c r="AH435" i="1" s="1"/>
  <c r="AI435" i="1" s="1"/>
  <c r="AB432" i="1"/>
  <c r="AH432" i="1" s="1"/>
  <c r="AI432" i="1" s="1"/>
  <c r="AL432" i="1"/>
  <c r="AL433" i="1"/>
  <c r="AB433" i="1"/>
  <c r="AH433" i="1" s="1"/>
  <c r="AI433" i="1" s="1"/>
  <c r="AB794" i="1"/>
  <c r="BB794" i="1" s="1"/>
  <c r="BD794" i="1" s="1"/>
  <c r="AB114" i="1"/>
  <c r="AH114" i="1" s="1"/>
  <c r="AI114" i="1" s="1"/>
  <c r="AL124" i="1"/>
  <c r="AB124" i="1"/>
  <c r="AB123" i="1"/>
  <c r="AL123" i="1"/>
  <c r="AX38" i="1"/>
  <c r="AL38" i="1" s="1"/>
  <c r="Z38" i="1"/>
  <c r="AL777" i="1"/>
  <c r="BB777" i="1"/>
  <c r="BD777" i="1" s="1"/>
  <c r="AH777" i="1"/>
  <c r="AI777" i="1" s="1"/>
  <c r="Z755" i="1"/>
  <c r="AX755" i="1"/>
  <c r="AL755" i="1" s="1"/>
  <c r="AX752" i="1"/>
  <c r="AL752" i="1" s="1"/>
  <c r="Z771" i="1"/>
  <c r="AX771" i="1"/>
  <c r="AB771" i="1" s="1"/>
  <c r="AX511" i="1"/>
  <c r="AB511" i="1" s="1"/>
  <c r="Z779" i="1"/>
  <c r="AX779" i="1"/>
  <c r="AL779" i="1" s="1"/>
  <c r="AX756" i="1"/>
  <c r="AB756" i="1" s="1"/>
  <c r="Z758" i="1"/>
  <c r="AX758" i="1"/>
  <c r="AL758" i="1" s="1"/>
  <c r="AX778" i="1"/>
  <c r="AL778" i="1" s="1"/>
  <c r="AK751" i="1"/>
  <c r="AX751" i="1"/>
  <c r="AB751" i="1" s="1"/>
  <c r="AX775" i="1"/>
  <c r="AB775" i="1" s="1"/>
  <c r="AX766" i="1"/>
  <c r="AL766" i="1" s="1"/>
  <c r="AK769" i="1"/>
  <c r="AX769" i="1"/>
  <c r="AL769" i="1" s="1"/>
  <c r="Z761" i="1"/>
  <c r="AX761" i="1"/>
  <c r="AL761" i="1" s="1"/>
  <c r="AK770" i="1"/>
  <c r="AX770" i="1"/>
  <c r="AB770" i="1" s="1"/>
  <c r="Z759" i="1"/>
  <c r="AX759" i="1"/>
  <c r="AB759" i="1" s="1"/>
  <c r="AX773" i="1"/>
  <c r="AL773" i="1" s="1"/>
  <c r="AL577" i="1"/>
  <c r="AX776" i="1"/>
  <c r="AB776" i="1" s="1"/>
  <c r="AK753" i="1"/>
  <c r="AX753" i="1"/>
  <c r="AB753" i="1" s="1"/>
  <c r="AX762" i="1"/>
  <c r="AL762" i="1" s="1"/>
  <c r="AK768" i="1"/>
  <c r="AX768" i="1"/>
  <c r="AB768" i="1" s="1"/>
  <c r="Z757" i="1"/>
  <c r="AX757" i="1"/>
  <c r="AL757" i="1" s="1"/>
  <c r="AX772" i="1"/>
  <c r="AL772" i="1" s="1"/>
  <c r="AK763" i="1"/>
  <c r="AX763" i="1"/>
  <c r="AL763" i="1" s="1"/>
  <c r="Z774" i="1"/>
  <c r="AX774" i="1"/>
  <c r="AL774" i="1" s="1"/>
  <c r="AK764" i="1"/>
  <c r="AX764" i="1"/>
  <c r="AL764" i="1" s="1"/>
  <c r="Z760" i="1"/>
  <c r="AX760" i="1"/>
  <c r="AL760" i="1" s="1"/>
  <c r="AX765" i="1"/>
  <c r="AB765" i="1" s="1"/>
  <c r="BB765" i="1" s="1"/>
  <c r="BC765" i="1" s="1"/>
  <c r="AB87" i="1"/>
  <c r="AL87" i="1"/>
  <c r="BE792" i="1"/>
  <c r="BC792" i="1"/>
  <c r="BB369" i="1"/>
  <c r="BD369" i="1" s="1"/>
  <c r="AH369" i="1"/>
  <c r="AI369" i="1" s="1"/>
  <c r="BB367" i="1"/>
  <c r="BD367" i="1" s="1"/>
  <c r="AH367" i="1"/>
  <c r="AI367" i="1" s="1"/>
  <c r="BB503" i="1"/>
  <c r="BC503" i="1" s="1"/>
  <c r="AH503" i="1"/>
  <c r="AI503" i="1" s="1"/>
  <c r="BB575" i="1"/>
  <c r="BD575" i="1" s="1"/>
  <c r="AH575" i="1"/>
  <c r="AI575" i="1" s="1"/>
  <c r="BB94" i="1"/>
  <c r="BD94" i="1" s="1"/>
  <c r="AH94" i="1"/>
  <c r="AI94" i="1" s="1"/>
  <c r="BB352" i="1"/>
  <c r="BE352" i="1" s="1"/>
  <c r="AH352" i="1"/>
  <c r="AI352" i="1" s="1"/>
  <c r="BB479" i="1"/>
  <c r="BE479" i="1" s="1"/>
  <c r="AH479" i="1"/>
  <c r="AI479" i="1" s="1"/>
  <c r="BB565" i="1"/>
  <c r="BC565" i="1" s="1"/>
  <c r="AH565" i="1"/>
  <c r="AI565" i="1" s="1"/>
  <c r="BB187" i="1"/>
  <c r="BD187" i="1" s="1"/>
  <c r="AH187" i="1"/>
  <c r="AI187" i="1" s="1"/>
  <c r="BB395" i="1"/>
  <c r="BD395" i="1" s="1"/>
  <c r="AH395" i="1"/>
  <c r="AI395" i="1" s="1"/>
  <c r="BB392" i="1"/>
  <c r="BC392" i="1" s="1"/>
  <c r="AH392" i="1"/>
  <c r="AI392" i="1" s="1"/>
  <c r="BB354" i="1"/>
  <c r="BE354" i="1" s="1"/>
  <c r="AH354" i="1"/>
  <c r="AI354" i="1" s="1"/>
  <c r="BB340" i="1"/>
  <c r="BE340" i="1" s="1"/>
  <c r="AH340" i="1"/>
  <c r="AI340" i="1" s="1"/>
  <c r="BB403" i="1"/>
  <c r="BC403" i="1" s="1"/>
  <c r="AH403" i="1"/>
  <c r="AI403" i="1" s="1"/>
  <c r="BB383" i="1"/>
  <c r="BE383" i="1" s="1"/>
  <c r="AH383" i="1"/>
  <c r="AI383" i="1" s="1"/>
  <c r="BB568" i="1"/>
  <c r="BD568" i="1" s="1"/>
  <c r="AH568" i="1"/>
  <c r="AI568" i="1" s="1"/>
  <c r="BB182" i="1"/>
  <c r="BD182" i="1" s="1"/>
  <c r="AH182" i="1"/>
  <c r="AI182" i="1" s="1"/>
  <c r="BB386" i="1"/>
  <c r="BE386" i="1" s="1"/>
  <c r="AH386" i="1"/>
  <c r="AI386" i="1" s="1"/>
  <c r="BB346" i="1"/>
  <c r="BE346" i="1" s="1"/>
  <c r="AH346" i="1"/>
  <c r="AI346" i="1" s="1"/>
  <c r="BB368" i="1"/>
  <c r="BE368" i="1" s="1"/>
  <c r="AH368" i="1"/>
  <c r="AI368" i="1" s="1"/>
  <c r="BB316" i="1"/>
  <c r="BD316" i="1" s="1"/>
  <c r="AH316" i="1"/>
  <c r="AI316" i="1" s="1"/>
  <c r="BB100" i="1"/>
  <c r="BE100" i="1" s="1"/>
  <c r="AH100" i="1"/>
  <c r="AI100" i="1" s="1"/>
  <c r="BB158" i="1"/>
  <c r="BD158" i="1" s="1"/>
  <c r="AH158" i="1"/>
  <c r="AI158" i="1" s="1"/>
  <c r="BB99" i="1"/>
  <c r="BD99" i="1" s="1"/>
  <c r="AH99" i="1"/>
  <c r="AI99" i="1" s="1"/>
  <c r="BE790" i="1"/>
  <c r="BB343" i="1"/>
  <c r="BC343" i="1" s="1"/>
  <c r="AH343" i="1"/>
  <c r="AI343" i="1" s="1"/>
  <c r="BD790" i="1"/>
  <c r="BB234" i="1"/>
  <c r="BC234" i="1" s="1"/>
  <c r="AH234" i="1"/>
  <c r="AI234" i="1" s="1"/>
  <c r="BB579" i="1"/>
  <c r="BD579" i="1" s="1"/>
  <c r="AH579" i="1"/>
  <c r="AI579" i="1" s="1"/>
  <c r="BB83" i="1"/>
  <c r="BE83" i="1" s="1"/>
  <c r="AH83" i="1"/>
  <c r="AI83" i="1" s="1"/>
  <c r="BB574" i="1"/>
  <c r="BE574" i="1" s="1"/>
  <c r="AH574" i="1"/>
  <c r="AI574" i="1" s="1"/>
  <c r="BB397" i="1"/>
  <c r="BD397" i="1" s="1"/>
  <c r="AH397" i="1"/>
  <c r="AI397" i="1" s="1"/>
  <c r="BB577" i="1"/>
  <c r="BE577" i="1" s="1"/>
  <c r="AH577" i="1"/>
  <c r="AI577" i="1" s="1"/>
  <c r="BB299" i="1"/>
  <c r="BC299" i="1" s="1"/>
  <c r="AH299" i="1"/>
  <c r="AI299" i="1" s="1"/>
  <c r="BB164" i="1"/>
  <c r="BE164" i="1" s="1"/>
  <c r="AH164" i="1"/>
  <c r="AI164" i="1" s="1"/>
  <c r="BB266" i="1"/>
  <c r="BD266" i="1" s="1"/>
  <c r="AH266" i="1"/>
  <c r="AI266" i="1" s="1"/>
  <c r="BB562" i="1"/>
  <c r="BC562" i="1" s="1"/>
  <c r="AH562" i="1"/>
  <c r="AI562" i="1" s="1"/>
  <c r="AH310" i="1"/>
  <c r="AI310" i="1" s="1"/>
  <c r="BB560" i="1"/>
  <c r="BE560" i="1" s="1"/>
  <c r="AH560" i="1"/>
  <c r="AI560" i="1" s="1"/>
  <c r="AN74" i="1"/>
  <c r="BB505" i="1"/>
  <c r="BD505" i="1" s="1"/>
  <c r="AH505" i="1"/>
  <c r="AI505" i="1" s="1"/>
  <c r="BB576" i="1"/>
  <c r="BE576" i="1" s="1"/>
  <c r="AH576" i="1"/>
  <c r="AI576" i="1" s="1"/>
  <c r="BC814" i="1"/>
  <c r="BB74" i="1"/>
  <c r="BE74" i="1" s="1"/>
  <c r="AH74" i="1"/>
  <c r="AI74" i="1" s="1"/>
  <c r="BB404" i="1"/>
  <c r="BE404" i="1" s="1"/>
  <c r="BB54" i="1"/>
  <c r="BE54" i="1" s="1"/>
  <c r="AH54" i="1"/>
  <c r="AI54" i="1" s="1"/>
  <c r="BB338" i="1"/>
  <c r="BD338" i="1" s="1"/>
  <c r="AH338" i="1"/>
  <c r="AI338" i="1" s="1"/>
  <c r="BB359" i="1"/>
  <c r="BE359" i="1" s="1"/>
  <c r="AH359" i="1"/>
  <c r="AI359" i="1" s="1"/>
  <c r="BB375" i="1"/>
  <c r="BE375" i="1" s="1"/>
  <c r="AH375" i="1"/>
  <c r="AI375" i="1" s="1"/>
  <c r="BB512" i="1"/>
  <c r="BE512" i="1" s="1"/>
  <c r="AH512" i="1"/>
  <c r="AI512" i="1" s="1"/>
  <c r="BB401" i="1"/>
  <c r="BD401" i="1" s="1"/>
  <c r="AH401" i="1"/>
  <c r="AI401" i="1" s="1"/>
  <c r="BE814" i="1"/>
  <c r="BB365" i="1"/>
  <c r="BC365" i="1" s="1"/>
  <c r="AH365" i="1"/>
  <c r="AI365" i="1" s="1"/>
  <c r="BB205" i="1"/>
  <c r="BD205" i="1" s="1"/>
  <c r="AH205" i="1"/>
  <c r="AI205" i="1" s="1"/>
  <c r="BB75" i="1"/>
  <c r="BC75" i="1" s="1"/>
  <c r="AH75" i="1"/>
  <c r="AI75" i="1" s="1"/>
  <c r="BB53" i="1"/>
  <c r="BE53" i="1" s="1"/>
  <c r="AH53" i="1"/>
  <c r="AI53" i="1" s="1"/>
  <c r="BB569" i="1"/>
  <c r="BD569" i="1" s="1"/>
  <c r="AH569" i="1"/>
  <c r="AI569" i="1" s="1"/>
  <c r="BB507" i="1"/>
  <c r="BC507" i="1" s="1"/>
  <c r="AH507" i="1"/>
  <c r="AI507" i="1" s="1"/>
  <c r="BB372" i="1"/>
  <c r="BE372" i="1" s="1"/>
  <c r="AH372" i="1"/>
  <c r="AI372" i="1" s="1"/>
  <c r="BB327" i="1"/>
  <c r="BE327" i="1" s="1"/>
  <c r="AH327" i="1"/>
  <c r="AI327" i="1" s="1"/>
  <c r="BB93" i="1"/>
  <c r="BD93" i="1" s="1"/>
  <c r="AH93" i="1"/>
  <c r="AI93" i="1" s="1"/>
  <c r="BB170" i="1"/>
  <c r="BC170" i="1" s="1"/>
  <c r="AH170" i="1"/>
  <c r="AI170" i="1" s="1"/>
  <c r="BB22" i="1"/>
  <c r="BE22" i="1" s="1"/>
  <c r="AH22" i="1"/>
  <c r="AI22" i="1" s="1"/>
  <c r="BB381" i="1"/>
  <c r="BD381" i="1" s="1"/>
  <c r="AH381" i="1"/>
  <c r="AI381" i="1" s="1"/>
  <c r="BB191" i="1"/>
  <c r="BD191" i="1" s="1"/>
  <c r="AH191" i="1"/>
  <c r="AI191" i="1" s="1"/>
  <c r="BB480" i="1"/>
  <c r="BD480" i="1" s="1"/>
  <c r="AH480" i="1"/>
  <c r="AI480" i="1" s="1"/>
  <c r="BD305" i="1"/>
  <c r="BB787" i="1"/>
  <c r="BD787" i="1" s="1"/>
  <c r="AH787" i="1"/>
  <c r="AI787" i="1" s="1"/>
  <c r="BB784" i="1"/>
  <c r="BD784" i="1" s="1"/>
  <c r="AH784" i="1"/>
  <c r="AI784" i="1" s="1"/>
  <c r="BB813" i="1"/>
  <c r="BE813" i="1" s="1"/>
  <c r="AH813" i="1"/>
  <c r="AI813" i="1" s="1"/>
  <c r="BB789" i="1"/>
  <c r="BE789" i="1" s="1"/>
  <c r="AH789" i="1"/>
  <c r="AI789" i="1" s="1"/>
  <c r="BB781" i="1"/>
  <c r="BC781" i="1" s="1"/>
  <c r="AH781" i="1"/>
  <c r="AI781" i="1" s="1"/>
  <c r="BB783" i="1"/>
  <c r="BE783" i="1" s="1"/>
  <c r="AH783" i="1"/>
  <c r="AI783" i="1" s="1"/>
  <c r="BB786" i="1"/>
  <c r="BE786" i="1" s="1"/>
  <c r="AH786" i="1"/>
  <c r="AI786" i="1" s="1"/>
  <c r="BB788" i="1"/>
  <c r="BD788" i="1" s="1"/>
  <c r="AH788" i="1"/>
  <c r="AI788" i="1" s="1"/>
  <c r="BB793" i="1"/>
  <c r="BD793" i="1" s="1"/>
  <c r="AH793" i="1"/>
  <c r="AI793" i="1" s="1"/>
  <c r="BB791" i="1"/>
  <c r="BD791" i="1" s="1"/>
  <c r="AH791" i="1"/>
  <c r="AI791" i="1" s="1"/>
  <c r="BB785" i="1"/>
  <c r="BC785" i="1" s="1"/>
  <c r="AH785" i="1"/>
  <c r="AI785" i="1" s="1"/>
  <c r="BB467" i="1"/>
  <c r="BC467" i="1" s="1"/>
  <c r="AH467" i="1"/>
  <c r="AI467" i="1" s="1"/>
  <c r="BB782" i="1"/>
  <c r="BD782" i="1" s="1"/>
  <c r="AH782" i="1"/>
  <c r="AI782" i="1" s="1"/>
  <c r="BB478" i="1"/>
  <c r="BC478" i="1" s="1"/>
  <c r="AH478" i="1"/>
  <c r="AI478" i="1" s="1"/>
  <c r="BB146" i="1"/>
  <c r="BE146" i="1" s="1"/>
  <c r="AH146" i="1"/>
  <c r="AI146" i="1" s="1"/>
  <c r="BB472" i="1"/>
  <c r="BE472" i="1" s="1"/>
  <c r="AH472" i="1"/>
  <c r="AI472" i="1" s="1"/>
  <c r="BB430" i="1"/>
  <c r="BC430" i="1" s="1"/>
  <c r="AH430" i="1"/>
  <c r="AI430" i="1" s="1"/>
  <c r="BB474" i="1"/>
  <c r="BE474" i="1" s="1"/>
  <c r="AH474" i="1"/>
  <c r="AI474" i="1" s="1"/>
  <c r="BB463" i="1"/>
  <c r="BC463" i="1" s="1"/>
  <c r="AH463" i="1"/>
  <c r="AI463" i="1" s="1"/>
  <c r="AN54" i="1"/>
  <c r="AH305" i="1"/>
  <c r="AI305" i="1" s="1"/>
  <c r="AM811" i="1"/>
  <c r="BD310" i="1"/>
  <c r="AX17" i="1"/>
  <c r="AL17" i="1" s="1"/>
  <c r="Z17" i="1"/>
  <c r="AX168" i="1"/>
  <c r="AB168" i="1" s="1"/>
  <c r="Z168" i="1"/>
  <c r="AH311" i="1"/>
  <c r="AI311" i="1" s="1"/>
  <c r="AX147" i="1"/>
  <c r="AB147" i="1" s="1"/>
  <c r="Z147" i="1"/>
  <c r="BC310" i="1"/>
  <c r="BC305" i="1"/>
  <c r="BD311" i="1"/>
  <c r="AM311" i="1"/>
  <c r="AK31" i="1"/>
  <c r="Z31" i="1"/>
  <c r="BC311" i="1"/>
  <c r="AH306" i="1"/>
  <c r="AI306" i="1" s="1"/>
  <c r="AL750" i="1"/>
  <c r="Z750" i="1"/>
  <c r="BC306" i="1"/>
  <c r="BD306" i="1"/>
  <c r="AB801" i="1"/>
  <c r="BB801" i="1" s="1"/>
  <c r="BE801" i="1" s="1"/>
  <c r="AL801" i="1"/>
  <c r="BD304" i="1"/>
  <c r="AB800" i="1"/>
  <c r="BB800" i="1" s="1"/>
  <c r="BE800" i="1" s="1"/>
  <c r="AL800" i="1"/>
  <c r="BE304" i="1"/>
  <c r="AH304" i="1"/>
  <c r="AI304" i="1" s="1"/>
  <c r="BC302" i="1"/>
  <c r="BE302" i="1"/>
  <c r="AB110" i="1"/>
  <c r="AL110" i="1"/>
  <c r="AB812" i="1"/>
  <c r="BB812" i="1" s="1"/>
  <c r="BC812" i="1" s="1"/>
  <c r="AL812" i="1"/>
  <c r="AH302" i="1"/>
  <c r="AI302" i="1" s="1"/>
  <c r="AK525" i="1"/>
  <c r="Z525" i="1"/>
  <c r="AK541" i="1"/>
  <c r="Z541" i="1"/>
  <c r="AX571" i="1"/>
  <c r="AB571" i="1" s="1"/>
  <c r="Z571" i="1"/>
  <c r="AX531" i="1"/>
  <c r="AL531" i="1" s="1"/>
  <c r="Z531" i="1"/>
  <c r="AX519" i="1"/>
  <c r="AL519" i="1" s="1"/>
  <c r="Z519" i="1"/>
  <c r="AK519" i="1"/>
  <c r="AX528" i="1"/>
  <c r="AL528" i="1" s="1"/>
  <c r="Z528" i="1"/>
  <c r="AK514" i="1"/>
  <c r="Z514" i="1"/>
  <c r="AX534" i="1"/>
  <c r="AL534" i="1" s="1"/>
  <c r="Z534" i="1"/>
  <c r="AX550" i="1"/>
  <c r="AB550" i="1" s="1"/>
  <c r="Z550" i="1"/>
  <c r="AX572" i="1"/>
  <c r="AB572" i="1" s="1"/>
  <c r="Z572" i="1"/>
  <c r="AX537" i="1"/>
  <c r="AB537" i="1" s="1"/>
  <c r="Z537" i="1"/>
  <c r="AK533" i="1"/>
  <c r="Z533" i="1"/>
  <c r="AX530" i="1"/>
  <c r="AB530" i="1" s="1"/>
  <c r="Z530" i="1"/>
  <c r="AX526" i="1"/>
  <c r="AB526" i="1" s="1"/>
  <c r="Z526" i="1"/>
  <c r="AX546" i="1"/>
  <c r="AL546" i="1" s="1"/>
  <c r="Z546" i="1"/>
  <c r="AX551" i="1"/>
  <c r="AB551" i="1" s="1"/>
  <c r="Z551" i="1"/>
  <c r="AK554" i="1"/>
  <c r="Z554" i="1"/>
  <c r="AX513" i="1"/>
  <c r="AB513" i="1" s="1"/>
  <c r="Z513" i="1"/>
  <c r="AK513" i="1"/>
  <c r="AX529" i="1"/>
  <c r="AL529" i="1" s="1"/>
  <c r="Z529" i="1"/>
  <c r="AK548" i="1"/>
  <c r="Z548" i="1"/>
  <c r="AX515" i="1"/>
  <c r="AB515" i="1" s="1"/>
  <c r="Z515" i="1"/>
  <c r="AK515" i="1"/>
  <c r="AX538" i="1"/>
  <c r="AL538" i="1" s="1"/>
  <c r="Z538" i="1"/>
  <c r="AX522" i="1"/>
  <c r="AB522" i="1" s="1"/>
  <c r="Z522" i="1"/>
  <c r="AX556" i="1"/>
  <c r="AL556" i="1" s="1"/>
  <c r="Z556" i="1"/>
  <c r="AX535" i="1"/>
  <c r="AB535" i="1" s="1"/>
  <c r="Z535" i="1"/>
  <c r="AX524" i="1"/>
  <c r="AB524" i="1" s="1"/>
  <c r="Z524" i="1"/>
  <c r="AX545" i="1"/>
  <c r="AB545" i="1" s="1"/>
  <c r="Z545" i="1"/>
  <c r="Z516" i="1"/>
  <c r="AK516" i="1"/>
  <c r="AX520" i="1"/>
  <c r="AB520" i="1" s="1"/>
  <c r="Z520" i="1"/>
  <c r="AK520" i="1"/>
  <c r="AK527" i="1"/>
  <c r="Z527" i="1"/>
  <c r="AX518" i="1"/>
  <c r="AL518" i="1" s="1"/>
  <c r="Z518" i="1"/>
  <c r="AK518" i="1"/>
  <c r="AK542" i="1"/>
  <c r="Z542" i="1"/>
  <c r="AX555" i="1"/>
  <c r="AL555" i="1" s="1"/>
  <c r="Z555" i="1"/>
  <c r="AX547" i="1"/>
  <c r="AB547" i="1" s="1"/>
  <c r="Z547" i="1"/>
  <c r="AX544" i="1"/>
  <c r="AL544" i="1" s="1"/>
  <c r="Z544" i="1"/>
  <c r="AK573" i="1"/>
  <c r="Z573" i="1"/>
  <c r="AX570" i="1"/>
  <c r="AL570" i="1" s="1"/>
  <c r="Z570" i="1"/>
  <c r="AX540" i="1"/>
  <c r="AB540" i="1" s="1"/>
  <c r="Z540" i="1"/>
  <c r="AX557" i="1"/>
  <c r="AL557" i="1" s="1"/>
  <c r="Z557" i="1"/>
  <c r="AX532" i="1"/>
  <c r="AL532" i="1" s="1"/>
  <c r="Z532" i="1"/>
  <c r="Z517" i="1"/>
  <c r="AK517" i="1"/>
  <c r="AX539" i="1"/>
  <c r="AB539" i="1" s="1"/>
  <c r="Z539" i="1"/>
  <c r="AX552" i="1"/>
  <c r="AL552" i="1" s="1"/>
  <c r="Z552" i="1"/>
  <c r="AX523" i="1"/>
  <c r="AB523" i="1" s="1"/>
  <c r="Z523" i="1"/>
  <c r="AX553" i="1"/>
  <c r="AB553" i="1" s="1"/>
  <c r="Z553" i="1"/>
  <c r="AX521" i="1"/>
  <c r="AB521" i="1" s="1"/>
  <c r="AK521" i="1"/>
  <c r="Z521" i="1"/>
  <c r="AK536" i="1"/>
  <c r="Z536" i="1"/>
  <c r="AX549" i="1"/>
  <c r="AB549" i="1" s="1"/>
  <c r="Z549" i="1"/>
  <c r="BD307" i="1"/>
  <c r="BE307" i="1"/>
  <c r="BC307" i="1"/>
  <c r="BD301" i="1"/>
  <c r="BC301" i="1"/>
  <c r="BE301" i="1"/>
  <c r="BD300" i="1"/>
  <c r="BC300" i="1"/>
  <c r="BE300" i="1"/>
  <c r="BD780" i="1"/>
  <c r="BE780" i="1"/>
  <c r="BC780" i="1"/>
  <c r="BC308" i="1"/>
  <c r="BD308" i="1"/>
  <c r="BE308" i="1"/>
  <c r="AH307" i="1"/>
  <c r="AI307" i="1" s="1"/>
  <c r="AM54" i="1"/>
  <c r="AM306" i="1"/>
  <c r="AM94" i="1"/>
  <c r="AN308" i="1"/>
  <c r="AM304" i="1"/>
  <c r="AM93" i="1"/>
  <c r="AM307" i="1"/>
  <c r="AM75" i="1"/>
  <c r="AM74" i="1"/>
  <c r="AM83" i="1"/>
  <c r="AM53" i="1"/>
  <c r="AN300" i="1"/>
  <c r="AM300" i="1"/>
  <c r="AM302" i="1"/>
  <c r="AM110" i="1"/>
  <c r="AM308" i="1"/>
  <c r="AM114" i="1"/>
  <c r="AB810" i="1"/>
  <c r="AM301" i="1"/>
  <c r="AM801" i="1"/>
  <c r="AM109" i="1"/>
  <c r="AM113" i="1"/>
  <c r="AM310" i="1"/>
  <c r="AB802" i="1"/>
  <c r="BB802" i="1" s="1"/>
  <c r="AH308" i="1"/>
  <c r="AI308" i="1" s="1"/>
  <c r="AH301" i="1"/>
  <c r="AI301" i="1" s="1"/>
  <c r="AH300" i="1"/>
  <c r="AI300" i="1" s="1"/>
  <c r="AM812" i="1"/>
  <c r="AL560" i="1"/>
  <c r="AL100" i="1"/>
  <c r="AL565" i="1"/>
  <c r="AB563" i="1"/>
  <c r="AL248" i="1"/>
  <c r="AB559" i="1"/>
  <c r="AB578" i="1"/>
  <c r="AB564" i="1"/>
  <c r="AB558" i="1"/>
  <c r="AL576" i="1"/>
  <c r="AB796" i="1"/>
  <c r="AL495" i="1"/>
  <c r="AB495" i="1"/>
  <c r="AL489" i="1"/>
  <c r="AB489" i="1"/>
  <c r="AL496" i="1"/>
  <c r="AB496" i="1"/>
  <c r="AL494" i="1"/>
  <c r="AB494" i="1"/>
  <c r="AL490" i="1"/>
  <c r="AB490" i="1"/>
  <c r="AB493" i="1"/>
  <c r="AL493" i="1"/>
  <c r="AL491" i="1"/>
  <c r="AB491" i="1"/>
  <c r="AB492" i="1"/>
  <c r="AL492" i="1"/>
  <c r="AB242" i="1"/>
  <c r="AL242" i="1"/>
  <c r="AB795" i="1"/>
  <c r="AL795" i="1"/>
  <c r="AL568" i="1"/>
  <c r="AW20" i="1"/>
  <c r="AB561" i="1"/>
  <c r="AL249" i="1"/>
  <c r="AB70" i="1"/>
  <c r="AB61" i="1"/>
  <c r="AL82" i="1"/>
  <c r="AB82" i="1"/>
  <c r="AX166" i="1"/>
  <c r="AL166" i="1" s="1"/>
  <c r="AX533" i="1"/>
  <c r="AB533" i="1" s="1"/>
  <c r="AK557" i="1"/>
  <c r="AL395" i="1"/>
  <c r="Z166" i="1"/>
  <c r="AM166" i="1" s="1"/>
  <c r="AX162" i="1"/>
  <c r="AL162" i="1" s="1"/>
  <c r="AK327" i="1"/>
  <c r="Z327" i="1" s="1"/>
  <c r="AK778" i="1"/>
  <c r="AX398" i="1"/>
  <c r="AB398" i="1" s="1"/>
  <c r="AK149" i="1"/>
  <c r="Z120" i="1"/>
  <c r="AK350" i="1"/>
  <c r="Z350" i="1" s="1"/>
  <c r="AM350" i="1" s="1"/>
  <c r="AL368" i="1"/>
  <c r="AK395" i="1"/>
  <c r="Z395" i="1" s="1"/>
  <c r="AK507" i="1"/>
  <c r="Z507" i="1" s="1"/>
  <c r="AM507" i="1" s="1"/>
  <c r="AK60" i="1"/>
  <c r="Z60" i="1"/>
  <c r="AX60" i="1"/>
  <c r="AK544" i="1"/>
  <c r="AK120" i="1"/>
  <c r="AL316" i="1"/>
  <c r="AK142" i="1"/>
  <c r="AM142" i="1" s="1"/>
  <c r="AK162" i="1"/>
  <c r="AM162" i="1" s="1"/>
  <c r="AX142" i="1"/>
  <c r="AL142" i="1" s="1"/>
  <c r="AK759" i="1"/>
  <c r="AX290" i="1"/>
  <c r="AL290" i="1" s="1"/>
  <c r="Z290" i="1"/>
  <c r="AM290" i="1" s="1"/>
  <c r="AX312" i="1"/>
  <c r="AL312" i="1" s="1"/>
  <c r="AB136" i="1"/>
  <c r="AK368" i="1"/>
  <c r="Z368" i="1" s="1"/>
  <c r="AK549" i="1"/>
  <c r="AX58" i="1"/>
  <c r="AB58" i="1" s="1"/>
  <c r="Z58" i="1"/>
  <c r="Z133" i="1"/>
  <c r="AM133" i="1" s="1"/>
  <c r="AX133" i="1"/>
  <c r="AB133" i="1" s="1"/>
  <c r="AB149" i="1"/>
  <c r="AK59" i="1"/>
  <c r="Z59" i="1"/>
  <c r="Z762" i="1"/>
  <c r="AK538" i="1"/>
  <c r="AX399" i="1"/>
  <c r="AB399" i="1" s="1"/>
  <c r="Z141" i="1"/>
  <c r="AM141" i="1" s="1"/>
  <c r="Z136" i="1"/>
  <c r="AX141" i="1"/>
  <c r="AB141" i="1" s="1"/>
  <c r="AX56" i="1"/>
  <c r="Z56" i="1"/>
  <c r="Z149" i="1"/>
  <c r="AB118" i="1"/>
  <c r="AK571" i="1"/>
  <c r="AK530" i="1"/>
  <c r="AK136" i="1"/>
  <c r="AX382" i="1"/>
  <c r="AB382" i="1" s="1"/>
  <c r="AL158" i="1"/>
  <c r="AK765" i="1"/>
  <c r="Z765" i="1"/>
  <c r="AX289" i="1"/>
  <c r="AL289" i="1" s="1"/>
  <c r="AL397" i="1"/>
  <c r="AK551" i="1"/>
  <c r="Z751" i="1"/>
  <c r="Z295" i="1"/>
  <c r="AM295" i="1" s="1"/>
  <c r="AL367" i="1"/>
  <c r="AK463" i="1"/>
  <c r="Z463" i="1" s="1"/>
  <c r="Z778" i="1"/>
  <c r="AK762" i="1"/>
  <c r="Z118" i="1"/>
  <c r="AK339" i="1"/>
  <c r="Z339" i="1" s="1"/>
  <c r="AX295" i="1"/>
  <c r="AL295" i="1" s="1"/>
  <c r="Z158" i="1"/>
  <c r="AK366" i="1"/>
  <c r="Z366" i="1" s="1"/>
  <c r="AM366" i="1" s="1"/>
  <c r="AK118" i="1"/>
  <c r="AK757" i="1"/>
  <c r="AK316" i="1"/>
  <c r="Z316" i="1" s="1"/>
  <c r="AK367" i="1"/>
  <c r="Z367" i="1" s="1"/>
  <c r="AM367" i="1" s="1"/>
  <c r="AK397" i="1"/>
  <c r="Z397" i="1" s="1"/>
  <c r="AK289" i="1"/>
  <c r="AM289" i="1" s="1"/>
  <c r="AK158" i="1"/>
  <c r="AK177" i="1"/>
  <c r="AX177" i="1"/>
  <c r="Z177" i="1"/>
  <c r="AX176" i="1"/>
  <c r="AK176" i="1"/>
  <c r="Z176" i="1"/>
  <c r="AX156" i="1"/>
  <c r="AK156" i="1"/>
  <c r="Z156" i="1"/>
  <c r="AX157" i="1"/>
  <c r="Z157" i="1"/>
  <c r="AK157" i="1"/>
  <c r="Z174" i="1"/>
  <c r="AX174" i="1"/>
  <c r="AK174" i="1"/>
  <c r="Z173" i="1"/>
  <c r="AX173" i="1"/>
  <c r="AK173" i="1"/>
  <c r="AX67" i="1"/>
  <c r="AK67" i="1"/>
  <c r="Z67" i="1"/>
  <c r="Z66" i="1"/>
  <c r="AX66" i="1"/>
  <c r="AK66" i="1"/>
  <c r="AL562" i="1"/>
  <c r="AK318" i="1"/>
  <c r="AX318" i="1"/>
  <c r="AK314" i="1"/>
  <c r="AX314" i="1"/>
  <c r="AX315" i="1"/>
  <c r="AK315" i="1"/>
  <c r="AK291" i="1"/>
  <c r="AM291" i="1" s="1"/>
  <c r="Z126" i="1"/>
  <c r="AM126" i="1" s="1"/>
  <c r="AX126" i="1"/>
  <c r="AL126" i="1" s="1"/>
  <c r="AL463" i="1"/>
  <c r="AX291" i="1"/>
  <c r="AL291" i="1" s="1"/>
  <c r="AK85" i="1"/>
  <c r="AX85" i="1"/>
  <c r="Z85" i="1"/>
  <c r="AX86" i="1"/>
  <c r="AK86" i="1"/>
  <c r="AL327" i="1"/>
  <c r="AX470" i="1"/>
  <c r="AB470" i="1" s="1"/>
  <c r="AK481" i="1"/>
  <c r="Z481" i="1" s="1"/>
  <c r="AM481" i="1" s="1"/>
  <c r="Z228" i="1"/>
  <c r="AM228" i="1" s="1"/>
  <c r="Z770" i="1"/>
  <c r="AX228" i="1"/>
  <c r="AB228" i="1" s="1"/>
  <c r="AK190" i="1"/>
  <c r="AK297" i="1"/>
  <c r="AM297" i="1" s="1"/>
  <c r="AX297" i="1"/>
  <c r="AL297" i="1" s="1"/>
  <c r="AB380" i="1"/>
  <c r="AL574" i="1"/>
  <c r="AK378" i="1"/>
  <c r="Z378" i="1" s="1"/>
  <c r="AM378" i="1" s="1"/>
  <c r="AL569" i="1"/>
  <c r="AX541" i="1"/>
  <c r="AL541" i="1" s="1"/>
  <c r="AK380" i="1"/>
  <c r="Z380" i="1" s="1"/>
  <c r="AX573" i="1"/>
  <c r="AL573" i="1" s="1"/>
  <c r="AK338" i="1"/>
  <c r="Z338" i="1" s="1"/>
  <c r="AK336" i="1"/>
  <c r="Z336" i="1" s="1"/>
  <c r="AM336" i="1" s="1"/>
  <c r="AB567" i="1"/>
  <c r="AK473" i="1"/>
  <c r="Z473" i="1" s="1"/>
  <c r="AM473" i="1" s="1"/>
  <c r="AB481" i="1"/>
  <c r="Z775" i="1"/>
  <c r="AB324" i="1"/>
  <c r="AK137" i="1"/>
  <c r="AM137" i="1" s="1"/>
  <c r="Z190" i="1"/>
  <c r="AL338" i="1"/>
  <c r="AX137" i="1"/>
  <c r="AL137" i="1" s="1"/>
  <c r="AK540" i="1"/>
  <c r="AK556" i="1"/>
  <c r="AK522" i="1"/>
  <c r="AB387" i="1"/>
  <c r="AK775" i="1"/>
  <c r="AK128" i="1"/>
  <c r="AM128" i="1" s="1"/>
  <c r="AK387" i="1"/>
  <c r="Z387" i="1" s="1"/>
  <c r="AM387" i="1" s="1"/>
  <c r="AB473" i="1"/>
  <c r="AX128" i="1"/>
  <c r="AB128" i="1" s="1"/>
  <c r="AK324" i="1"/>
  <c r="Z324" i="1" s="1"/>
  <c r="AM324" i="1" s="1"/>
  <c r="AL575" i="1"/>
  <c r="AK119" i="1"/>
  <c r="AK528" i="1"/>
  <c r="AB502" i="1"/>
  <c r="AK345" i="1"/>
  <c r="Z345" i="1" s="1"/>
  <c r="AM345" i="1" s="1"/>
  <c r="AX396" i="1"/>
  <c r="AK147" i="1"/>
  <c r="Z119" i="1"/>
  <c r="AK502" i="1"/>
  <c r="Z502" i="1" s="1"/>
  <c r="AK523" i="1"/>
  <c r="AK755" i="1"/>
  <c r="AB152" i="1"/>
  <c r="AB462" i="1"/>
  <c r="AK152" i="1"/>
  <c r="Z152" i="1"/>
  <c r="AK130" i="1"/>
  <c r="AM130" i="1" s="1"/>
  <c r="AX127" i="1"/>
  <c r="AB127" i="1" s="1"/>
  <c r="Z296" i="1"/>
  <c r="AK127" i="1"/>
  <c r="AM127" i="1" s="1"/>
  <c r="AK296" i="1"/>
  <c r="AB344" i="1"/>
  <c r="AK135" i="1"/>
  <c r="Z135" i="1"/>
  <c r="AK353" i="1"/>
  <c r="Z353" i="1" s="1"/>
  <c r="Z764" i="1"/>
  <c r="AK344" i="1"/>
  <c r="Z344" i="1" s="1"/>
  <c r="AK462" i="1"/>
  <c r="Z462" i="1" s="1"/>
  <c r="AX130" i="1"/>
  <c r="AL130" i="1" s="1"/>
  <c r="AX292" i="1"/>
  <c r="AB292" i="1" s="1"/>
  <c r="AX389" i="1"/>
  <c r="AB389" i="1" s="1"/>
  <c r="AK547" i="1"/>
  <c r="AK772" i="1"/>
  <c r="AK546" i="1"/>
  <c r="AB508" i="1"/>
  <c r="AL508" i="1"/>
  <c r="AK139" i="1"/>
  <c r="AM139" i="1" s="1"/>
  <c r="AX140" i="1"/>
  <c r="AB140" i="1" s="1"/>
  <c r="AK508" i="1"/>
  <c r="Z508" i="1" s="1"/>
  <c r="AX139" i="1"/>
  <c r="AL139" i="1" s="1"/>
  <c r="AK150" i="1"/>
  <c r="AM150" i="1" s="1"/>
  <c r="AK761" i="1"/>
  <c r="AK383" i="1"/>
  <c r="Z383" i="1" s="1"/>
  <c r="AM383" i="1" s="1"/>
  <c r="AX516" i="1"/>
  <c r="AL516" i="1" s="1"/>
  <c r="Z772" i="1"/>
  <c r="Z140" i="1"/>
  <c r="AM140" i="1" s="1"/>
  <c r="AX150" i="1"/>
  <c r="AL150" i="1" s="1"/>
  <c r="AK750" i="1"/>
  <c r="AK552" i="1"/>
  <c r="AL579" i="1"/>
  <c r="AB566" i="1"/>
  <c r="AK401" i="1"/>
  <c r="Z401" i="1" s="1"/>
  <c r="AM401" i="1" s="1"/>
  <c r="AX554" i="1"/>
  <c r="AB554" i="1" s="1"/>
  <c r="AX34" i="1"/>
  <c r="AB34" i="1" s="1"/>
  <c r="AX548" i="1"/>
  <c r="AB548" i="1" s="1"/>
  <c r="AL354" i="1"/>
  <c r="Z298" i="1"/>
  <c r="AK500" i="1"/>
  <c r="Z500" i="1" s="1"/>
  <c r="AM500" i="1" s="1"/>
  <c r="AX215" i="1"/>
  <c r="AL215" i="1" s="1"/>
  <c r="AK365" i="1"/>
  <c r="Z365" i="1" s="1"/>
  <c r="AM365" i="1" s="1"/>
  <c r="AX144" i="1"/>
  <c r="AB144" i="1" s="1"/>
  <c r="Z215" i="1"/>
  <c r="AM215" i="1" s="1"/>
  <c r="AL365" i="1"/>
  <c r="AK298" i="1"/>
  <c r="AX259" i="1"/>
  <c r="AB259" i="1" s="1"/>
  <c r="Z259" i="1"/>
  <c r="AM259" i="1" s="1"/>
  <c r="Z167" i="1"/>
  <c r="AX117" i="1"/>
  <c r="AL117" i="1" s="1"/>
  <c r="AK483" i="1"/>
  <c r="Z483" i="1" s="1"/>
  <c r="AM483" i="1" s="1"/>
  <c r="AB506" i="1"/>
  <c r="AX131" i="1"/>
  <c r="AL131" i="1" s="1"/>
  <c r="AX263" i="1"/>
  <c r="AB263" i="1" s="1"/>
  <c r="AK144" i="1"/>
  <c r="AM144" i="1" s="1"/>
  <c r="AX134" i="1"/>
  <c r="AL134" i="1" s="1"/>
  <c r="AB298" i="1"/>
  <c r="AX347" i="1"/>
  <c r="AL347" i="1" s="1"/>
  <c r="AK497" i="1"/>
  <c r="Z497" i="1" s="1"/>
  <c r="AM497" i="1" s="1"/>
  <c r="AK179" i="1"/>
  <c r="AB477" i="1"/>
  <c r="AL512" i="1"/>
  <c r="Z179" i="1"/>
  <c r="AL299" i="1"/>
  <c r="AL430" i="1"/>
  <c r="AL472" i="1"/>
  <c r="AB465" i="1"/>
  <c r="Z91" i="1"/>
  <c r="AM91" i="1" s="1"/>
  <c r="AB364" i="1"/>
  <c r="AK472" i="1"/>
  <c r="Z472" i="1" s="1"/>
  <c r="AK758" i="1"/>
  <c r="AL146" i="1"/>
  <c r="AK539" i="1"/>
  <c r="AK377" i="1"/>
  <c r="Z377" i="1" s="1"/>
  <c r="AM377" i="1" s="1"/>
  <c r="Z763" i="1"/>
  <c r="AK357" i="1"/>
  <c r="Z357" i="1" s="1"/>
  <c r="AM357" i="1" s="1"/>
  <c r="AX525" i="1"/>
  <c r="AL525" i="1" s="1"/>
  <c r="AL346" i="1"/>
  <c r="AK471" i="1"/>
  <c r="Z471" i="1" s="1"/>
  <c r="AK132" i="1"/>
  <c r="AM132" i="1" s="1"/>
  <c r="AK373" i="1"/>
  <c r="Z373" i="1" s="1"/>
  <c r="AM373" i="1" s="1"/>
  <c r="AK333" i="1"/>
  <c r="Z333" i="1" s="1"/>
  <c r="AM333" i="1" s="1"/>
  <c r="AK779" i="1"/>
  <c r="AK752" i="1"/>
  <c r="AK330" i="1"/>
  <c r="Z330" i="1" s="1"/>
  <c r="AM330" i="1" s="1"/>
  <c r="AB504" i="1"/>
  <c r="AK331" i="1"/>
  <c r="Z331" i="1" s="1"/>
  <c r="AM331" i="1" s="1"/>
  <c r="Z752" i="1"/>
  <c r="AB482" i="1"/>
  <c r="Z266" i="1"/>
  <c r="AB377" i="1"/>
  <c r="AK116" i="1"/>
  <c r="AM116" i="1" s="1"/>
  <c r="Z122" i="1"/>
  <c r="AK771" i="1"/>
  <c r="AK374" i="1"/>
  <c r="Z374" i="1" s="1"/>
  <c r="AM374" i="1" s="1"/>
  <c r="AL479" i="1"/>
  <c r="AB330" i="1"/>
  <c r="AX322" i="1"/>
  <c r="AB322" i="1" s="1"/>
  <c r="Z756" i="1"/>
  <c r="AX517" i="1"/>
  <c r="AL517" i="1" s="1"/>
  <c r="AK499" i="1"/>
  <c r="Z499" i="1" s="1"/>
  <c r="AM499" i="1" s="1"/>
  <c r="Z146" i="1"/>
  <c r="AK171" i="1"/>
  <c r="AM171" i="1" s="1"/>
  <c r="AX360" i="1"/>
  <c r="AB360" i="1" s="1"/>
  <c r="AK503" i="1"/>
  <c r="Z503" i="1" s="1"/>
  <c r="AK122" i="1"/>
  <c r="AK534" i="1"/>
  <c r="AK191" i="1"/>
  <c r="AK767" i="1"/>
  <c r="AL369" i="1"/>
  <c r="AK526" i="1"/>
  <c r="AX321" i="1"/>
  <c r="AL321" i="1" s="1"/>
  <c r="AX171" i="1"/>
  <c r="AL171" i="1" s="1"/>
  <c r="AB356" i="1"/>
  <c r="AL474" i="1"/>
  <c r="AL381" i="1"/>
  <c r="Z159" i="1"/>
  <c r="AX509" i="1"/>
  <c r="AB509" i="1" s="1"/>
  <c r="AK504" i="1"/>
  <c r="Z504" i="1" s="1"/>
  <c r="AM504" i="1" s="1"/>
  <c r="AK329" i="1"/>
  <c r="Z329" i="1" s="1"/>
  <c r="AM329" i="1" s="1"/>
  <c r="AK159" i="1"/>
  <c r="AK774" i="1"/>
  <c r="AK553" i="1"/>
  <c r="AB332" i="1"/>
  <c r="AB400" i="1"/>
  <c r="AK474" i="1"/>
  <c r="Z474" i="1" s="1"/>
  <c r="AM474" i="1" s="1"/>
  <c r="AX361" i="1"/>
  <c r="AB361" i="1" s="1"/>
  <c r="AX160" i="1"/>
  <c r="AB160" i="1" s="1"/>
  <c r="AL343" i="1"/>
  <c r="AB484" i="1"/>
  <c r="AK207" i="1"/>
  <c r="AM207" i="1" s="1"/>
  <c r="Z160" i="1"/>
  <c r="AM160" i="1" s="1"/>
  <c r="AX542" i="1"/>
  <c r="AB542" i="1" s="1"/>
  <c r="AL191" i="1"/>
  <c r="AK429" i="1"/>
  <c r="Z429" i="1" s="1"/>
  <c r="AM429" i="1" s="1"/>
  <c r="AB159" i="1"/>
  <c r="Z191" i="1"/>
  <c r="AK261" i="1"/>
  <c r="AM261" i="1" s="1"/>
  <c r="AX371" i="1"/>
  <c r="AB371" i="1" s="1"/>
  <c r="AB429" i="1"/>
  <c r="AH429" i="1" s="1"/>
  <c r="AK392" i="1"/>
  <c r="Z392" i="1" s="1"/>
  <c r="AB163" i="1"/>
  <c r="AX261" i="1"/>
  <c r="AL261" i="1" s="1"/>
  <c r="AB391" i="1"/>
  <c r="AK391" i="1"/>
  <c r="Z391" i="1" s="1"/>
  <c r="AM391" i="1" s="1"/>
  <c r="AL392" i="1"/>
  <c r="AK385" i="1"/>
  <c r="Z385" i="1" s="1"/>
  <c r="AK388" i="1"/>
  <c r="Z388" i="1" s="1"/>
  <c r="AM388" i="1" s="1"/>
  <c r="AK384" i="1"/>
  <c r="Z384" i="1" s="1"/>
  <c r="AL372" i="1"/>
  <c r="AK524" i="1"/>
  <c r="AB328" i="1"/>
  <c r="AK766" i="1"/>
  <c r="AK529" i="1"/>
  <c r="AB497" i="1"/>
  <c r="AK294" i="1"/>
  <c r="Z294" i="1"/>
  <c r="AK266" i="1"/>
  <c r="AB500" i="1"/>
  <c r="AK555" i="1"/>
  <c r="AK299" i="1"/>
  <c r="AX161" i="1"/>
  <c r="AL161" i="1" s="1"/>
  <c r="AK390" i="1"/>
  <c r="Z390" i="1" s="1"/>
  <c r="AM390" i="1" s="1"/>
  <c r="AK134" i="1"/>
  <c r="AM134" i="1" s="1"/>
  <c r="AX125" i="1"/>
  <c r="AB125" i="1" s="1"/>
  <c r="AB385" i="1"/>
  <c r="AK381" i="1"/>
  <c r="Z381" i="1" s="1"/>
  <c r="Z766" i="1"/>
  <c r="AX487" i="1"/>
  <c r="AK487" i="1"/>
  <c r="AK125" i="1"/>
  <c r="AM125" i="1" s="1"/>
  <c r="AK328" i="1"/>
  <c r="Z328" i="1" s="1"/>
  <c r="AM328" i="1" s="1"/>
  <c r="AK386" i="1"/>
  <c r="Z386" i="1" s="1"/>
  <c r="AM386" i="1" s="1"/>
  <c r="AK400" i="1"/>
  <c r="Z400" i="1" s="1"/>
  <c r="AM400" i="1" s="1"/>
  <c r="AX488" i="1"/>
  <c r="AK488" i="1"/>
  <c r="AK479" i="1"/>
  <c r="Z479" i="1" s="1"/>
  <c r="AM479" i="1" s="1"/>
  <c r="AB376" i="1"/>
  <c r="AK537" i="1"/>
  <c r="AK161" i="1"/>
  <c r="AM161" i="1" s="1"/>
  <c r="AX203" i="1"/>
  <c r="AB203" i="1" s="1"/>
  <c r="AK121" i="1"/>
  <c r="AM121" i="1" s="1"/>
  <c r="AK506" i="1"/>
  <c r="Z506" i="1" s="1"/>
  <c r="AB294" i="1"/>
  <c r="AK359" i="1"/>
  <c r="Z359" i="1" s="1"/>
  <c r="AM359" i="1" s="1"/>
  <c r="AX536" i="1"/>
  <c r="AB536" i="1" s="1"/>
  <c r="AK351" i="1"/>
  <c r="Z351" i="1" s="1"/>
  <c r="AM351" i="1" s="1"/>
  <c r="AK531" i="1"/>
  <c r="AL359" i="1"/>
  <c r="AX138" i="1"/>
  <c r="AL138" i="1" s="1"/>
  <c r="Z776" i="1"/>
  <c r="Z753" i="1"/>
  <c r="AK478" i="1"/>
  <c r="Z478" i="1" s="1"/>
  <c r="AM478" i="1" s="1"/>
  <c r="AK379" i="1"/>
  <c r="Z379" i="1" s="1"/>
  <c r="Z299" i="1"/>
  <c r="AL403" i="1"/>
  <c r="AN403" i="1" s="1"/>
  <c r="AK38" i="1"/>
  <c r="AB379" i="1"/>
  <c r="AK482" i="1"/>
  <c r="Z482" i="1" s="1"/>
  <c r="AK776" i="1"/>
  <c r="AB363" i="1"/>
  <c r="AX132" i="1"/>
  <c r="AB132" i="1" s="1"/>
  <c r="AL478" i="1"/>
  <c r="AK364" i="1"/>
  <c r="Z364" i="1" s="1"/>
  <c r="AM364" i="1" s="1"/>
  <c r="AK356" i="1"/>
  <c r="Z356" i="1" s="1"/>
  <c r="AM356" i="1" s="1"/>
  <c r="AL480" i="1"/>
  <c r="AK532" i="1"/>
  <c r="AK131" i="1"/>
  <c r="AM131" i="1" s="1"/>
  <c r="AK480" i="1"/>
  <c r="Z480" i="1" s="1"/>
  <c r="AM480" i="1" s="1"/>
  <c r="AK325" i="1"/>
  <c r="Z325" i="1" s="1"/>
  <c r="AM325" i="1" s="1"/>
  <c r="AX527" i="1"/>
  <c r="AL527" i="1" s="1"/>
  <c r="AK349" i="1"/>
  <c r="Z349" i="1" s="1"/>
  <c r="AM349" i="1" s="1"/>
  <c r="AK430" i="1"/>
  <c r="Z430" i="1" s="1"/>
  <c r="AM430" i="1" s="1"/>
  <c r="Z29" i="1"/>
  <c r="AM29" i="1" s="1"/>
  <c r="AK476" i="1"/>
  <c r="Z476" i="1" s="1"/>
  <c r="AK363" i="1"/>
  <c r="Z363" i="1" s="1"/>
  <c r="AM363" i="1" s="1"/>
  <c r="AK465" i="1"/>
  <c r="Z465" i="1" s="1"/>
  <c r="AM465" i="1" s="1"/>
  <c r="AK403" i="1"/>
  <c r="Z403" i="1" s="1"/>
  <c r="AM403" i="1" s="1"/>
  <c r="Z164" i="1"/>
  <c r="AX475" i="1"/>
  <c r="AB475" i="1" s="1"/>
  <c r="AX29" i="1"/>
  <c r="AL29" i="1" s="1"/>
  <c r="AK263" i="1"/>
  <c r="AM263" i="1" s="1"/>
  <c r="AB325" i="1"/>
  <c r="AB331" i="1"/>
  <c r="AB402" i="1"/>
  <c r="AK203" i="1"/>
  <c r="AM203" i="1" s="1"/>
  <c r="AX514" i="1"/>
  <c r="AL514" i="1" s="1"/>
  <c r="AL340" i="1"/>
  <c r="AK760" i="1"/>
  <c r="AK545" i="1"/>
  <c r="AK535" i="1"/>
  <c r="Z153" i="1"/>
  <c r="AK337" i="1"/>
  <c r="Z337" i="1" s="1"/>
  <c r="AK346" i="1"/>
  <c r="Z346" i="1" s="1"/>
  <c r="AM346" i="1" s="1"/>
  <c r="AK153" i="1"/>
  <c r="AK431" i="1"/>
  <c r="Z431" i="1" s="1"/>
  <c r="AM431" i="1" s="1"/>
  <c r="AK352" i="1"/>
  <c r="Z352" i="1" s="1"/>
  <c r="AM352" i="1" s="1"/>
  <c r="AX313" i="1"/>
  <c r="AL313" i="1" s="1"/>
  <c r="AK376" i="1"/>
  <c r="Z376" i="1" s="1"/>
  <c r="AM376" i="1" s="1"/>
  <c r="Z767" i="1"/>
  <c r="AK225" i="1"/>
  <c r="AM225" i="1" s="1"/>
  <c r="AL386" i="1"/>
  <c r="AK369" i="1"/>
  <c r="Z369" i="1" s="1"/>
  <c r="AM369" i="1" s="1"/>
  <c r="AK332" i="1"/>
  <c r="Z332" i="1" s="1"/>
  <c r="AX116" i="1"/>
  <c r="AL116" i="1" s="1"/>
  <c r="AK485" i="1"/>
  <c r="AX485" i="1"/>
  <c r="Z754" i="1"/>
  <c r="AK754" i="1"/>
  <c r="AK348" i="1"/>
  <c r="Z348" i="1" s="1"/>
  <c r="AB468" i="1"/>
  <c r="AK484" i="1"/>
  <c r="Z484" i="1" s="1"/>
  <c r="AM484" i="1" s="1"/>
  <c r="AK138" i="1"/>
  <c r="AM138" i="1" s="1"/>
  <c r="AX326" i="1"/>
  <c r="AB326" i="1" s="1"/>
  <c r="AX225" i="1"/>
  <c r="AB225" i="1" s="1"/>
  <c r="AX121" i="1"/>
  <c r="AB121" i="1" s="1"/>
  <c r="AK402" i="1"/>
  <c r="Z402" i="1" s="1"/>
  <c r="Z773" i="1"/>
  <c r="AX486" i="1"/>
  <c r="AK486" i="1"/>
  <c r="Z287" i="1"/>
  <c r="AM287" i="1" s="1"/>
  <c r="AX287" i="1"/>
  <c r="AL287" i="1" s="1"/>
  <c r="AL352" i="1"/>
  <c r="AX323" i="1"/>
  <c r="AL323" i="1" s="1"/>
  <c r="AB337" i="1"/>
  <c r="AM512" i="1"/>
  <c r="Z34" i="1"/>
  <c r="AM34" i="1" s="1"/>
  <c r="AK773" i="1"/>
  <c r="AX358" i="1"/>
  <c r="AL358" i="1" s="1"/>
  <c r="AK340" i="1"/>
  <c r="Z340" i="1" s="1"/>
  <c r="AM340" i="1" s="1"/>
  <c r="AK375" i="1"/>
  <c r="Z375" i="1" s="1"/>
  <c r="AM375" i="1" s="1"/>
  <c r="AK292" i="1"/>
  <c r="AM292" i="1" s="1"/>
  <c r="AL375" i="1"/>
  <c r="AK572" i="1"/>
  <c r="AK163" i="1"/>
  <c r="AK343" i="1"/>
  <c r="Z343" i="1" s="1"/>
  <c r="AB374" i="1"/>
  <c r="AX413" i="1"/>
  <c r="AK413" i="1"/>
  <c r="AX411" i="1"/>
  <c r="AK411" i="1"/>
  <c r="AK412" i="1"/>
  <c r="AX412" i="1"/>
  <c r="AK570" i="1"/>
  <c r="Z16" i="1"/>
  <c r="AM16" i="1" s="1"/>
  <c r="Z163" i="1"/>
  <c r="AX421" i="1"/>
  <c r="AK421" i="1"/>
  <c r="AX415" i="1"/>
  <c r="AK415" i="1"/>
  <c r="AX16" i="1"/>
  <c r="AL16" i="1" s="1"/>
  <c r="AX155" i="1"/>
  <c r="AL155" i="1" s="1"/>
  <c r="AB370" i="1"/>
  <c r="AK408" i="1"/>
  <c r="AX408" i="1"/>
  <c r="AX419" i="1"/>
  <c r="AK419" i="1"/>
  <c r="Z155" i="1"/>
  <c r="AM155" i="1" s="1"/>
  <c r="AB348" i="1"/>
  <c r="AX317" i="1"/>
  <c r="AB317" i="1" s="1"/>
  <c r="AX405" i="1"/>
  <c r="AK405" i="1"/>
  <c r="AK146" i="1"/>
  <c r="AK406" i="1"/>
  <c r="AX406" i="1"/>
  <c r="AX420" i="1"/>
  <c r="AK420" i="1"/>
  <c r="Z769" i="1"/>
  <c r="AX129" i="1"/>
  <c r="AB129" i="1" s="1"/>
  <c r="Z129" i="1"/>
  <c r="AM129" i="1" s="1"/>
  <c r="AX92" i="1"/>
  <c r="AL92" i="1" s="1"/>
  <c r="AK410" i="1"/>
  <c r="AX410" i="1"/>
  <c r="AK92" i="1"/>
  <c r="AM92" i="1" s="1"/>
  <c r="AB384" i="1"/>
  <c r="AK414" i="1"/>
  <c r="AX414" i="1"/>
  <c r="AK293" i="1"/>
  <c r="AM293" i="1" s="1"/>
  <c r="AK418" i="1"/>
  <c r="AX418" i="1"/>
  <c r="AK422" i="1"/>
  <c r="AX422" i="1"/>
  <c r="AK505" i="1"/>
  <c r="Z505" i="1" s="1"/>
  <c r="AM505" i="1" s="1"/>
  <c r="AX510" i="1"/>
  <c r="AL510" i="1" s="1"/>
  <c r="AK354" i="1"/>
  <c r="Z354" i="1" s="1"/>
  <c r="AM354" i="1" s="1"/>
  <c r="AK416" i="1"/>
  <c r="AX416" i="1"/>
  <c r="AK164" i="1"/>
  <c r="Z768" i="1"/>
  <c r="AK372" i="1"/>
  <c r="Z372" i="1" s="1"/>
  <c r="AM372" i="1" s="1"/>
  <c r="AK370" i="1"/>
  <c r="Z370" i="1" s="1"/>
  <c r="AM370" i="1" s="1"/>
  <c r="AX293" i="1"/>
  <c r="AL293" i="1" s="1"/>
  <c r="AL503" i="1"/>
  <c r="AK511" i="1"/>
  <c r="Z511" i="1" s="1"/>
  <c r="AM511" i="1" s="1"/>
  <c r="AX409" i="1"/>
  <c r="AK409" i="1"/>
  <c r="AK280" i="1"/>
  <c r="AN782" i="1"/>
  <c r="AK117" i="1"/>
  <c r="AM117" i="1" s="1"/>
  <c r="AK477" i="1"/>
  <c r="Z477" i="1" s="1"/>
  <c r="AM477" i="1" s="1"/>
  <c r="AB333" i="1"/>
  <c r="AK254" i="1"/>
  <c r="AM254" i="1" s="1"/>
  <c r="AB431" i="1"/>
  <c r="AX417" i="1"/>
  <c r="AK417" i="1"/>
  <c r="AL505" i="1"/>
  <c r="AK550" i="1"/>
  <c r="AK756" i="1"/>
  <c r="AX254" i="1"/>
  <c r="AL254" i="1" s="1"/>
  <c r="AX407" i="1"/>
  <c r="AK407" i="1"/>
  <c r="AK169" i="1"/>
  <c r="AK468" i="1"/>
  <c r="Z468" i="1" s="1"/>
  <c r="AK319" i="1"/>
  <c r="Z319" i="1" s="1"/>
  <c r="AM319" i="1" s="1"/>
  <c r="AX319" i="1"/>
  <c r="AK320" i="1"/>
  <c r="Z320" i="1" s="1"/>
  <c r="AM320" i="1" s="1"/>
  <c r="AX320" i="1"/>
  <c r="AL467" i="1"/>
  <c r="AK167" i="1"/>
  <c r="AX275" i="1"/>
  <c r="AL275" i="1" s="1"/>
  <c r="AK253" i="1"/>
  <c r="AK466" i="1"/>
  <c r="Z466" i="1" s="1"/>
  <c r="AM466" i="1" s="1"/>
  <c r="AK182" i="1"/>
  <c r="AB466" i="1"/>
  <c r="AK168" i="1"/>
  <c r="Z275" i="1"/>
  <c r="AM275" i="1" s="1"/>
  <c r="AK255" i="1"/>
  <c r="AM255" i="1" s="1"/>
  <c r="AK170" i="1"/>
  <c r="Z170" i="1"/>
  <c r="AL170" i="1"/>
  <c r="AX461" i="1"/>
  <c r="AK461" i="1"/>
  <c r="AK459" i="1"/>
  <c r="AX460" i="1"/>
  <c r="AK460" i="1"/>
  <c r="AX31" i="1"/>
  <c r="AX91" i="1"/>
  <c r="AL91" i="1" s="1"/>
  <c r="AK458" i="1"/>
  <c r="AX452" i="1"/>
  <c r="AK452" i="1"/>
  <c r="Z288" i="1"/>
  <c r="AM288" i="1" s="1"/>
  <c r="AX453" i="1"/>
  <c r="AK453" i="1"/>
  <c r="AX451" i="1"/>
  <c r="AK451" i="1"/>
  <c r="AX288" i="1"/>
  <c r="AB288" i="1" s="1"/>
  <c r="AK450" i="1"/>
  <c r="AX207" i="1"/>
  <c r="AL207" i="1" s="1"/>
  <c r="AK467" i="1"/>
  <c r="Z467" i="1" s="1"/>
  <c r="AM467" i="1" s="1"/>
  <c r="Z253" i="1"/>
  <c r="AX15" i="1"/>
  <c r="AL15" i="1" s="1"/>
  <c r="AX145" i="1"/>
  <c r="AL145" i="1" s="1"/>
  <c r="Z145" i="1"/>
  <c r="AM145" i="1" s="1"/>
  <c r="AX197" i="1"/>
  <c r="AL197" i="1" s="1"/>
  <c r="Z86" i="1"/>
  <c r="AK197" i="1"/>
  <c r="AM197" i="1" s="1"/>
  <c r="AK15" i="1"/>
  <c r="AM15" i="1" s="1"/>
  <c r="AB169" i="1"/>
  <c r="AB224" i="1"/>
  <c r="Z169" i="1"/>
  <c r="AK235" i="1"/>
  <c r="AM235" i="1" s="1"/>
  <c r="AX235" i="1"/>
  <c r="AL235" i="1" s="1"/>
  <c r="Z182" i="1"/>
  <c r="AL182" i="1"/>
  <c r="AB218" i="1"/>
  <c r="Z269" i="1"/>
  <c r="AM269" i="1" s="1"/>
  <c r="AK14" i="1"/>
  <c r="AX201" i="1"/>
  <c r="AB201" i="1" s="1"/>
  <c r="AK154" i="1"/>
  <c r="AK219" i="1"/>
  <c r="Z224" i="1"/>
  <c r="AK224" i="1"/>
  <c r="AX269" i="1"/>
  <c r="AL269" i="1" s="1"/>
  <c r="AB109" i="1"/>
  <c r="Z154" i="1"/>
  <c r="AX262" i="1"/>
  <c r="AL262" i="1" s="1"/>
  <c r="AK143" i="1"/>
  <c r="AM143" i="1" s="1"/>
  <c r="Z192" i="1"/>
  <c r="Z219" i="1"/>
  <c r="Z262" i="1"/>
  <c r="AM262" i="1" s="1"/>
  <c r="AB113" i="1"/>
  <c r="AX151" i="1"/>
  <c r="AL151" i="1" s="1"/>
  <c r="Z151" i="1"/>
  <c r="AM151" i="1" s="1"/>
  <c r="AK22" i="1"/>
  <c r="AB181" i="1"/>
  <c r="AK188" i="1"/>
  <c r="AM188" i="1" s="1"/>
  <c r="AL22" i="1"/>
  <c r="Z278" i="1"/>
  <c r="AK278" i="1"/>
  <c r="Z280" i="1"/>
  <c r="AB219" i="1"/>
  <c r="AX188" i="1"/>
  <c r="AB188" i="1" s="1"/>
  <c r="AB192" i="1"/>
  <c r="AK181" i="1"/>
  <c r="AX255" i="1"/>
  <c r="AB255" i="1" s="1"/>
  <c r="AK192" i="1"/>
  <c r="AK498" i="1"/>
  <c r="Z498" i="1" s="1"/>
  <c r="AM498" i="1" s="1"/>
  <c r="AB97" i="1"/>
  <c r="Z181" i="1"/>
  <c r="Z97" i="1"/>
  <c r="AK97" i="1"/>
  <c r="AX143" i="1"/>
  <c r="AB143" i="1" s="1"/>
  <c r="Z234" i="1"/>
  <c r="AK234" i="1"/>
  <c r="AL234" i="1"/>
  <c r="AB154" i="1"/>
  <c r="AB498" i="1"/>
  <c r="Z14" i="1"/>
  <c r="Z22" i="1"/>
  <c r="Z218" i="1"/>
  <c r="AK279" i="1"/>
  <c r="AM279" i="1" s="1"/>
  <c r="AX279" i="1"/>
  <c r="AB279" i="1" s="1"/>
  <c r="AK218" i="1"/>
  <c r="AX217" i="1"/>
  <c r="AL217" i="1" s="1"/>
  <c r="AX285" i="1"/>
  <c r="AL285" i="1" s="1"/>
  <c r="AK217" i="1"/>
  <c r="AM217" i="1" s="1"/>
  <c r="AK285" i="1"/>
  <c r="AM285" i="1" s="1"/>
  <c r="AM341" i="1"/>
  <c r="AX233" i="1"/>
  <c r="AL233" i="1" s="1"/>
  <c r="AK187" i="1"/>
  <c r="AK233" i="1"/>
  <c r="AM233" i="1" s="1"/>
  <c r="AX32" i="1"/>
  <c r="AL32" i="1" s="1"/>
  <c r="Z32" i="1"/>
  <c r="AM32" i="1" s="1"/>
  <c r="AL187" i="1"/>
  <c r="AK201" i="1"/>
  <c r="AM201" i="1" s="1"/>
  <c r="AN785" i="1"/>
  <c r="AK238" i="1"/>
  <c r="AM238" i="1" s="1"/>
  <c r="AK90" i="1"/>
  <c r="AK231" i="1"/>
  <c r="Z90" i="1"/>
  <c r="Z231" i="1"/>
  <c r="AK51" i="1"/>
  <c r="AN791" i="1"/>
  <c r="AN301" i="1"/>
  <c r="AL205" i="1"/>
  <c r="AM398" i="1"/>
  <c r="Z51" i="1"/>
  <c r="AM334" i="1"/>
  <c r="AK281" i="1"/>
  <c r="AM281" i="1" s="1"/>
  <c r="AK205" i="1"/>
  <c r="Z187" i="1"/>
  <c r="Z205" i="1"/>
  <c r="AX277" i="1"/>
  <c r="AL277" i="1" s="1"/>
  <c r="Z277" i="1"/>
  <c r="AM277" i="1" s="1"/>
  <c r="AB341" i="1"/>
  <c r="AX256" i="1"/>
  <c r="AB256" i="1" s="1"/>
  <c r="AK256" i="1"/>
  <c r="AM256" i="1" s="1"/>
  <c r="AX283" i="1"/>
  <c r="Z236" i="1"/>
  <c r="AK236" i="1"/>
  <c r="Z283" i="1"/>
  <c r="AM283" i="1" s="1"/>
  <c r="AK257" i="1"/>
  <c r="AM257" i="1" s="1"/>
  <c r="AX257" i="1"/>
  <c r="AL257" i="1" s="1"/>
  <c r="AB231" i="1"/>
  <c r="AM777" i="1"/>
  <c r="AB811" i="1"/>
  <c r="BB811" i="1" s="1"/>
  <c r="AN793" i="1"/>
  <c r="AX195" i="1"/>
  <c r="AB195" i="1" s="1"/>
  <c r="AB202" i="1"/>
  <c r="Z202" i="1"/>
  <c r="AX57" i="1"/>
  <c r="AK202" i="1"/>
  <c r="AM305" i="1"/>
  <c r="AK195" i="1"/>
  <c r="AM195" i="1" s="1"/>
  <c r="AX223" i="1"/>
  <c r="AL223" i="1" s="1"/>
  <c r="AK189" i="1"/>
  <c r="AM189" i="1" s="1"/>
  <c r="AK250" i="1"/>
  <c r="AM250" i="1" s="1"/>
  <c r="Z206" i="1"/>
  <c r="AX270" i="1"/>
  <c r="AB270" i="1" s="1"/>
  <c r="AK57" i="1"/>
  <c r="AM57" i="1" s="1"/>
  <c r="AX189" i="1"/>
  <c r="AL189" i="1" s="1"/>
  <c r="AK223" i="1"/>
  <c r="AM223" i="1" s="1"/>
  <c r="Z273" i="1"/>
  <c r="AM273" i="1" s="1"/>
  <c r="AX49" i="1"/>
  <c r="AL49" i="1" s="1"/>
  <c r="AK180" i="1"/>
  <c r="AM180" i="1" s="1"/>
  <c r="AN94" i="1"/>
  <c r="AX230" i="1"/>
  <c r="AL230" i="1" s="1"/>
  <c r="Z230" i="1"/>
  <c r="AM230" i="1" s="1"/>
  <c r="AK49" i="1"/>
  <c r="AM49" i="1" s="1"/>
  <c r="AV20" i="1"/>
  <c r="Z272" i="1"/>
  <c r="AX180" i="1"/>
  <c r="Z200" i="1"/>
  <c r="AM200" i="1" s="1"/>
  <c r="AK272" i="1"/>
  <c r="AX200" i="1"/>
  <c r="AL200" i="1" s="1"/>
  <c r="AK58" i="1"/>
  <c r="AX238" i="1"/>
  <c r="AL238" i="1" s="1"/>
  <c r="AN310" i="1"/>
  <c r="AN781" i="1"/>
  <c r="Z184" i="1"/>
  <c r="AM184" i="1" s="1"/>
  <c r="AM99" i="1"/>
  <c r="AX28" i="1"/>
  <c r="AL28" i="1" s="1"/>
  <c r="AM810" i="1"/>
  <c r="AM799" i="1"/>
  <c r="AX250" i="1"/>
  <c r="AB250" i="1" s="1"/>
  <c r="AM510" i="1"/>
  <c r="AL164" i="1"/>
  <c r="Z55" i="1"/>
  <c r="Z270" i="1"/>
  <c r="AM270" i="1" s="1"/>
  <c r="AK229" i="1"/>
  <c r="AX229" i="1"/>
  <c r="AL401" i="1"/>
  <c r="AN401" i="1" s="1"/>
  <c r="AM802" i="1"/>
  <c r="AK27" i="1"/>
  <c r="AM27" i="1" s="1"/>
  <c r="AM322" i="1"/>
  <c r="AB51" i="1"/>
  <c r="Z229" i="1"/>
  <c r="AX27" i="1"/>
  <c r="AB27" i="1" s="1"/>
  <c r="AM809" i="1"/>
  <c r="AX184" i="1"/>
  <c r="AL184" i="1" s="1"/>
  <c r="AX281" i="1"/>
  <c r="AB281" i="1" s="1"/>
  <c r="AK17" i="1"/>
  <c r="AK260" i="1"/>
  <c r="AM382" i="1"/>
  <c r="AB339" i="1"/>
  <c r="AB469" i="1"/>
  <c r="AB799" i="1"/>
  <c r="BB799" i="1" s="1"/>
  <c r="AN53" i="1"/>
  <c r="AX42" i="1"/>
  <c r="AK42" i="1"/>
  <c r="Z42" i="1"/>
  <c r="AX68" i="1"/>
  <c r="AL68" i="1" s="1"/>
  <c r="AM326" i="1"/>
  <c r="AB349" i="1"/>
  <c r="AN305" i="1"/>
  <c r="AN786" i="1"/>
  <c r="AK206" i="1"/>
  <c r="AB179" i="1"/>
  <c r="Z28" i="1"/>
  <c r="AM28" i="1" s="1"/>
  <c r="AW73" i="1"/>
  <c r="AX73" i="1" s="1"/>
  <c r="Z33" i="1"/>
  <c r="AX210" i="1"/>
  <c r="AB210" i="1" s="1"/>
  <c r="AX69" i="1"/>
  <c r="AL69" i="1" s="1"/>
  <c r="AK68" i="1"/>
  <c r="AM68" i="1" s="1"/>
  <c r="AM797" i="1"/>
  <c r="AN787" i="1"/>
  <c r="Z237" i="1"/>
  <c r="AM237" i="1" s="1"/>
  <c r="Z69" i="1"/>
  <c r="AM69" i="1" s="1"/>
  <c r="AN788" i="1"/>
  <c r="AN83" i="1"/>
  <c r="AL351" i="1"/>
  <c r="AB351" i="1"/>
  <c r="AX107" i="1"/>
  <c r="Z107" i="1"/>
  <c r="AK107" i="1"/>
  <c r="AB253" i="1"/>
  <c r="AL253" i="1"/>
  <c r="AB122" i="1"/>
  <c r="AL122" i="1"/>
  <c r="Z185" i="1"/>
  <c r="AX185" i="1"/>
  <c r="AK185" i="1"/>
  <c r="AB809" i="1"/>
  <c r="BB809" i="1" s="1"/>
  <c r="AX204" i="1"/>
  <c r="AK204" i="1"/>
  <c r="Z204" i="1"/>
  <c r="AN306" i="1"/>
  <c r="Z79" i="1"/>
  <c r="AM79" i="1" s="1"/>
  <c r="AK55" i="1"/>
  <c r="AK246" i="1"/>
  <c r="AX246" i="1"/>
  <c r="AB246" i="1" s="1"/>
  <c r="Z246" i="1"/>
  <c r="AL334" i="1"/>
  <c r="AB334" i="1"/>
  <c r="AN780" i="1"/>
  <c r="AI780" i="1"/>
  <c r="Z221" i="1"/>
  <c r="AB296" i="1"/>
  <c r="AV19" i="1"/>
  <c r="AB221" i="1"/>
  <c r="Z260" i="1"/>
  <c r="AL135" i="1"/>
  <c r="AB135" i="1"/>
  <c r="Z209" i="1"/>
  <c r="AM209" i="1" s="1"/>
  <c r="AX209" i="1"/>
  <c r="AX241" i="1"/>
  <c r="AK241" i="1"/>
  <c r="Z241" i="1"/>
  <c r="AN783" i="1"/>
  <c r="AL767" i="1"/>
  <c r="AB767" i="1"/>
  <c r="AX222" i="1"/>
  <c r="AK222" i="1"/>
  <c r="AM222" i="1" s="1"/>
  <c r="AX95" i="1"/>
  <c r="Z95" i="1"/>
  <c r="AK95" i="1"/>
  <c r="AK98" i="1"/>
  <c r="Z98" i="1"/>
  <c r="AL353" i="1"/>
  <c r="AB353" i="1"/>
  <c r="Z210" i="1"/>
  <c r="AM210" i="1" s="1"/>
  <c r="AK221" i="1"/>
  <c r="AN307" i="1"/>
  <c r="Z258" i="1"/>
  <c r="AM258" i="1" s="1"/>
  <c r="AM800" i="1"/>
  <c r="AL476" i="1"/>
  <c r="AB476" i="1"/>
  <c r="AK178" i="1"/>
  <c r="Z178" i="1"/>
  <c r="AX178" i="1"/>
  <c r="AX237" i="1"/>
  <c r="AB237" i="1" s="1"/>
  <c r="AB336" i="1"/>
  <c r="AL336" i="1"/>
  <c r="AX79" i="1"/>
  <c r="AK65" i="1"/>
  <c r="Z65" i="1"/>
  <c r="AX65" i="1"/>
  <c r="AN75" i="1"/>
  <c r="AL383" i="1"/>
  <c r="AX273" i="1"/>
  <c r="AB273" i="1" s="1"/>
  <c r="AB153" i="1"/>
  <c r="AL153" i="1"/>
  <c r="AK88" i="1"/>
  <c r="Z88" i="1"/>
  <c r="AX88" i="1"/>
  <c r="AX226" i="1"/>
  <c r="Z226" i="1"/>
  <c r="AM226" i="1" s="1"/>
  <c r="AL280" i="1"/>
  <c r="AM360" i="1"/>
  <c r="AX199" i="1"/>
  <c r="Z199" i="1"/>
  <c r="AK199" i="1"/>
  <c r="AX258" i="1"/>
  <c r="AL258" i="1" s="1"/>
  <c r="AB797" i="1"/>
  <c r="BB797" i="1" s="1"/>
  <c r="AL350" i="1"/>
  <c r="AB350" i="1"/>
  <c r="AL266" i="1"/>
  <c r="AK56" i="1"/>
  <c r="AL507" i="1"/>
  <c r="AN784" i="1"/>
  <c r="AX276" i="1"/>
  <c r="AK276" i="1"/>
  <c r="Z276" i="1"/>
  <c r="AK196" i="1"/>
  <c r="Z196" i="1"/>
  <c r="Z268" i="1"/>
  <c r="AM268" i="1" s="1"/>
  <c r="AX268" i="1"/>
  <c r="Z239" i="1"/>
  <c r="AX239" i="1"/>
  <c r="AK239" i="1"/>
  <c r="Z313" i="1"/>
  <c r="AM313" i="1" s="1"/>
  <c r="AX59" i="1"/>
  <c r="AL119" i="1"/>
  <c r="AB119" i="1"/>
  <c r="Z509" i="1"/>
  <c r="AM509" i="1" s="1"/>
  <c r="AX245" i="1"/>
  <c r="AK245" i="1"/>
  <c r="Z245" i="1"/>
  <c r="AN99" i="1"/>
  <c r="AK33" i="1"/>
  <c r="AL357" i="1"/>
  <c r="AB357" i="1"/>
  <c r="AB471" i="1"/>
  <c r="AL471" i="1"/>
  <c r="Z396" i="1"/>
  <c r="AM396" i="1" s="1"/>
  <c r="AN813" i="1"/>
  <c r="AX211" i="1"/>
  <c r="Z211" i="1"/>
  <c r="AK211" i="1"/>
  <c r="AK240" i="1"/>
  <c r="AX240" i="1"/>
  <c r="AB240" i="1" s="1"/>
  <c r="Z240" i="1"/>
  <c r="Z52" i="1"/>
  <c r="AK52" i="1"/>
  <c r="AX52" i="1"/>
  <c r="AK244" i="1"/>
  <c r="AX244" i="1"/>
  <c r="AL190" i="1"/>
  <c r="AB190" i="1"/>
  <c r="AB808" i="1"/>
  <c r="BB808" i="1" s="1"/>
  <c r="AB390" i="1"/>
  <c r="AL390" i="1"/>
  <c r="AK50" i="1"/>
  <c r="Z50" i="1"/>
  <c r="AX50" i="1"/>
  <c r="Z232" i="1"/>
  <c r="AK232" i="1"/>
  <c r="AX232" i="1"/>
  <c r="AM808" i="1"/>
  <c r="AX18" i="1"/>
  <c r="AB18" i="1" s="1"/>
  <c r="Z103" i="1"/>
  <c r="AK103" i="1"/>
  <c r="AX103" i="1"/>
  <c r="AL373" i="1"/>
  <c r="AB373" i="1"/>
  <c r="AL394" i="1"/>
  <c r="AB394" i="1"/>
  <c r="AX112" i="1"/>
  <c r="Z112" i="1"/>
  <c r="AK112" i="1"/>
  <c r="AB483" i="1"/>
  <c r="AK96" i="1"/>
  <c r="Z96" i="1"/>
  <c r="AX96" i="1"/>
  <c r="Z475" i="1"/>
  <c r="AM475" i="1" s="1"/>
  <c r="Z271" i="1"/>
  <c r="AX271" i="1"/>
  <c r="AK271" i="1"/>
  <c r="AM470" i="1"/>
  <c r="AB272" i="1"/>
  <c r="AL272" i="1"/>
  <c r="AX101" i="1"/>
  <c r="AK101" i="1"/>
  <c r="Z101" i="1"/>
  <c r="AB260" i="1"/>
  <c r="AL260" i="1"/>
  <c r="AK108" i="1"/>
  <c r="Z108" i="1"/>
  <c r="AX108" i="1"/>
  <c r="AB196" i="1"/>
  <c r="AL196" i="1"/>
  <c r="AB499" i="1"/>
  <c r="AX193" i="1"/>
  <c r="AK193" i="1"/>
  <c r="Z193" i="1"/>
  <c r="AK252" i="1"/>
  <c r="AX252" i="1"/>
  <c r="Z252" i="1"/>
  <c r="AX21" i="1"/>
  <c r="Z21" i="1"/>
  <c r="Z198" i="1"/>
  <c r="AK198" i="1"/>
  <c r="AX198" i="1"/>
  <c r="AV37" i="1"/>
  <c r="AW37" i="1"/>
  <c r="AL388" i="1"/>
  <c r="AB388" i="1"/>
  <c r="AB167" i="1"/>
  <c r="AL167" i="1"/>
  <c r="AX267" i="1"/>
  <c r="AK267" i="1"/>
  <c r="Z267" i="1"/>
  <c r="Z72" i="1"/>
  <c r="AK72" i="1"/>
  <c r="AX72" i="1"/>
  <c r="Z102" i="1"/>
  <c r="AK102" i="1"/>
  <c r="AX102" i="1"/>
  <c r="AX220" i="1"/>
  <c r="Z220" i="1"/>
  <c r="AK220" i="1"/>
  <c r="AL55" i="1"/>
  <c r="AB55" i="1"/>
  <c r="Z371" i="1"/>
  <c r="AM371" i="1" s="1"/>
  <c r="AK186" i="1"/>
  <c r="Z186" i="1"/>
  <c r="AX186" i="1"/>
  <c r="AX208" i="1"/>
  <c r="AK208" i="1"/>
  <c r="Z208" i="1"/>
  <c r="AL329" i="1"/>
  <c r="AB329" i="1"/>
  <c r="AK243" i="1"/>
  <c r="AX243" i="1"/>
  <c r="Z243" i="1"/>
  <c r="AK216" i="1"/>
  <c r="Z216" i="1"/>
  <c r="AX216" i="1"/>
  <c r="AB278" i="1"/>
  <c r="AL278" i="1"/>
  <c r="AN789" i="1"/>
  <c r="AK18" i="1"/>
  <c r="AM18" i="1" s="1"/>
  <c r="AK89" i="1"/>
  <c r="AX89" i="1"/>
  <c r="AK212" i="1"/>
  <c r="Z212" i="1"/>
  <c r="AX212" i="1"/>
  <c r="Z399" i="1"/>
  <c r="AM399" i="1" s="1"/>
  <c r="AL345" i="1"/>
  <c r="AB345" i="1"/>
  <c r="Z194" i="1"/>
  <c r="AX194" i="1"/>
  <c r="AK194" i="1"/>
  <c r="AX286" i="1"/>
  <c r="AK286" i="1"/>
  <c r="Z286" i="1"/>
  <c r="AX104" i="1"/>
  <c r="Z104" i="1"/>
  <c r="AK104" i="1"/>
  <c r="Z274" i="1"/>
  <c r="AX274" i="1"/>
  <c r="AK274" i="1"/>
  <c r="AL33" i="1"/>
  <c r="AB33" i="1"/>
  <c r="Z323" i="1"/>
  <c r="AM323" i="1" s="1"/>
  <c r="AX284" i="1"/>
  <c r="AK284" i="1"/>
  <c r="Z284" i="1"/>
  <c r="AN302" i="1"/>
  <c r="AN311" i="1"/>
  <c r="AL378" i="1"/>
  <c r="AB378" i="1"/>
  <c r="AM543" i="1"/>
  <c r="Z81" i="1"/>
  <c r="AX81" i="1"/>
  <c r="AK81" i="1"/>
  <c r="Z64" i="1"/>
  <c r="AK64" i="1"/>
  <c r="AX19" i="1"/>
  <c r="Z19" i="1"/>
  <c r="AM19" i="1" s="1"/>
  <c r="AB798" i="1"/>
  <c r="BB798" i="1" s="1"/>
  <c r="AL543" i="1"/>
  <c r="AB543" i="1"/>
  <c r="AM798" i="1"/>
  <c r="AL236" i="1"/>
  <c r="AB236" i="1"/>
  <c r="AN304" i="1"/>
  <c r="Z251" i="1"/>
  <c r="AX251" i="1"/>
  <c r="AK251" i="1"/>
  <c r="Z111" i="1"/>
  <c r="AK111" i="1"/>
  <c r="AX111" i="1"/>
  <c r="AK227" i="1"/>
  <c r="Z227" i="1"/>
  <c r="AX227" i="1"/>
  <c r="AL366" i="1"/>
  <c r="AB366" i="1"/>
  <c r="AB754" i="1"/>
  <c r="AL754" i="1"/>
  <c r="AL206" i="1"/>
  <c r="AB206" i="1"/>
  <c r="AX183" i="1"/>
  <c r="AK183" i="1"/>
  <c r="Z183" i="1"/>
  <c r="AB120" i="1"/>
  <c r="AL120" i="1"/>
  <c r="AN93" i="1"/>
  <c r="AL90" i="1"/>
  <c r="AB90" i="1"/>
  <c r="AN745" i="1" l="1"/>
  <c r="AN560" i="1"/>
  <c r="AN568" i="1"/>
  <c r="AN575" i="1"/>
  <c r="AN507" i="1"/>
  <c r="AN505" i="1"/>
  <c r="AN565" i="1"/>
  <c r="AN569" i="1"/>
  <c r="AN562" i="1"/>
  <c r="AN574" i="1"/>
  <c r="AN503" i="1"/>
  <c r="AN576" i="1"/>
  <c r="AN577" i="1"/>
  <c r="AN777" i="1"/>
  <c r="AN299" i="1"/>
  <c r="AN579" i="1"/>
  <c r="AN80" i="1"/>
  <c r="AN282" i="1"/>
  <c r="BB282" i="1"/>
  <c r="BE282" i="1" s="1"/>
  <c r="AN39" i="1"/>
  <c r="BB80" i="1"/>
  <c r="AH80" i="1"/>
  <c r="AI80" i="1" s="1"/>
  <c r="BB745" i="1"/>
  <c r="AH745" i="1"/>
  <c r="AI745" i="1" s="1"/>
  <c r="AH39" i="1"/>
  <c r="AI39" i="1" s="1"/>
  <c r="BB39" i="1"/>
  <c r="AN1065" i="1"/>
  <c r="AN1066" i="1"/>
  <c r="AN30" i="1"/>
  <c r="BB30" i="1"/>
  <c r="BE30" i="1" s="1"/>
  <c r="AN1067" i="1"/>
  <c r="AN1064" i="1"/>
  <c r="BB1065" i="1"/>
  <c r="AH1065" i="1"/>
  <c r="AI1065" i="1" s="1"/>
  <c r="BB1067" i="1"/>
  <c r="AH1067" i="1"/>
  <c r="AI1067" i="1" s="1"/>
  <c r="AH1064" i="1"/>
  <c r="AI1064" i="1" s="1"/>
  <c r="BB1064" i="1"/>
  <c r="BB1066" i="1"/>
  <c r="AH1066" i="1"/>
  <c r="AI1066" i="1" s="1"/>
  <c r="AH165" i="1"/>
  <c r="AI165" i="1" s="1"/>
  <c r="BB165" i="1"/>
  <c r="AN165" i="1"/>
  <c r="BC71" i="1"/>
  <c r="BD71" i="1"/>
  <c r="BE71" i="1"/>
  <c r="BB1063" i="1"/>
  <c r="AH1063" i="1"/>
  <c r="AI1063" i="1" s="1"/>
  <c r="AN14" i="1"/>
  <c r="BB14" i="1"/>
  <c r="BC14" i="1" s="1"/>
  <c r="AM64" i="1"/>
  <c r="AN427" i="1"/>
  <c r="AN428" i="1"/>
  <c r="AN425" i="1"/>
  <c r="AN424" i="1"/>
  <c r="AH426" i="1"/>
  <c r="AI426" i="1" s="1"/>
  <c r="BB426" i="1"/>
  <c r="AN426" i="1"/>
  <c r="AH425" i="1"/>
  <c r="AI425" i="1" s="1"/>
  <c r="BB425" i="1"/>
  <c r="BB423" i="1"/>
  <c r="AH423" i="1"/>
  <c r="AI423" i="1" s="1"/>
  <c r="AN423" i="1"/>
  <c r="AN175" i="1"/>
  <c r="BB428" i="1"/>
  <c r="AH428" i="1"/>
  <c r="AI428" i="1" s="1"/>
  <c r="AH427" i="1"/>
  <c r="AI427" i="1" s="1"/>
  <c r="BB427" i="1"/>
  <c r="BB424" i="1"/>
  <c r="AH424" i="1"/>
  <c r="AI424" i="1" s="1"/>
  <c r="AN148" i="1"/>
  <c r="AH148" i="1"/>
  <c r="AI148" i="1" s="1"/>
  <c r="AN115" i="1"/>
  <c r="AH115" i="1"/>
  <c r="AI115" i="1" s="1"/>
  <c r="BB115" i="1"/>
  <c r="BE148" i="1"/>
  <c r="BC148" i="1"/>
  <c r="BD148" i="1"/>
  <c r="AN44" i="1"/>
  <c r="AH44" i="1"/>
  <c r="AI44" i="1" s="1"/>
  <c r="BB44" i="1"/>
  <c r="AH43" i="1"/>
  <c r="AI43" i="1" s="1"/>
  <c r="BB43" i="1"/>
  <c r="AN43" i="1"/>
  <c r="AN40" i="1"/>
  <c r="BE41" i="1"/>
  <c r="BD41" i="1"/>
  <c r="BC41" i="1"/>
  <c r="BB35" i="1"/>
  <c r="AH35" i="1"/>
  <c r="AI35" i="1" s="1"/>
  <c r="AN35" i="1"/>
  <c r="BB40" i="1"/>
  <c r="AH40" i="1"/>
  <c r="AI40" i="1" s="1"/>
  <c r="BB36" i="1"/>
  <c r="AH36" i="1"/>
  <c r="AI36" i="1" s="1"/>
  <c r="AN36" i="1"/>
  <c r="AH172" i="1"/>
  <c r="AI172" i="1" s="1"/>
  <c r="BB172" i="1"/>
  <c r="BC172" i="1" s="1"/>
  <c r="AN443" i="1"/>
  <c r="AN448" i="1"/>
  <c r="AN449" i="1"/>
  <c r="AN439" i="1"/>
  <c r="AN445" i="1"/>
  <c r="AN442" i="1"/>
  <c r="AN444" i="1"/>
  <c r="AN441" i="1"/>
  <c r="AN440" i="1"/>
  <c r="AN438" i="1"/>
  <c r="AN446" i="1"/>
  <c r="AN447" i="1"/>
  <c r="AN457" i="1"/>
  <c r="AN455" i="1"/>
  <c r="AN454" i="1"/>
  <c r="AN456" i="1"/>
  <c r="AN432" i="1"/>
  <c r="AN434" i="1"/>
  <c r="AN436" i="1"/>
  <c r="AN794" i="1"/>
  <c r="AN433" i="1"/>
  <c r="AN437" i="1"/>
  <c r="AH794" i="1"/>
  <c r="AI794" i="1" s="1"/>
  <c r="AN435" i="1"/>
  <c r="AN191" i="1"/>
  <c r="AN158" i="1"/>
  <c r="AN187" i="1"/>
  <c r="AN22" i="1"/>
  <c r="AN170" i="1"/>
  <c r="AN512" i="1"/>
  <c r="AN100" i="1"/>
  <c r="AN205" i="1"/>
  <c r="AN146" i="1"/>
  <c r="AN164" i="1"/>
  <c r="AN182" i="1"/>
  <c r="AN266" i="1"/>
  <c r="AN375" i="1"/>
  <c r="AN478" i="1"/>
  <c r="AN430" i="1"/>
  <c r="AN467" i="1"/>
  <c r="AN346" i="1"/>
  <c r="AN386" i="1"/>
  <c r="AN340" i="1"/>
  <c r="AN392" i="1"/>
  <c r="AN316" i="1"/>
  <c r="AN343" i="1"/>
  <c r="AN474" i="1"/>
  <c r="AN365" i="1"/>
  <c r="AN327" i="1"/>
  <c r="AN359" i="1"/>
  <c r="AN367" i="1"/>
  <c r="AN338" i="1"/>
  <c r="AN352" i="1"/>
  <c r="AN369" i="1"/>
  <c r="AN479" i="1"/>
  <c r="AN397" i="1"/>
  <c r="AN372" i="1"/>
  <c r="AN383" i="1"/>
  <c r="AN472" i="1"/>
  <c r="AN354" i="1"/>
  <c r="AN368" i="1"/>
  <c r="AN114" i="1"/>
  <c r="BB114" i="1"/>
  <c r="BC114" i="1" s="1"/>
  <c r="AM758" i="1"/>
  <c r="AB773" i="1"/>
  <c r="BB773" i="1" s="1"/>
  <c r="BE773" i="1" s="1"/>
  <c r="AM751" i="1"/>
  <c r="AM779" i="1"/>
  <c r="AM774" i="1"/>
  <c r="BC777" i="1"/>
  <c r="AB38" i="1"/>
  <c r="BB38" i="1" s="1"/>
  <c r="BE38" i="1" s="1"/>
  <c r="AN123" i="1"/>
  <c r="BE777" i="1"/>
  <c r="AM760" i="1"/>
  <c r="AM771" i="1"/>
  <c r="AH124" i="1"/>
  <c r="AI124" i="1" s="1"/>
  <c r="BB124" i="1"/>
  <c r="AB752" i="1"/>
  <c r="BB752" i="1" s="1"/>
  <c r="BD752" i="1" s="1"/>
  <c r="BB123" i="1"/>
  <c r="AH123" i="1"/>
  <c r="AI123" i="1" s="1"/>
  <c r="AB778" i="1"/>
  <c r="AH778" i="1" s="1"/>
  <c r="AI778" i="1" s="1"/>
  <c r="AN124" i="1"/>
  <c r="AM755" i="1"/>
  <c r="AB772" i="1"/>
  <c r="BB772" i="1" s="1"/>
  <c r="BE772" i="1" s="1"/>
  <c r="AM122" i="1"/>
  <c r="AM757" i="1"/>
  <c r="AL765" i="1"/>
  <c r="AN765" i="1" s="1"/>
  <c r="AM770" i="1"/>
  <c r="AM759" i="1"/>
  <c r="AH775" i="1"/>
  <c r="AI775" i="1" s="1"/>
  <c r="BB775" i="1"/>
  <c r="BE775" i="1" s="1"/>
  <c r="AH756" i="1"/>
  <c r="AI756" i="1" s="1"/>
  <c r="BB756" i="1"/>
  <c r="BD756" i="1" s="1"/>
  <c r="AB766" i="1"/>
  <c r="AL776" i="1"/>
  <c r="AM769" i="1"/>
  <c r="AL775" i="1"/>
  <c r="AM761" i="1"/>
  <c r="AL511" i="1"/>
  <c r="AN511" i="1" s="1"/>
  <c r="AH765" i="1"/>
  <c r="AI765" i="1" s="1"/>
  <c r="AL756" i="1"/>
  <c r="AM768" i="1"/>
  <c r="AM764" i="1"/>
  <c r="AB762" i="1"/>
  <c r="AM753" i="1"/>
  <c r="AM763" i="1"/>
  <c r="AN87" i="1"/>
  <c r="BB87" i="1"/>
  <c r="AH87" i="1"/>
  <c r="AI87" i="1" s="1"/>
  <c r="AN381" i="1"/>
  <c r="AN234" i="1"/>
  <c r="AN480" i="1"/>
  <c r="AN463" i="1"/>
  <c r="AN395" i="1"/>
  <c r="BE503" i="1"/>
  <c r="BD234" i="1"/>
  <c r="BD170" i="1"/>
  <c r="BE170" i="1"/>
  <c r="BC794" i="1"/>
  <c r="BE234" i="1"/>
  <c r="BE794" i="1"/>
  <c r="BD577" i="1"/>
  <c r="BD813" i="1"/>
  <c r="BD100" i="1"/>
  <c r="BC100" i="1"/>
  <c r="BE562" i="1"/>
  <c r="BD478" i="1"/>
  <c r="Z20" i="1"/>
  <c r="AK20" i="1"/>
  <c r="BD340" i="1"/>
  <c r="BE569" i="1"/>
  <c r="BE785" i="1"/>
  <c r="BC266" i="1"/>
  <c r="BE266" i="1"/>
  <c r="BC789" i="1"/>
  <c r="BD789" i="1"/>
  <c r="BE343" i="1"/>
  <c r="BD343" i="1"/>
  <c r="BE781" i="1"/>
  <c r="BC381" i="1"/>
  <c r="BC158" i="1"/>
  <c r="BE381" i="1"/>
  <c r="BE158" i="1"/>
  <c r="BC575" i="1"/>
  <c r="BC54" i="1"/>
  <c r="BE575" i="1"/>
  <c r="BD54" i="1"/>
  <c r="BD562" i="1"/>
  <c r="BE94" i="1"/>
  <c r="BC569" i="1"/>
  <c r="BC574" i="1"/>
  <c r="BD354" i="1"/>
  <c r="BD574" i="1"/>
  <c r="BC340" i="1"/>
  <c r="BC354" i="1"/>
  <c r="BD164" i="1"/>
  <c r="BD479" i="1"/>
  <c r="BC164" i="1"/>
  <c r="BC53" i="1"/>
  <c r="BC368" i="1"/>
  <c r="BD53" i="1"/>
  <c r="BC579" i="1"/>
  <c r="BD368" i="1"/>
  <c r="BE579" i="1"/>
  <c r="BD75" i="1"/>
  <c r="BC784" i="1"/>
  <c r="BE392" i="1"/>
  <c r="BE784" i="1"/>
  <c r="BC505" i="1"/>
  <c r="BE299" i="1"/>
  <c r="BD392" i="1"/>
  <c r="BE505" i="1"/>
  <c r="BD299" i="1"/>
  <c r="BC787" i="1"/>
  <c r="BC346" i="1"/>
  <c r="BE787" i="1"/>
  <c r="BC577" i="1"/>
  <c r="BD346" i="1"/>
  <c r="BD765" i="1"/>
  <c r="BC479" i="1"/>
  <c r="BE205" i="1"/>
  <c r="BC386" i="1"/>
  <c r="BE765" i="1"/>
  <c r="BC813" i="1"/>
  <c r="BD365" i="1"/>
  <c r="BD386" i="1"/>
  <c r="BD467" i="1"/>
  <c r="BE93" i="1"/>
  <c r="BE467" i="1"/>
  <c r="BC576" i="1"/>
  <c r="BC93" i="1"/>
  <c r="BE367" i="1"/>
  <c r="BD576" i="1"/>
  <c r="BC367" i="1"/>
  <c r="BC369" i="1"/>
  <c r="BC375" i="1"/>
  <c r="BE369" i="1"/>
  <c r="BE75" i="1"/>
  <c r="BD375" i="1"/>
  <c r="BE191" i="1"/>
  <c r="BC191" i="1"/>
  <c r="BE187" i="1"/>
  <c r="BD507" i="1"/>
  <c r="BE507" i="1"/>
  <c r="BC316" i="1"/>
  <c r="BC22" i="1"/>
  <c r="BC383" i="1"/>
  <c r="BE316" i="1"/>
  <c r="BD383" i="1"/>
  <c r="BD352" i="1"/>
  <c r="BC99" i="1"/>
  <c r="BC352" i="1"/>
  <c r="BE99" i="1"/>
  <c r="BD565" i="1"/>
  <c r="BE401" i="1"/>
  <c r="BD512" i="1"/>
  <c r="BD83" i="1"/>
  <c r="BC512" i="1"/>
  <c r="BC205" i="1"/>
  <c r="BC83" i="1"/>
  <c r="BE478" i="1"/>
  <c r="BE365" i="1"/>
  <c r="BE463" i="1"/>
  <c r="BD503" i="1"/>
  <c r="BB350" i="1"/>
  <c r="BD350" i="1" s="1"/>
  <c r="AH350" i="1"/>
  <c r="AI350" i="1" s="1"/>
  <c r="BB231" i="1"/>
  <c r="BD231" i="1" s="1"/>
  <c r="AH231" i="1"/>
  <c r="AI231" i="1" s="1"/>
  <c r="BB377" i="1"/>
  <c r="BE377" i="1" s="1"/>
  <c r="AH377" i="1"/>
  <c r="AI377" i="1" s="1"/>
  <c r="BB564" i="1"/>
  <c r="BE564" i="1" s="1"/>
  <c r="AH564" i="1"/>
  <c r="AI564" i="1" s="1"/>
  <c r="BC568" i="1"/>
  <c r="BD359" i="1"/>
  <c r="BC187" i="1"/>
  <c r="BB167" i="1"/>
  <c r="BE167" i="1" s="1"/>
  <c r="AH167" i="1"/>
  <c r="AI167" i="1" s="1"/>
  <c r="BB394" i="1"/>
  <c r="BD394" i="1" s="1"/>
  <c r="AH394" i="1"/>
  <c r="AI394" i="1" s="1"/>
  <c r="BB281" i="1"/>
  <c r="BE281" i="1" s="1"/>
  <c r="AH281" i="1"/>
  <c r="AI281" i="1" s="1"/>
  <c r="BB288" i="1"/>
  <c r="BD288" i="1" s="1"/>
  <c r="AH288" i="1"/>
  <c r="AI288" i="1" s="1"/>
  <c r="BB61" i="1"/>
  <c r="BC61" i="1" s="1"/>
  <c r="AH61" i="1"/>
  <c r="BB493" i="1"/>
  <c r="BE493" i="1" s="1"/>
  <c r="AH493" i="1"/>
  <c r="AI493" i="1" s="1"/>
  <c r="BE568" i="1"/>
  <c r="BB524" i="1"/>
  <c r="BE524" i="1" s="1"/>
  <c r="AH524" i="1"/>
  <c r="AI524" i="1" s="1"/>
  <c r="BB551" i="1"/>
  <c r="BE551" i="1" s="1"/>
  <c r="AH551" i="1"/>
  <c r="AI551" i="1" s="1"/>
  <c r="BB263" i="1"/>
  <c r="BE263" i="1" s="1"/>
  <c r="AH263" i="1"/>
  <c r="AI263" i="1" s="1"/>
  <c r="BB366" i="1"/>
  <c r="BE366" i="1" s="1"/>
  <c r="AH366" i="1"/>
  <c r="AI366" i="1" s="1"/>
  <c r="BB483" i="1"/>
  <c r="BE483" i="1" s="1"/>
  <c r="AH483" i="1"/>
  <c r="AI483" i="1" s="1"/>
  <c r="BB219" i="1"/>
  <c r="BD219" i="1" s="1"/>
  <c r="AH219" i="1"/>
  <c r="AI219" i="1" s="1"/>
  <c r="BB389" i="1"/>
  <c r="BE389" i="1" s="1"/>
  <c r="AH389" i="1"/>
  <c r="AI389" i="1" s="1"/>
  <c r="BB336" i="1"/>
  <c r="BD336" i="1" s="1"/>
  <c r="AH336" i="1"/>
  <c r="AI336" i="1" s="1"/>
  <c r="BB549" i="1"/>
  <c r="BE549" i="1" s="1"/>
  <c r="AH549" i="1"/>
  <c r="AI549" i="1" s="1"/>
  <c r="BB196" i="1"/>
  <c r="BC196" i="1" s="1"/>
  <c r="AH196" i="1"/>
  <c r="AI196" i="1" s="1"/>
  <c r="BB490" i="1"/>
  <c r="BC490" i="1" s="1"/>
  <c r="AH490" i="1"/>
  <c r="AI490" i="1" s="1"/>
  <c r="BC338" i="1"/>
  <c r="BB259" i="1"/>
  <c r="BE259" i="1" s="1"/>
  <c r="AH259" i="1"/>
  <c r="AI259" i="1" s="1"/>
  <c r="BB70" i="1"/>
  <c r="BE70" i="1" s="1"/>
  <c r="AH70" i="1"/>
  <c r="AI70" i="1" s="1"/>
  <c r="BB494" i="1"/>
  <c r="BC494" i="1" s="1"/>
  <c r="AH494" i="1"/>
  <c r="AI494" i="1" s="1"/>
  <c r="BE338" i="1"/>
  <c r="BB240" i="1"/>
  <c r="BE240" i="1" s="1"/>
  <c r="AH240" i="1"/>
  <c r="AI240" i="1" s="1"/>
  <c r="BB135" i="1"/>
  <c r="BE135" i="1" s="1"/>
  <c r="AH135" i="1"/>
  <c r="AI135" i="1" s="1"/>
  <c r="BB270" i="1"/>
  <c r="BE270" i="1" s="1"/>
  <c r="AH270" i="1"/>
  <c r="AI270" i="1" s="1"/>
  <c r="BB333" i="1"/>
  <c r="BC333" i="1" s="1"/>
  <c r="AH333" i="1"/>
  <c r="AI333" i="1" s="1"/>
  <c r="BB402" i="1"/>
  <c r="BD402" i="1" s="1"/>
  <c r="AH402" i="1"/>
  <c r="AI402" i="1" s="1"/>
  <c r="BB385" i="1"/>
  <c r="BE385" i="1" s="1"/>
  <c r="AH385" i="1"/>
  <c r="AI385" i="1" s="1"/>
  <c r="BB160" i="1"/>
  <c r="BD160" i="1" s="1"/>
  <c r="AH160" i="1"/>
  <c r="AI160" i="1" s="1"/>
  <c r="BB504" i="1"/>
  <c r="BD504" i="1" s="1"/>
  <c r="AH504" i="1"/>
  <c r="AI504" i="1" s="1"/>
  <c r="BB502" i="1"/>
  <c r="BE502" i="1" s="1"/>
  <c r="AH502" i="1"/>
  <c r="AI502" i="1" s="1"/>
  <c r="BB228" i="1"/>
  <c r="BD228" i="1" s="1"/>
  <c r="AH228" i="1"/>
  <c r="AI228" i="1" s="1"/>
  <c r="BE480" i="1"/>
  <c r="BC327" i="1"/>
  <c r="BB553" i="1"/>
  <c r="BE553" i="1" s="1"/>
  <c r="AH553" i="1"/>
  <c r="AI553" i="1" s="1"/>
  <c r="BB547" i="1"/>
  <c r="BD547" i="1" s="1"/>
  <c r="AH547" i="1"/>
  <c r="AI547" i="1" s="1"/>
  <c r="BB526" i="1"/>
  <c r="BE526" i="1" s="1"/>
  <c r="AH526" i="1"/>
  <c r="AI526" i="1" s="1"/>
  <c r="BB195" i="1"/>
  <c r="BD195" i="1" s="1"/>
  <c r="AH195" i="1"/>
  <c r="AI195" i="1" s="1"/>
  <c r="BB399" i="1"/>
  <c r="BC399" i="1" s="1"/>
  <c r="AH399" i="1"/>
  <c r="AI399" i="1" s="1"/>
  <c r="BB279" i="1"/>
  <c r="BD279" i="1" s="1"/>
  <c r="AH279" i="1"/>
  <c r="AI279" i="1" s="1"/>
  <c r="BB545" i="1"/>
  <c r="BD545" i="1" s="1"/>
  <c r="AH545" i="1"/>
  <c r="AI545" i="1" s="1"/>
  <c r="BB378" i="1"/>
  <c r="BE378" i="1" s="1"/>
  <c r="AH378" i="1"/>
  <c r="AI378" i="1" s="1"/>
  <c r="BB373" i="1"/>
  <c r="BD373" i="1" s="1"/>
  <c r="AH373" i="1"/>
  <c r="AI373" i="1" s="1"/>
  <c r="BB498" i="1"/>
  <c r="BD498" i="1" s="1"/>
  <c r="AH498" i="1"/>
  <c r="AI498" i="1" s="1"/>
  <c r="BB133" i="1"/>
  <c r="BD133" i="1" s="1"/>
  <c r="AH133" i="1"/>
  <c r="AI133" i="1" s="1"/>
  <c r="BD327" i="1"/>
  <c r="BB90" i="1"/>
  <c r="BD90" i="1" s="1"/>
  <c r="AH90" i="1"/>
  <c r="AI90" i="1" s="1"/>
  <c r="BB179" i="1"/>
  <c r="BE179" i="1" s="1"/>
  <c r="AH179" i="1"/>
  <c r="AI179" i="1" s="1"/>
  <c r="BB51" i="1"/>
  <c r="BE51" i="1" s="1"/>
  <c r="AH51" i="1"/>
  <c r="AI51" i="1" s="1"/>
  <c r="BB331" i="1"/>
  <c r="BC331" i="1" s="1"/>
  <c r="AH331" i="1"/>
  <c r="AI331" i="1" s="1"/>
  <c r="BB536" i="1"/>
  <c r="BD536" i="1" s="1"/>
  <c r="AH536" i="1"/>
  <c r="AI536" i="1" s="1"/>
  <c r="BB125" i="1"/>
  <c r="BD125" i="1" s="1"/>
  <c r="AH125" i="1"/>
  <c r="AI125" i="1" s="1"/>
  <c r="BB361" i="1"/>
  <c r="BE361" i="1" s="1"/>
  <c r="AH361" i="1"/>
  <c r="AI361" i="1" s="1"/>
  <c r="BB567" i="1"/>
  <c r="BD567" i="1" s="1"/>
  <c r="AH567" i="1"/>
  <c r="AI567" i="1" s="1"/>
  <c r="BB496" i="1"/>
  <c r="BE496" i="1" s="1"/>
  <c r="AH496" i="1"/>
  <c r="AI496" i="1" s="1"/>
  <c r="BC480" i="1"/>
  <c r="BC395" i="1"/>
  <c r="BB571" i="1"/>
  <c r="BD571" i="1" s="1"/>
  <c r="AH571" i="1"/>
  <c r="AI571" i="1" s="1"/>
  <c r="BB113" i="1"/>
  <c r="BE113" i="1" s="1"/>
  <c r="AH113" i="1"/>
  <c r="AI113" i="1" s="1"/>
  <c r="BB337" i="1"/>
  <c r="BE337" i="1" s="1"/>
  <c r="AH337" i="1"/>
  <c r="AI337" i="1" s="1"/>
  <c r="BB325" i="1"/>
  <c r="BC325" i="1" s="1"/>
  <c r="AH325" i="1"/>
  <c r="AI325" i="1" s="1"/>
  <c r="BB391" i="1"/>
  <c r="BC391" i="1" s="1"/>
  <c r="AH391" i="1"/>
  <c r="AI391" i="1" s="1"/>
  <c r="BB382" i="1"/>
  <c r="BC382" i="1" s="1"/>
  <c r="AH382" i="1"/>
  <c r="AI382" i="1" s="1"/>
  <c r="BB58" i="1"/>
  <c r="BC58" i="1" s="1"/>
  <c r="AH58" i="1"/>
  <c r="AI58" i="1" s="1"/>
  <c r="BC472" i="1"/>
  <c r="BE395" i="1"/>
  <c r="BB523" i="1"/>
  <c r="BE523" i="1" s="1"/>
  <c r="AH523" i="1"/>
  <c r="AI523" i="1" s="1"/>
  <c r="BB522" i="1"/>
  <c r="BD522" i="1" s="1"/>
  <c r="AH522" i="1"/>
  <c r="AI522" i="1" s="1"/>
  <c r="BB530" i="1"/>
  <c r="BE530" i="1" s="1"/>
  <c r="AH530" i="1"/>
  <c r="AI530" i="1" s="1"/>
  <c r="BB256" i="1"/>
  <c r="BD256" i="1" s="1"/>
  <c r="AH256" i="1"/>
  <c r="AI256" i="1" s="1"/>
  <c r="BB317" i="1"/>
  <c r="BD317" i="1" s="1"/>
  <c r="AH317" i="1"/>
  <c r="AI317" i="1" s="1"/>
  <c r="BB294" i="1"/>
  <c r="BE294" i="1" s="1"/>
  <c r="AH294" i="1"/>
  <c r="AI294" i="1" s="1"/>
  <c r="BB400" i="1"/>
  <c r="BE400" i="1" s="1"/>
  <c r="AH400" i="1"/>
  <c r="AI400" i="1" s="1"/>
  <c r="BB360" i="1"/>
  <c r="BD360" i="1" s="1"/>
  <c r="AH360" i="1"/>
  <c r="AI360" i="1" s="1"/>
  <c r="BB489" i="1"/>
  <c r="BE489" i="1" s="1"/>
  <c r="AH489" i="1"/>
  <c r="AI489" i="1" s="1"/>
  <c r="BD472" i="1"/>
  <c r="BB224" i="1"/>
  <c r="BE224" i="1" s="1"/>
  <c r="AH224" i="1"/>
  <c r="AI224" i="1" s="1"/>
  <c r="BB348" i="1"/>
  <c r="BE348" i="1" s="1"/>
  <c r="AH348" i="1"/>
  <c r="AI348" i="1" s="1"/>
  <c r="BB132" i="1"/>
  <c r="BD132" i="1" s="1"/>
  <c r="AH132" i="1"/>
  <c r="AI132" i="1" s="1"/>
  <c r="BB332" i="1"/>
  <c r="BD332" i="1" s="1"/>
  <c r="AH332" i="1"/>
  <c r="AI332" i="1" s="1"/>
  <c r="BB344" i="1"/>
  <c r="BD344" i="1" s="1"/>
  <c r="AH344" i="1"/>
  <c r="AI344" i="1" s="1"/>
  <c r="BC397" i="1"/>
  <c r="BB388" i="1"/>
  <c r="BE388" i="1" s="1"/>
  <c r="AH388" i="1"/>
  <c r="AI388" i="1" s="1"/>
  <c r="BB353" i="1"/>
  <c r="BC353" i="1" s="1"/>
  <c r="AH353" i="1"/>
  <c r="AI353" i="1" s="1"/>
  <c r="BB363" i="1"/>
  <c r="BE363" i="1" s="1"/>
  <c r="AH363" i="1"/>
  <c r="AI363" i="1" s="1"/>
  <c r="BB163" i="1"/>
  <c r="BD163" i="1" s="1"/>
  <c r="AH163" i="1"/>
  <c r="AI163" i="1" s="1"/>
  <c r="BB398" i="1"/>
  <c r="BE398" i="1" s="1"/>
  <c r="AH398" i="1"/>
  <c r="AI398" i="1" s="1"/>
  <c r="BB249" i="1"/>
  <c r="BD249" i="1" s="1"/>
  <c r="AH249" i="1"/>
  <c r="AI249" i="1" s="1"/>
  <c r="BB495" i="1"/>
  <c r="BD495" i="1" s="1"/>
  <c r="AH495" i="1"/>
  <c r="AI495" i="1" s="1"/>
  <c r="BC372" i="1"/>
  <c r="BE397" i="1"/>
  <c r="BE793" i="1"/>
  <c r="BB345" i="1"/>
  <c r="BD345" i="1" s="1"/>
  <c r="AH345" i="1"/>
  <c r="AI345" i="1" s="1"/>
  <c r="BB203" i="1"/>
  <c r="BD203" i="1" s="1"/>
  <c r="AH203" i="1"/>
  <c r="AI203" i="1" s="1"/>
  <c r="BB128" i="1"/>
  <c r="BE128" i="1" s="1"/>
  <c r="AH128" i="1"/>
  <c r="AI128" i="1" s="1"/>
  <c r="BB136" i="1"/>
  <c r="BD136" i="1" s="1"/>
  <c r="AH136" i="1"/>
  <c r="AI136" i="1" s="1"/>
  <c r="BD430" i="1"/>
  <c r="BD372" i="1"/>
  <c r="BC793" i="1"/>
  <c r="BB539" i="1"/>
  <c r="BD539" i="1" s="1"/>
  <c r="AH539" i="1"/>
  <c r="AI539" i="1" s="1"/>
  <c r="BB537" i="1"/>
  <c r="BD537" i="1" s="1"/>
  <c r="AH537" i="1"/>
  <c r="AI537" i="1" s="1"/>
  <c r="BB190" i="1"/>
  <c r="BE190" i="1" s="1"/>
  <c r="AH190" i="1"/>
  <c r="AI190" i="1" s="1"/>
  <c r="BB273" i="1"/>
  <c r="BD273" i="1" s="1"/>
  <c r="AH273" i="1"/>
  <c r="AI273" i="1" s="1"/>
  <c r="BE430" i="1"/>
  <c r="BD22" i="1"/>
  <c r="BB515" i="1"/>
  <c r="BD515" i="1" s="1"/>
  <c r="AH515" i="1"/>
  <c r="AI515" i="1" s="1"/>
  <c r="BB339" i="1"/>
  <c r="BD339" i="1" s="1"/>
  <c r="AH339" i="1"/>
  <c r="AI339" i="1" s="1"/>
  <c r="BB356" i="1"/>
  <c r="BC356" i="1" s="1"/>
  <c r="AH356" i="1"/>
  <c r="AI356" i="1" s="1"/>
  <c r="BB513" i="1"/>
  <c r="BD513" i="1" s="1"/>
  <c r="AH513" i="1"/>
  <c r="AI513" i="1" s="1"/>
  <c r="BB506" i="1"/>
  <c r="BC506" i="1" s="1"/>
  <c r="AH506" i="1"/>
  <c r="AI506" i="1" s="1"/>
  <c r="BB329" i="1"/>
  <c r="BD329" i="1" s="1"/>
  <c r="AH329" i="1"/>
  <c r="AI329" i="1" s="1"/>
  <c r="BB364" i="1"/>
  <c r="BD364" i="1" s="1"/>
  <c r="AH364" i="1"/>
  <c r="AI364" i="1" s="1"/>
  <c r="BB561" i="1"/>
  <c r="BE561" i="1" s="1"/>
  <c r="AH561" i="1"/>
  <c r="AI561" i="1" s="1"/>
  <c r="BB578" i="1"/>
  <c r="BE578" i="1" s="1"/>
  <c r="AH578" i="1"/>
  <c r="AI578" i="1" s="1"/>
  <c r="BB521" i="1"/>
  <c r="BD521" i="1" s="1"/>
  <c r="AH521" i="1"/>
  <c r="AI521" i="1" s="1"/>
  <c r="BB535" i="1"/>
  <c r="BD535" i="1" s="1"/>
  <c r="AH535" i="1"/>
  <c r="AI535" i="1" s="1"/>
  <c r="BB260" i="1"/>
  <c r="BE260" i="1" s="1"/>
  <c r="AH260" i="1"/>
  <c r="AI260" i="1" s="1"/>
  <c r="BB481" i="1"/>
  <c r="BC481" i="1" s="1"/>
  <c r="AH481" i="1"/>
  <c r="AI481" i="1" s="1"/>
  <c r="BB253" i="1"/>
  <c r="BE253" i="1" s="1"/>
  <c r="AH253" i="1"/>
  <c r="AI253" i="1" s="1"/>
  <c r="BB500" i="1"/>
  <c r="BC500" i="1" s="1"/>
  <c r="AH500" i="1"/>
  <c r="AI500" i="1" s="1"/>
  <c r="BB384" i="1"/>
  <c r="BD384" i="1" s="1"/>
  <c r="AH384" i="1"/>
  <c r="AI384" i="1" s="1"/>
  <c r="BB379" i="1"/>
  <c r="BC379" i="1" s="1"/>
  <c r="AH379" i="1"/>
  <c r="AI379" i="1" s="1"/>
  <c r="BB559" i="1"/>
  <c r="BD559" i="1" s="1"/>
  <c r="AH559" i="1"/>
  <c r="AI559" i="1" s="1"/>
  <c r="BC404" i="1"/>
  <c r="BD403" i="1"/>
  <c r="BB572" i="1"/>
  <c r="BE572" i="1" s="1"/>
  <c r="AH572" i="1"/>
  <c r="AI572" i="1" s="1"/>
  <c r="BB250" i="1"/>
  <c r="BC250" i="1" s="1"/>
  <c r="AH250" i="1"/>
  <c r="AI250" i="1" s="1"/>
  <c r="BB159" i="1"/>
  <c r="BD159" i="1" s="1"/>
  <c r="AH159" i="1"/>
  <c r="AI159" i="1" s="1"/>
  <c r="BB533" i="1"/>
  <c r="BC533" i="1" s="1"/>
  <c r="AH533" i="1"/>
  <c r="AI533" i="1" s="1"/>
  <c r="BB492" i="1"/>
  <c r="BE492" i="1" s="1"/>
  <c r="AH492" i="1"/>
  <c r="AI492" i="1" s="1"/>
  <c r="BB540" i="1"/>
  <c r="BD540" i="1" s="1"/>
  <c r="AH540" i="1"/>
  <c r="AI540" i="1" s="1"/>
  <c r="BB328" i="1"/>
  <c r="BE328" i="1" s="1"/>
  <c r="AH328" i="1"/>
  <c r="AI328" i="1" s="1"/>
  <c r="BB292" i="1"/>
  <c r="BE292" i="1" s="1"/>
  <c r="AH292" i="1"/>
  <c r="AI292" i="1" s="1"/>
  <c r="BB542" i="1"/>
  <c r="BC542" i="1" s="1"/>
  <c r="AH542" i="1"/>
  <c r="AI542" i="1" s="1"/>
  <c r="BB82" i="1"/>
  <c r="BD82" i="1" s="1"/>
  <c r="AH82" i="1"/>
  <c r="AI82" i="1" s="1"/>
  <c r="BB201" i="1"/>
  <c r="BE201" i="1" s="1"/>
  <c r="AH201" i="1"/>
  <c r="AI201" i="1" s="1"/>
  <c r="BB484" i="1"/>
  <c r="BE484" i="1" s="1"/>
  <c r="AH484" i="1"/>
  <c r="AI484" i="1" s="1"/>
  <c r="BB218" i="1"/>
  <c r="BE218" i="1" s="1"/>
  <c r="AH218" i="1"/>
  <c r="AI218" i="1" s="1"/>
  <c r="BB236" i="1"/>
  <c r="BE236" i="1" s="1"/>
  <c r="AH236" i="1"/>
  <c r="AI236" i="1" s="1"/>
  <c r="BB341" i="1"/>
  <c r="BE341" i="1" s="1"/>
  <c r="AH341" i="1"/>
  <c r="AI341" i="1" s="1"/>
  <c r="BB33" i="1"/>
  <c r="BE33" i="1" s="1"/>
  <c r="AH33" i="1"/>
  <c r="AI33" i="1" s="1"/>
  <c r="BB296" i="1"/>
  <c r="BD296" i="1" s="1"/>
  <c r="AH296" i="1"/>
  <c r="AI296" i="1" s="1"/>
  <c r="BB543" i="1"/>
  <c r="BD543" i="1" s="1"/>
  <c r="AH543" i="1"/>
  <c r="AI543" i="1" s="1"/>
  <c r="BB97" i="1"/>
  <c r="BC97" i="1" s="1"/>
  <c r="AH97" i="1"/>
  <c r="AI97" i="1" s="1"/>
  <c r="BB511" i="1"/>
  <c r="BE511" i="1" s="1"/>
  <c r="AH511" i="1"/>
  <c r="AI511" i="1" s="1"/>
  <c r="BB140" i="1"/>
  <c r="BE140" i="1" s="1"/>
  <c r="AH140" i="1"/>
  <c r="AI140" i="1" s="1"/>
  <c r="BB278" i="1"/>
  <c r="BD278" i="1" s="1"/>
  <c r="AH278" i="1"/>
  <c r="AI278" i="1" s="1"/>
  <c r="BB357" i="1"/>
  <c r="BE357" i="1" s="1"/>
  <c r="AH357" i="1"/>
  <c r="AI357" i="1" s="1"/>
  <c r="BB334" i="1"/>
  <c r="BD334" i="1" s="1"/>
  <c r="AH334" i="1"/>
  <c r="AI334" i="1" s="1"/>
  <c r="BB351" i="1"/>
  <c r="BE351" i="1" s="1"/>
  <c r="AH351" i="1"/>
  <c r="AI351" i="1" s="1"/>
  <c r="BB376" i="1"/>
  <c r="BE376" i="1" s="1"/>
  <c r="AH376" i="1"/>
  <c r="AI376" i="1" s="1"/>
  <c r="BB371" i="1"/>
  <c r="BE371" i="1" s="1"/>
  <c r="AH371" i="1"/>
  <c r="AI371" i="1" s="1"/>
  <c r="BB548" i="1"/>
  <c r="BD548" i="1" s="1"/>
  <c r="AH548" i="1"/>
  <c r="AI548" i="1" s="1"/>
  <c r="BD404" i="1"/>
  <c r="BE403" i="1"/>
  <c r="BC560" i="1"/>
  <c r="BB326" i="1"/>
  <c r="BE326" i="1" s="1"/>
  <c r="AH326" i="1"/>
  <c r="AI326" i="1" s="1"/>
  <c r="BB380" i="1"/>
  <c r="BD380" i="1" s="1"/>
  <c r="AH380" i="1"/>
  <c r="AI380" i="1" s="1"/>
  <c r="BB499" i="1"/>
  <c r="BC499" i="1" s="1"/>
  <c r="AH499" i="1"/>
  <c r="AI499" i="1" s="1"/>
  <c r="BB563" i="1"/>
  <c r="BD563" i="1" s="1"/>
  <c r="AH563" i="1"/>
  <c r="AI563" i="1" s="1"/>
  <c r="BB566" i="1"/>
  <c r="BD566" i="1" s="1"/>
  <c r="AH566" i="1"/>
  <c r="AI566" i="1" s="1"/>
  <c r="BC359" i="1"/>
  <c r="BB482" i="1"/>
  <c r="BD482" i="1" s="1"/>
  <c r="AH482" i="1"/>
  <c r="AI482" i="1" s="1"/>
  <c r="BB324" i="1"/>
  <c r="BE324" i="1" s="1"/>
  <c r="AH324" i="1"/>
  <c r="AI324" i="1" s="1"/>
  <c r="BB181" i="1"/>
  <c r="BD181" i="1" s="1"/>
  <c r="AH181" i="1"/>
  <c r="AI181" i="1" s="1"/>
  <c r="BB18" i="1"/>
  <c r="BD18" i="1" s="1"/>
  <c r="AH18" i="1"/>
  <c r="AI18" i="1" s="1"/>
  <c r="BB221" i="1"/>
  <c r="BD221" i="1" s="1"/>
  <c r="AH221" i="1"/>
  <c r="AI221" i="1" s="1"/>
  <c r="BB349" i="1"/>
  <c r="BD349" i="1" s="1"/>
  <c r="AH349" i="1"/>
  <c r="AI349" i="1" s="1"/>
  <c r="BB206" i="1"/>
  <c r="BE206" i="1" s="1"/>
  <c r="AH206" i="1"/>
  <c r="AI206" i="1" s="1"/>
  <c r="BB255" i="1"/>
  <c r="BE255" i="1" s="1"/>
  <c r="AH255" i="1"/>
  <c r="AI255" i="1" s="1"/>
  <c r="BB109" i="1"/>
  <c r="BD109" i="1" s="1"/>
  <c r="AH109" i="1"/>
  <c r="AI109" i="1" s="1"/>
  <c r="BB509" i="1"/>
  <c r="BD509" i="1" s="1"/>
  <c r="AH509" i="1"/>
  <c r="AI509" i="1" s="1"/>
  <c r="BB322" i="1"/>
  <c r="BE322" i="1" s="1"/>
  <c r="AH322" i="1"/>
  <c r="AI322" i="1" s="1"/>
  <c r="BB298" i="1"/>
  <c r="BE298" i="1" s="1"/>
  <c r="AH298" i="1"/>
  <c r="AI298" i="1" s="1"/>
  <c r="BB34" i="1"/>
  <c r="BD34" i="1" s="1"/>
  <c r="AH34" i="1"/>
  <c r="AI34" i="1" s="1"/>
  <c r="BB508" i="1"/>
  <c r="BE508" i="1" s="1"/>
  <c r="AH508" i="1"/>
  <c r="AI508" i="1" s="1"/>
  <c r="BB141" i="1"/>
  <c r="BE141" i="1" s="1"/>
  <c r="AH141" i="1"/>
  <c r="AI141" i="1" s="1"/>
  <c r="BB242" i="1"/>
  <c r="BE242" i="1" s="1"/>
  <c r="AH242" i="1"/>
  <c r="AI242" i="1" s="1"/>
  <c r="BC401" i="1"/>
  <c r="BC182" i="1"/>
  <c r="BD560" i="1"/>
  <c r="BB550" i="1"/>
  <c r="BC550" i="1" s="1"/>
  <c r="AH550" i="1"/>
  <c r="AI550" i="1" s="1"/>
  <c r="BB188" i="1"/>
  <c r="BE188" i="1" s="1"/>
  <c r="AH188" i="1"/>
  <c r="AI188" i="1" s="1"/>
  <c r="BB129" i="1"/>
  <c r="BE129" i="1" s="1"/>
  <c r="AH129" i="1"/>
  <c r="AI129" i="1" s="1"/>
  <c r="BB55" i="1"/>
  <c r="BD55" i="1" s="1"/>
  <c r="AH55" i="1"/>
  <c r="AI55" i="1" s="1"/>
  <c r="BB122" i="1"/>
  <c r="BC122" i="1" s="1"/>
  <c r="AH122" i="1"/>
  <c r="AI122" i="1" s="1"/>
  <c r="BB330" i="1"/>
  <c r="BD330" i="1" s="1"/>
  <c r="AH330" i="1"/>
  <c r="AI330" i="1" s="1"/>
  <c r="BB554" i="1"/>
  <c r="BE554" i="1" s="1"/>
  <c r="AH554" i="1"/>
  <c r="AI554" i="1" s="1"/>
  <c r="BD785" i="1"/>
  <c r="BE565" i="1"/>
  <c r="BC94" i="1"/>
  <c r="BE182" i="1"/>
  <c r="BB110" i="1"/>
  <c r="BD110" i="1" s="1"/>
  <c r="AH110" i="1"/>
  <c r="AI110" i="1" s="1"/>
  <c r="BD74" i="1"/>
  <c r="BB370" i="1"/>
  <c r="BC370" i="1" s="1"/>
  <c r="AH370" i="1"/>
  <c r="AI370" i="1" s="1"/>
  <c r="BB491" i="1"/>
  <c r="BD491" i="1" s="1"/>
  <c r="AH491" i="1"/>
  <c r="AI491" i="1" s="1"/>
  <c r="BB237" i="1"/>
  <c r="BD237" i="1" s="1"/>
  <c r="AH237" i="1"/>
  <c r="AI237" i="1" s="1"/>
  <c r="BB210" i="1"/>
  <c r="BC210" i="1" s="1"/>
  <c r="AH210" i="1"/>
  <c r="AI210" i="1" s="1"/>
  <c r="BB168" i="1"/>
  <c r="BC168" i="1" s="1"/>
  <c r="AH168" i="1"/>
  <c r="AI168" i="1" s="1"/>
  <c r="BB27" i="1"/>
  <c r="BE27" i="1" s="1"/>
  <c r="AH27" i="1"/>
  <c r="AI27" i="1" s="1"/>
  <c r="BB272" i="1"/>
  <c r="BE272" i="1" s="1"/>
  <c r="AH272" i="1"/>
  <c r="AI272" i="1" s="1"/>
  <c r="BB169" i="1"/>
  <c r="BC169" i="1" s="1"/>
  <c r="AH169" i="1"/>
  <c r="AI169" i="1" s="1"/>
  <c r="BB374" i="1"/>
  <c r="BE374" i="1" s="1"/>
  <c r="AH374" i="1"/>
  <c r="AI374" i="1" s="1"/>
  <c r="BB121" i="1"/>
  <c r="BE121" i="1" s="1"/>
  <c r="AH121" i="1"/>
  <c r="AI121" i="1" s="1"/>
  <c r="BB387" i="1"/>
  <c r="BE387" i="1" s="1"/>
  <c r="AH387" i="1"/>
  <c r="AI387" i="1" s="1"/>
  <c r="BB390" i="1"/>
  <c r="BD390" i="1" s="1"/>
  <c r="AH390" i="1"/>
  <c r="AI390" i="1" s="1"/>
  <c r="BB202" i="1"/>
  <c r="BD202" i="1" s="1"/>
  <c r="AH202" i="1"/>
  <c r="AI202" i="1" s="1"/>
  <c r="BB192" i="1"/>
  <c r="BC192" i="1" s="1"/>
  <c r="AH192" i="1"/>
  <c r="AI192" i="1" s="1"/>
  <c r="BB225" i="1"/>
  <c r="BD225" i="1" s="1"/>
  <c r="AH225" i="1"/>
  <c r="AI225" i="1" s="1"/>
  <c r="BB497" i="1"/>
  <c r="BD497" i="1" s="1"/>
  <c r="AH497" i="1"/>
  <c r="AI497" i="1" s="1"/>
  <c r="BB247" i="1"/>
  <c r="BC247" i="1" s="1"/>
  <c r="AH247" i="1"/>
  <c r="AI247" i="1" s="1"/>
  <c r="BB558" i="1"/>
  <c r="BE558" i="1" s="1"/>
  <c r="AH558" i="1"/>
  <c r="AI558" i="1" s="1"/>
  <c r="BB248" i="1"/>
  <c r="BD248" i="1" s="1"/>
  <c r="AH248" i="1"/>
  <c r="AI248" i="1" s="1"/>
  <c r="BB520" i="1"/>
  <c r="BD520" i="1" s="1"/>
  <c r="AH520" i="1"/>
  <c r="AI520" i="1" s="1"/>
  <c r="BC74" i="1"/>
  <c r="BD781" i="1"/>
  <c r="BD783" i="1"/>
  <c r="BD786" i="1"/>
  <c r="BD474" i="1"/>
  <c r="BC788" i="1"/>
  <c r="BC791" i="1"/>
  <c r="BE788" i="1"/>
  <c r="BE791" i="1"/>
  <c r="BC474" i="1"/>
  <c r="BD146" i="1"/>
  <c r="BC782" i="1"/>
  <c r="BC146" i="1"/>
  <c r="BE782" i="1"/>
  <c r="BD463" i="1"/>
  <c r="BC786" i="1"/>
  <c r="AL168" i="1"/>
  <c r="BC783" i="1"/>
  <c r="BB120" i="1"/>
  <c r="BC120" i="1" s="1"/>
  <c r="AH120" i="1"/>
  <c r="AI120" i="1" s="1"/>
  <c r="BB754" i="1"/>
  <c r="BE754" i="1" s="1"/>
  <c r="AH754" i="1"/>
  <c r="AI754" i="1" s="1"/>
  <c r="BB471" i="1"/>
  <c r="BE471" i="1" s="1"/>
  <c r="AH471" i="1"/>
  <c r="AI471" i="1" s="1"/>
  <c r="BB119" i="1"/>
  <c r="BC119" i="1" s="1"/>
  <c r="AH119" i="1"/>
  <c r="AI119" i="1" s="1"/>
  <c r="BB153" i="1"/>
  <c r="BD153" i="1" s="1"/>
  <c r="AH153" i="1"/>
  <c r="AI153" i="1" s="1"/>
  <c r="BB476" i="1"/>
  <c r="AH476" i="1"/>
  <c r="AI476" i="1" s="1"/>
  <c r="BB767" i="1"/>
  <c r="BC767" i="1" s="1"/>
  <c r="AH767" i="1"/>
  <c r="AI767" i="1" s="1"/>
  <c r="BB469" i="1"/>
  <c r="BD469" i="1" s="1"/>
  <c r="AH469" i="1"/>
  <c r="AI469" i="1" s="1"/>
  <c r="BB154" i="1"/>
  <c r="BD154" i="1" s="1"/>
  <c r="AH154" i="1"/>
  <c r="AI154" i="1" s="1"/>
  <c r="BB143" i="1"/>
  <c r="BC143" i="1" s="1"/>
  <c r="AH143" i="1"/>
  <c r="AI143" i="1" s="1"/>
  <c r="BB466" i="1"/>
  <c r="BD466" i="1" s="1"/>
  <c r="AH466" i="1"/>
  <c r="AI466" i="1" s="1"/>
  <c r="BB431" i="1"/>
  <c r="BD431" i="1" s="1"/>
  <c r="AH431" i="1"/>
  <c r="AI431" i="1" s="1"/>
  <c r="BB768" i="1"/>
  <c r="BE768" i="1" s="1"/>
  <c r="AH768" i="1"/>
  <c r="AI768" i="1" s="1"/>
  <c r="BB468" i="1"/>
  <c r="BD468" i="1" s="1"/>
  <c r="AH468" i="1"/>
  <c r="AI468" i="1" s="1"/>
  <c r="BB771" i="1"/>
  <c r="BD771" i="1" s="1"/>
  <c r="AH771" i="1"/>
  <c r="AI771" i="1" s="1"/>
  <c r="BB475" i="1"/>
  <c r="BE475" i="1" s="1"/>
  <c r="AH475" i="1"/>
  <c r="AI475" i="1" s="1"/>
  <c r="BB776" i="1"/>
  <c r="BC776" i="1" s="1"/>
  <c r="AH776" i="1"/>
  <c r="AI776" i="1" s="1"/>
  <c r="BB753" i="1"/>
  <c r="BD753" i="1" s="1"/>
  <c r="AH753" i="1"/>
  <c r="AI753" i="1" s="1"/>
  <c r="BB429" i="1"/>
  <c r="BD429" i="1" s="1"/>
  <c r="AI429" i="1"/>
  <c r="BB465" i="1"/>
  <c r="BD465" i="1" s="1"/>
  <c r="AH465" i="1"/>
  <c r="AI465" i="1" s="1"/>
  <c r="BB477" i="1"/>
  <c r="BD477" i="1" s="1"/>
  <c r="AH477" i="1"/>
  <c r="AI477" i="1" s="1"/>
  <c r="BB144" i="1"/>
  <c r="BE144" i="1" s="1"/>
  <c r="AH144" i="1"/>
  <c r="AI144" i="1" s="1"/>
  <c r="BB127" i="1"/>
  <c r="BE127" i="1" s="1"/>
  <c r="AH127" i="1"/>
  <c r="AI127" i="1" s="1"/>
  <c r="BB462" i="1"/>
  <c r="BE462" i="1" s="1"/>
  <c r="AH462" i="1"/>
  <c r="AI462" i="1" s="1"/>
  <c r="BB152" i="1"/>
  <c r="BD152" i="1" s="1"/>
  <c r="AH152" i="1"/>
  <c r="AI152" i="1" s="1"/>
  <c r="BB473" i="1"/>
  <c r="BE473" i="1" s="1"/>
  <c r="AH473" i="1"/>
  <c r="AI473" i="1" s="1"/>
  <c r="BB770" i="1"/>
  <c r="BD770" i="1" s="1"/>
  <c r="AH770" i="1"/>
  <c r="AI770" i="1" s="1"/>
  <c r="BB470" i="1"/>
  <c r="BC470" i="1" s="1"/>
  <c r="AH470" i="1"/>
  <c r="AI470" i="1" s="1"/>
  <c r="BB751" i="1"/>
  <c r="BD751" i="1" s="1"/>
  <c r="AH751" i="1"/>
  <c r="AI751" i="1" s="1"/>
  <c r="BB118" i="1"/>
  <c r="BE118" i="1" s="1"/>
  <c r="AH118" i="1"/>
  <c r="AI118" i="1" s="1"/>
  <c r="BB149" i="1"/>
  <c r="BE149" i="1" s="1"/>
  <c r="AH149" i="1"/>
  <c r="AI149" i="1" s="1"/>
  <c r="BB759" i="1"/>
  <c r="BC759" i="1" s="1"/>
  <c r="AH759" i="1"/>
  <c r="AI759" i="1" s="1"/>
  <c r="BB795" i="1"/>
  <c r="BC795" i="1" s="1"/>
  <c r="AH795" i="1"/>
  <c r="AI795" i="1" s="1"/>
  <c r="BB796" i="1"/>
  <c r="BD796" i="1" s="1"/>
  <c r="AH796" i="1"/>
  <c r="AI796" i="1" s="1"/>
  <c r="BB147" i="1"/>
  <c r="BE147" i="1" s="1"/>
  <c r="AH147" i="1"/>
  <c r="AI147" i="1" s="1"/>
  <c r="AB17" i="1"/>
  <c r="AB750" i="1"/>
  <c r="AN750" i="1" s="1"/>
  <c r="AM534" i="1"/>
  <c r="AL147" i="1"/>
  <c r="AM554" i="1"/>
  <c r="AM31" i="1"/>
  <c r="AM527" i="1"/>
  <c r="AN812" i="1"/>
  <c r="AM514" i="1"/>
  <c r="AN800" i="1"/>
  <c r="AM522" i="1"/>
  <c r="AM556" i="1"/>
  <c r="AM535" i="1"/>
  <c r="AL553" i="1"/>
  <c r="AM531" i="1"/>
  <c r="AB556" i="1"/>
  <c r="AL526" i="1"/>
  <c r="AL535" i="1"/>
  <c r="AB544" i="1"/>
  <c r="AB519" i="1"/>
  <c r="AL524" i="1"/>
  <c r="AB531" i="1"/>
  <c r="AM526" i="1"/>
  <c r="AL547" i="1"/>
  <c r="AL551" i="1"/>
  <c r="AN801" i="1"/>
  <c r="BD800" i="1"/>
  <c r="BC800" i="1"/>
  <c r="AM553" i="1"/>
  <c r="AH800" i="1"/>
  <c r="AI800" i="1" s="1"/>
  <c r="AM571" i="1"/>
  <c r="AH801" i="1"/>
  <c r="AI801" i="1" s="1"/>
  <c r="AB528" i="1"/>
  <c r="AM545" i="1"/>
  <c r="AL513" i="1"/>
  <c r="AL540" i="1"/>
  <c r="AL545" i="1"/>
  <c r="BD801" i="1"/>
  <c r="BC801" i="1"/>
  <c r="AM540" i="1"/>
  <c r="AB570" i="1"/>
  <c r="AB534" i="1"/>
  <c r="AB532" i="1"/>
  <c r="AM549" i="1"/>
  <c r="AH812" i="1"/>
  <c r="AI812" i="1" s="1"/>
  <c r="AN110" i="1"/>
  <c r="AM541" i="1"/>
  <c r="AB538" i="1"/>
  <c r="AM542" i="1"/>
  <c r="AM525" i="1"/>
  <c r="BD812" i="1"/>
  <c r="BE812" i="1"/>
  <c r="AL523" i="1"/>
  <c r="AM538" i="1"/>
  <c r="AL522" i="1"/>
  <c r="AB552" i="1"/>
  <c r="AM548" i="1"/>
  <c r="AL530" i="1"/>
  <c r="AL571" i="1"/>
  <c r="AL539" i="1"/>
  <c r="AM539" i="1"/>
  <c r="AM530" i="1"/>
  <c r="AB555" i="1"/>
  <c r="AM517" i="1"/>
  <c r="AM532" i="1"/>
  <c r="AL520" i="1"/>
  <c r="AM536" i="1"/>
  <c r="AM573" i="1"/>
  <c r="AL549" i="1"/>
  <c r="AM516" i="1"/>
  <c r="AM570" i="1"/>
  <c r="AL550" i="1"/>
  <c r="AB546" i="1"/>
  <c r="AL572" i="1"/>
  <c r="AB529" i="1"/>
  <c r="AM528" i="1"/>
  <c r="AL521" i="1"/>
  <c r="AM529" i="1"/>
  <c r="AB557" i="1"/>
  <c r="AL537" i="1"/>
  <c r="AB518" i="1"/>
  <c r="AL515" i="1"/>
  <c r="AM533" i="1"/>
  <c r="AN810" i="1"/>
  <c r="BB810" i="1"/>
  <c r="BE797" i="1"/>
  <c r="BC797" i="1"/>
  <c r="BD797" i="1"/>
  <c r="BD799" i="1"/>
  <c r="BC799" i="1"/>
  <c r="BE799" i="1"/>
  <c r="BE802" i="1"/>
  <c r="BD802" i="1"/>
  <c r="BC802" i="1"/>
  <c r="BE808" i="1"/>
  <c r="BD808" i="1"/>
  <c r="BC808" i="1"/>
  <c r="BD809" i="1"/>
  <c r="BE809" i="1"/>
  <c r="BC809" i="1"/>
  <c r="BD811" i="1"/>
  <c r="BE811" i="1"/>
  <c r="BC811" i="1"/>
  <c r="BE798" i="1"/>
  <c r="BD798" i="1"/>
  <c r="BC798" i="1"/>
  <c r="AH810" i="1"/>
  <c r="AI810" i="1" s="1"/>
  <c r="AN802" i="1"/>
  <c r="AN113" i="1"/>
  <c r="AN429" i="1"/>
  <c r="AH808" i="1"/>
  <c r="AI808" i="1" s="1"/>
  <c r="AH811" i="1"/>
  <c r="AI811" i="1" s="1"/>
  <c r="AN563" i="1"/>
  <c r="AN348" i="1"/>
  <c r="AH799" i="1"/>
  <c r="AI799" i="1" s="1"/>
  <c r="AN380" i="1"/>
  <c r="AH797" i="1"/>
  <c r="AI797" i="1" s="1"/>
  <c r="AH809" i="1"/>
  <c r="AI809" i="1" s="1"/>
  <c r="AN325" i="1"/>
  <c r="AN339" i="1"/>
  <c r="AH798" i="1"/>
  <c r="AI798" i="1" s="1"/>
  <c r="AH802" i="1"/>
  <c r="AI802" i="1" s="1"/>
  <c r="AN391" i="1"/>
  <c r="AN473" i="1"/>
  <c r="AL31" i="1"/>
  <c r="AB31" i="1"/>
  <c r="AN248" i="1"/>
  <c r="AN578" i="1"/>
  <c r="AN559" i="1"/>
  <c r="AN564" i="1"/>
  <c r="AN558" i="1"/>
  <c r="AN796" i="1"/>
  <c r="AN494" i="1"/>
  <c r="AN496" i="1"/>
  <c r="AN493" i="1"/>
  <c r="AN489" i="1"/>
  <c r="AN491" i="1"/>
  <c r="AN490" i="1"/>
  <c r="AN492" i="1"/>
  <c r="AN495" i="1"/>
  <c r="AN247" i="1"/>
  <c r="AN242" i="1"/>
  <c r="AN795" i="1"/>
  <c r="AX20" i="1"/>
  <c r="AL20" i="1" s="1"/>
  <c r="AN561" i="1"/>
  <c r="AN249" i="1"/>
  <c r="AN70" i="1"/>
  <c r="AM557" i="1"/>
  <c r="AN82" i="1"/>
  <c r="AB166" i="1"/>
  <c r="AL533" i="1"/>
  <c r="AM149" i="1"/>
  <c r="AM327" i="1"/>
  <c r="AL759" i="1"/>
  <c r="AB162" i="1"/>
  <c r="AM395" i="1"/>
  <c r="AM120" i="1"/>
  <c r="AL398" i="1"/>
  <c r="AM778" i="1"/>
  <c r="AB142" i="1"/>
  <c r="AM544" i="1"/>
  <c r="AB290" i="1"/>
  <c r="AL382" i="1"/>
  <c r="AL60" i="1"/>
  <c r="AB60" i="1"/>
  <c r="AB312" i="1"/>
  <c r="AM60" i="1"/>
  <c r="AM118" i="1"/>
  <c r="AM762" i="1"/>
  <c r="AN136" i="1"/>
  <c r="AM136" i="1"/>
  <c r="AB757" i="1"/>
  <c r="AM463" i="1"/>
  <c r="AL141" i="1"/>
  <c r="AL58" i="1"/>
  <c r="AM158" i="1"/>
  <c r="AM368" i="1"/>
  <c r="AN118" i="1"/>
  <c r="AL57" i="1"/>
  <c r="AB57" i="1"/>
  <c r="AM59" i="1"/>
  <c r="AL56" i="1"/>
  <c r="AB56" i="1"/>
  <c r="AL59" i="1"/>
  <c r="AB59" i="1"/>
  <c r="AM765" i="1"/>
  <c r="AN149" i="1"/>
  <c r="AL133" i="1"/>
  <c r="AL399" i="1"/>
  <c r="AL751" i="1"/>
  <c r="AB289" i="1"/>
  <c r="AB295" i="1"/>
  <c r="AM551" i="1"/>
  <c r="AM316" i="1"/>
  <c r="AM397" i="1"/>
  <c r="AM339" i="1"/>
  <c r="AM174" i="1"/>
  <c r="AL86" i="1"/>
  <c r="AB86" i="1"/>
  <c r="AM157" i="1"/>
  <c r="AL174" i="1"/>
  <c r="AB174" i="1"/>
  <c r="AL157" i="1"/>
  <c r="AB157" i="1"/>
  <c r="AM156" i="1"/>
  <c r="AL156" i="1"/>
  <c r="AB156" i="1"/>
  <c r="AM176" i="1"/>
  <c r="AL176" i="1"/>
  <c r="AB176" i="1"/>
  <c r="AM173" i="1"/>
  <c r="AB177" i="1"/>
  <c r="AL177" i="1"/>
  <c r="AL173" i="1"/>
  <c r="AB173" i="1"/>
  <c r="AM177" i="1"/>
  <c r="AM66" i="1"/>
  <c r="AL66" i="1"/>
  <c r="AB66" i="1"/>
  <c r="AM67" i="1"/>
  <c r="AL67" i="1"/>
  <c r="AB67" i="1"/>
  <c r="AM284" i="1"/>
  <c r="AM280" i="1"/>
  <c r="AM286" i="1"/>
  <c r="AL318" i="1"/>
  <c r="AB318" i="1"/>
  <c r="Z318" i="1"/>
  <c r="AM318" i="1" s="1"/>
  <c r="Z315" i="1"/>
  <c r="AM315" i="1" s="1"/>
  <c r="AB315" i="1"/>
  <c r="AL315" i="1"/>
  <c r="AL314" i="1"/>
  <c r="AB314" i="1"/>
  <c r="Z314" i="1"/>
  <c r="AM314" i="1" s="1"/>
  <c r="AB126" i="1"/>
  <c r="AM86" i="1"/>
  <c r="AB541" i="1"/>
  <c r="AM85" i="1"/>
  <c r="AB291" i="1"/>
  <c r="AB85" i="1"/>
  <c r="AL85" i="1"/>
  <c r="AL770" i="1"/>
  <c r="AM515" i="1"/>
  <c r="AL470" i="1"/>
  <c r="AM338" i="1"/>
  <c r="AM380" i="1"/>
  <c r="AL228" i="1"/>
  <c r="AB297" i="1"/>
  <c r="AN481" i="1"/>
  <c r="AM190" i="1"/>
  <c r="AN324" i="1"/>
  <c r="AB573" i="1"/>
  <c r="AN567" i="1"/>
  <c r="AB137" i="1"/>
  <c r="AL128" i="1"/>
  <c r="AN128" i="1" s="1"/>
  <c r="AM775" i="1"/>
  <c r="AM520" i="1"/>
  <c r="AN387" i="1"/>
  <c r="AM119" i="1"/>
  <c r="AB755" i="1"/>
  <c r="AN502" i="1"/>
  <c r="AM147" i="1"/>
  <c r="AM523" i="1"/>
  <c r="AM502" i="1"/>
  <c r="AB139" i="1"/>
  <c r="AB396" i="1"/>
  <c r="AL396" i="1"/>
  <c r="AN152" i="1"/>
  <c r="AM152" i="1"/>
  <c r="AN462" i="1"/>
  <c r="AL554" i="1"/>
  <c r="AM344" i="1"/>
  <c r="AL127" i="1"/>
  <c r="AN344" i="1"/>
  <c r="AM296" i="1"/>
  <c r="AM353" i="1"/>
  <c r="AM135" i="1"/>
  <c r="AB764" i="1"/>
  <c r="AB761" i="1"/>
  <c r="AN508" i="1"/>
  <c r="AL34" i="1"/>
  <c r="AN34" i="1" s="1"/>
  <c r="AM462" i="1"/>
  <c r="AM547" i="1"/>
  <c r="AM772" i="1"/>
  <c r="AB130" i="1"/>
  <c r="AL389" i="1"/>
  <c r="AL292" i="1"/>
  <c r="AM508" i="1"/>
  <c r="AM552" i="1"/>
  <c r="AM546" i="1"/>
  <c r="AL140" i="1"/>
  <c r="AB150" i="1"/>
  <c r="AM750" i="1"/>
  <c r="AN566" i="1"/>
  <c r="AB516" i="1"/>
  <c r="AM191" i="1"/>
  <c r="AM298" i="1"/>
  <c r="AL548" i="1"/>
  <c r="AB215" i="1"/>
  <c r="AB347" i="1"/>
  <c r="AL144" i="1"/>
  <c r="AM167" i="1"/>
  <c r="AB134" i="1"/>
  <c r="AL259" i="1"/>
  <c r="AB117" i="1"/>
  <c r="AB131" i="1"/>
  <c r="AN506" i="1"/>
  <c r="AN364" i="1"/>
  <c r="AM179" i="1"/>
  <c r="AB763" i="1"/>
  <c r="AL263" i="1"/>
  <c r="AN298" i="1"/>
  <c r="AN477" i="1"/>
  <c r="AN482" i="1"/>
  <c r="AM472" i="1"/>
  <c r="AB758" i="1"/>
  <c r="AN465" i="1"/>
  <c r="AM379" i="1"/>
  <c r="AB313" i="1"/>
  <c r="AB525" i="1"/>
  <c r="AL542" i="1"/>
  <c r="AN504" i="1"/>
  <c r="AM471" i="1"/>
  <c r="AN363" i="1"/>
  <c r="AM521" i="1"/>
  <c r="AM766" i="1"/>
  <c r="AB514" i="1"/>
  <c r="AB138" i="1"/>
  <c r="AN330" i="1"/>
  <c r="AM752" i="1"/>
  <c r="AM392" i="1"/>
  <c r="AM294" i="1"/>
  <c r="AM506" i="1"/>
  <c r="AB774" i="1"/>
  <c r="AN356" i="1"/>
  <c r="AB321" i="1"/>
  <c r="AM756" i="1"/>
  <c r="AN377" i="1"/>
  <c r="AB171" i="1"/>
  <c r="AB527" i="1"/>
  <c r="AN331" i="1"/>
  <c r="AL322" i="1"/>
  <c r="AM513" i="1"/>
  <c r="AN468" i="1"/>
  <c r="AN163" i="1"/>
  <c r="AN294" i="1"/>
  <c r="AL361" i="1"/>
  <c r="AM266" i="1"/>
  <c r="AN379" i="1"/>
  <c r="AM146" i="1"/>
  <c r="AL360" i="1"/>
  <c r="AL536" i="1"/>
  <c r="AN484" i="1"/>
  <c r="AM776" i="1"/>
  <c r="AN500" i="1"/>
  <c r="AB261" i="1"/>
  <c r="AL509" i="1"/>
  <c r="AB517" i="1"/>
  <c r="AL160" i="1"/>
  <c r="AM159" i="1"/>
  <c r="AM518" i="1"/>
  <c r="AM482" i="1"/>
  <c r="AL225" i="1"/>
  <c r="AB358" i="1"/>
  <c r="AL132" i="1"/>
  <c r="AM503" i="1"/>
  <c r="AB161" i="1"/>
  <c r="AM754" i="1"/>
  <c r="AL371" i="1"/>
  <c r="AM555" i="1"/>
  <c r="AL475" i="1"/>
  <c r="AN332" i="1"/>
  <c r="AB769" i="1"/>
  <c r="AM385" i="1"/>
  <c r="AM767" i="1"/>
  <c r="AN400" i="1"/>
  <c r="AN159" i="1"/>
  <c r="AB779" i="1"/>
  <c r="AL125" i="1"/>
  <c r="AM337" i="1"/>
  <c r="AM299" i="1"/>
  <c r="AB323" i="1"/>
  <c r="AB287" i="1"/>
  <c r="AB760" i="1"/>
  <c r="AM384" i="1"/>
  <c r="AB29" i="1"/>
  <c r="AM381" i="1"/>
  <c r="AL488" i="1"/>
  <c r="AB488" i="1"/>
  <c r="AB254" i="1"/>
  <c r="AM343" i="1"/>
  <c r="AL753" i="1"/>
  <c r="AL203" i="1"/>
  <c r="AM163" i="1"/>
  <c r="AM773" i="1"/>
  <c r="AM537" i="1"/>
  <c r="AN497" i="1"/>
  <c r="AM572" i="1"/>
  <c r="AB155" i="1"/>
  <c r="AN385" i="1"/>
  <c r="AL326" i="1"/>
  <c r="AM524" i="1"/>
  <c r="AL771" i="1"/>
  <c r="AN402" i="1"/>
  <c r="Z487" i="1"/>
  <c r="AM487" i="1" s="1"/>
  <c r="AL487" i="1"/>
  <c r="AB487" i="1"/>
  <c r="AM164" i="1"/>
  <c r="AM153" i="1"/>
  <c r="AN328" i="1"/>
  <c r="AN333" i="1"/>
  <c r="AM38" i="1"/>
  <c r="Z488" i="1"/>
  <c r="AM488" i="1" s="1"/>
  <c r="AB510" i="1"/>
  <c r="AL129" i="1"/>
  <c r="AL768" i="1"/>
  <c r="AM402" i="1"/>
  <c r="AM332" i="1"/>
  <c r="AB92" i="1"/>
  <c r="AN376" i="1"/>
  <c r="AN337" i="1"/>
  <c r="AM170" i="1"/>
  <c r="AN374" i="1"/>
  <c r="AL485" i="1"/>
  <c r="AB485" i="1"/>
  <c r="Z485" i="1"/>
  <c r="AM485" i="1" s="1"/>
  <c r="AL317" i="1"/>
  <c r="Z486" i="1"/>
  <c r="AM486" i="1" s="1"/>
  <c r="AL486" i="1"/>
  <c r="AB486" i="1"/>
  <c r="AB293" i="1"/>
  <c r="AM348" i="1"/>
  <c r="AL121" i="1"/>
  <c r="AM476" i="1"/>
  <c r="AB16" i="1"/>
  <c r="AB116" i="1"/>
  <c r="AL415" i="1"/>
  <c r="AB415" i="1"/>
  <c r="AM519" i="1"/>
  <c r="Z419" i="1"/>
  <c r="AM419" i="1" s="1"/>
  <c r="Z421" i="1"/>
  <c r="AM421" i="1" s="1"/>
  <c r="Z409" i="1"/>
  <c r="AM409" i="1" s="1"/>
  <c r="AL422" i="1"/>
  <c r="AB422" i="1"/>
  <c r="AL419" i="1"/>
  <c r="AB419" i="1"/>
  <c r="AB421" i="1"/>
  <c r="AL421" i="1"/>
  <c r="Z417" i="1"/>
  <c r="AM417" i="1" s="1"/>
  <c r="AB409" i="1"/>
  <c r="AL409" i="1"/>
  <c r="Z422" i="1"/>
  <c r="AM422" i="1" s="1"/>
  <c r="Z420" i="1"/>
  <c r="AM420" i="1" s="1"/>
  <c r="AB417" i="1"/>
  <c r="AL417" i="1"/>
  <c r="AL418" i="1"/>
  <c r="AB418" i="1"/>
  <c r="AL420" i="1"/>
  <c r="AB420" i="1"/>
  <c r="AN370" i="1"/>
  <c r="Z418" i="1"/>
  <c r="AM418" i="1" s="1"/>
  <c r="AL406" i="1"/>
  <c r="AB406" i="1"/>
  <c r="AL408" i="1"/>
  <c r="AB408" i="1"/>
  <c r="AM169" i="1"/>
  <c r="Z406" i="1"/>
  <c r="AM406" i="1" s="1"/>
  <c r="Z408" i="1"/>
  <c r="AM408" i="1" s="1"/>
  <c r="AL412" i="1"/>
  <c r="AB412" i="1"/>
  <c r="AL414" i="1"/>
  <c r="AB414" i="1"/>
  <c r="Z412" i="1"/>
  <c r="AM412" i="1" s="1"/>
  <c r="Z414" i="1"/>
  <c r="AM414" i="1" s="1"/>
  <c r="Z411" i="1"/>
  <c r="AM411" i="1" s="1"/>
  <c r="Z405" i="1"/>
  <c r="AM405" i="1" s="1"/>
  <c r="AL411" i="1"/>
  <c r="AB411" i="1"/>
  <c r="AB405" i="1"/>
  <c r="AL405" i="1"/>
  <c r="Z413" i="1"/>
  <c r="AM413" i="1" s="1"/>
  <c r="AL416" i="1"/>
  <c r="AB416" i="1"/>
  <c r="Z407" i="1"/>
  <c r="AM407" i="1" s="1"/>
  <c r="AL410" i="1"/>
  <c r="AB410" i="1"/>
  <c r="Z416" i="1"/>
  <c r="AM416" i="1" s="1"/>
  <c r="AB275" i="1"/>
  <c r="AN384" i="1"/>
  <c r="AB407" i="1"/>
  <c r="AL407" i="1"/>
  <c r="Z410" i="1"/>
  <c r="AM410" i="1" s="1"/>
  <c r="AB413" i="1"/>
  <c r="AL413" i="1"/>
  <c r="AM550" i="1"/>
  <c r="AN431" i="1"/>
  <c r="AM168" i="1"/>
  <c r="Z415" i="1"/>
  <c r="AM415" i="1" s="1"/>
  <c r="AM468" i="1"/>
  <c r="AB15" i="1"/>
  <c r="AL320" i="1"/>
  <c r="AI320" i="1"/>
  <c r="AM182" i="1"/>
  <c r="AL319" i="1"/>
  <c r="AI319" i="1"/>
  <c r="AB91" i="1"/>
  <c r="AN466" i="1"/>
  <c r="AN169" i="1"/>
  <c r="AN181" i="1"/>
  <c r="AL288" i="1"/>
  <c r="AM253" i="1"/>
  <c r="AB207" i="1"/>
  <c r="AB458" i="1"/>
  <c r="AL458" i="1"/>
  <c r="Z458" i="1"/>
  <c r="AM458" i="1" s="1"/>
  <c r="Z460" i="1"/>
  <c r="AM460" i="1" s="1"/>
  <c r="AB460" i="1"/>
  <c r="AL460" i="1"/>
  <c r="AL459" i="1"/>
  <c r="AB459" i="1"/>
  <c r="Z459" i="1"/>
  <c r="AM459" i="1" s="1"/>
  <c r="Z461" i="1"/>
  <c r="AM461" i="1" s="1"/>
  <c r="AB461" i="1"/>
  <c r="AL461" i="1"/>
  <c r="Z453" i="1"/>
  <c r="AM453" i="1" s="1"/>
  <c r="AL453" i="1"/>
  <c r="AB453" i="1"/>
  <c r="Z452" i="1"/>
  <c r="AM452" i="1" s="1"/>
  <c r="AL452" i="1"/>
  <c r="AB452" i="1"/>
  <c r="Z450" i="1"/>
  <c r="AM450" i="1" s="1"/>
  <c r="AL450" i="1"/>
  <c r="AB450" i="1"/>
  <c r="AB197" i="1"/>
  <c r="AB145" i="1"/>
  <c r="AN218" i="1"/>
  <c r="Z451" i="1"/>
  <c r="AM451" i="1" s="1"/>
  <c r="AN498" i="1"/>
  <c r="AB451" i="1"/>
  <c r="AL451" i="1"/>
  <c r="AB235" i="1"/>
  <c r="AM224" i="1"/>
  <c r="AN224" i="1"/>
  <c r="AN219" i="1"/>
  <c r="AL255" i="1"/>
  <c r="AB151" i="1"/>
  <c r="AM154" i="1"/>
  <c r="AM181" i="1"/>
  <c r="AB269" i="1"/>
  <c r="AM278" i="1"/>
  <c r="AB285" i="1"/>
  <c r="AN109" i="1"/>
  <c r="AL201" i="1"/>
  <c r="AM14" i="1"/>
  <c r="AM234" i="1"/>
  <c r="AL143" i="1"/>
  <c r="AM219" i="1"/>
  <c r="AB233" i="1"/>
  <c r="AB262" i="1"/>
  <c r="AM192" i="1"/>
  <c r="AM22" i="1"/>
  <c r="AM187" i="1"/>
  <c r="AN192" i="1"/>
  <c r="AL188" i="1"/>
  <c r="AN97" i="1"/>
  <c r="AN154" i="1"/>
  <c r="AL279" i="1"/>
  <c r="AM97" i="1"/>
  <c r="AM218" i="1"/>
  <c r="AB217" i="1"/>
  <c r="AM90" i="1"/>
  <c r="AM51" i="1"/>
  <c r="AB32" i="1"/>
  <c r="AM231" i="1"/>
  <c r="AB230" i="1"/>
  <c r="AM236" i="1"/>
  <c r="AB277" i="1"/>
  <c r="AN231" i="1"/>
  <c r="AM205" i="1"/>
  <c r="AN341" i="1"/>
  <c r="AB257" i="1"/>
  <c r="AB69" i="1"/>
  <c r="AL256" i="1"/>
  <c r="AM102" i="1"/>
  <c r="AL195" i="1"/>
  <c r="AN202" i="1"/>
  <c r="AB223" i="1"/>
  <c r="AL270" i="1"/>
  <c r="AB283" i="1"/>
  <c r="AL283" i="1"/>
  <c r="AM202" i="1"/>
  <c r="AB200" i="1"/>
  <c r="AN798" i="1"/>
  <c r="AM206" i="1"/>
  <c r="AN811" i="1"/>
  <c r="AM272" i="1"/>
  <c r="AB189" i="1"/>
  <c r="AB49" i="1"/>
  <c r="AM52" i="1"/>
  <c r="AB28" i="1"/>
  <c r="AB238" i="1"/>
  <c r="AM58" i="1"/>
  <c r="AB184" i="1"/>
  <c r="AN253" i="1"/>
  <c r="AN51" i="1"/>
  <c r="AM196" i="1"/>
  <c r="AM260" i="1"/>
  <c r="AN122" i="1"/>
  <c r="AM107" i="1"/>
  <c r="AM198" i="1"/>
  <c r="AL250" i="1"/>
  <c r="AM229" i="1"/>
  <c r="AM21" i="1"/>
  <c r="AL180" i="1"/>
  <c r="AB180" i="1"/>
  <c r="AN471" i="1"/>
  <c r="AN179" i="1"/>
  <c r="Z73" i="1"/>
  <c r="AM194" i="1"/>
  <c r="AK73" i="1"/>
  <c r="AM204" i="1"/>
  <c r="AN809" i="1"/>
  <c r="AM239" i="1"/>
  <c r="AM95" i="1"/>
  <c r="AN754" i="1"/>
  <c r="AN167" i="1"/>
  <c r="AN390" i="1"/>
  <c r="AM33" i="1"/>
  <c r="AN336" i="1"/>
  <c r="AM17" i="1"/>
  <c r="AM55" i="1"/>
  <c r="AN799" i="1"/>
  <c r="AM221" i="1"/>
  <c r="AB229" i="1"/>
  <c r="AL229" i="1"/>
  <c r="AB68" i="1"/>
  <c r="AM252" i="1"/>
  <c r="AL273" i="1"/>
  <c r="AM56" i="1"/>
  <c r="AM88" i="1"/>
  <c r="AL27" i="1"/>
  <c r="AL281" i="1"/>
  <c r="AN196" i="1"/>
  <c r="AM199" i="1"/>
  <c r="AM103" i="1"/>
  <c r="AM89" i="1"/>
  <c r="AM276" i="1"/>
  <c r="AM42" i="1"/>
  <c r="AL42" i="1"/>
  <c r="AB42" i="1"/>
  <c r="AN469" i="1"/>
  <c r="AB258" i="1"/>
  <c r="AL237" i="1"/>
  <c r="AN221" i="1"/>
  <c r="AL18" i="1"/>
  <c r="AN797" i="1"/>
  <c r="AM232" i="1"/>
  <c r="AM244" i="1"/>
  <c r="AM98" i="1"/>
  <c r="AM185" i="1"/>
  <c r="AN349" i="1"/>
  <c r="AB65" i="1"/>
  <c r="AL65" i="1"/>
  <c r="AN476" i="1"/>
  <c r="AL95" i="1"/>
  <c r="AB95" i="1"/>
  <c r="AM246" i="1"/>
  <c r="AL210" i="1"/>
  <c r="AM274" i="1"/>
  <c r="AL199" i="1"/>
  <c r="AB199" i="1"/>
  <c r="AM65" i="1"/>
  <c r="AN499" i="1"/>
  <c r="AM72" i="1"/>
  <c r="AM101" i="1"/>
  <c r="AN808" i="1"/>
  <c r="AN153" i="1"/>
  <c r="AM241" i="1"/>
  <c r="AB107" i="1"/>
  <c r="AL107" i="1"/>
  <c r="AB204" i="1"/>
  <c r="AL204" i="1"/>
  <c r="AN353" i="1"/>
  <c r="AB241" i="1"/>
  <c r="AL241" i="1"/>
  <c r="AN272" i="1"/>
  <c r="AM271" i="1"/>
  <c r="AM112" i="1"/>
  <c r="AB276" i="1"/>
  <c r="AL276" i="1"/>
  <c r="AL209" i="1"/>
  <c r="AB209" i="1"/>
  <c r="AL185" i="1"/>
  <c r="AB185" i="1"/>
  <c r="AM96" i="1"/>
  <c r="AL246" i="1"/>
  <c r="AB239" i="1"/>
  <c r="AL239" i="1"/>
  <c r="AN280" i="1"/>
  <c r="AM178" i="1"/>
  <c r="AN135" i="1"/>
  <c r="AL268" i="1"/>
  <c r="AB268" i="1"/>
  <c r="AM220" i="1"/>
  <c r="AB226" i="1"/>
  <c r="AL226" i="1"/>
  <c r="AN350" i="1"/>
  <c r="AL178" i="1"/>
  <c r="AB178" i="1"/>
  <c r="AN351" i="1"/>
  <c r="AN260" i="1"/>
  <c r="AB88" i="1"/>
  <c r="AL88" i="1"/>
  <c r="AN296" i="1"/>
  <c r="AM208" i="1"/>
  <c r="AB222" i="1"/>
  <c r="AL222" i="1"/>
  <c r="AL98" i="1"/>
  <c r="AB98" i="1"/>
  <c r="AN278" i="1"/>
  <c r="AL79" i="1"/>
  <c r="AB79" i="1"/>
  <c r="AN767" i="1"/>
  <c r="AN334" i="1"/>
  <c r="AL212" i="1"/>
  <c r="AB212" i="1"/>
  <c r="AL101" i="1"/>
  <c r="AB101" i="1"/>
  <c r="AL211" i="1"/>
  <c r="AB211" i="1"/>
  <c r="AL267" i="1"/>
  <c r="AB267" i="1"/>
  <c r="AN373" i="1"/>
  <c r="AN119" i="1"/>
  <c r="AM212" i="1"/>
  <c r="AL208" i="1"/>
  <c r="AB208" i="1"/>
  <c r="AN55" i="1"/>
  <c r="AN483" i="1"/>
  <c r="AB50" i="1"/>
  <c r="AL50" i="1"/>
  <c r="AL52" i="1"/>
  <c r="AB52" i="1"/>
  <c r="AB194" i="1"/>
  <c r="AL194" i="1"/>
  <c r="AL243" i="1"/>
  <c r="AB243" i="1"/>
  <c r="AL108" i="1"/>
  <c r="AB108" i="1"/>
  <c r="AM50" i="1"/>
  <c r="AM227" i="1"/>
  <c r="AM243" i="1"/>
  <c r="AN388" i="1"/>
  <c r="AL274" i="1"/>
  <c r="AB274" i="1"/>
  <c r="AB220" i="1"/>
  <c r="AL220" i="1"/>
  <c r="AB252" i="1"/>
  <c r="AL252" i="1"/>
  <c r="AM108" i="1"/>
  <c r="AB103" i="1"/>
  <c r="AL103" i="1"/>
  <c r="AM183" i="1"/>
  <c r="AB102" i="1"/>
  <c r="AL102" i="1"/>
  <c r="AN190" i="1"/>
  <c r="AL240" i="1"/>
  <c r="AB286" i="1"/>
  <c r="AL286" i="1"/>
  <c r="AM193" i="1"/>
  <c r="AB232" i="1"/>
  <c r="AL232" i="1"/>
  <c r="AM240" i="1"/>
  <c r="AM104" i="1"/>
  <c r="AL186" i="1"/>
  <c r="AB186" i="1"/>
  <c r="AL72" i="1"/>
  <c r="AB72" i="1"/>
  <c r="AL198" i="1"/>
  <c r="AB198" i="1"/>
  <c r="AL193" i="1"/>
  <c r="AB193" i="1"/>
  <c r="AN33" i="1"/>
  <c r="AL104" i="1"/>
  <c r="AB104" i="1"/>
  <c r="AN345" i="1"/>
  <c r="AN329" i="1"/>
  <c r="AL96" i="1"/>
  <c r="AB96" i="1"/>
  <c r="AN357" i="1"/>
  <c r="AL216" i="1"/>
  <c r="AB216" i="1"/>
  <c r="AM186" i="1"/>
  <c r="AN394" i="1"/>
  <c r="AL244" i="1"/>
  <c r="AB244" i="1"/>
  <c r="AM211" i="1"/>
  <c r="AM245" i="1"/>
  <c r="AL21" i="1"/>
  <c r="AB21" i="1"/>
  <c r="AB245" i="1"/>
  <c r="AL245" i="1"/>
  <c r="AB271" i="1"/>
  <c r="AL271" i="1"/>
  <c r="AL89" i="1"/>
  <c r="AB89" i="1"/>
  <c r="AX37" i="1"/>
  <c r="AK37" i="1"/>
  <c r="Z37" i="1"/>
  <c r="AB112" i="1"/>
  <c r="AL112" i="1"/>
  <c r="AM216" i="1"/>
  <c r="AM267" i="1"/>
  <c r="AL227" i="1"/>
  <c r="AB227" i="1"/>
  <c r="AN236" i="1"/>
  <c r="AL284" i="1"/>
  <c r="AB284" i="1"/>
  <c r="AN366" i="1"/>
  <c r="AM81" i="1"/>
  <c r="AB111" i="1"/>
  <c r="AL111" i="1"/>
  <c r="AB81" i="1"/>
  <c r="AL81" i="1"/>
  <c r="AN90" i="1"/>
  <c r="AN120" i="1"/>
  <c r="AM111" i="1"/>
  <c r="AB19" i="1"/>
  <c r="AL19" i="1"/>
  <c r="AB73" i="1"/>
  <c r="AL73" i="1"/>
  <c r="AH64" i="1"/>
  <c r="AL64" i="1"/>
  <c r="AN543" i="1"/>
  <c r="AN378" i="1"/>
  <c r="AB251" i="1"/>
  <c r="AL251" i="1"/>
  <c r="AB183" i="1"/>
  <c r="AL183" i="1"/>
  <c r="AN206" i="1"/>
  <c r="AM251" i="1"/>
  <c r="BD282" i="1" l="1"/>
  <c r="BC282" i="1"/>
  <c r="AN776" i="1"/>
  <c r="AN753" i="1"/>
  <c r="AN759" i="1"/>
  <c r="AN553" i="1"/>
  <c r="AN542" i="1"/>
  <c r="AN549" i="1"/>
  <c r="AN756" i="1"/>
  <c r="AN572" i="1"/>
  <c r="AN535" i="1"/>
  <c r="AN571" i="1"/>
  <c r="AN18" i="1"/>
  <c r="AN771" i="1"/>
  <c r="AN533" i="1"/>
  <c r="AN551" i="1"/>
  <c r="AN768" i="1"/>
  <c r="AN537" i="1"/>
  <c r="AN547" i="1"/>
  <c r="AN237" i="1"/>
  <c r="AN545" i="1"/>
  <c r="AN554" i="1"/>
  <c r="AN548" i="1"/>
  <c r="AN770" i="1"/>
  <c r="AN539" i="1"/>
  <c r="AN536" i="1"/>
  <c r="AN550" i="1"/>
  <c r="AN530" i="1"/>
  <c r="AN751" i="1"/>
  <c r="AN540" i="1"/>
  <c r="AN775" i="1"/>
  <c r="BC30" i="1"/>
  <c r="BC39" i="1"/>
  <c r="BE39" i="1"/>
  <c r="BD39" i="1"/>
  <c r="BC745" i="1"/>
  <c r="BD745" i="1"/>
  <c r="BE745" i="1"/>
  <c r="BD80" i="1"/>
  <c r="BC80" i="1"/>
  <c r="BE80" i="1"/>
  <c r="BD30" i="1"/>
  <c r="BE1066" i="1"/>
  <c r="BC1066" i="1"/>
  <c r="BD1066" i="1"/>
  <c r="BC1064" i="1"/>
  <c r="BD1064" i="1"/>
  <c r="BE1064" i="1"/>
  <c r="BE1067" i="1"/>
  <c r="BD1067" i="1"/>
  <c r="BC1067" i="1"/>
  <c r="BE1065" i="1"/>
  <c r="BD1065" i="1"/>
  <c r="BC1065" i="1"/>
  <c r="BC165" i="1"/>
  <c r="BD165" i="1"/>
  <c r="BE165" i="1"/>
  <c r="BC1063" i="1"/>
  <c r="BE1063" i="1"/>
  <c r="BD1063" i="1"/>
  <c r="AN509" i="1"/>
  <c r="BD14" i="1"/>
  <c r="BE14" i="1"/>
  <c r="BE424" i="1"/>
  <c r="BD424" i="1"/>
  <c r="BC424" i="1"/>
  <c r="BE427" i="1"/>
  <c r="BD427" i="1"/>
  <c r="BC427" i="1"/>
  <c r="BE428" i="1"/>
  <c r="BD428" i="1"/>
  <c r="BC428" i="1"/>
  <c r="BD423" i="1"/>
  <c r="BC423" i="1"/>
  <c r="BE423" i="1"/>
  <c r="BE425" i="1"/>
  <c r="BD425" i="1"/>
  <c r="BC425" i="1"/>
  <c r="BE426" i="1"/>
  <c r="BD426" i="1"/>
  <c r="BC426" i="1"/>
  <c r="BC115" i="1"/>
  <c r="BE115" i="1"/>
  <c r="BD115" i="1"/>
  <c r="BC43" i="1"/>
  <c r="BE43" i="1"/>
  <c r="BD43" i="1"/>
  <c r="BE44" i="1"/>
  <c r="BD44" i="1"/>
  <c r="BC44" i="1"/>
  <c r="BD36" i="1"/>
  <c r="BC36" i="1"/>
  <c r="BE36" i="1"/>
  <c r="BE172" i="1"/>
  <c r="BD172" i="1"/>
  <c r="BE40" i="1"/>
  <c r="BC40" i="1"/>
  <c r="BD40" i="1"/>
  <c r="BE35" i="1"/>
  <c r="BD35" i="1"/>
  <c r="BC35" i="1"/>
  <c r="BE114" i="1"/>
  <c r="AN773" i="1"/>
  <c r="AN144" i="1"/>
  <c r="AN524" i="1"/>
  <c r="AN133" i="1"/>
  <c r="AN141" i="1"/>
  <c r="AN147" i="1"/>
  <c r="AN288" i="1"/>
  <c r="AN58" i="1"/>
  <c r="AN263" i="1"/>
  <c r="AN526" i="1"/>
  <c r="AN255" i="1"/>
  <c r="AN292" i="1"/>
  <c r="AN521" i="1"/>
  <c r="AN125" i="1"/>
  <c r="AN132" i="1"/>
  <c r="AN160" i="1"/>
  <c r="AN188" i="1"/>
  <c r="AN513" i="1"/>
  <c r="AN270" i="1"/>
  <c r="AN281" i="1"/>
  <c r="AN27" i="1"/>
  <c r="AN195" i="1"/>
  <c r="AN121" i="1"/>
  <c r="BD114" i="1"/>
  <c r="AN143" i="1"/>
  <c r="AN225" i="1"/>
  <c r="AN522" i="1"/>
  <c r="AN515" i="1"/>
  <c r="AN168" i="1"/>
  <c r="AN228" i="1"/>
  <c r="AN127" i="1"/>
  <c r="AN203" i="1"/>
  <c r="AN250" i="1"/>
  <c r="AN256" i="1"/>
  <c r="AN273" i="1"/>
  <c r="AN523" i="1"/>
  <c r="AN279" i="1"/>
  <c r="AN201" i="1"/>
  <c r="AN129" i="1"/>
  <c r="AN259" i="1"/>
  <c r="AN520" i="1"/>
  <c r="AN475" i="1"/>
  <c r="AN399" i="1"/>
  <c r="AN360" i="1"/>
  <c r="AN322" i="1"/>
  <c r="AN389" i="1"/>
  <c r="AN470" i="1"/>
  <c r="AN319" i="1"/>
  <c r="AN320" i="1"/>
  <c r="AN398" i="1"/>
  <c r="AN361" i="1"/>
  <c r="AN326" i="1"/>
  <c r="AN371" i="1"/>
  <c r="AN317" i="1"/>
  <c r="BC476" i="1"/>
  <c r="BE476" i="1"/>
  <c r="AH773" i="1"/>
  <c r="AI773" i="1" s="1"/>
  <c r="AN38" i="1"/>
  <c r="AH38" i="1"/>
  <c r="AI38" i="1" s="1"/>
  <c r="BB778" i="1"/>
  <c r="BD778" i="1" s="1"/>
  <c r="AN778" i="1"/>
  <c r="AH752" i="1"/>
  <c r="AI752" i="1" s="1"/>
  <c r="AN752" i="1"/>
  <c r="AN772" i="1"/>
  <c r="BD775" i="1"/>
  <c r="BC123" i="1"/>
  <c r="BD123" i="1"/>
  <c r="BE123" i="1"/>
  <c r="BC124" i="1"/>
  <c r="BE124" i="1"/>
  <c r="BD124" i="1"/>
  <c r="AH772" i="1"/>
  <c r="AI772" i="1" s="1"/>
  <c r="BC775" i="1"/>
  <c r="BE756" i="1"/>
  <c r="BC756" i="1"/>
  <c r="AH762" i="1"/>
  <c r="AI762" i="1" s="1"/>
  <c r="BB762" i="1"/>
  <c r="BB766" i="1"/>
  <c r="AH766" i="1"/>
  <c r="AI766" i="1" s="1"/>
  <c r="AN766" i="1"/>
  <c r="AN762" i="1"/>
  <c r="BC87" i="1"/>
  <c r="BD87" i="1"/>
  <c r="BE87" i="1"/>
  <c r="AN382" i="1"/>
  <c r="AN210" i="1"/>
  <c r="AN140" i="1"/>
  <c r="BD326" i="1"/>
  <c r="AM20" i="1"/>
  <c r="BE256" i="1"/>
  <c r="BD70" i="1"/>
  <c r="BC256" i="1"/>
  <c r="BD201" i="1"/>
  <c r="BC70" i="1"/>
  <c r="BC373" i="1"/>
  <c r="BE373" i="1"/>
  <c r="BE771" i="1"/>
  <c r="BE498" i="1"/>
  <c r="BC363" i="1"/>
  <c r="BD281" i="1"/>
  <c r="BD382" i="1"/>
  <c r="BE273" i="1"/>
  <c r="BD391" i="1"/>
  <c r="BD363" i="1"/>
  <c r="BC547" i="1"/>
  <c r="BE547" i="1"/>
  <c r="BE195" i="1"/>
  <c r="BD795" i="1"/>
  <c r="BC361" i="1"/>
  <c r="BD58" i="1"/>
  <c r="BD361" i="1"/>
  <c r="BE345" i="1"/>
  <c r="BC160" i="1"/>
  <c r="BC345" i="1"/>
  <c r="BC326" i="1"/>
  <c r="BC462" i="1"/>
  <c r="BD500" i="1"/>
  <c r="BE382" i="1"/>
  <c r="BE132" i="1"/>
  <c r="BC219" i="1"/>
  <c r="BC203" i="1"/>
  <c r="BC509" i="1"/>
  <c r="BC253" i="1"/>
  <c r="BE203" i="1"/>
  <c r="BE509" i="1"/>
  <c r="BC564" i="1"/>
  <c r="BC334" i="1"/>
  <c r="BE500" i="1"/>
  <c r="BC357" i="1"/>
  <c r="BD483" i="1"/>
  <c r="BE160" i="1"/>
  <c r="BD357" i="1"/>
  <c r="BC483" i="1"/>
  <c r="BC225" i="1"/>
  <c r="BE225" i="1"/>
  <c r="BC201" i="1"/>
  <c r="BC332" i="1"/>
  <c r="BE18" i="1"/>
  <c r="BC294" i="1"/>
  <c r="BE58" i="1"/>
  <c r="BD27" i="1"/>
  <c r="BC27" i="1"/>
  <c r="BC504" i="1"/>
  <c r="BE317" i="1"/>
  <c r="BD462" i="1"/>
  <c r="BC228" i="1"/>
  <c r="BC133" i="1"/>
  <c r="BE228" i="1"/>
  <c r="BE567" i="1"/>
  <c r="BC159" i="1"/>
  <c r="BD481" i="1"/>
  <c r="BE159" i="1"/>
  <c r="BC329" i="1"/>
  <c r="BC132" i="1"/>
  <c r="BC109" i="1"/>
  <c r="BC348" i="1"/>
  <c r="BC502" i="1"/>
  <c r="BC195" i="1"/>
  <c r="BD61" i="1"/>
  <c r="BE61" i="1"/>
  <c r="BE210" i="1"/>
  <c r="BE119" i="1"/>
  <c r="BC385" i="1"/>
  <c r="BD385" i="1"/>
  <c r="BC82" i="1"/>
  <c r="BD356" i="1"/>
  <c r="BE82" i="1"/>
  <c r="BE350" i="1"/>
  <c r="BE329" i="1"/>
  <c r="BD506" i="1"/>
  <c r="BD190" i="1"/>
  <c r="BE506" i="1"/>
  <c r="BD578" i="1"/>
  <c r="BC578" i="1"/>
  <c r="BC554" i="1"/>
  <c r="BD554" i="1"/>
  <c r="BE490" i="1"/>
  <c r="BD333" i="1"/>
  <c r="BE349" i="1"/>
  <c r="BD168" i="1"/>
  <c r="BE333" i="1"/>
  <c r="BD120" i="1"/>
  <c r="BC349" i="1"/>
  <c r="BE109" i="1"/>
  <c r="BC278" i="1"/>
  <c r="BC125" i="1"/>
  <c r="BE465" i="1"/>
  <c r="BE356" i="1"/>
  <c r="BE278" i="1"/>
  <c r="BE759" i="1"/>
  <c r="BC350" i="1"/>
  <c r="BC378" i="1"/>
  <c r="BD378" i="1"/>
  <c r="BE192" i="1"/>
  <c r="BD224" i="1"/>
  <c r="BD371" i="1"/>
  <c r="BC523" i="1"/>
  <c r="BD147" i="1"/>
  <c r="BD192" i="1"/>
  <c r="BD772" i="1"/>
  <c r="BC224" i="1"/>
  <c r="BC259" i="1"/>
  <c r="BE466" i="1"/>
  <c r="BD523" i="1"/>
  <c r="BC366" i="1"/>
  <c r="BD260" i="1"/>
  <c r="BD263" i="1"/>
  <c r="BE250" i="1"/>
  <c r="BD259" i="1"/>
  <c r="BC163" i="1"/>
  <c r="BD366" i="1"/>
  <c r="BC260" i="1"/>
  <c r="BC263" i="1"/>
  <c r="BD250" i="1"/>
  <c r="BE163" i="1"/>
  <c r="BE477" i="1"/>
  <c r="BD119" i="1"/>
  <c r="BD759" i="1"/>
  <c r="BD530" i="1"/>
  <c r="BE563" i="1"/>
  <c r="BE120" i="1"/>
  <c r="BC113" i="1"/>
  <c r="BC466" i="1"/>
  <c r="BD524" i="1"/>
  <c r="BE402" i="1"/>
  <c r="BD377" i="1"/>
  <c r="BC377" i="1"/>
  <c r="BC402" i="1"/>
  <c r="BC465" i="1"/>
  <c r="BD768" i="1"/>
  <c r="BE237" i="1"/>
  <c r="BD542" i="1"/>
  <c r="BC339" i="1"/>
  <c r="BE515" i="1"/>
  <c r="BC521" i="1"/>
  <c r="BE542" i="1"/>
  <c r="BC237" i="1"/>
  <c r="BD551" i="1"/>
  <c r="BC149" i="1"/>
  <c r="BD337" i="1"/>
  <c r="BC202" i="1"/>
  <c r="BE339" i="1"/>
  <c r="BC551" i="1"/>
  <c r="BD113" i="1"/>
  <c r="BE125" i="1"/>
  <c r="BC553" i="1"/>
  <c r="BD149" i="1"/>
  <c r="BC337" i="1"/>
  <c r="BE202" i="1"/>
  <c r="BC330" i="1"/>
  <c r="BC390" i="1"/>
  <c r="BC515" i="1"/>
  <c r="BC524" i="1"/>
  <c r="BC768" i="1"/>
  <c r="BE521" i="1"/>
  <c r="BC231" i="1"/>
  <c r="BD553" i="1"/>
  <c r="BE330" i="1"/>
  <c r="BE390" i="1"/>
  <c r="BE288" i="1"/>
  <c r="BD572" i="1"/>
  <c r="BE522" i="1"/>
  <c r="BE231" i="1"/>
  <c r="BC471" i="1"/>
  <c r="BC489" i="1"/>
  <c r="BC288" i="1"/>
  <c r="BD118" i="1"/>
  <c r="BE539" i="1"/>
  <c r="BC388" i="1"/>
  <c r="BD255" i="1"/>
  <c r="BC491" i="1"/>
  <c r="BD471" i="1"/>
  <c r="BD489" i="1"/>
  <c r="BC118" i="1"/>
  <c r="BE537" i="1"/>
  <c r="BC539" i="1"/>
  <c r="BC522" i="1"/>
  <c r="BC536" i="1"/>
  <c r="BD388" i="1"/>
  <c r="BE491" i="1"/>
  <c r="BC387" i="1"/>
  <c r="BC537" i="1"/>
  <c r="BE353" i="1"/>
  <c r="BE536" i="1"/>
  <c r="BC140" i="1"/>
  <c r="BD387" i="1"/>
  <c r="BC270" i="1"/>
  <c r="BD353" i="1"/>
  <c r="BD140" i="1"/>
  <c r="BD242" i="1"/>
  <c r="BC206" i="1"/>
  <c r="BC754" i="1"/>
  <c r="BD325" i="1"/>
  <c r="BD206" i="1"/>
  <c r="BC281" i="1"/>
  <c r="BE334" i="1"/>
  <c r="BC242" i="1"/>
  <c r="BD370" i="1"/>
  <c r="BD754" i="1"/>
  <c r="BE325" i="1"/>
  <c r="BE331" i="1"/>
  <c r="BD38" i="1"/>
  <c r="BD400" i="1"/>
  <c r="BC545" i="1"/>
  <c r="BE431" i="1"/>
  <c r="BD511" i="1"/>
  <c r="BE545" i="1"/>
  <c r="BE566" i="1"/>
  <c r="BD331" i="1"/>
  <c r="BC38" i="1"/>
  <c r="BD490" i="1"/>
  <c r="BD493" i="1"/>
  <c r="BC771" i="1"/>
  <c r="BC563" i="1"/>
  <c r="BE97" i="1"/>
  <c r="BC511" i="1"/>
  <c r="BC566" i="1"/>
  <c r="BC530" i="1"/>
  <c r="BE196" i="1"/>
  <c r="BD97" i="1"/>
  <c r="BC374" i="1"/>
  <c r="BC400" i="1"/>
  <c r="BE384" i="1"/>
  <c r="BD533" i="1"/>
  <c r="BD399" i="1"/>
  <c r="BC272" i="1"/>
  <c r="BE370" i="1"/>
  <c r="BE533" i="1"/>
  <c r="BE399" i="1"/>
  <c r="BD272" i="1"/>
  <c r="BD351" i="1"/>
  <c r="BD492" i="1"/>
  <c r="BC344" i="1"/>
  <c r="BD374" i="1"/>
  <c r="BE133" i="1"/>
  <c r="BC351" i="1"/>
  <c r="BE344" i="1"/>
  <c r="BC364" i="1"/>
  <c r="BE795" i="1"/>
  <c r="BC218" i="1"/>
  <c r="BD218" i="1"/>
  <c r="BE796" i="1"/>
  <c r="BC121" i="1"/>
  <c r="BC796" i="1"/>
  <c r="BE219" i="1"/>
  <c r="BC389" i="1"/>
  <c r="BD121" i="1"/>
  <c r="BD322" i="1"/>
  <c r="BD502" i="1"/>
  <c r="BE497" i="1"/>
  <c r="BE767" i="1"/>
  <c r="BD494" i="1"/>
  <c r="BD389" i="1"/>
  <c r="BC129" i="1"/>
  <c r="BC322" i="1"/>
  <c r="BC497" i="1"/>
  <c r="BD767" i="1"/>
  <c r="BD549" i="1"/>
  <c r="BE494" i="1"/>
  <c r="BD253" i="1"/>
  <c r="BD129" i="1"/>
  <c r="BC477" i="1"/>
  <c r="BC298" i="1"/>
  <c r="BE468" i="1"/>
  <c r="BC513" i="1"/>
  <c r="BC273" i="1"/>
  <c r="BD298" i="1"/>
  <c r="BE169" i="1"/>
  <c r="BC468" i="1"/>
  <c r="BC493" i="1"/>
  <c r="BE481" i="1"/>
  <c r="BD196" i="1"/>
  <c r="BD169" i="1"/>
  <c r="BC431" i="1"/>
  <c r="BD144" i="1"/>
  <c r="BE535" i="1"/>
  <c r="BD294" i="1"/>
  <c r="BC144" i="1"/>
  <c r="BC535" i="1"/>
  <c r="BB418" i="1"/>
  <c r="BE418" i="1" s="1"/>
  <c r="AH418" i="1"/>
  <c r="AI418" i="1" s="1"/>
  <c r="BB180" i="1"/>
  <c r="BE180" i="1" s="1"/>
  <c r="AH180" i="1"/>
  <c r="AI180" i="1" s="1"/>
  <c r="BB269" i="1"/>
  <c r="BD269" i="1" s="1"/>
  <c r="AH269" i="1"/>
  <c r="AI269" i="1" s="1"/>
  <c r="BB91" i="1"/>
  <c r="BE91" i="1" s="1"/>
  <c r="AH91" i="1"/>
  <c r="AI91" i="1" s="1"/>
  <c r="BB510" i="1"/>
  <c r="BE510" i="1" s="1"/>
  <c r="AH510" i="1"/>
  <c r="AI510" i="1" s="1"/>
  <c r="BB573" i="1"/>
  <c r="BD573" i="1" s="1"/>
  <c r="AH573" i="1"/>
  <c r="AI573" i="1" s="1"/>
  <c r="BB541" i="1"/>
  <c r="BC541" i="1" s="1"/>
  <c r="AH541" i="1"/>
  <c r="AI541" i="1" s="1"/>
  <c r="BB66" i="1"/>
  <c r="BE66" i="1" s="1"/>
  <c r="AH66" i="1"/>
  <c r="AI66" i="1" s="1"/>
  <c r="BD179" i="1"/>
  <c r="BC543" i="1"/>
  <c r="BE221" i="1"/>
  <c r="BC492" i="1"/>
  <c r="BE520" i="1"/>
  <c r="BB552" i="1"/>
  <c r="BD552" i="1" s="1"/>
  <c r="AH552" i="1"/>
  <c r="AI552" i="1" s="1"/>
  <c r="BB81" i="1"/>
  <c r="BE81" i="1" s="1"/>
  <c r="AH81" i="1"/>
  <c r="AI81" i="1" s="1"/>
  <c r="BB271" i="1"/>
  <c r="BD271" i="1" s="1"/>
  <c r="AH271" i="1"/>
  <c r="AI271" i="1" s="1"/>
  <c r="BB193" i="1"/>
  <c r="BD193" i="1" s="1"/>
  <c r="AH193" i="1"/>
  <c r="AI193" i="1" s="1"/>
  <c r="BB107" i="1"/>
  <c r="BD107" i="1" s="1"/>
  <c r="AH107" i="1"/>
  <c r="AI107" i="1" s="1"/>
  <c r="BB200" i="1"/>
  <c r="BE200" i="1" s="1"/>
  <c r="AH200" i="1"/>
  <c r="AI200" i="1" s="1"/>
  <c r="BB217" i="1"/>
  <c r="BD217" i="1" s="1"/>
  <c r="AH217" i="1"/>
  <c r="AI217" i="1" s="1"/>
  <c r="BB414" i="1"/>
  <c r="BD414" i="1" s="1"/>
  <c r="AH414" i="1"/>
  <c r="AI414" i="1" s="1"/>
  <c r="BC179" i="1"/>
  <c r="BE543" i="1"/>
  <c r="BC221" i="1"/>
  <c r="BC55" i="1"/>
  <c r="BB546" i="1"/>
  <c r="BE546" i="1" s="1"/>
  <c r="AH546" i="1"/>
  <c r="AI546" i="1" s="1"/>
  <c r="BB555" i="1"/>
  <c r="BE555" i="1" s="1"/>
  <c r="AH555" i="1"/>
  <c r="AI555" i="1" s="1"/>
  <c r="BB519" i="1"/>
  <c r="BE519" i="1" s="1"/>
  <c r="AH519" i="1"/>
  <c r="AI519" i="1" s="1"/>
  <c r="BC147" i="1"/>
  <c r="BB291" i="1"/>
  <c r="BE291" i="1" s="1"/>
  <c r="AH291" i="1"/>
  <c r="AI291" i="1" s="1"/>
  <c r="BD270" i="1"/>
  <c r="BB102" i="1"/>
  <c r="BD102" i="1" s="1"/>
  <c r="AH102" i="1"/>
  <c r="AI102" i="1" s="1"/>
  <c r="BB417" i="1"/>
  <c r="BE417" i="1" s="1"/>
  <c r="AH417" i="1"/>
  <c r="AI417" i="1" s="1"/>
  <c r="BB531" i="1"/>
  <c r="BC531" i="1" s="1"/>
  <c r="AH531" i="1"/>
  <c r="AI531" i="1" s="1"/>
  <c r="BB162" i="1"/>
  <c r="BC162" i="1" s="1"/>
  <c r="AH162" i="1"/>
  <c r="AI162" i="1" s="1"/>
  <c r="BC371" i="1"/>
  <c r="BB293" i="1"/>
  <c r="BC293" i="1" s="1"/>
  <c r="AH293" i="1"/>
  <c r="AI293" i="1" s="1"/>
  <c r="BE110" i="1"/>
  <c r="BB252" i="1"/>
  <c r="BC252" i="1" s="1"/>
  <c r="AH252" i="1"/>
  <c r="AI252" i="1" s="1"/>
  <c r="BB222" i="1"/>
  <c r="BE222" i="1" s="1"/>
  <c r="AH222" i="1"/>
  <c r="AI222" i="1" s="1"/>
  <c r="BB410" i="1"/>
  <c r="BE410" i="1" s="1"/>
  <c r="AH410" i="1"/>
  <c r="AI410" i="1" s="1"/>
  <c r="BB486" i="1"/>
  <c r="BD486" i="1" s="1"/>
  <c r="AH486" i="1"/>
  <c r="AI486" i="1" s="1"/>
  <c r="BB138" i="1"/>
  <c r="BE138" i="1" s="1"/>
  <c r="AH138" i="1"/>
  <c r="AI138" i="1" s="1"/>
  <c r="BE279" i="1"/>
  <c r="BD188" i="1"/>
  <c r="BE122" i="1"/>
  <c r="BD508" i="1"/>
  <c r="BD376" i="1"/>
  <c r="BC249" i="1"/>
  <c r="BE548" i="1"/>
  <c r="BC752" i="1"/>
  <c r="BE559" i="1"/>
  <c r="BD398" i="1"/>
  <c r="BB556" i="1"/>
  <c r="BE556" i="1" s="1"/>
  <c r="AH556" i="1"/>
  <c r="AI556" i="1" s="1"/>
  <c r="BB516" i="1"/>
  <c r="BE516" i="1" s="1"/>
  <c r="AH516" i="1"/>
  <c r="AI516" i="1" s="1"/>
  <c r="BB529" i="1"/>
  <c r="BE529" i="1" s="1"/>
  <c r="AH529" i="1"/>
  <c r="AI529" i="1" s="1"/>
  <c r="BB52" i="1"/>
  <c r="BD52" i="1" s="1"/>
  <c r="AH52" i="1"/>
  <c r="AI52" i="1" s="1"/>
  <c r="BB245" i="1"/>
  <c r="BC245" i="1" s="1"/>
  <c r="AH245" i="1"/>
  <c r="AI245" i="1" s="1"/>
  <c r="BB412" i="1"/>
  <c r="BE412" i="1" s="1"/>
  <c r="AH412" i="1"/>
  <c r="AI412" i="1" s="1"/>
  <c r="BC559" i="1"/>
  <c r="BE55" i="1"/>
  <c r="BB283" i="1"/>
  <c r="BE283" i="1" s="1"/>
  <c r="AH283" i="1"/>
  <c r="AI283" i="1" s="1"/>
  <c r="BB409" i="1"/>
  <c r="BC409" i="1" s="1"/>
  <c r="AH409" i="1"/>
  <c r="AI409" i="1" s="1"/>
  <c r="BB254" i="1"/>
  <c r="BE254" i="1" s="1"/>
  <c r="AH254" i="1"/>
  <c r="AI254" i="1" s="1"/>
  <c r="BB297" i="1"/>
  <c r="BD297" i="1" s="1"/>
  <c r="AH297" i="1"/>
  <c r="AI297" i="1" s="1"/>
  <c r="BB173" i="1"/>
  <c r="BE173" i="1" s="1"/>
  <c r="AH173" i="1"/>
  <c r="AI173" i="1" s="1"/>
  <c r="BD122" i="1"/>
  <c r="BC508" i="1"/>
  <c r="BE499" i="1"/>
  <c r="BC548" i="1"/>
  <c r="BE752" i="1"/>
  <c r="BB72" i="1"/>
  <c r="BC72" i="1" s="1"/>
  <c r="AH72" i="1"/>
  <c r="AI72" i="1" s="1"/>
  <c r="BB284" i="1"/>
  <c r="BD284" i="1" s="1"/>
  <c r="AH284" i="1"/>
  <c r="AI284" i="1" s="1"/>
  <c r="BB208" i="1"/>
  <c r="BD208" i="1" s="1"/>
  <c r="AH208" i="1"/>
  <c r="AI208" i="1" s="1"/>
  <c r="BB258" i="1"/>
  <c r="BD258" i="1" s="1"/>
  <c r="AH258" i="1"/>
  <c r="AI258" i="1" s="1"/>
  <c r="BB223" i="1"/>
  <c r="BE223" i="1" s="1"/>
  <c r="AH223" i="1"/>
  <c r="AI223" i="1" s="1"/>
  <c r="BB15" i="1"/>
  <c r="BE15" i="1" s="1"/>
  <c r="AH15" i="1"/>
  <c r="AI15" i="1" s="1"/>
  <c r="BB488" i="1"/>
  <c r="BD488" i="1" s="1"/>
  <c r="AH488" i="1"/>
  <c r="AI488" i="1" s="1"/>
  <c r="BB514" i="1"/>
  <c r="BC514" i="1" s="1"/>
  <c r="AH514" i="1"/>
  <c r="AI514" i="1" s="1"/>
  <c r="BB126" i="1"/>
  <c r="BD126" i="1" s="1"/>
  <c r="AH126" i="1"/>
  <c r="AI126" i="1" s="1"/>
  <c r="BC279" i="1"/>
  <c r="BC188" i="1"/>
  <c r="BE296" i="1"/>
  <c r="BC128" i="1"/>
  <c r="BE394" i="1"/>
  <c r="BC376" i="1"/>
  <c r="BE249" i="1"/>
  <c r="BC248" i="1"/>
  <c r="BC398" i="1"/>
  <c r="BC110" i="1"/>
  <c r="BB103" i="1"/>
  <c r="BD103" i="1" s="1"/>
  <c r="AH103" i="1"/>
  <c r="AI103" i="1" s="1"/>
  <c r="BB21" i="1"/>
  <c r="BE21" i="1" s="1"/>
  <c r="AH21" i="1"/>
  <c r="AI21" i="1" s="1"/>
  <c r="BB421" i="1"/>
  <c r="BE421" i="1" s="1"/>
  <c r="AH421" i="1"/>
  <c r="AI421" i="1" s="1"/>
  <c r="BB131" i="1"/>
  <c r="BD131" i="1" s="1"/>
  <c r="AH131" i="1"/>
  <c r="AI131" i="1" s="1"/>
  <c r="BB396" i="1"/>
  <c r="BE396" i="1" s="1"/>
  <c r="AH396" i="1"/>
  <c r="AI396" i="1" s="1"/>
  <c r="BB177" i="1"/>
  <c r="BD177" i="1" s="1"/>
  <c r="AH177" i="1"/>
  <c r="AI177" i="1" s="1"/>
  <c r="BB295" i="1"/>
  <c r="BE295" i="1" s="1"/>
  <c r="AH295" i="1"/>
  <c r="AI295" i="1" s="1"/>
  <c r="BD470" i="1"/>
  <c r="BC296" i="1"/>
  <c r="BD128" i="1"/>
  <c r="BC394" i="1"/>
  <c r="BE248" i="1"/>
  <c r="BB518" i="1"/>
  <c r="BC518" i="1" s="1"/>
  <c r="AH518" i="1"/>
  <c r="AI518" i="1" s="1"/>
  <c r="BB185" i="1"/>
  <c r="BE185" i="1" s="1"/>
  <c r="AH185" i="1"/>
  <c r="AI185" i="1" s="1"/>
  <c r="BB183" i="1"/>
  <c r="BD183" i="1" s="1"/>
  <c r="AH183" i="1"/>
  <c r="AI183" i="1" s="1"/>
  <c r="BB42" i="1"/>
  <c r="BC42" i="1" s="1"/>
  <c r="AH42" i="1"/>
  <c r="AI42" i="1" s="1"/>
  <c r="BB408" i="1"/>
  <c r="BE408" i="1" s="1"/>
  <c r="AH408" i="1"/>
  <c r="AI408" i="1" s="1"/>
  <c r="BB419" i="1"/>
  <c r="BD419" i="1" s="1"/>
  <c r="AH419" i="1"/>
  <c r="AI419" i="1" s="1"/>
  <c r="BB161" i="1"/>
  <c r="BE161" i="1" s="1"/>
  <c r="AH161" i="1"/>
  <c r="AI161" i="1" s="1"/>
  <c r="BB139" i="1"/>
  <c r="BD139" i="1" s="1"/>
  <c r="AH139" i="1"/>
  <c r="AI139" i="1" s="1"/>
  <c r="BB314" i="1"/>
  <c r="BE314" i="1" s="1"/>
  <c r="AH314" i="1"/>
  <c r="AI314" i="1" s="1"/>
  <c r="BB289" i="1"/>
  <c r="BE289" i="1" s="1"/>
  <c r="AH289" i="1"/>
  <c r="AI289" i="1" s="1"/>
  <c r="BB166" i="1"/>
  <c r="BE166" i="1" s="1"/>
  <c r="AH166" i="1"/>
  <c r="AI166" i="1" s="1"/>
  <c r="BE470" i="1"/>
  <c r="BD51" i="1"/>
  <c r="BC33" i="1"/>
  <c r="BE336" i="1"/>
  <c r="BD341" i="1"/>
  <c r="BB209" i="1"/>
  <c r="BD209" i="1" s="1"/>
  <c r="AH209" i="1"/>
  <c r="AI209" i="1" s="1"/>
  <c r="BB199" i="1"/>
  <c r="BD199" i="1" s="1"/>
  <c r="AH199" i="1"/>
  <c r="AI199" i="1" s="1"/>
  <c r="BB235" i="1"/>
  <c r="BE235" i="1" s="1"/>
  <c r="AH235" i="1"/>
  <c r="AI235" i="1" s="1"/>
  <c r="BB487" i="1"/>
  <c r="BC487" i="1" s="1"/>
  <c r="AH487" i="1"/>
  <c r="AI487" i="1" s="1"/>
  <c r="BB29" i="1"/>
  <c r="BC29" i="1" s="1"/>
  <c r="AH29" i="1"/>
  <c r="AI29" i="1" s="1"/>
  <c r="BB130" i="1"/>
  <c r="BE130" i="1" s="1"/>
  <c r="AH130" i="1"/>
  <c r="AI130" i="1" s="1"/>
  <c r="BB176" i="1"/>
  <c r="BD176" i="1" s="1"/>
  <c r="AH176" i="1"/>
  <c r="AI176" i="1" s="1"/>
  <c r="BB31" i="1"/>
  <c r="BD31" i="1" s="1"/>
  <c r="AH31" i="1"/>
  <c r="AI31" i="1" s="1"/>
  <c r="BC51" i="1"/>
  <c r="BD33" i="1"/>
  <c r="BC167" i="1"/>
  <c r="BC336" i="1"/>
  <c r="BC236" i="1"/>
  <c r="BC558" i="1"/>
  <c r="BC341" i="1"/>
  <c r="BB528" i="1"/>
  <c r="BE528" i="1" s="1"/>
  <c r="AH528" i="1"/>
  <c r="AI528" i="1" s="1"/>
  <c r="BB19" i="1"/>
  <c r="BD19" i="1" s="1"/>
  <c r="AH19" i="1"/>
  <c r="AI19" i="1" s="1"/>
  <c r="BB485" i="1"/>
  <c r="BC485" i="1" s="1"/>
  <c r="AH485" i="1"/>
  <c r="AI485" i="1" s="1"/>
  <c r="BD167" i="1"/>
  <c r="BD236" i="1"/>
  <c r="BD558" i="1"/>
  <c r="BB538" i="1"/>
  <c r="BC538" i="1" s="1"/>
  <c r="AH538" i="1"/>
  <c r="AI538" i="1" s="1"/>
  <c r="BB98" i="1"/>
  <c r="BC98" i="1" s="1"/>
  <c r="AH98" i="1"/>
  <c r="AI98" i="1" s="1"/>
  <c r="BB246" i="1"/>
  <c r="BE246" i="1" s="1"/>
  <c r="AH246" i="1"/>
  <c r="AI246" i="1" s="1"/>
  <c r="BC549" i="1"/>
  <c r="BD240" i="1"/>
  <c r="BB557" i="1"/>
  <c r="BE557" i="1" s="1"/>
  <c r="AH557" i="1"/>
  <c r="AI557" i="1" s="1"/>
  <c r="BB189" i="1"/>
  <c r="BE189" i="1" s="1"/>
  <c r="AH189" i="1"/>
  <c r="AI189" i="1" s="1"/>
  <c r="BB229" i="1"/>
  <c r="BE229" i="1" s="1"/>
  <c r="AH229" i="1"/>
  <c r="AI229" i="1" s="1"/>
  <c r="BB184" i="1"/>
  <c r="BD184" i="1" s="1"/>
  <c r="AH184" i="1"/>
  <c r="AI184" i="1" s="1"/>
  <c r="BD292" i="1"/>
  <c r="BD561" i="1"/>
  <c r="BC324" i="1"/>
  <c r="BE247" i="1"/>
  <c r="BE364" i="1"/>
  <c r="BC141" i="1"/>
  <c r="BC240" i="1"/>
  <c r="BC360" i="1"/>
  <c r="BD550" i="1"/>
  <c r="BE550" i="1"/>
  <c r="BB321" i="1"/>
  <c r="BD321" i="1" s="1"/>
  <c r="AH321" i="1"/>
  <c r="AI321" i="1" s="1"/>
  <c r="BB89" i="1"/>
  <c r="BE89" i="1" s="1"/>
  <c r="AH89" i="1"/>
  <c r="AI89" i="1" s="1"/>
  <c r="BB194" i="1"/>
  <c r="BC194" i="1" s="1"/>
  <c r="AH194" i="1"/>
  <c r="AI194" i="1" s="1"/>
  <c r="BB220" i="1"/>
  <c r="BD220" i="1" s="1"/>
  <c r="AH220" i="1"/>
  <c r="AI220" i="1" s="1"/>
  <c r="BB244" i="1"/>
  <c r="BE244" i="1" s="1"/>
  <c r="AH244" i="1"/>
  <c r="AI244" i="1" s="1"/>
  <c r="BB274" i="1"/>
  <c r="BD274" i="1" s="1"/>
  <c r="AH274" i="1"/>
  <c r="AI274" i="1" s="1"/>
  <c r="BB134" i="1"/>
  <c r="BC134" i="1" s="1"/>
  <c r="AH134" i="1"/>
  <c r="AI134" i="1" s="1"/>
  <c r="BB416" i="1"/>
  <c r="BE416" i="1" s="1"/>
  <c r="AH416" i="1"/>
  <c r="AI416" i="1" s="1"/>
  <c r="BB358" i="1"/>
  <c r="BE358" i="1" s="1"/>
  <c r="AH358" i="1"/>
  <c r="AI358" i="1" s="1"/>
  <c r="BB257" i="1"/>
  <c r="BE257" i="1" s="1"/>
  <c r="AH257" i="1"/>
  <c r="AI257" i="1" s="1"/>
  <c r="BB156" i="1"/>
  <c r="BD156" i="1" s="1"/>
  <c r="AH156" i="1"/>
  <c r="AI156" i="1" s="1"/>
  <c r="BB60" i="1"/>
  <c r="BE60" i="1" s="1"/>
  <c r="AH60" i="1"/>
  <c r="BB211" i="1"/>
  <c r="BC211" i="1" s="1"/>
  <c r="AH211" i="1"/>
  <c r="AI211" i="1" s="1"/>
  <c r="BB178" i="1"/>
  <c r="BE178" i="1" s="1"/>
  <c r="AH178" i="1"/>
  <c r="AI178" i="1" s="1"/>
  <c r="BB233" i="1"/>
  <c r="BC233" i="1" s="1"/>
  <c r="AH233" i="1"/>
  <c r="AI233" i="1" s="1"/>
  <c r="BB287" i="1"/>
  <c r="BC287" i="1" s="1"/>
  <c r="AH287" i="1"/>
  <c r="AI287" i="1" s="1"/>
  <c r="BB347" i="1"/>
  <c r="BD347" i="1" s="1"/>
  <c r="AH347" i="1"/>
  <c r="AI347" i="1" s="1"/>
  <c r="BC292" i="1"/>
  <c r="BC561" i="1"/>
  <c r="BD564" i="1"/>
  <c r="BD348" i="1"/>
  <c r="BD324" i="1"/>
  <c r="BD247" i="1"/>
  <c r="BC328" i="1"/>
  <c r="BE90" i="1"/>
  <c r="BD141" i="1"/>
  <c r="BD496" i="1"/>
  <c r="BE360" i="1"/>
  <c r="BC572" i="1"/>
  <c r="BB198" i="1"/>
  <c r="BE198" i="1" s="1"/>
  <c r="AH198" i="1"/>
  <c r="AI198" i="1" s="1"/>
  <c r="BB69" i="1"/>
  <c r="BE69" i="1" s="1"/>
  <c r="AH69" i="1"/>
  <c r="AI69" i="1" s="1"/>
  <c r="BB323" i="1"/>
  <c r="BE323" i="1" s="1"/>
  <c r="AH323" i="1"/>
  <c r="AI323" i="1" s="1"/>
  <c r="BD328" i="1"/>
  <c r="BC90" i="1"/>
  <c r="BC495" i="1"/>
  <c r="BC496" i="1"/>
  <c r="BE181" i="1"/>
  <c r="BE540" i="1"/>
  <c r="BB230" i="1"/>
  <c r="BE230" i="1" s="1"/>
  <c r="AH230" i="1"/>
  <c r="AI230" i="1" s="1"/>
  <c r="BB57" i="1"/>
  <c r="BE57" i="1" s="1"/>
  <c r="AH57" i="1"/>
  <c r="AI57" i="1" s="1"/>
  <c r="BB285" i="1"/>
  <c r="BD285" i="1" s="1"/>
  <c r="AH285" i="1"/>
  <c r="AI285" i="1" s="1"/>
  <c r="BB534" i="1"/>
  <c r="BE534" i="1" s="1"/>
  <c r="AH534" i="1"/>
  <c r="AI534" i="1" s="1"/>
  <c r="BB204" i="1"/>
  <c r="BD204" i="1" s="1"/>
  <c r="AH204" i="1"/>
  <c r="AI204" i="1" s="1"/>
  <c r="BB16" i="1"/>
  <c r="BE16" i="1" s="1"/>
  <c r="AH16" i="1"/>
  <c r="AI16" i="1" s="1"/>
  <c r="BB570" i="1"/>
  <c r="BE570" i="1" s="1"/>
  <c r="AH570" i="1"/>
  <c r="AI570" i="1" s="1"/>
  <c r="BB544" i="1"/>
  <c r="BD544" i="1" s="1"/>
  <c r="AH544" i="1"/>
  <c r="AI544" i="1" s="1"/>
  <c r="BB227" i="1"/>
  <c r="BD227" i="1" s="1"/>
  <c r="AH227" i="1"/>
  <c r="AI227" i="1" s="1"/>
  <c r="BB88" i="1"/>
  <c r="BD88" i="1" s="1"/>
  <c r="AH88" i="1"/>
  <c r="AI88" i="1" s="1"/>
  <c r="BB251" i="1"/>
  <c r="BD251" i="1" s="1"/>
  <c r="AH251" i="1"/>
  <c r="AI251" i="1" s="1"/>
  <c r="BB422" i="1"/>
  <c r="BD422" i="1" s="1"/>
  <c r="AH422" i="1"/>
  <c r="AI422" i="1" s="1"/>
  <c r="BB232" i="1"/>
  <c r="BE232" i="1" s="1"/>
  <c r="AH232" i="1"/>
  <c r="AI232" i="1" s="1"/>
  <c r="BB64" i="1"/>
  <c r="BE64" i="1" s="1"/>
  <c r="AI64" i="1"/>
  <c r="BB525" i="1"/>
  <c r="BD525" i="1" s="1"/>
  <c r="AH525" i="1"/>
  <c r="AI525" i="1" s="1"/>
  <c r="BB112" i="1"/>
  <c r="BE112" i="1" s="1"/>
  <c r="AH112" i="1"/>
  <c r="AI112" i="1" s="1"/>
  <c r="BB286" i="1"/>
  <c r="BC286" i="1" s="1"/>
  <c r="AH286" i="1"/>
  <c r="AI286" i="1" s="1"/>
  <c r="BB108" i="1"/>
  <c r="BC108" i="1" s="1"/>
  <c r="AH108" i="1"/>
  <c r="AI108" i="1" s="1"/>
  <c r="BB101" i="1"/>
  <c r="BE101" i="1" s="1"/>
  <c r="AH101" i="1"/>
  <c r="AI101" i="1" s="1"/>
  <c r="BB28" i="1"/>
  <c r="BD28" i="1" s="1"/>
  <c r="AH28" i="1"/>
  <c r="AI28" i="1" s="1"/>
  <c r="BB171" i="1"/>
  <c r="BC171" i="1" s="1"/>
  <c r="AH171" i="1"/>
  <c r="AI171" i="1" s="1"/>
  <c r="BB313" i="1"/>
  <c r="BE313" i="1" s="1"/>
  <c r="AH313" i="1"/>
  <c r="AI313" i="1" s="1"/>
  <c r="BB157" i="1"/>
  <c r="BE157" i="1" s="1"/>
  <c r="AH157" i="1"/>
  <c r="AI157" i="1" s="1"/>
  <c r="BC482" i="1"/>
  <c r="BC567" i="1"/>
  <c r="BC136" i="1"/>
  <c r="BC484" i="1"/>
  <c r="BC135" i="1"/>
  <c r="BE332" i="1"/>
  <c r="BD526" i="1"/>
  <c r="BC772" i="1"/>
  <c r="BC34" i="1"/>
  <c r="BE380" i="1"/>
  <c r="BE504" i="1"/>
  <c r="BE495" i="1"/>
  <c r="BC181" i="1"/>
  <c r="BD379" i="1"/>
  <c r="BC571" i="1"/>
  <c r="BC520" i="1"/>
  <c r="BB65" i="1"/>
  <c r="BC65" i="1" s="1"/>
  <c r="AH65" i="1"/>
  <c r="AI65" i="1" s="1"/>
  <c r="BB532" i="1"/>
  <c r="BC532" i="1" s="1"/>
  <c r="AH532" i="1"/>
  <c r="AI532" i="1" s="1"/>
  <c r="BB268" i="1"/>
  <c r="BE268" i="1" s="1"/>
  <c r="AH268" i="1"/>
  <c r="AI268" i="1" s="1"/>
  <c r="BB261" i="1"/>
  <c r="BD261" i="1" s="1"/>
  <c r="AH261" i="1"/>
  <c r="AI261" i="1" s="1"/>
  <c r="BB67" i="1"/>
  <c r="BC67" i="1" s="1"/>
  <c r="AH67" i="1"/>
  <c r="AI67" i="1" s="1"/>
  <c r="BB137" i="1"/>
  <c r="BE137" i="1" s="1"/>
  <c r="AH137" i="1"/>
  <c r="AI137" i="1" s="1"/>
  <c r="BB186" i="1"/>
  <c r="BC186" i="1" s="1"/>
  <c r="AH186" i="1"/>
  <c r="AI186" i="1" s="1"/>
  <c r="BB406" i="1"/>
  <c r="BE406" i="1" s="1"/>
  <c r="AH406" i="1"/>
  <c r="AI406" i="1" s="1"/>
  <c r="BB315" i="1"/>
  <c r="BE315" i="1" s="1"/>
  <c r="AH315" i="1"/>
  <c r="AI315" i="1" s="1"/>
  <c r="BB216" i="1"/>
  <c r="BC216" i="1" s="1"/>
  <c r="AH216" i="1"/>
  <c r="AI216" i="1" s="1"/>
  <c r="BB276" i="1"/>
  <c r="BE276" i="1" s="1"/>
  <c r="AH276" i="1"/>
  <c r="AI276" i="1" s="1"/>
  <c r="BB262" i="1"/>
  <c r="BE262" i="1" s="1"/>
  <c r="AH262" i="1"/>
  <c r="AI262" i="1" s="1"/>
  <c r="BB215" i="1"/>
  <c r="BD215" i="1" s="1"/>
  <c r="AH215" i="1"/>
  <c r="AI215" i="1" s="1"/>
  <c r="BB318" i="1"/>
  <c r="BD318" i="1" s="1"/>
  <c r="AH318" i="1"/>
  <c r="AI318" i="1" s="1"/>
  <c r="BB73" i="1"/>
  <c r="BC73" i="1" s="1"/>
  <c r="AH73" i="1"/>
  <c r="AI73" i="1" s="1"/>
  <c r="BB96" i="1"/>
  <c r="BE96" i="1" s="1"/>
  <c r="AH96" i="1"/>
  <c r="AI96" i="1" s="1"/>
  <c r="BB277" i="1"/>
  <c r="BD277" i="1" s="1"/>
  <c r="AH277" i="1"/>
  <c r="AI277" i="1" s="1"/>
  <c r="BB197" i="1"/>
  <c r="BE197" i="1" s="1"/>
  <c r="AH197" i="1"/>
  <c r="AI197" i="1" s="1"/>
  <c r="BB207" i="1"/>
  <c r="BD207" i="1" s="1"/>
  <c r="AH207" i="1"/>
  <c r="AI207" i="1" s="1"/>
  <c r="BB413" i="1"/>
  <c r="BC413" i="1" s="1"/>
  <c r="AH413" i="1"/>
  <c r="AI413" i="1" s="1"/>
  <c r="BB405" i="1"/>
  <c r="BD405" i="1" s="1"/>
  <c r="AH405" i="1"/>
  <c r="AI405" i="1" s="1"/>
  <c r="BB420" i="1"/>
  <c r="BE420" i="1" s="1"/>
  <c r="AH420" i="1"/>
  <c r="AI420" i="1" s="1"/>
  <c r="BB415" i="1"/>
  <c r="BD415" i="1" s="1"/>
  <c r="AH415" i="1"/>
  <c r="AI415" i="1" s="1"/>
  <c r="BB56" i="1"/>
  <c r="BC56" i="1" s="1"/>
  <c r="AH56" i="1"/>
  <c r="AI56" i="1" s="1"/>
  <c r="BB290" i="1"/>
  <c r="BE290" i="1" s="1"/>
  <c r="AH290" i="1"/>
  <c r="AI290" i="1" s="1"/>
  <c r="BE482" i="1"/>
  <c r="BC384" i="1"/>
  <c r="BC190" i="1"/>
  <c r="BE136" i="1"/>
  <c r="BD484" i="1"/>
  <c r="BC255" i="1"/>
  <c r="BD135" i="1"/>
  <c r="BC317" i="1"/>
  <c r="BC526" i="1"/>
  <c r="BE391" i="1"/>
  <c r="BE34" i="1"/>
  <c r="BD210" i="1"/>
  <c r="BC498" i="1"/>
  <c r="BC380" i="1"/>
  <c r="BC18" i="1"/>
  <c r="BE379" i="1"/>
  <c r="BB407" i="1"/>
  <c r="BE407" i="1" s="1"/>
  <c r="AH407" i="1"/>
  <c r="AI407" i="1" s="1"/>
  <c r="BB104" i="1"/>
  <c r="BD104" i="1" s="1"/>
  <c r="AH104" i="1"/>
  <c r="AI104" i="1" s="1"/>
  <c r="BB32" i="1"/>
  <c r="BE32" i="1" s="1"/>
  <c r="AH32" i="1"/>
  <c r="AI32" i="1" s="1"/>
  <c r="BB79" i="1"/>
  <c r="BC79" i="1" s="1"/>
  <c r="AH79" i="1"/>
  <c r="AI79" i="1" s="1"/>
  <c r="BB275" i="1"/>
  <c r="BD275" i="1" s="1"/>
  <c r="AH275" i="1"/>
  <c r="AI275" i="1" s="1"/>
  <c r="BB86" i="1"/>
  <c r="BC86" i="1" s="1"/>
  <c r="AH86" i="1"/>
  <c r="AI86" i="1" s="1"/>
  <c r="BB68" i="1"/>
  <c r="BD68" i="1" s="1"/>
  <c r="AH68" i="1"/>
  <c r="AI68" i="1" s="1"/>
  <c r="BB50" i="1"/>
  <c r="BD50" i="1" s="1"/>
  <c r="AH50" i="1"/>
  <c r="AI50" i="1" s="1"/>
  <c r="BD499" i="1"/>
  <c r="BB17" i="1"/>
  <c r="BE17" i="1" s="1"/>
  <c r="AH17" i="1"/>
  <c r="AI17" i="1" s="1"/>
  <c r="BB111" i="1"/>
  <c r="BD111" i="1" s="1"/>
  <c r="AH111" i="1"/>
  <c r="AI111" i="1" s="1"/>
  <c r="BB239" i="1"/>
  <c r="BC239" i="1" s="1"/>
  <c r="AH239" i="1"/>
  <c r="AI239" i="1" s="1"/>
  <c r="BB267" i="1"/>
  <c r="BE267" i="1" s="1"/>
  <c r="AH267" i="1"/>
  <c r="AI267" i="1" s="1"/>
  <c r="BB312" i="1"/>
  <c r="BD312" i="1" s="1"/>
  <c r="AH312" i="1"/>
  <c r="AI312" i="1" s="1"/>
  <c r="BB95" i="1"/>
  <c r="BE95" i="1" s="1"/>
  <c r="AH95" i="1"/>
  <c r="AI95" i="1" s="1"/>
  <c r="BB238" i="1"/>
  <c r="BC238" i="1" s="1"/>
  <c r="AH238" i="1"/>
  <c r="AI238" i="1" s="1"/>
  <c r="BB527" i="1"/>
  <c r="BD527" i="1" s="1"/>
  <c r="AH527" i="1"/>
  <c r="AI527" i="1" s="1"/>
  <c r="BB59" i="1"/>
  <c r="BE59" i="1" s="1"/>
  <c r="AH59" i="1"/>
  <c r="AI59" i="1" s="1"/>
  <c r="BB243" i="1"/>
  <c r="BD243" i="1" s="1"/>
  <c r="AH243" i="1"/>
  <c r="AI243" i="1" s="1"/>
  <c r="BB212" i="1"/>
  <c r="BD212" i="1" s="1"/>
  <c r="AH212" i="1"/>
  <c r="AI212" i="1" s="1"/>
  <c r="BB226" i="1"/>
  <c r="BE226" i="1" s="1"/>
  <c r="AH226" i="1"/>
  <c r="AI226" i="1" s="1"/>
  <c r="BB241" i="1"/>
  <c r="BC241" i="1" s="1"/>
  <c r="AH241" i="1"/>
  <c r="AI241" i="1" s="1"/>
  <c r="BB49" i="1"/>
  <c r="BD49" i="1" s="1"/>
  <c r="AH49" i="1"/>
  <c r="AI49" i="1" s="1"/>
  <c r="BB411" i="1"/>
  <c r="BD411" i="1" s="1"/>
  <c r="AH411" i="1"/>
  <c r="AI411" i="1" s="1"/>
  <c r="BB92" i="1"/>
  <c r="BD92" i="1" s="1"/>
  <c r="AH92" i="1"/>
  <c r="AI92" i="1" s="1"/>
  <c r="BB517" i="1"/>
  <c r="BD517" i="1" s="1"/>
  <c r="AH517" i="1"/>
  <c r="AI517" i="1" s="1"/>
  <c r="BB85" i="1"/>
  <c r="BC85" i="1" s="1"/>
  <c r="AH85" i="1"/>
  <c r="AI85" i="1" s="1"/>
  <c r="BB174" i="1"/>
  <c r="BC174" i="1" s="1"/>
  <c r="AH174" i="1"/>
  <c r="AI174" i="1" s="1"/>
  <c r="BE513" i="1"/>
  <c r="BC540" i="1"/>
  <c r="BE571" i="1"/>
  <c r="BE168" i="1"/>
  <c r="BE154" i="1"/>
  <c r="BC127" i="1"/>
  <c r="BC153" i="1"/>
  <c r="BD143" i="1"/>
  <c r="BD127" i="1"/>
  <c r="BE153" i="1"/>
  <c r="BC751" i="1"/>
  <c r="BE143" i="1"/>
  <c r="BE770" i="1"/>
  <c r="BE152" i="1"/>
  <c r="BE753" i="1"/>
  <c r="BD776" i="1"/>
  <c r="BC770" i="1"/>
  <c r="BE776" i="1"/>
  <c r="BC154" i="1"/>
  <c r="AN17" i="1"/>
  <c r="BE751" i="1"/>
  <c r="BC773" i="1"/>
  <c r="BD773" i="1"/>
  <c r="BC429" i="1"/>
  <c r="BC152" i="1"/>
  <c r="BC753" i="1"/>
  <c r="BE429" i="1"/>
  <c r="BC469" i="1"/>
  <c r="BD475" i="1"/>
  <c r="BD473" i="1"/>
  <c r="BE469" i="1"/>
  <c r="BC475" i="1"/>
  <c r="BC473" i="1"/>
  <c r="BD476" i="1"/>
  <c r="BB151" i="1"/>
  <c r="BE151" i="1" s="1"/>
  <c r="AH151" i="1"/>
  <c r="AI151" i="1" s="1"/>
  <c r="BB451" i="1"/>
  <c r="BE451" i="1" s="1"/>
  <c r="AH451" i="1"/>
  <c r="AI451" i="1" s="1"/>
  <c r="BB145" i="1"/>
  <c r="BE145" i="1" s="1"/>
  <c r="AH145" i="1"/>
  <c r="AI145" i="1" s="1"/>
  <c r="BB450" i="1"/>
  <c r="BE450" i="1" s="1"/>
  <c r="AH450" i="1"/>
  <c r="AI450" i="1" s="1"/>
  <c r="BB452" i="1"/>
  <c r="BE452" i="1" s="1"/>
  <c r="AH452" i="1"/>
  <c r="AI452" i="1" s="1"/>
  <c r="BB453" i="1"/>
  <c r="BC453" i="1" s="1"/>
  <c r="AH453" i="1"/>
  <c r="AI453" i="1" s="1"/>
  <c r="BB461" i="1"/>
  <c r="BC461" i="1" s="1"/>
  <c r="AH461" i="1"/>
  <c r="AI461" i="1" s="1"/>
  <c r="BB459" i="1"/>
  <c r="BE459" i="1" s="1"/>
  <c r="AH459" i="1"/>
  <c r="AI459" i="1" s="1"/>
  <c r="BB460" i="1"/>
  <c r="BD460" i="1" s="1"/>
  <c r="AH460" i="1"/>
  <c r="AI460" i="1" s="1"/>
  <c r="BB458" i="1"/>
  <c r="BD458" i="1" s="1"/>
  <c r="AH458" i="1"/>
  <c r="AI458" i="1" s="1"/>
  <c r="BB116" i="1"/>
  <c r="BD116" i="1" s="1"/>
  <c r="AH116" i="1"/>
  <c r="AI116" i="1" s="1"/>
  <c r="BB155" i="1"/>
  <c r="BD155" i="1" s="1"/>
  <c r="AH155" i="1"/>
  <c r="AI155" i="1" s="1"/>
  <c r="BB760" i="1"/>
  <c r="BE760" i="1" s="1"/>
  <c r="AH760" i="1"/>
  <c r="AI760" i="1" s="1"/>
  <c r="BB779" i="1"/>
  <c r="BC779" i="1" s="1"/>
  <c r="AH779" i="1"/>
  <c r="AI779" i="1" s="1"/>
  <c r="BB769" i="1"/>
  <c r="BC769" i="1" s="1"/>
  <c r="AH769" i="1"/>
  <c r="AI769" i="1" s="1"/>
  <c r="BB774" i="1"/>
  <c r="BC774" i="1" s="1"/>
  <c r="AH774" i="1"/>
  <c r="AI774" i="1" s="1"/>
  <c r="BB758" i="1"/>
  <c r="BE758" i="1" s="1"/>
  <c r="AH758" i="1"/>
  <c r="AI758" i="1" s="1"/>
  <c r="BB763" i="1"/>
  <c r="BD763" i="1" s="1"/>
  <c r="AH763" i="1"/>
  <c r="AI763" i="1" s="1"/>
  <c r="BB117" i="1"/>
  <c r="BE117" i="1" s="1"/>
  <c r="AH117" i="1"/>
  <c r="AI117" i="1" s="1"/>
  <c r="BB150" i="1"/>
  <c r="BE150" i="1" s="1"/>
  <c r="AH150" i="1"/>
  <c r="AI150" i="1" s="1"/>
  <c r="BB761" i="1"/>
  <c r="BC761" i="1" s="1"/>
  <c r="AH761" i="1"/>
  <c r="AI761" i="1" s="1"/>
  <c r="BB764" i="1"/>
  <c r="BE764" i="1" s="1"/>
  <c r="AH764" i="1"/>
  <c r="AI764" i="1" s="1"/>
  <c r="BB755" i="1"/>
  <c r="BD755" i="1" s="1"/>
  <c r="AH755" i="1"/>
  <c r="AI755" i="1" s="1"/>
  <c r="BB757" i="1"/>
  <c r="BC757" i="1" s="1"/>
  <c r="AH757" i="1"/>
  <c r="AI757" i="1" s="1"/>
  <c r="BB142" i="1"/>
  <c r="BE142" i="1" s="1"/>
  <c r="AH142" i="1"/>
  <c r="AI142" i="1" s="1"/>
  <c r="BB750" i="1"/>
  <c r="AH750" i="1"/>
  <c r="AI750" i="1" s="1"/>
  <c r="AN528" i="1"/>
  <c r="AN556" i="1"/>
  <c r="AN544" i="1"/>
  <c r="AN519" i="1"/>
  <c r="AN532" i="1"/>
  <c r="AN534" i="1"/>
  <c r="AN570" i="1"/>
  <c r="AN531" i="1"/>
  <c r="AN538" i="1"/>
  <c r="AN555" i="1"/>
  <c r="AN552" i="1"/>
  <c r="AN557" i="1"/>
  <c r="AN529" i="1"/>
  <c r="AN546" i="1"/>
  <c r="AN518" i="1"/>
  <c r="BD810" i="1"/>
  <c r="BE810" i="1"/>
  <c r="BC810" i="1"/>
  <c r="AN150" i="1"/>
  <c r="AB20" i="1"/>
  <c r="AN166" i="1"/>
  <c r="AN162" i="1"/>
  <c r="AN757" i="1"/>
  <c r="AN142" i="1"/>
  <c r="AN312" i="1"/>
  <c r="AN290" i="1"/>
  <c r="AN60" i="1"/>
  <c r="AN56" i="1"/>
  <c r="AN59" i="1"/>
  <c r="AN289" i="1"/>
  <c r="AN295" i="1"/>
  <c r="AN173" i="1"/>
  <c r="AN177" i="1"/>
  <c r="AN176" i="1"/>
  <c r="AN156" i="1"/>
  <c r="AN157" i="1"/>
  <c r="AN174" i="1"/>
  <c r="AN67" i="1"/>
  <c r="AN66" i="1"/>
  <c r="AN315" i="1"/>
  <c r="AN314" i="1"/>
  <c r="AN318" i="1"/>
  <c r="AN86" i="1"/>
  <c r="AN126" i="1"/>
  <c r="AN541" i="1"/>
  <c r="AN291" i="1"/>
  <c r="AN137" i="1"/>
  <c r="AN297" i="1"/>
  <c r="AN85" i="1"/>
  <c r="AN573" i="1"/>
  <c r="AN755" i="1"/>
  <c r="AN139" i="1"/>
  <c r="AN396" i="1"/>
  <c r="AN130" i="1"/>
  <c r="AN764" i="1"/>
  <c r="AN761" i="1"/>
  <c r="AN215" i="1"/>
  <c r="AN347" i="1"/>
  <c r="AN516" i="1"/>
  <c r="AN131" i="1"/>
  <c r="AN117" i="1"/>
  <c r="AN134" i="1"/>
  <c r="AN763" i="1"/>
  <c r="AN287" i="1"/>
  <c r="AN313" i="1"/>
  <c r="AN758" i="1"/>
  <c r="AN261" i="1"/>
  <c r="AN525" i="1"/>
  <c r="AN138" i="1"/>
  <c r="AN171" i="1"/>
  <c r="AN514" i="1"/>
  <c r="AN407" i="1"/>
  <c r="AN774" i="1"/>
  <c r="AN769" i="1"/>
  <c r="AN323" i="1"/>
  <c r="AN527" i="1"/>
  <c r="AN321" i="1"/>
  <c r="AN161" i="1"/>
  <c r="AN760" i="1"/>
  <c r="AN358" i="1"/>
  <c r="AN517" i="1"/>
  <c r="AN417" i="1"/>
  <c r="AN92" i="1"/>
  <c r="AN779" i="1"/>
  <c r="AN487" i="1"/>
  <c r="AN155" i="1"/>
  <c r="AN29" i="1"/>
  <c r="AN413" i="1"/>
  <c r="AN510" i="1"/>
  <c r="AN254" i="1"/>
  <c r="AN293" i="1"/>
  <c r="AN488" i="1"/>
  <c r="AN405" i="1"/>
  <c r="AN116" i="1"/>
  <c r="AN486" i="1"/>
  <c r="AN16" i="1"/>
  <c r="AN416" i="1"/>
  <c r="AN485" i="1"/>
  <c r="AN422" i="1"/>
  <c r="AN410" i="1"/>
  <c r="AN409" i="1"/>
  <c r="AN414" i="1"/>
  <c r="AN421" i="1"/>
  <c r="AN412" i="1"/>
  <c r="AN411" i="1"/>
  <c r="AN420" i="1"/>
  <c r="AN418" i="1"/>
  <c r="AN408" i="1"/>
  <c r="AN415" i="1"/>
  <c r="AN275" i="1"/>
  <c r="AN406" i="1"/>
  <c r="AN419" i="1"/>
  <c r="AN15" i="1"/>
  <c r="AN207" i="1"/>
  <c r="AN235" i="1"/>
  <c r="AN31" i="1"/>
  <c r="AN91" i="1"/>
  <c r="AN458" i="1"/>
  <c r="AN197" i="1"/>
  <c r="AN461" i="1"/>
  <c r="AN145" i="1"/>
  <c r="AN451" i="1"/>
  <c r="AN459" i="1"/>
  <c r="AN452" i="1"/>
  <c r="AN460" i="1"/>
  <c r="AN453" i="1"/>
  <c r="AN450" i="1"/>
  <c r="AN285" i="1"/>
  <c r="AN151" i="1"/>
  <c r="AN269" i="1"/>
  <c r="AN233" i="1"/>
  <c r="AN217" i="1"/>
  <c r="AN262" i="1"/>
  <c r="AN230" i="1"/>
  <c r="AN32" i="1"/>
  <c r="AN277" i="1"/>
  <c r="AN49" i="1"/>
  <c r="AN69" i="1"/>
  <c r="AN257" i="1"/>
  <c r="AN50" i="1"/>
  <c r="AN223" i="1"/>
  <c r="AN64" i="1"/>
  <c r="AN226" i="1"/>
  <c r="AN239" i="1"/>
  <c r="AN57" i="1"/>
  <c r="AN283" i="1"/>
  <c r="AN28" i="1"/>
  <c r="AN200" i="1"/>
  <c r="AN238" i="1"/>
  <c r="AN183" i="1"/>
  <c r="AN88" i="1"/>
  <c r="AN184" i="1"/>
  <c r="AN189" i="1"/>
  <c r="AN73" i="1"/>
  <c r="AN204" i="1"/>
  <c r="AN103" i="1"/>
  <c r="AM73" i="1"/>
  <c r="AN220" i="1"/>
  <c r="AN19" i="1"/>
  <c r="AN180" i="1"/>
  <c r="AN229" i="1"/>
  <c r="AN251" i="1"/>
  <c r="AN240" i="1"/>
  <c r="AN245" i="1"/>
  <c r="AN81" i="1"/>
  <c r="AN68" i="1"/>
  <c r="AN111" i="1"/>
  <c r="AN42" i="1"/>
  <c r="AN112" i="1"/>
  <c r="AN185" i="1"/>
  <c r="AN212" i="1"/>
  <c r="AN98" i="1"/>
  <c r="AN276" i="1"/>
  <c r="AN107" i="1"/>
  <c r="AN258" i="1"/>
  <c r="AN252" i="1"/>
  <c r="AN79" i="1"/>
  <c r="AN246" i="1"/>
  <c r="AN199" i="1"/>
  <c r="AN193" i="1"/>
  <c r="AN102" i="1"/>
  <c r="AN95" i="1"/>
  <c r="AN178" i="1"/>
  <c r="AN268" i="1"/>
  <c r="AN271" i="1"/>
  <c r="AN222" i="1"/>
  <c r="AN209" i="1"/>
  <c r="AN241" i="1"/>
  <c r="AN65" i="1"/>
  <c r="AN286" i="1"/>
  <c r="AN244" i="1"/>
  <c r="AN52" i="1"/>
  <c r="AN96" i="1"/>
  <c r="AN198" i="1"/>
  <c r="AN108" i="1"/>
  <c r="AN267" i="1"/>
  <c r="AN21" i="1"/>
  <c r="AN243" i="1"/>
  <c r="AN72" i="1"/>
  <c r="AM37" i="1"/>
  <c r="AN211" i="1"/>
  <c r="AL37" i="1"/>
  <c r="AB37" i="1"/>
  <c r="AN216" i="1"/>
  <c r="AN186" i="1"/>
  <c r="AN274" i="1"/>
  <c r="AN104" i="1"/>
  <c r="AN89" i="1"/>
  <c r="AN208" i="1"/>
  <c r="AN232" i="1"/>
  <c r="AN194" i="1"/>
  <c r="AN284" i="1"/>
  <c r="AN101" i="1"/>
  <c r="AN227" i="1"/>
  <c r="BE778" i="1" l="1"/>
  <c r="BC778" i="1"/>
  <c r="BD766" i="1"/>
  <c r="BC766" i="1"/>
  <c r="BE766" i="1"/>
  <c r="BD762" i="1"/>
  <c r="BE762" i="1"/>
  <c r="BC762" i="1"/>
  <c r="BC315" i="1"/>
  <c r="BD171" i="1"/>
  <c r="BD514" i="1"/>
  <c r="BD86" i="1"/>
  <c r="BC17" i="1"/>
  <c r="BE199" i="1"/>
  <c r="BD65" i="1"/>
  <c r="BE293" i="1"/>
  <c r="BC180" i="1"/>
  <c r="BD180" i="1"/>
  <c r="BD283" i="1"/>
  <c r="BC460" i="1"/>
  <c r="BD29" i="1"/>
  <c r="BE258" i="1"/>
  <c r="BE67" i="1"/>
  <c r="BD67" i="1"/>
  <c r="BC267" i="1"/>
  <c r="BD267" i="1"/>
  <c r="BC546" i="1"/>
  <c r="BC229" i="1"/>
  <c r="BE73" i="1"/>
  <c r="BD293" i="1"/>
  <c r="BE552" i="1"/>
  <c r="BE171" i="1"/>
  <c r="BD420" i="1"/>
  <c r="BE413" i="1"/>
  <c r="BC217" i="1"/>
  <c r="BD413" i="1"/>
  <c r="BE217" i="1"/>
  <c r="BD130" i="1"/>
  <c r="BC458" i="1"/>
  <c r="BE285" i="1"/>
  <c r="BC285" i="1"/>
  <c r="BE42" i="1"/>
  <c r="BE514" i="1"/>
  <c r="BC222" i="1"/>
  <c r="BE28" i="1"/>
  <c r="BD222" i="1"/>
  <c r="BC28" i="1"/>
  <c r="BC227" i="1"/>
  <c r="BE227" i="1"/>
  <c r="BC488" i="1"/>
  <c r="BC405" i="1"/>
  <c r="BE488" i="1"/>
  <c r="BE116" i="1"/>
  <c r="BD451" i="1"/>
  <c r="BD216" i="1"/>
  <c r="BE458" i="1"/>
  <c r="BC510" i="1"/>
  <c r="BC207" i="1"/>
  <c r="BD541" i="1"/>
  <c r="BC275" i="1"/>
  <c r="BD510" i="1"/>
  <c r="BC107" i="1"/>
  <c r="BC573" i="1"/>
  <c r="BD416" i="1"/>
  <c r="BC417" i="1"/>
  <c r="BD417" i="1"/>
  <c r="BC251" i="1"/>
  <c r="BE107" i="1"/>
  <c r="BC81" i="1"/>
  <c r="BE573" i="1"/>
  <c r="BE251" i="1"/>
  <c r="BE269" i="1"/>
  <c r="BD81" i="1"/>
  <c r="BD85" i="1"/>
  <c r="BC416" i="1"/>
  <c r="BE541" i="1"/>
  <c r="BC209" i="1"/>
  <c r="BE85" i="1"/>
  <c r="BC269" i="1"/>
  <c r="BC183" i="1"/>
  <c r="BC246" i="1"/>
  <c r="BE209" i="1"/>
  <c r="BE131" i="1"/>
  <c r="BE207" i="1"/>
  <c r="BE216" i="1"/>
  <c r="BE183" i="1"/>
  <c r="BD246" i="1"/>
  <c r="BE86" i="1"/>
  <c r="BE415" i="1"/>
  <c r="BD229" i="1"/>
  <c r="BE275" i="1"/>
  <c r="BC21" i="1"/>
  <c r="BC52" i="1"/>
  <c r="BC421" i="1"/>
  <c r="BE72" i="1"/>
  <c r="BD21" i="1"/>
  <c r="BE52" i="1"/>
  <c r="BD421" i="1"/>
  <c r="BC157" i="1"/>
  <c r="BD157" i="1"/>
  <c r="BD485" i="1"/>
  <c r="BC552" i="1"/>
  <c r="BE485" i="1"/>
  <c r="BC173" i="1"/>
  <c r="BD173" i="1"/>
  <c r="BC200" i="1"/>
  <c r="BC517" i="1"/>
  <c r="BC177" i="1"/>
  <c r="BC226" i="1"/>
  <c r="BC406" i="1"/>
  <c r="BE517" i="1"/>
  <c r="BD42" i="1"/>
  <c r="BD200" i="1"/>
  <c r="BC230" i="1"/>
  <c r="BC297" i="1"/>
  <c r="BC763" i="1"/>
  <c r="BD406" i="1"/>
  <c r="BD315" i="1"/>
  <c r="BE422" i="1"/>
  <c r="BC410" i="1"/>
  <c r="BD230" i="1"/>
  <c r="BE297" i="1"/>
  <c r="BC88" i="1"/>
  <c r="BC422" i="1"/>
  <c r="BD410" i="1"/>
  <c r="BC276" i="1"/>
  <c r="BD409" i="1"/>
  <c r="BD32" i="1"/>
  <c r="BC277" i="1"/>
  <c r="BD287" i="1"/>
  <c r="BD185" i="1"/>
  <c r="BC519" i="1"/>
  <c r="BE409" i="1"/>
  <c r="BC103" i="1"/>
  <c r="BE277" i="1"/>
  <c r="BC112" i="1"/>
  <c r="BC274" i="1"/>
  <c r="BC15" i="1"/>
  <c r="BE460" i="1"/>
  <c r="BE29" i="1"/>
  <c r="BE252" i="1"/>
  <c r="BE761" i="1"/>
  <c r="BD112" i="1"/>
  <c r="BE274" i="1"/>
  <c r="BC176" i="1"/>
  <c r="BD15" i="1"/>
  <c r="BC283" i="1"/>
  <c r="BE233" i="1"/>
  <c r="BC104" i="1"/>
  <c r="BC544" i="1"/>
  <c r="BC185" i="1"/>
  <c r="BD233" i="1"/>
  <c r="BE108" i="1"/>
  <c r="BD519" i="1"/>
  <c r="BD252" i="1"/>
  <c r="BC312" i="1"/>
  <c r="BC137" i="1"/>
  <c r="BD108" i="1"/>
  <c r="BE287" i="1"/>
  <c r="BD186" i="1"/>
  <c r="BE176" i="1"/>
  <c r="BC166" i="1"/>
  <c r="BE79" i="1"/>
  <c r="BE104" i="1"/>
  <c r="BC555" i="1"/>
  <c r="BC244" i="1"/>
  <c r="BE312" i="1"/>
  <c r="BE347" i="1"/>
  <c r="BD166" i="1"/>
  <c r="BD79" i="1"/>
  <c r="BE763" i="1"/>
  <c r="BC178" i="1"/>
  <c r="BD69" i="1"/>
  <c r="BD244" i="1"/>
  <c r="BC411" i="1"/>
  <c r="BC254" i="1"/>
  <c r="BC69" i="1"/>
  <c r="BE286" i="1"/>
  <c r="BE544" i="1"/>
  <c r="BC32" i="1"/>
  <c r="BC261" i="1"/>
  <c r="BD289" i="1"/>
  <c r="BE411" i="1"/>
  <c r="BC117" i="1"/>
  <c r="BE241" i="1"/>
  <c r="BD254" i="1"/>
  <c r="BD286" i="1"/>
  <c r="BD555" i="1"/>
  <c r="BC347" i="1"/>
  <c r="BE208" i="1"/>
  <c r="BD117" i="1"/>
  <c r="BD241" i="1"/>
  <c r="BC459" i="1"/>
  <c r="BC184" i="1"/>
  <c r="BE261" i="1"/>
  <c r="BE193" i="1"/>
  <c r="BD546" i="1"/>
  <c r="BE271" i="1"/>
  <c r="BE184" i="1"/>
  <c r="BC271" i="1"/>
  <c r="BC208" i="1"/>
  <c r="BC16" i="1"/>
  <c r="BC314" i="1"/>
  <c r="BD323" i="1"/>
  <c r="BE211" i="1"/>
  <c r="BD459" i="1"/>
  <c r="BC151" i="1"/>
  <c r="BE220" i="1"/>
  <c r="BC150" i="1"/>
  <c r="BD16" i="1"/>
  <c r="BD314" i="1"/>
  <c r="BC193" i="1"/>
  <c r="BC323" i="1"/>
  <c r="BD223" i="1"/>
  <c r="BD101" i="1"/>
  <c r="BD151" i="1"/>
  <c r="BD528" i="1"/>
  <c r="BC289" i="1"/>
  <c r="BC91" i="1"/>
  <c r="BE134" i="1"/>
  <c r="BC223" i="1"/>
  <c r="BC101" i="1"/>
  <c r="BC528" i="1"/>
  <c r="BD134" i="1"/>
  <c r="BE49" i="1"/>
  <c r="BC96" i="1"/>
  <c r="BC220" i="1"/>
  <c r="BD150" i="1"/>
  <c r="BD59" i="1"/>
  <c r="BD96" i="1"/>
  <c r="BD91" i="1"/>
  <c r="BE31" i="1"/>
  <c r="BC407" i="1"/>
  <c r="BD418" i="1"/>
  <c r="BD757" i="1"/>
  <c r="BD570" i="1"/>
  <c r="BC258" i="1"/>
  <c r="BC116" i="1"/>
  <c r="BD73" i="1"/>
  <c r="BC31" i="1"/>
  <c r="BD407" i="1"/>
  <c r="BC418" i="1"/>
  <c r="BC415" i="1"/>
  <c r="BC130" i="1"/>
  <c r="BE88" i="1"/>
  <c r="BC419" i="1"/>
  <c r="BC570" i="1"/>
  <c r="BD161" i="1"/>
  <c r="BE419" i="1"/>
  <c r="BC215" i="1"/>
  <c r="BC268" i="1"/>
  <c r="BC212" i="1"/>
  <c r="BE19" i="1"/>
  <c r="BC59" i="1"/>
  <c r="BD198" i="1"/>
  <c r="BC412" i="1"/>
  <c r="BE215" i="1"/>
  <c r="BC420" i="1"/>
  <c r="BD268" i="1"/>
  <c r="BE212" i="1"/>
  <c r="BE487" i="1"/>
  <c r="BE284" i="1"/>
  <c r="BC290" i="1"/>
  <c r="BD239" i="1"/>
  <c r="BD194" i="1"/>
  <c r="BC66" i="1"/>
  <c r="BE318" i="1"/>
  <c r="BE56" i="1"/>
  <c r="BE245" i="1"/>
  <c r="BE204" i="1"/>
  <c r="BE405" i="1"/>
  <c r="BE194" i="1"/>
  <c r="BC102" i="1"/>
  <c r="BD66" i="1"/>
  <c r="BC57" i="1"/>
  <c r="BD235" i="1"/>
  <c r="BC19" i="1"/>
  <c r="BD290" i="1"/>
  <c r="BC198" i="1"/>
  <c r="BE239" i="1"/>
  <c r="BD487" i="1"/>
  <c r="BE65" i="1"/>
  <c r="BD276" i="1"/>
  <c r="BC235" i="1"/>
  <c r="BC318" i="1"/>
  <c r="BD56" i="1"/>
  <c r="BC60" i="1"/>
  <c r="BD245" i="1"/>
  <c r="BC204" i="1"/>
  <c r="BC111" i="1"/>
  <c r="BE102" i="1"/>
  <c r="BD64" i="1"/>
  <c r="BD57" i="1"/>
  <c r="BD557" i="1"/>
  <c r="BC758" i="1"/>
  <c r="BD60" i="1"/>
  <c r="BD408" i="1"/>
  <c r="BE111" i="1"/>
  <c r="BC243" i="1"/>
  <c r="BC64" i="1"/>
  <c r="BE532" i="1"/>
  <c r="BD758" i="1"/>
  <c r="BC408" i="1"/>
  <c r="BD295" i="1"/>
  <c r="BD461" i="1"/>
  <c r="BE243" i="1"/>
  <c r="BC156" i="1"/>
  <c r="BC527" i="1"/>
  <c r="BC295" i="1"/>
  <c r="BE461" i="1"/>
  <c r="BE531" i="1"/>
  <c r="BE156" i="1"/>
  <c r="BE527" i="1"/>
  <c r="BC396" i="1"/>
  <c r="BC89" i="1"/>
  <c r="BD529" i="1"/>
  <c r="BD532" i="1"/>
  <c r="BD89" i="1"/>
  <c r="BE174" i="1"/>
  <c r="BC257" i="1"/>
  <c r="BD531" i="1"/>
  <c r="BD452" i="1"/>
  <c r="BC321" i="1"/>
  <c r="BE126" i="1"/>
  <c r="BD396" i="1"/>
  <c r="BE162" i="1"/>
  <c r="BD262" i="1"/>
  <c r="BD174" i="1"/>
  <c r="BD257" i="1"/>
  <c r="BD232" i="1"/>
  <c r="BC529" i="1"/>
  <c r="BD534" i="1"/>
  <c r="BD556" i="1"/>
  <c r="BB20" i="1"/>
  <c r="BE20" i="1" s="1"/>
  <c r="AH20" i="1"/>
  <c r="AI20" i="1" s="1"/>
  <c r="BC284" i="1"/>
  <c r="BC525" i="1"/>
  <c r="BB37" i="1"/>
  <c r="BC37" i="1" s="1"/>
  <c r="AH37" i="1"/>
  <c r="AI37" i="1" s="1"/>
  <c r="BE525" i="1"/>
  <c r="BC232" i="1"/>
  <c r="BD761" i="1"/>
  <c r="BE177" i="1"/>
  <c r="BE321" i="1"/>
  <c r="BD98" i="1"/>
  <c r="BC126" i="1"/>
  <c r="BD197" i="1"/>
  <c r="BD162" i="1"/>
  <c r="BC262" i="1"/>
  <c r="BC138" i="1"/>
  <c r="BD291" i="1"/>
  <c r="BD518" i="1"/>
  <c r="BC534" i="1"/>
  <c r="BC556" i="1"/>
  <c r="BC486" i="1"/>
  <c r="BD138" i="1"/>
  <c r="BC516" i="1"/>
  <c r="BC291" i="1"/>
  <c r="BD178" i="1"/>
  <c r="BD412" i="1"/>
  <c r="BE414" i="1"/>
  <c r="BE98" i="1"/>
  <c r="BE155" i="1"/>
  <c r="BC139" i="1"/>
  <c r="BC197" i="1"/>
  <c r="BC313" i="1"/>
  <c r="BC414" i="1"/>
  <c r="BE186" i="1"/>
  <c r="BC50" i="1"/>
  <c r="BE68" i="1"/>
  <c r="BE92" i="1"/>
  <c r="BE139" i="1"/>
  <c r="BC358" i="1"/>
  <c r="BC131" i="1"/>
  <c r="BE238" i="1"/>
  <c r="BE486" i="1"/>
  <c r="BD137" i="1"/>
  <c r="BD95" i="1"/>
  <c r="BD516" i="1"/>
  <c r="BC557" i="1"/>
  <c r="BE538" i="1"/>
  <c r="BD226" i="1"/>
  <c r="BC189" i="1"/>
  <c r="BD189" i="1"/>
  <c r="BD313" i="1"/>
  <c r="BD72" i="1"/>
  <c r="BE50" i="1"/>
  <c r="BE103" i="1"/>
  <c r="BC68" i="1"/>
  <c r="BC92" i="1"/>
  <c r="BC49" i="1"/>
  <c r="BD358" i="1"/>
  <c r="BD211" i="1"/>
  <c r="BD238" i="1"/>
  <c r="BC161" i="1"/>
  <c r="BC95" i="1"/>
  <c r="BC199" i="1"/>
  <c r="BD538" i="1"/>
  <c r="BE774" i="1"/>
  <c r="BD774" i="1"/>
  <c r="BE518" i="1"/>
  <c r="BD17" i="1"/>
  <c r="BC750" i="1"/>
  <c r="BD750" i="1"/>
  <c r="BC155" i="1"/>
  <c r="BE757" i="1"/>
  <c r="BE750" i="1"/>
  <c r="BC755" i="1"/>
  <c r="BE779" i="1"/>
  <c r="BD145" i="1"/>
  <c r="BE755" i="1"/>
  <c r="BD779" i="1"/>
  <c r="BC452" i="1"/>
  <c r="BE769" i="1"/>
  <c r="BD769" i="1"/>
  <c r="BD760" i="1"/>
  <c r="BC142" i="1"/>
  <c r="BC450" i="1"/>
  <c r="BC760" i="1"/>
  <c r="BD142" i="1"/>
  <c r="BD450" i="1"/>
  <c r="BC451" i="1"/>
  <c r="BC145" i="1"/>
  <c r="BD764" i="1"/>
  <c r="BC764" i="1"/>
  <c r="BD453" i="1"/>
  <c r="BE453" i="1"/>
  <c r="AN20" i="1"/>
  <c r="AN37" i="1"/>
  <c r="BD37" i="1" l="1"/>
  <c r="BE37" i="1"/>
  <c r="BD20" i="1"/>
  <c r="BC20" i="1"/>
  <c r="AA749" i="1" l="1"/>
  <c r="AC749" i="1" l="1"/>
  <c r="AA23" i="1" l="1"/>
  <c r="AC23" i="1" l="1"/>
  <c r="AA24" i="1"/>
  <c r="AA33" i="1"/>
  <c r="AA26" i="1"/>
  <c r="AC33" i="1" l="1"/>
  <c r="AC24" i="1"/>
  <c r="AC25" i="1"/>
  <c r="AC34" i="1"/>
  <c r="AC26" i="1"/>
  <c r="AA34" i="1"/>
  <c r="AA25" i="1"/>
  <c r="AC46" i="1"/>
  <c r="AC43" i="1"/>
  <c r="AA43" i="1"/>
  <c r="AA46" i="1"/>
  <c r="AA78" i="1"/>
  <c r="AA61" i="1"/>
  <c r="AA84" i="1" l="1"/>
  <c r="AA82" i="1"/>
  <c r="AC78" i="1"/>
  <c r="AA70" i="1" l="1"/>
  <c r="AA748" i="1"/>
  <c r="AC748" i="1" l="1"/>
  <c r="AA92" i="1" l="1"/>
  <c r="AA15" i="1"/>
  <c r="AA57" i="1"/>
  <c r="AA27" i="1"/>
  <c r="AA18" i="1"/>
  <c r="AA68" i="1"/>
  <c r="AA89" i="1"/>
  <c r="AA100" i="1" l="1"/>
  <c r="AA53" i="1"/>
  <c r="AA49" i="1"/>
  <c r="AC22" i="1"/>
  <c r="AC100" i="1"/>
  <c r="AA17" i="1"/>
  <c r="AA31" i="1"/>
  <c r="AA60" i="1"/>
  <c r="AA59" i="1"/>
  <c r="AA56" i="1"/>
  <c r="AA85" i="1"/>
  <c r="AA86" i="1"/>
  <c r="AA97" i="1"/>
  <c r="AA14" i="1"/>
  <c r="AA22" i="1"/>
  <c r="AA51" i="1"/>
  <c r="AA95" i="1"/>
  <c r="AA88" i="1"/>
  <c r="AA52" i="1"/>
  <c r="AA103" i="1"/>
  <c r="AA96" i="1"/>
  <c r="AA101" i="1"/>
  <c r="AA21" i="1"/>
  <c r="AA72" i="1"/>
  <c r="AA102" i="1"/>
  <c r="AA104" i="1"/>
  <c r="AC90" i="1" l="1"/>
  <c r="AC93" i="1"/>
  <c r="AA113" i="1"/>
  <c r="AA111" i="1"/>
  <c r="AA19" i="1"/>
  <c r="AA74" i="1"/>
  <c r="AA64" i="1"/>
  <c r="AA83" i="1"/>
  <c r="AA81" i="1"/>
  <c r="AC55" i="1"/>
  <c r="AC62" i="1"/>
  <c r="AA110" i="1"/>
  <c r="AA108" i="1"/>
  <c r="AA114" i="1"/>
  <c r="AA112" i="1"/>
  <c r="AC18" i="1"/>
  <c r="AA54" i="1"/>
  <c r="AA50" i="1"/>
  <c r="AA65" i="1"/>
  <c r="AA75" i="1"/>
  <c r="AA99" i="1"/>
  <c r="AA98" i="1"/>
  <c r="AA79" i="1"/>
  <c r="AA109" i="1"/>
  <c r="AA107" i="1"/>
  <c r="AA69" i="1"/>
  <c r="AA28" i="1"/>
  <c r="AA45" i="1"/>
  <c r="AA42" i="1"/>
  <c r="AC27" i="1"/>
  <c r="AC51" i="1"/>
  <c r="AA55" i="1"/>
  <c r="AA62" i="1"/>
  <c r="AA93" i="1"/>
  <c r="AA90" i="1"/>
  <c r="AA32" i="1"/>
  <c r="AC97" i="1"/>
  <c r="AA16" i="1"/>
  <c r="AA38" i="1"/>
  <c r="AA47" i="1"/>
  <c r="AA29" i="1"/>
  <c r="AC47" i="1"/>
  <c r="AC38" i="1"/>
  <c r="AA76" i="1"/>
  <c r="AA66" i="1"/>
  <c r="AA77" i="1"/>
  <c r="AA67" i="1"/>
  <c r="AA63" i="1"/>
  <c r="AA58" i="1"/>
  <c r="AC63" i="1"/>
  <c r="AC58" i="1"/>
  <c r="AC84" i="1"/>
  <c r="AC82" i="1"/>
  <c r="AC61" i="1"/>
  <c r="AC70" i="1"/>
  <c r="AC14" i="1"/>
  <c r="AA20" i="1"/>
  <c r="AA73" i="1"/>
  <c r="AA37" i="1"/>
  <c r="AC64" i="1" l="1"/>
  <c r="AC74" i="1"/>
  <c r="AC73" i="1"/>
  <c r="AC19" i="1"/>
  <c r="AC81" i="1"/>
  <c r="AC83" i="1"/>
  <c r="AC113" i="1"/>
  <c r="AC111" i="1"/>
  <c r="AC112" i="1"/>
  <c r="AC114" i="1"/>
  <c r="AC89" i="1"/>
  <c r="AC21" i="1"/>
  <c r="AC96" i="1"/>
  <c r="AC104" i="1"/>
  <c r="AC72" i="1"/>
  <c r="AC102" i="1"/>
  <c r="AC103" i="1"/>
  <c r="AC110" i="1"/>
  <c r="AC108" i="1"/>
  <c r="AC52" i="1"/>
  <c r="AC54" i="1"/>
  <c r="AC50" i="1"/>
  <c r="AC101" i="1"/>
  <c r="AC79" i="1"/>
  <c r="AC99" i="1"/>
  <c r="AC98" i="1"/>
  <c r="AC88" i="1"/>
  <c r="AC109" i="1"/>
  <c r="AC107" i="1"/>
  <c r="AC95" i="1"/>
  <c r="AC65" i="1"/>
  <c r="AC75" i="1"/>
  <c r="AC42" i="1"/>
  <c r="AC45" i="1"/>
  <c r="AC68" i="1"/>
  <c r="AC28" i="1"/>
  <c r="AC53" i="1"/>
  <c r="AC49" i="1"/>
  <c r="AC69" i="1"/>
  <c r="AC32" i="1"/>
  <c r="AC91" i="1"/>
  <c r="AC94" i="1"/>
  <c r="AC15" i="1"/>
  <c r="AC16" i="1"/>
  <c r="AC92" i="1"/>
  <c r="AC29" i="1"/>
  <c r="AC85" i="1"/>
  <c r="AC77" i="1"/>
  <c r="AC67" i="1"/>
  <c r="AC66" i="1"/>
  <c r="AC76" i="1"/>
  <c r="AC86" i="1"/>
  <c r="AC59" i="1"/>
  <c r="AC56" i="1"/>
  <c r="AC57" i="1"/>
  <c r="AC60" i="1"/>
  <c r="AC31" i="1"/>
  <c r="AC30" i="1" s="1"/>
  <c r="AC17" i="1"/>
  <c r="AA94" i="1"/>
  <c r="AA91" i="1"/>
  <c r="AC37" i="1" l="1"/>
  <c r="A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 Dong</author>
    <author>Carina</author>
    <author>tc={D0EB0DDD-D0DA-4901-893C-05A252FAA1F2}</author>
    <author>tc={A9CF091E-5CC8-439A-BAA4-5EE67BDC8BE7}</author>
    <author>tc={FD1DFBA3-6BBE-4A9D-B63E-503085CC219B}</author>
    <author>tc={A37CF90F-877C-43BD-A8FB-050158D21377}</author>
    <author>tc={97E7ADD0-FD25-492C-B76E-44FE35931BDC}</author>
    <author>tc={CC8F7897-CAEB-48BA-AB07-FEA5D52D5132}</author>
    <author>tc={85732935-D25A-46A1-85CA-8A7F460B5770}</author>
    <author>tc={7B6D0AFF-AB39-4545-8EB6-707CD1E9E998}</author>
    <author>PC</author>
    <author>Carina CHENG</author>
    <author>tc={26753CB1-31C0-4406-A183-73E86ACF7B85}</author>
  </authors>
  <commentList>
    <comment ref="R29" authorId="0" shapeId="0" xr:uid="{0A51DAD7-F314-49F4-B969-BB8D0668E4E6}">
      <text>
        <r>
          <rPr>
            <b/>
            <sz val="9"/>
            <color indexed="81"/>
            <rFont val="Tahoma"/>
            <family val="2"/>
          </rPr>
          <t>13.725km/2plts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2" authorId="0" shapeId="0" xr:uid="{BB4673B6-630B-40C9-9941-7E20060E78FD}">
      <text>
        <r>
          <rPr>
            <b/>
            <sz val="9"/>
            <color indexed="81"/>
            <rFont val="Tahoma"/>
            <family val="2"/>
          </rPr>
          <t>13.725km/2plts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7" authorId="0" shapeId="0" xr:uid="{7940AFA4-185D-427C-A915-76D6C80DB057}">
      <text>
        <r>
          <rPr>
            <b/>
            <sz val="9"/>
            <color indexed="81"/>
            <rFont val="Tahoma"/>
            <family val="2"/>
          </rPr>
          <t>13.725km/2plts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96" authorId="1" shapeId="0" xr:uid="{BA1FC30F-EDE7-42D1-8AF7-B2C9BD32894C}">
      <text>
        <r>
          <rPr>
            <b/>
            <sz val="9"/>
            <color indexed="81"/>
            <rFont val="Tahoma"/>
            <family val="2"/>
          </rPr>
          <t>Carina:</t>
        </r>
        <r>
          <rPr>
            <sz val="9"/>
            <color indexed="81"/>
            <rFont val="Tahoma"/>
            <family val="2"/>
          </rPr>
          <t xml:space="preserve">
S/FTP CAT7 4*2*0.53 PE 30% Steel Tape</t>
        </r>
      </text>
    </comment>
    <comment ref="AY107" authorId="2" shapeId="0" xr:uid="{D0EB0DDD-D0DA-4901-893C-05A252FAA1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08" authorId="3" shapeId="0" xr:uid="{A9CF091E-5CC8-439A-BAA4-5EE67BDC8B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09" authorId="4" shapeId="0" xr:uid="{FD1DFBA3-6BBE-4A9D-B63E-503085CC21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10" authorId="5" shapeId="0" xr:uid="{A37CF90F-877C-43BD-A8FB-050158D213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11" authorId="6" shapeId="0" xr:uid="{97E7ADD0-FD25-492C-B76E-44FE35931B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12" authorId="7" shapeId="0" xr:uid="{CC8F7897-CAEB-48BA-AB07-FEA5D52D51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13" authorId="8" shapeId="0" xr:uid="{85732935-D25A-46A1-85CA-8A7F460B57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Y114" authorId="9" shapeId="0" xr:uid="{7B6D0AFF-AB39-4545-8EB6-707CD1E9E9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ref="AT119" authorId="1" shapeId="0" xr:uid="{A92A1B86-AB32-482E-A664-5D845689246F}">
      <text>
        <r>
          <rPr>
            <b/>
            <sz val="9"/>
            <color indexed="81"/>
            <rFont val="Tahoma"/>
            <family val="2"/>
          </rPr>
          <t>Carina:</t>
        </r>
        <r>
          <rPr>
            <sz val="9"/>
            <color indexed="81"/>
            <rFont val="Tahoma"/>
            <family val="2"/>
          </rPr>
          <t xml:space="preserve">
AB laser printing</t>
        </r>
      </text>
    </comment>
    <comment ref="AT120" authorId="1" shapeId="0" xr:uid="{0CE600E6-1B8F-4077-A569-91EF9B11A1D7}">
      <text>
        <r>
          <rPr>
            <b/>
            <sz val="9"/>
            <color indexed="81"/>
            <rFont val="Tahoma"/>
            <family val="2"/>
          </rPr>
          <t>Carina:</t>
        </r>
        <r>
          <rPr>
            <sz val="9"/>
            <color indexed="81"/>
            <rFont val="Tahoma"/>
            <family val="2"/>
          </rPr>
          <t xml:space="preserve">
AB laser printing</t>
        </r>
      </text>
    </comment>
    <comment ref="AT131" authorId="10" shapeId="0" xr:uid="{9FAE449A-4C23-488F-ABF8-0953ADCBC817}">
      <text>
        <r>
          <rPr>
            <b/>
            <sz val="10"/>
            <color indexed="81"/>
            <rFont val="Tahoma"/>
            <family val="2"/>
          </rPr>
          <t>PK MOQ: 25000pcs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T158" authorId="11" shapeId="0" xr:uid="{D4A0EEA3-FA56-4CDE-A171-C836A31CF689}">
      <text>
        <r>
          <rPr>
            <b/>
            <sz val="9"/>
            <color indexed="81"/>
            <rFont val="Tahoma"/>
            <family val="2"/>
          </rPr>
          <t>Carina CHENG:</t>
        </r>
        <r>
          <rPr>
            <sz val="9"/>
            <color indexed="81"/>
            <rFont val="Tahoma"/>
            <family val="2"/>
          </rPr>
          <t xml:space="preserve">
Dust shutter</t>
        </r>
      </text>
    </comment>
    <comment ref="AU287" authorId="11" shapeId="0" xr:uid="{18436FB6-4FB5-4BA0-9221-FF738DB4B356}">
      <text>
        <r>
          <rPr>
            <b/>
            <sz val="9"/>
            <color indexed="81"/>
            <rFont val="Tahoma"/>
            <family val="2"/>
          </rPr>
          <t>Carina CHENG:</t>
        </r>
        <r>
          <rPr>
            <sz val="9"/>
            <color indexed="81"/>
            <rFont val="Tahoma"/>
            <family val="2"/>
          </rPr>
          <t xml:space="preserve">
Extra cost RMB2/pc if need change to T shape.</t>
        </r>
      </text>
    </comment>
    <comment ref="AV288" authorId="12" shapeId="0" xr:uid="{26753CB1-31C0-4406-A183-73E86ACF7B8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Extra cost RMB 8.8/PC will be added to improve black coating.</t>
      </text>
    </comment>
    <comment ref="AT290" authorId="10" shapeId="0" xr:uid="{AB2F46D2-BF72-43D3-8F2F-0462B94E7749}">
      <text>
        <r>
          <rPr>
            <sz val="10"/>
            <color indexed="81"/>
            <rFont val="Tahoma"/>
            <family val="2"/>
          </rPr>
          <t>Silk printing for 1-24 number</t>
        </r>
      </text>
    </comment>
    <comment ref="AT294" authorId="10" shapeId="0" xr:uid="{8ABBB9CF-B281-44FB-8ED6-DEEE3340AB65}">
      <text>
        <r>
          <rPr>
            <sz val="10"/>
            <color indexed="81"/>
            <rFont val="Tahoma"/>
            <family val="2"/>
          </rPr>
          <t>Silk printing for 1-24 number</t>
        </r>
      </text>
    </comment>
    <comment ref="AV502" authorId="1" shapeId="0" xr:uid="{CCEC1C84-7015-42AD-8BB3-F95F4B2C8A51}">
      <text>
        <r>
          <rPr>
            <b/>
            <sz val="9"/>
            <color indexed="81"/>
            <rFont val="Tahoma"/>
            <family val="2"/>
          </rPr>
          <t xml:space="preserve">Carina: 
</t>
        </r>
        <r>
          <rPr>
            <sz val="9"/>
            <color indexed="81"/>
            <rFont val="Tahoma"/>
            <family val="2"/>
          </rPr>
          <t>One piece HQ version</t>
        </r>
      </text>
    </comment>
    <comment ref="AT509" authorId="1" shapeId="0" xr:uid="{0B458F58-E289-4373-9AED-90A76CEF7CF1}">
      <text>
        <r>
          <rPr>
            <b/>
            <sz val="9"/>
            <color indexed="81"/>
            <rFont val="Tahoma"/>
            <family val="2"/>
          </rPr>
          <t xml:space="preserve">Carina:
</t>
        </r>
        <r>
          <rPr>
            <sz val="9"/>
            <color indexed="81"/>
            <rFont val="Tahoma"/>
            <family val="2"/>
          </rPr>
          <t>With LED lighting
+ 1 set of screw,washer,nuts</t>
        </r>
      </text>
    </comment>
    <comment ref="AT510" authorId="10" shapeId="0" xr:uid="{142AC209-5056-40C3-8D43-5CC90438E127}">
      <text>
        <r>
          <rPr>
            <sz val="10"/>
            <color indexed="81"/>
            <rFont val="Tahoma"/>
            <family val="2"/>
          </rPr>
          <t>cost for 1 set of screw, nut and washer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 Dong</author>
  </authors>
  <commentList>
    <comment ref="O17" authorId="0" shapeId="0" xr:uid="{B5367D84-ED6C-439C-BEEE-61406D9AEB7B}">
      <text>
        <r>
          <rPr>
            <b/>
            <sz val="9"/>
            <color indexed="81"/>
            <rFont val="Tahoma"/>
            <family val="2"/>
          </rPr>
          <t>13.725km/2plts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 Dong</author>
  </authors>
  <commentList>
    <comment ref="O14" authorId="0" shapeId="0" xr:uid="{6EEFBF8D-B129-47CE-B990-002EACF489A5}">
      <text>
        <r>
          <rPr>
            <b/>
            <sz val="9"/>
            <color indexed="81"/>
            <rFont val="Tahoma"/>
            <family val="2"/>
          </rPr>
          <t>13.725km/2plts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<sst xmlns="http://schemas.openxmlformats.org/spreadsheetml/2006/main" count="38679" uniqueCount="4056">
  <si>
    <t xml:space="preserve">Moyenne de </t>
  </si>
  <si>
    <t>Real Transp. Cost</t>
    <phoneticPr fontId="2" type="noConversion"/>
  </si>
  <si>
    <t>3mm copper base</t>
  </si>
  <si>
    <t>YEB Code</t>
  </si>
  <si>
    <t>LME copper USD</t>
  </si>
  <si>
    <t>A</t>
  </si>
  <si>
    <t>LME copper EUR</t>
  </si>
  <si>
    <t>B</t>
  </si>
  <si>
    <t>USD/CNY</t>
  </si>
  <si>
    <t>C</t>
  </si>
  <si>
    <t>EUR/USD</t>
  </si>
  <si>
    <t>SYMEA</t>
  </si>
  <si>
    <t>SYSKERN</t>
  </si>
  <si>
    <t>PURCHASE PRICES</t>
    <phoneticPr fontId="14" type="noConversion"/>
  </si>
  <si>
    <t>univers</t>
  </si>
  <si>
    <t>Range</t>
  </si>
  <si>
    <t>Sub-Range</t>
  </si>
  <si>
    <t>Type</t>
  </si>
  <si>
    <t>AWG</t>
  </si>
  <si>
    <t>Unikkern Items code</t>
  </si>
  <si>
    <t>Description En</t>
  </si>
  <si>
    <t>Description fr</t>
  </si>
  <si>
    <t>Tag</t>
  </si>
  <si>
    <t>Origin</t>
  </si>
  <si>
    <t>Cu (kg/km)</t>
  </si>
  <si>
    <t>Individual Packing</t>
  </si>
  <si>
    <t xml:space="preserve">MOQ </t>
  </si>
  <si>
    <t>QTY/Pallet</t>
  </si>
  <si>
    <t>Global Trade Item Number (GTIN)</t>
    <phoneticPr fontId="14" type="noConversion"/>
  </si>
  <si>
    <t>HS Code</t>
  </si>
  <si>
    <t>Import Tax EU</t>
  </si>
  <si>
    <t xml:space="preserve">Lead time </t>
  </si>
  <si>
    <t xml:space="preserve">FCL Delivery time </t>
  </si>
  <si>
    <t>LCL delivery time</t>
  </si>
  <si>
    <t>Supplier Payment term</t>
  </si>
  <si>
    <t>Distributor SC FOB Price (Usd/km)</t>
  </si>
  <si>
    <t>Distributor SC DDP Price (€/km)</t>
  </si>
  <si>
    <t>MB% FOB Symea</t>
  </si>
  <si>
    <t>MB% CIF of Symea</t>
  </si>
  <si>
    <t>Door to door Margin DDP</t>
  </si>
  <si>
    <t>Price code</t>
  </si>
  <si>
    <t>Net price</t>
  </si>
  <si>
    <t>Door to Door Net Margin</t>
  </si>
  <si>
    <t>SYSKERN PO FOB (Usd/km)</t>
  </si>
  <si>
    <t>SYSKERN PO CIF Price (€/km)</t>
  </si>
  <si>
    <t>MB% FOB</t>
  </si>
  <si>
    <t>MB% DDP</t>
  </si>
  <si>
    <t>Supplier</t>
  </si>
  <si>
    <t>dif +/- ¥1000 or 2000</t>
  </si>
  <si>
    <t>Prices base @ ¥70000</t>
  </si>
  <si>
    <t>Prix de BASE € LME 1500 ex-works</t>
  </si>
  <si>
    <t>UKN packing extra on PO</t>
  </si>
  <si>
    <t>FOB CNY/unit</t>
  </si>
  <si>
    <t>TLL FOB CNY/unit</t>
  </si>
  <si>
    <t>Supplier HS code</t>
  </si>
  <si>
    <t>COPPER</t>
  </si>
  <si>
    <t>DATA CABLES</t>
  </si>
  <si>
    <t>SOLID CABLE CAT5E</t>
  </si>
  <si>
    <t>U/UTP</t>
  </si>
  <si>
    <t>Eca</t>
  </si>
  <si>
    <t>China</t>
  </si>
  <si>
    <t>500m drum</t>
  </si>
  <si>
    <t>30 km</t>
  </si>
  <si>
    <t>854449 1100</t>
  </si>
  <si>
    <t>T/T 60 days</t>
  </si>
  <si>
    <t>ZD</t>
    <phoneticPr fontId="16" type="noConversion"/>
  </si>
  <si>
    <t>KCU5E4PZHDGR5</t>
  </si>
  <si>
    <t>CAT5E CABLE U/UTP 4 PAIRS AWG24 TEST UP TO 200MHz LSZH CPR DCA GREY RAL7035 500M</t>
  </si>
  <si>
    <t>CÂBLE CAT5E U/UTP 4 PAIRES AWG24 TEST A 200MHz LSZH CPR DCA GRIS RAL7035 500M</t>
  </si>
  <si>
    <t>Dca</t>
  </si>
  <si>
    <t>F/UTP</t>
  </si>
  <si>
    <t>CAT5E CABLE F/UTP 4 PAIRS AWG24 TEST UP TO 200MHz PVC CPR ECA GREY RAL7035 500M</t>
  </si>
  <si>
    <t>CÂBLE CAT5E F/UTP 4 PAIRES AWG24 TEST A 200MHz PVC CPR ECA GRIS RAL7035 500M</t>
  </si>
  <si>
    <t>CAT5E CABLE F/UTP 4 PAIRS AWG24 TEST UP TO 200MHz LSZH CPR DCA GREY RAL7035 500M</t>
  </si>
  <si>
    <t>CÂBLE CAT5E F/UTP 4 PAIRES AWG24 TEST A 200MHz LSZH CPR DCA GRIS RAL7035 500M</t>
  </si>
  <si>
    <t>SF/UTP</t>
  </si>
  <si>
    <t>KCSFU5E4PZHDGR5</t>
  </si>
  <si>
    <t>CAT5E CABLE SF/UTP 4 PAIRS AWG24 TEST UP TO 200MHz LSZH CPR DCA GREY RAL7035 500M</t>
  </si>
  <si>
    <t>SOLID CABLE CAT6</t>
  </si>
  <si>
    <t>CAT6 CABLE U/UTP 4 PAIRS AWG24 TEST UP TO 400MHz LSZH CPR DCA GREY RAL7035 500M</t>
  </si>
  <si>
    <t>4897108882319</t>
  </si>
  <si>
    <t>HT</t>
  </si>
  <si>
    <t>CAT6 CABLE U/UTP 4 PAIRS AWG24 TEST UP TO 400MHz LSZH CPR DCA GREY RAL7035 B305M</t>
  </si>
  <si>
    <t>CÂBLE CAT6 U/UTP 4 PAIRES AWG24 TEST A 400MHz LSZH CPR DCA GRIS RAL7035 B305M</t>
  </si>
  <si>
    <t>305m Reelex box</t>
  </si>
  <si>
    <t>4897108882326</t>
  </si>
  <si>
    <t>KCFU64PZHDGR5</t>
  </si>
  <si>
    <t>CAT6 CABLE F/UTP 4 PAIRS AWG23 TEST UP TO 400MHz LSZH CPR DCA GREY RAL7035 500M</t>
  </si>
  <si>
    <t>CÂBLE CAT6 F/UTP 4 PAIRES AWG23 TEST A 400MHz LSZH CPR DCA GRIS RAL7035 500M</t>
  </si>
  <si>
    <t>4897108881749</t>
  </si>
  <si>
    <t>KCFU68PZHDGR5</t>
  </si>
  <si>
    <t>CAT6 CABLE F/UTP 2x4 PAIRS AWG23 TEST UP TO 400MHz LSZH CPR DCA GREY RAL7035 500M</t>
  </si>
  <si>
    <t>CÂBLE CAT6 F/UTP 2x4 PAIRES AWG23 TEST A 400MHz LSZH CPR DCA GRIS RAL7035 500M</t>
  </si>
  <si>
    <t>4897108881756</t>
  </si>
  <si>
    <t>KCFU64PZHDGRB</t>
  </si>
  <si>
    <t>CAT6 CABLE F/UTP 4 PAIRS AWG23 TEST UP TO 400MHz LSZH CPR DCA GREY RAL7035 B305M</t>
  </si>
  <si>
    <t>CÂBLE CAT6 F/UTP 4 PAIRES AWG23 TEST A 400MHz LSZH CPR DCA GRIS RAL7035 B305M</t>
  </si>
  <si>
    <t>305m Reel in box</t>
  </si>
  <si>
    <t>4897108882333</t>
  </si>
  <si>
    <t>CAT6 CABLE U/UTP 4 PAIRS AWG23 TEST UP TO 400MHz LSZH CPR DCA GREY RAL7035 500M</t>
  </si>
  <si>
    <t>CÂBLE CAT6 U/UTP 4 PAIRES AWG23 TEST A 400MHz LSZH CPR DCA GRIS RAL7035 500M</t>
  </si>
  <si>
    <t>HT</t>
    <phoneticPr fontId="16" type="noConversion"/>
  </si>
  <si>
    <t>KCU64PZHDGRB</t>
  </si>
  <si>
    <t>CAT6 CABLE U/UTP 4 PAIRS AWG23 TEST UP TO 400MHz LSZH CPR DCA GREY RAL7035 B305M</t>
  </si>
  <si>
    <t>CÂBLE CAT6 U/UTP 4 PAIRES AWG23 TEST A 400MHz LSZH CPR DCA GRIS RAL7035 B305M</t>
  </si>
  <si>
    <t>KCU64PEOUT5</t>
  </si>
  <si>
    <t>CAT6 CABLE U/UTP 4 PAIRS AWG23 TEST UP TO 400MHz PE OUTDOOR CPR FCA BLACK RAL9005 500M</t>
  </si>
  <si>
    <t>CÂBLE CAT6 U/UTP 4 PAIRES AWG23 TEST A 400MHz PE EXTERIEUR CPR FCA NOIR RAL9005 500M</t>
  </si>
  <si>
    <t>Fca</t>
  </si>
  <si>
    <t>SOLID CABLE CAT6A</t>
  </si>
  <si>
    <t>CAT6A CABLE U/UTP 4 PAIRS AWG23 TESTED UP TO 650MHz LSZH CPR DCA BLUE RAL5024 500M</t>
  </si>
  <si>
    <t>CÂBLE CAT6A U/UTP 4 PAIRES AWG23 TEST A 650MHz LSZH CPR DCA BLEU RAL5024 500M</t>
  </si>
  <si>
    <t>NON ANEXT</t>
    <phoneticPr fontId="2" type="noConversion"/>
  </si>
  <si>
    <t>ANEXT</t>
    <phoneticPr fontId="2" type="noConversion"/>
  </si>
  <si>
    <t>U/FTP</t>
  </si>
  <si>
    <t>KCUF6A4PZHDBL5</t>
  </si>
  <si>
    <t>CAT6A CABLE U/FTP 4 PAIRS AWG23 TESTED UP TO 650MHz LSZH CPR DCA BLUE RAL5024 500M</t>
  </si>
  <si>
    <t>CÂBLE CAT6A U/FTP 4 PAIRES AWG23 TEST A 650MHz LSZH CPR DCA BLEU RAL5024 500M</t>
  </si>
  <si>
    <t>4897108882340</t>
  </si>
  <si>
    <t>KCUF6A8PZHDBL5</t>
  </si>
  <si>
    <t>CAT6A CABLE U/FTP 2x4 PAIRS AWG23 TESTED UP TO 650MHz LSZH CPR DCA BLUE RAL5024 500M</t>
  </si>
  <si>
    <t>CÂBLE CAT6A U/FTP 2x4 PAIRES AWG23 TEST A 650MHz LSZH CPR DCA BLEU RAL5024 500M</t>
  </si>
  <si>
    <t>4897108882357</t>
  </si>
  <si>
    <t>CAT6A CABLE U/FTP 4 PAIRS AWG23 TESTED UP TO 650MHz LSZH CPR CCA BLUE RAL5024 500M</t>
  </si>
  <si>
    <t>CÂBLE CAT6A U/FTP 4 PAIRES AWG23 TEST A 650MHz LSZH CPR CCA BLEU RAL5024 500M</t>
  </si>
  <si>
    <t>Cca</t>
  </si>
  <si>
    <t>4897108882364</t>
  </si>
  <si>
    <t>KCUF6A4PZHB2BL5</t>
  </si>
  <si>
    <t>CAT6A CABLE U/FTP 4 PAIRS AWG23 TESTED UP TO 650MHz LSZH CPR B2CA BLUE RAL5024 500M</t>
  </si>
  <si>
    <t>CÂBLE CAT6A U/FTP 4 PAIRES AWG23 TEST A 650MHz LSZH CPR B2CA BLEU RAL5024 500M</t>
  </si>
  <si>
    <t>B2ca</t>
  </si>
  <si>
    <t>4897108882371</t>
  </si>
  <si>
    <t>F/FTP</t>
  </si>
  <si>
    <t>KCFF6A4PZHDBL5</t>
  </si>
  <si>
    <t>CAT6A CABLE F/FTP 4 PAIRS AWG23 TESTED UP TO 650MHz LSZH CPR DCA BLUE RAL5024 500M</t>
  </si>
  <si>
    <t>CÂBLE CAT6A F/FTP 4 PAIRES AWG23 TEST A 650MHz LSZH CPR DCA BLEU RAL5024 500M</t>
  </si>
  <si>
    <t>4897108881763</t>
  </si>
  <si>
    <t>KCFF6A8PZHDBL5</t>
  </si>
  <si>
    <t>CAT6A CABLE F/FTP 2x4 PAIRS AWG23 TESTED UP TO 650MHz LSZH CPR DCA BLUE RAL5024 500M</t>
  </si>
  <si>
    <t>CÂBLE CAT6A F/FTP 2x4 PAIRES AWG23 TEST A 650MHz LSZH CPR DCA BLEU RAL5024 500M</t>
  </si>
  <si>
    <t>4897108881770</t>
  </si>
  <si>
    <t>KCFF6A4PZHCBL5</t>
  </si>
  <si>
    <t>CAT6A CABLE F/FTP 4 PAIRS AWG23 TESTED UP TO 650MHz LSZH CPR CCA BLUE RAL5024 500M</t>
  </si>
  <si>
    <t>CÂBLE CAT6A F/FTP 4 PAIRES AWG23 TEST A 650MHz LSZH CPR CCA BLEU RAL5024 500M</t>
  </si>
  <si>
    <t>4897108882388</t>
  </si>
  <si>
    <t>KCFF6A4PZHB2BL5</t>
  </si>
  <si>
    <t>CAT6A CABLE F/FTP 4 PAIRS AWG23 TESTED UP TO 650MHz LSZH CPR B2CA BLUE RAL5024 500M</t>
  </si>
  <si>
    <t>CÂBLE CAT6A F/FTP 4 PAIRES AWG23 TEST A 650MHz LSZH CPR B2CA BLEU RAL5024 500M</t>
  </si>
  <si>
    <t>4897108882395</t>
  </si>
  <si>
    <t>KCFF6A4PZHCOUT5</t>
  </si>
  <si>
    <t>CÂBLE CAT6A F/FTP 4 PAIRES AWG23 TEST A 650MHz LSZH CPR CCA INTÉRIEUR/EXTÉRIEUR NOIR RAL9005 500M</t>
  </si>
  <si>
    <t>S/FTP</t>
  </si>
  <si>
    <t>CAT6A CABLE S/FTP 4 PAIRS AWG23 TESTED UP TO 650MHz LSZH CPR DCA BLUE RAL5024 500M</t>
  </si>
  <si>
    <t>CÂBLE CAT6A S/FTP 4 PAIRES AWG23 TEST A 650MHz LSZH CPR DCA BLEU RAL5024 500M</t>
  </si>
  <si>
    <t>4897108882715</t>
  </si>
  <si>
    <t>KCSF6A4PZHCBL5</t>
  </si>
  <si>
    <t>CAT6A CABLE S/FTP 4 PAIRS AWG23 TESTED UP TO 650MHz LSZH CPR CCA BLUE RAL5024 500M</t>
  </si>
  <si>
    <t>CÂBLE CAT6A S/FTP 4 PAIRES AWG23 TEST A 650MHz LSZH CPR CCA BLEU RAL5024 500M</t>
  </si>
  <si>
    <t>Turkey</t>
  </si>
  <si>
    <t>854449 2000</t>
  </si>
  <si>
    <t>KK</t>
  </si>
  <si>
    <t>SOLID CABLE CAT7</t>
  </si>
  <si>
    <t>KCSF74PZHDOR5</t>
  </si>
  <si>
    <t>CAT7 CABLE S/FTP 4 PAIRS AWG23 TEST UP TO 900MHz LSZH CPR DCA ORANGE RAL2003 500M</t>
  </si>
  <si>
    <t>CÂBLE CAT7 S/FTP 4 PAIRES AWG23 TEST A 900MHz LSZH CPR DCA ORANGE RAL2003 500M</t>
  </si>
  <si>
    <t>4897108881787</t>
  </si>
  <si>
    <t>CAT7 CABLE S/FTP 2x4 PAIRS AWG23 TEST UP TO 900MHz LSZH CPR DCA ORANGE RAL2003 500M</t>
  </si>
  <si>
    <t>CÂBLE CAT7 S/FTP 2x4 PAIRES AWG23 TEST A 900MHz LSZH CPR DCA ORANGE RAL2003 500M</t>
  </si>
  <si>
    <t>4897108881794</t>
  </si>
  <si>
    <t>KCSF74PZHCOR5</t>
  </si>
  <si>
    <t>CAT7 CABLE S/FTP 4 PAIRS AWG23 TEST UP TO 900MHz LSZH CPR CCA ORANGE RAL2003 500M</t>
  </si>
  <si>
    <t>CÂBLE CAT7 S/FTP 4 PAIRES AWG23 TEST A 900MHz LSZH CPR CCA ORANGE RAL2003 500M</t>
  </si>
  <si>
    <t>4897108882401</t>
  </si>
  <si>
    <t>KCSF74PZHB2OR5</t>
  </si>
  <si>
    <t>CAT7 CABLE S/FTP 4 PAIRS AWG23 TEST UP TO 900MHz LSZH CPR B2CA ORANGE RAL2003 500M</t>
  </si>
  <si>
    <t>CÂBLE CAT7 S/FTP 4 PAIRES AWG23 TEST A 900MHz LSZH CPR B2CA ORANGE RAL2003 500M</t>
  </si>
  <si>
    <t>4897108882418</t>
  </si>
  <si>
    <t>KCSF74PEOUT5</t>
  </si>
  <si>
    <t>CAT7 CABLE S/FTP 4 PAIRS AWG23 TEST UP TO 900MHz PE OUTDOOR CPR FCA BLACK RAL9005 500M</t>
    <phoneticPr fontId="16" type="noConversion"/>
  </si>
  <si>
    <t>CÂBLE CAT7 S/FTP 4 PAIRES AWG23 TEST A 900MHz PE EXTERIEUR CPR FCA NOIR RAL9005 500M</t>
  </si>
  <si>
    <t>KCSF74PEAOUT5</t>
  </si>
  <si>
    <t>CAT7 CABLE S/FTP 4 PAIRS AWG23 TEST UP TO 900MHz PE ARMORED OUTDOOR CPR FCA BLACK RAL9005 500M</t>
    <phoneticPr fontId="16" type="noConversion"/>
  </si>
  <si>
    <t>CÂBLE CAT7 S/FTP 4 PAIRES AWG23 TEST A 900MHz PE ARME EXTERIEUR CPR FCA NOIR RAL9005 500M</t>
  </si>
  <si>
    <t>SOLID CABLE CAT7A</t>
  </si>
  <si>
    <t>S/FTP</t>
    <phoneticPr fontId="16" type="noConversion"/>
  </si>
  <si>
    <t>KCSF7A4PZHCYE5</t>
  </si>
  <si>
    <t>CAT7A CABLE S/FTP 4 PAIRS AWG23 TEST UP TO 1200MHz LSZH CPR CCA YELLOW RAL1021 500M</t>
  </si>
  <si>
    <t>CÂBLE CAT7A S/FTP 4 PAIRES AWG23 TEST A 1200MHz LSZH CPR CCA JAUNE RAL1021 500M</t>
  </si>
  <si>
    <t>KCSF7A4PBZHCYE5</t>
  </si>
  <si>
    <t>CAT7A CABLE S/FTP 4 PAIRS AWG22 TEST UP TO 1500MHz LSZH CPR CCA YELLOW RAL1021 500M</t>
  </si>
  <si>
    <t>CÂBLE CAT7A S/FTP 4 PAIRES AWG22 TEST A 1500MHz LSZH CPR CCA JAUNE RAL1021 500M</t>
  </si>
  <si>
    <t>SOLID CABLE CAT8</t>
  </si>
  <si>
    <t>SOLID CABLE GRADE3 TV</t>
  </si>
  <si>
    <t>23/22</t>
  </si>
  <si>
    <t>50 km</t>
  </si>
  <si>
    <t>4897108882425</t>
  </si>
  <si>
    <t>3P 0.51/1P0.58</t>
    <phoneticPr fontId="2" type="noConversion"/>
  </si>
  <si>
    <t>4000m drum</t>
  </si>
  <si>
    <t>4897108882432</t>
  </si>
  <si>
    <t>4897108882449</t>
  </si>
  <si>
    <t>4897108882456</t>
  </si>
  <si>
    <t>FACE PLATES</t>
  </si>
  <si>
    <t>FACE PLATE</t>
  </si>
  <si>
    <t>KFP45451PANGEF8</t>
  </si>
  <si>
    <t>45X45 FACE PLATE 1 PORT ANGLED 45° 8PCS PER ECO FRIENDLY CARTON</t>
  </si>
  <si>
    <t>PLASTRON 45X45 1 PORT INCLINÉ 45° 8PCS PAR CARTON ÉCOLOGIQUE</t>
  </si>
  <si>
    <t>8 pcs eco friendly box</t>
  </si>
  <si>
    <t>5000 pcs</t>
  </si>
  <si>
    <t>4897108882296</t>
  </si>
  <si>
    <t>853669 9000</t>
  </si>
  <si>
    <t>T/T 30 days</t>
  </si>
  <si>
    <t>LY</t>
  </si>
  <si>
    <t>KFP45452PANGEF8</t>
  </si>
  <si>
    <t>45X45 FACE PLATE 2 PORTS ANGLED 45° 8PCS PER ECO FRIENDLY CARTON</t>
  </si>
  <si>
    <t>PLASTRON 45X45 2 PORTS ANGLE 45° 8PCS PAR CARTON ÉCOLOGIQUE</t>
  </si>
  <si>
    <t xml:space="preserve">8 pcs eco friendly box </t>
  </si>
  <si>
    <t>4897108882302</t>
  </si>
  <si>
    <t>KFP45451PEF8</t>
  </si>
  <si>
    <t>45X45 FACE PLATE 1 PORT FLAT 8PCS PER ECO FRIENDLY CARTON</t>
  </si>
  <si>
    <t>PLASTRON 45X45 1 PORT PLAT 8PCS PAR CARTON ÉCOLOGIQUE</t>
  </si>
  <si>
    <t>4897108881824</t>
  </si>
  <si>
    <t>KFP45452PEF8</t>
  </si>
  <si>
    <t>45X45 FACE PLATE 2 PORTS FLAT 8PCS PER ECO FRIENDLY CARTON</t>
  </si>
  <si>
    <t>PLASTRON 45X45 2 PORTS PLAT 8PCS PAR CARTON ÉCOLOGIQUE</t>
  </si>
  <si>
    <t>4897108881831</t>
  </si>
  <si>
    <t>KFP45451PABEF8</t>
  </si>
  <si>
    <t>45X45 FACE PLATE 1 PORT FLAT ANTIBACTERIAL SGS VERIFIED 8PCS PER ECO FRIENDLY CARTON</t>
  </si>
  <si>
    <t>PLASTRON 45X45 1 PORT PLAT ANTIBACTÉRIEN SGS VÉRIFIÉ 8PCS PAR CARTON ÉCOLOGIQUE</t>
  </si>
  <si>
    <t>4897108882739</t>
  </si>
  <si>
    <t>KFP45452PABEF8</t>
  </si>
  <si>
    <t>45X45 FACE PLATE 2 PORTS FLAT ANTIBACTERIAL SGS VERIFIED 8PCS PER ECO FRIENDLY CARTON</t>
  </si>
  <si>
    <t>PLASTRON 45X45 2 PORTS PLAT ANTIBACTÉRIEN SGS VÉRIFIÉ 8PCS PAR CARTON ÉCOLOGIQUE</t>
  </si>
  <si>
    <t>4897108882746</t>
  </si>
  <si>
    <t>KWP86861PEF8</t>
  </si>
  <si>
    <t>86X86 WALL PLATE 1 PORT 8PCS PER ECO FRIENDLY CARTON</t>
  </si>
  <si>
    <t>PLAQUE MURALE 86X86 1 PORT 8PCS PAR CARTON ÉCOLOGIQUE</t>
  </si>
  <si>
    <t>KWP86862PEF8</t>
  </si>
  <si>
    <t>86X86 WALL PLATE 2 PORTS 8PCS PER ECO FRIENDLY CARTON</t>
  </si>
  <si>
    <t>KSB868645EF</t>
  </si>
  <si>
    <t>86X86 SURFACE MOUNTING BOX DEPTH 45MM ECO FRIENDLY CARTON</t>
  </si>
  <si>
    <t>BOÎTIER DE MONTAGE EN SAILLIE 86X86 PROFONDEUR 45MM CARTON ÉCOLOGIQUE</t>
  </si>
  <si>
    <t>1 pc eco friendly box</t>
  </si>
  <si>
    <t>1000 pcs</t>
  </si>
  <si>
    <t>LY-FP109 45MM</t>
    <phoneticPr fontId="2" type="noConversion"/>
  </si>
  <si>
    <t>KSB868636EF</t>
  </si>
  <si>
    <t>86X86 SURFACE MOUNTING BOX DEPTH 36MM ECO FRIENDLY CARTON</t>
  </si>
  <si>
    <t>BOÎTIER DE MONTAGE EN SAILLIE 86X86 PROFONDEUR 36MM CARTON ÉCOLOGIQUE</t>
  </si>
  <si>
    <t>LY-FP108 37MM</t>
    <phoneticPr fontId="2" type="noConversion"/>
  </si>
  <si>
    <t>5000 pcs</t>
    <phoneticPr fontId="2" type="noConversion"/>
  </si>
  <si>
    <t>LY</t>
    <phoneticPr fontId="16" type="noConversion"/>
  </si>
  <si>
    <t>LY-FP48</t>
  </si>
  <si>
    <t>KEYSTONE JACK &amp; ACCESSORIES</t>
  </si>
  <si>
    <t>FIELD PLUG CAT6A</t>
  </si>
  <si>
    <t>Shielded</t>
  </si>
  <si>
    <t>KPL6AFSEF8</t>
  </si>
  <si>
    <t>CONNECTEUR DE TERRAIN CAT6A RJ45 BLINDÉE SANS OUTIL 8PCS PAR CARTON ÉCOLOGIQUE</t>
  </si>
  <si>
    <t>10 000pcs</t>
  </si>
  <si>
    <t>853669 9099</t>
  </si>
  <si>
    <t>T/T 30days</t>
  </si>
  <si>
    <t>CTK</t>
  </si>
  <si>
    <t>863690 1100</t>
  </si>
  <si>
    <t>KPLFF6AFSEF8</t>
  </si>
  <si>
    <t>TRAVERSEE DE TERRAIN CAT6A FEMELLE/FEMELLE BLINDÉE SANS OUTIL 8PCS PAR CARTON ÉCOLOGIQUE</t>
  </si>
  <si>
    <t>T/T 35 days</t>
    <phoneticPr fontId="2" type="noConversion"/>
  </si>
  <si>
    <t>EXW</t>
  </si>
  <si>
    <t>KEYSTONE CAT5E</t>
  </si>
  <si>
    <t>Unshielded</t>
  </si>
  <si>
    <t>KJ5EU180DEF24</t>
  </si>
  <si>
    <t>CAT5E RJ45 KESYTONE JACK UNSHIELDED 180° DUAL IDC 24PCS PER ECO FRIENDLY CARTON</t>
  </si>
  <si>
    <t>EMBASE KESYTONE CAT5E RJ45 NON BLINDÉ 180° DOUBLE IDC 24PCS PAR CARTON ÉCOLOGIQUE</t>
  </si>
  <si>
    <t xml:space="preserve">24 pcs eco friendly box </t>
  </si>
  <si>
    <t>T/T 35 days</t>
  </si>
  <si>
    <t>LY-KJ5-42</t>
  </si>
  <si>
    <t>KJ5EFSEF24</t>
  </si>
  <si>
    <t>CAT5E RJ45 KEYSTONE JACK SHIELDED TOOLESS 24PCS PER ECO FRIENDLY CARTON</t>
  </si>
  <si>
    <t>EMBASE KEYSTONE CAT5E RJ45 BLINDÉ SANS OUTIL 24PCS PAR CARTON ÉCOLOGIQUE</t>
  </si>
  <si>
    <t>24 pcs eco friendly box</t>
  </si>
  <si>
    <t>LY-KJ5-64</t>
  </si>
  <si>
    <t>Unshielded</t>
    <phoneticPr fontId="2" type="noConversion"/>
  </si>
  <si>
    <t>CAT5E RJ45 KEYSTONE JACK UNSHIELDED TOOLESS 24PCS PER ECO FRIENDLY CARTON</t>
    <phoneticPr fontId="2" type="noConversion"/>
  </si>
  <si>
    <t>EMBASE KEYSTONE CAT5E RJ45 NON BLINDÉ SANS OUTIL 24PCS PAR CARTON ÉCOLOGIQUE</t>
    <phoneticPr fontId="2" type="noConversion"/>
  </si>
  <si>
    <t>C</t>
    <phoneticPr fontId="2" type="noConversion"/>
  </si>
  <si>
    <t>LY</t>
    <phoneticPr fontId="2" type="noConversion"/>
  </si>
  <si>
    <t>KEYSTONE CAT6</t>
  </si>
  <si>
    <t>KJ6U90DEF24</t>
  </si>
  <si>
    <t xml:space="preserve">CAT6 RJ45 KEYSTONE JACK UNSHIELDED 90° DUAL IDC 24PCS PER ECO FRIENDLY CARTON </t>
  </si>
  <si>
    <t>EMBASE KEYSTONE CAT6 RJ45 NON BLINDÉ 90° DOUBLE IDC 24PCS PAR CARTON ÉCOLOGIQUE</t>
  </si>
  <si>
    <t>4897108881916</t>
  </si>
  <si>
    <t>KJ6U180DEF24</t>
  </si>
  <si>
    <t>CAT6 RJ45 KESYTONE JACK UNSHIELDED 180° DUAL IDC 24PCS PER ECO FRIENDLY CARTON</t>
  </si>
  <si>
    <t>EMBASE KESYTONE CAT6 RJ45 NON BLINDÉ 180° DOUBLE IDC 24PCS PAR CARTON ÉCOLOGIQUE</t>
  </si>
  <si>
    <t>4897108881923</t>
  </si>
  <si>
    <t>CAT6 RJ45 KEYSTONE JACK UNSHIELDED TOOLESS 24PCS PER ECO FRIENDLY CARTON</t>
  </si>
  <si>
    <t>EMBASE KEYSTONE CAT6 RJ45 NON BLINDÉ SANS OUTIL 24PCS PAR CARTON ÉCOLOGIQUE</t>
  </si>
  <si>
    <t>4897108881930</t>
  </si>
  <si>
    <t>KJ6UHQEF24</t>
  </si>
  <si>
    <t>CAT6 RJ45 KEYSTONE JACK UNSHIELDED TOOLESS INTERTEK CERTIFIED 24PCS PER ECO FRIENDLY CARTON</t>
  </si>
  <si>
    <t>EMBASE KEYSTONE CAT6 RJ45 NON BLINDÉ SANS OUTIL CERTIFIÉ INTERTEK 24PCS PAR CARTON ÉCOLOGIQUE</t>
  </si>
  <si>
    <t>Certified</t>
  </si>
  <si>
    <t>4897108881947</t>
  </si>
  <si>
    <t>KJ6FSEF1</t>
  </si>
  <si>
    <t>CAT6 RJ45 KEYSTONE JACK SHIELDED TOOLESS 1PCS PER ECO FRIENDLY BAG</t>
  </si>
  <si>
    <t>EMBASE KEYSTONE CAT6 RJ45 BLINDÉ SANS OUTIL 1 PIÈCES PAR SAC ÉCOLOGIQUE</t>
  </si>
  <si>
    <t>1 pcs eco friendly bag/24pcs per big bag</t>
  </si>
  <si>
    <t>4897108881954</t>
  </si>
  <si>
    <t>KJ6FSEF8</t>
  </si>
  <si>
    <t>CAT6 RJ45 KEYSTONE JACK SHIELDED TOOLESS 8PCS PER ECO FRIENDLY CARTON</t>
  </si>
  <si>
    <t>EMBASE KEYSTONE CAT6 RJ45 BLINDÉ SANS OUTIL 8PCS PAR CARTON ÉCOLOGIQUE</t>
  </si>
  <si>
    <t>4897108881961</t>
  </si>
  <si>
    <t>KJ6FSEF24</t>
  </si>
  <si>
    <t>CAT6 RJ45 KEYSTONE JACK SHIELDED TOOLESS 24PCS PER ECO FRIENDLY CARTON</t>
  </si>
  <si>
    <t>EMBASE KEYSTONE CAT6 RJ45 BLINDÉ SANS OUTIL 24PCS PAR CARTON ÉCOLOGIQUE</t>
  </si>
  <si>
    <t>4897108881978</t>
  </si>
  <si>
    <t>KJ6FSHQEF8</t>
  </si>
  <si>
    <t>CAT6 RJ45 KEYSTONE JACK SHIELDED TOOLESS INTERTEK CERTIFIED 8PCS PER ECO FRIENDLY CARTON</t>
  </si>
  <si>
    <t>EMBASE KEYSTONE CAT6 RJ45 BLINDÉ SANS OUTIL CERTIFIÉ INTERTEK 8PCS PAR CARTON ÉCOLOGIQUE</t>
  </si>
  <si>
    <t>4897108881985</t>
  </si>
  <si>
    <t>KJ6FSHQEF24</t>
  </si>
  <si>
    <t>CAT6 RJ45 KEYSTONE JACK SHIELDED TOOLESS INTERTEK CERTIFIED 24PCS PER ECO FRIENDLY CARTON</t>
  </si>
  <si>
    <t>EMBASE KEYSTONE CAT6 RJ45 BLINDÉ SANS OUTIL CERTIFIÉ INTERTEK 24 PIÈCES PAR CARTON ÉCOLOGIQUE</t>
  </si>
  <si>
    <t>4897108881992</t>
  </si>
  <si>
    <t>KEYSTONE CAT6A</t>
  </si>
  <si>
    <t>KJ6AUEF24</t>
  </si>
  <si>
    <t>CAT6A RJ45 KEYSTONE JACK UNSHIELDED TOOLESS 24PCS PER ECO FRIENDLY CARTON</t>
  </si>
  <si>
    <t>EMBASE KEYSTONE CAT6A RJ45 NON BLINDÉ SANS OUTIL 24PCS PAR CARTON ÉCOLOGIQUE</t>
  </si>
  <si>
    <t>4897108882005</t>
  </si>
  <si>
    <t>CAT6A RJ45 KEYSTONE JACK UNSHIELDED TOOLESS INTERTEK CERTIFIED 24PCS PER ECO FRIENDLY CARTON</t>
  </si>
  <si>
    <t>EMBASE KEYSTONE CAT6A RJ45 NON BLINDÉ SANS OUTIL CERTIFIÉ INTERTEK 24 PIÈCES PAR CARTON ÉCOLOGIQUE</t>
  </si>
  <si>
    <t>certified</t>
  </si>
  <si>
    <t>4897108882012</t>
  </si>
  <si>
    <t>KJ6AFSEF1</t>
  </si>
  <si>
    <t>EMBASE KEYSTONE CAT6A RJ45 BLINDÉ SANS OUTIL 1PC PAR SAC ÉCOLOGIQUE</t>
  </si>
  <si>
    <t>4897108880285</t>
  </si>
  <si>
    <t>KJ6AFSEF8</t>
  </si>
  <si>
    <t>CAT6A RJ45 KEYSTONE JACK SHIELDED TOOLESS 8PCS PER ECO FRIENDLY CARTON</t>
  </si>
  <si>
    <t>EMBASE KEYSTONE CAT6A RJ45 BLINDÉ SANS OUTIL 8PCS PAR CARTON ÉCOLOGIQUE</t>
  </si>
  <si>
    <t>4897108882029</t>
  </si>
  <si>
    <t>KJ6AFSEF24</t>
  </si>
  <si>
    <t>CAT6A RJ45 KEYSTONE JACK SHIELDED TOOLESS 24PCS PER ECO FRIENDLY CARTON</t>
  </si>
  <si>
    <t>EMBASE KEYSTONE CAT6A RJ45 BLINDÉ SANS OUTIL 24PCS PAR CARTON ÉCOLOGIQUE</t>
  </si>
  <si>
    <t>4897108882036</t>
  </si>
  <si>
    <t>KJ6AFSHQEF1</t>
  </si>
  <si>
    <t>CAT6A RJ45 KEYSTONE JACK SHIELDED TOOLESS DELTA &amp; INTERTEK CERTIFIED 1PCS PER ECO FRIENDLY BAG</t>
  </si>
  <si>
    <t>EMBASE KEYSTONE CAT6A RJ45 BLINDÉ SANS OUTIL CERTIFIÉ DELTA/INTERTEK 1 PIÈCE PAR SAC ÉCOLOGIQUE</t>
  </si>
  <si>
    <t>4897108882043</t>
  </si>
  <si>
    <t>KJ6AFSHQEF8</t>
  </si>
  <si>
    <t>CAT6A RJ45 KEYSTONE JACK SHIELDED TOOLESS DELTA &amp; INTERTEK CERTIFIED 8PCS PER ECO FRIENDLY CARTON</t>
  </si>
  <si>
    <t>EMBASE KEYSTONE CAT6A RJ45 BLINDÉ SANS OUTIL CERTIFIÉ DELTA/INTERTEK 8PCS PAR CARTON ÉCOLOGIQUE</t>
  </si>
  <si>
    <t>4897108882050</t>
  </si>
  <si>
    <t>KJ6AFSHQEF24</t>
  </si>
  <si>
    <t>CAT6A RJ45 KEYSTONE JACK SHIELDED TOOLESS DELTA &amp; INTERTEK CERTIFIED 24PCS PER ECO FRIENDLY CARTON</t>
  </si>
  <si>
    <t>EMBASE KEYSTONE CAT6A RJ45 BLINDÉ SANS OUTIL CERTIFIÉ DELTA/INTERTEK 24 PIÈCES PAR CARTON ÉCOLOGIQUE</t>
  </si>
  <si>
    <t>4897108881800</t>
  </si>
  <si>
    <t>KJ6ADSRD</t>
  </si>
  <si>
    <t>CAT6A DUST SHUTTER RED RAL3027 100PCS PER ECO FRIENDLY BAG</t>
  </si>
  <si>
    <t>VOLET ANTI-POUSSIÈRE CAT6A ROUGE RAL3027 100PCS PAR SAC ÉCOLOGIQUE</t>
  </si>
  <si>
    <t>100 pcs polybag</t>
  </si>
  <si>
    <t>20 000pcs</t>
  </si>
  <si>
    <t>4897108882517</t>
  </si>
  <si>
    <t>T/T 35days</t>
  </si>
  <si>
    <t>KJ6ADSBL</t>
  </si>
  <si>
    <t>CAT6A DUST SHUTTER BLUE RAL5024 100PCS PER ECO FRIENDLY BAG</t>
  </si>
  <si>
    <t>VOLET ANTI-POUSSIÈRE CAT6A BLEU RAL5024 100PCS PAR SAC ÉCOLOGIQUE</t>
  </si>
  <si>
    <t>4897108882524</t>
  </si>
  <si>
    <t>KJ6ADSGE</t>
  </si>
  <si>
    <t>CAT6A DUST SHUTTER GREEN RAL6018 100PCS PER ECO FRIENDLY BAG</t>
  </si>
  <si>
    <t>VOLET ANTI-POUSSIÈRE CAT6A VERT RAL6018 100PCS PAR SAC ÉCOLOGIQUE</t>
  </si>
  <si>
    <t>4897108882531</t>
  </si>
  <si>
    <t>KJ6ADSOR</t>
  </si>
  <si>
    <t>CAT6A DUST SHUTTER ORANGE RAL2003 100PCS PER ECO FRIENDLY BAG</t>
  </si>
  <si>
    <t>VOLET ANTI-POUSSIÈRE CAT6A ORANGE RAL2003 100PCS PAR SAC ÉCOLOGIQUE</t>
  </si>
  <si>
    <t>4897108882548</t>
  </si>
  <si>
    <t>KEYSTONE CAT8</t>
  </si>
  <si>
    <t>CAT8 RJ45 KEYSTONE JACK SHIELDED TOOLESS INTERTEK LINK CERTIFIED 24PCS PER ECO FRIENDLY CARTON</t>
  </si>
  <si>
    <t>EMBASE KEYSTONE CAT8 RJ45 BLINDÉ SANS OUTIL LIEN CERTIFIÉ INTERTEK 24PCS PAR CARTON ÉCOLOGIQUE</t>
  </si>
  <si>
    <t>CTK</t>
    <phoneticPr fontId="16" type="noConversion"/>
  </si>
  <si>
    <t>PLUGS &amp; ACCESSORIES</t>
  </si>
  <si>
    <t>KPL45S6BI</t>
  </si>
  <si>
    <t>KPL45BIBOGR</t>
  </si>
  <si>
    <t>MANCHETTE POUR FICHE RJ45 8P8C INSERT GROS FIL GRIS DIAM 8.5</t>
  </si>
  <si>
    <t>KPL45BITOOL</t>
  </si>
  <si>
    <t xml:space="preserve">CRIMPING TOOL FOR  RJ45 PLUG  8P8C BIG WIRE INSERT </t>
  </si>
  <si>
    <t>OUTIL DE SERTISSAGE POUR FICHE RJ45 8P8C INSERT GROS FIL</t>
  </si>
  <si>
    <t>200 pcs</t>
  </si>
  <si>
    <t>LY-TYB7088</t>
  </si>
  <si>
    <t>UnShielded</t>
  </si>
  <si>
    <t>KPL45U5E</t>
  </si>
  <si>
    <t>EXW</t>
    <phoneticPr fontId="16" type="noConversion"/>
  </si>
  <si>
    <t>P88RE50V2</t>
  </si>
  <si>
    <t>KPL45S5E</t>
    <phoneticPr fontId="2" type="noConversion"/>
  </si>
  <si>
    <t>P88RE50V2S</t>
  </si>
  <si>
    <t>P88F5Z50V2T-R</t>
  </si>
  <si>
    <t>KPL45S6</t>
  </si>
  <si>
    <t>P88R5Z50V2ST</t>
  </si>
  <si>
    <t>KPL45S6A</t>
  </si>
  <si>
    <t>PATCH CORDS</t>
  </si>
  <si>
    <t>RJ45 CAT5E F/UTP</t>
  </si>
  <si>
    <t>shielded</t>
  </si>
  <si>
    <t>KPFU5EZH03EF</t>
  </si>
  <si>
    <t>CAT5E PATCH CORD F/UTP GREY LSZH 0.3M</t>
    <phoneticPr fontId="2" type="noConversion"/>
  </si>
  <si>
    <t>CORDON DE BRASSAGE CAT5E F/UTP GRIS LSZH 0,3M</t>
    <phoneticPr fontId="16" type="noConversion"/>
  </si>
  <si>
    <t>label+paper tag+10pcs PE bag+outer carton</t>
    <phoneticPr fontId="2" type="noConversion"/>
  </si>
  <si>
    <t>3km of cable</t>
  </si>
  <si>
    <t>854442 1000</t>
  </si>
  <si>
    <t>WEKINO</t>
    <phoneticPr fontId="2" type="noConversion"/>
  </si>
  <si>
    <t>7x0.145BC RJ45  OD:5.0±0.3mm</t>
  </si>
  <si>
    <t>KPFU5EZH05EF</t>
  </si>
  <si>
    <t>CAT5E PATCH CORD F/UTP GREY LSZH 0.5M</t>
  </si>
  <si>
    <t>CORDON DE BRASSAGE CAT5E F/UTP GRIS LSZH 0,5M</t>
  </si>
  <si>
    <t>KPFU5EZH1EF</t>
  </si>
  <si>
    <t>CAT5E PATCH CORD F/UTP GREY LSZH 1M</t>
  </si>
  <si>
    <t>CORDON DE BRASSAGE CAT5E F/UTP GRIS LSZH 1M</t>
  </si>
  <si>
    <t>KPFU5EZH2EF</t>
  </si>
  <si>
    <t>CAT5E PATCH CORD F/UTP GREY LSZH 2M</t>
  </si>
  <si>
    <t>CORDON DE BRASSAGE CAT5E F/UTP GRIS LSZH 2M</t>
  </si>
  <si>
    <t>KPFU5EZH3EF</t>
  </si>
  <si>
    <t>CAT5E PATCH CORD F/UTP GREY LSZH 3M</t>
  </si>
  <si>
    <t>CORDON DE BRASSAGE CAT5E F/UTP GRIS LSZH 3M</t>
  </si>
  <si>
    <t>KPFU5EZH5EF</t>
  </si>
  <si>
    <t>CAT5E PATCH CORD F/UTP GREY LSZH 5M</t>
  </si>
  <si>
    <t>CORDON DE BRASSAGE CAT5E F/UTP GRIS LSZH 5M</t>
  </si>
  <si>
    <t>KPFU5EZH10EF</t>
  </si>
  <si>
    <t>CAT5E PATCH CORD F/UTP GREY LSZH 10M</t>
  </si>
  <si>
    <t>CORDON DE BRASSAGE CAT5E F/UTP GRIS LSZH 10M</t>
  </si>
  <si>
    <t>RJ45 CAT5E U/UTP</t>
  </si>
  <si>
    <t>KPUU5EZH03EF</t>
  </si>
  <si>
    <t>CAT5E PATCH CORD U/UTP GREY LSZH 0.3M</t>
  </si>
  <si>
    <t>CORDON DE BRASSAGE CAT5E U/UTP GRIS LSZH 0,3M</t>
  </si>
  <si>
    <t>7x0.145BC RJ45  OD:4.4±0.3mm</t>
  </si>
  <si>
    <t>KPUU5EZH05EF</t>
  </si>
  <si>
    <t>CAT5E PATCH CORD U/UTP GREY LSZH 0.5M</t>
  </si>
  <si>
    <t>CORDON DE BRASSAGE CAT5E U/UTP GRIS LSZH 0,5M</t>
  </si>
  <si>
    <t>KPUU5EZH1EF</t>
  </si>
  <si>
    <t>CAT5E PATCH CORD U/UTP GREY LSZH 1M</t>
  </si>
  <si>
    <t>CORDON DE BRASSAGE CAT5E U/UTP GRIS LSZH 1M</t>
  </si>
  <si>
    <t>KPUU5EZH2EF</t>
  </si>
  <si>
    <t>CAT5E PATCH CORD U/UTP GREY LSZH 2M</t>
  </si>
  <si>
    <t>CORDON DE BRASSAGE CAT5E U/UTP GRIS LSZH 2M</t>
  </si>
  <si>
    <t>KPUU5EZH3EF</t>
  </si>
  <si>
    <t>CAT5E PATCH CORD U/UTP GREY LSZH 3M</t>
  </si>
  <si>
    <t>CORDON DE BRASSAGE CAT5E U/UTP GRIS LSZH 3M</t>
  </si>
  <si>
    <t>KPUU5EZH5EF</t>
  </si>
  <si>
    <t>CAT5E PATCH CORD U/UTP GREY LSZH 5M</t>
  </si>
  <si>
    <t>CORDON DE BRASSAGE CAT5E U/UTP GRIS LSZH 5M</t>
  </si>
  <si>
    <t>KPUU5EZH10EF</t>
  </si>
  <si>
    <t>CAT5E PATCH CORD U/UTP GREY LSZH 10M</t>
  </si>
  <si>
    <t>CORDON DE BRASSAGE CAT5E U/UTP GRIS LSZH 10M</t>
  </si>
  <si>
    <t>RJ45 CAT6 F/UTP</t>
  </si>
  <si>
    <t>KPFU603EF</t>
  </si>
  <si>
    <t>CAT6 PATCH CORD F/UTP GREY PVC 0.3M</t>
  </si>
  <si>
    <t>CORDON DE BRASSAGE CAT6 F/UTP GRIS PVC 0,3M</t>
  </si>
  <si>
    <t>4897108882159</t>
  </si>
  <si>
    <t>7x0.145BC RJ45  OD:5.6±0.3mm</t>
  </si>
  <si>
    <t>KPFU605EF</t>
  </si>
  <si>
    <t>CAT6 PATCH CORD F/UTP GREY PVC 0.5M</t>
  </si>
  <si>
    <t>CORDON DE BRASSAGE CAT6 F/UTP GRIS PVC 0.5M</t>
  </si>
  <si>
    <t>4897108882166</t>
  </si>
  <si>
    <t>KPFU61EF</t>
  </si>
  <si>
    <t>CAT6 PATCH CORD F/UTP GREY PVC 1M</t>
  </si>
  <si>
    <t>CORDON DE BRASSAGE CAT6 F/UTP GRIS PVC 1M</t>
  </si>
  <si>
    <t>4897108882173</t>
  </si>
  <si>
    <t>KPFU62EF</t>
  </si>
  <si>
    <t>CAT6 PATCH CORD F/UTP GREY PVC 2M</t>
  </si>
  <si>
    <t>CORDON DE BRASSAGE CAT6 F/UTP GRIS PVC 2M</t>
  </si>
  <si>
    <t>4897108882180</t>
  </si>
  <si>
    <t>KPFU63EF</t>
  </si>
  <si>
    <t>CAT6 PATCH CORD F/UTP GREY PVC 3M</t>
  </si>
  <si>
    <t>CORDON DE BRASSAGE CAT6 F/UTP GRIS PVC 3M</t>
  </si>
  <si>
    <t>4897108882197</t>
  </si>
  <si>
    <t>KPFU65EF</t>
  </si>
  <si>
    <t>CAT6 PATCH CORD F/UTP GREY PVC 5M</t>
  </si>
  <si>
    <t>CORDON DE BRASSAGE CAT6 F/UTP GRIS PVC 5M</t>
  </si>
  <si>
    <t>4897108882203</t>
  </si>
  <si>
    <t>KPFU610EF</t>
  </si>
  <si>
    <t>CAT6 PATCH CORD F/UTP GREY PVC 10M</t>
  </si>
  <si>
    <t>CORDON DE BRASSAGE CAT6 F/UTP GRIS PVC 10M</t>
  </si>
  <si>
    <t>4897108882210</t>
  </si>
  <si>
    <t>KPFU6ZH03EF</t>
  </si>
  <si>
    <t>CAT6 PATCH CORD F/UTP GREY LSZH 0.3M</t>
  </si>
  <si>
    <t>CORDON DE BRASSAGE CAT6 F/UTP GRIS LSZH 0,3M</t>
  </si>
  <si>
    <t>KPFU6ZH05EF</t>
  </si>
  <si>
    <t>CAT6 PATCH CORD F/UTP GREY LSZH 0.5M</t>
  </si>
  <si>
    <t>CORDON DE BRASSAGE CAT6 F/UTP GRIS LSZH 0.5M</t>
  </si>
  <si>
    <t>KPFU6ZH1EF</t>
  </si>
  <si>
    <t>CAT6 PATCH CORD F/UTP GREY LSZH 1M</t>
  </si>
  <si>
    <t>CORDON DE BRASSAGE CAT6 F/UTP GRIS LSZH 1M</t>
  </si>
  <si>
    <t>KPFU6ZH2EF</t>
  </si>
  <si>
    <t>CAT6 PATCH CORD F/UTP GREY LSZH 2M</t>
  </si>
  <si>
    <t>CORDON DE BRASSAGE CAT6 F/UTP GRIS LSZH 2M</t>
  </si>
  <si>
    <t>KPFU6ZH3EF</t>
  </si>
  <si>
    <t>CAT6 PATCH CORD F/UTP GREY LSZH 3M</t>
  </si>
  <si>
    <t>CORDON DE BRASSAGE CAT6 F/UTP GRIS LSZH 3M</t>
  </si>
  <si>
    <t>KPFU6ZH5EF</t>
  </si>
  <si>
    <t>CAT6 PATCH CORD F/UTP GREY LSZH 5M</t>
  </si>
  <si>
    <t>CORDON DE BRASSAGE CAT6 F/UTP GRIS LSZH 5M</t>
  </si>
  <si>
    <t>KPFU6ZH10EF</t>
  </si>
  <si>
    <t>CAT6 PATCH CORD F/UTP GREY LSZH 10M</t>
  </si>
  <si>
    <t>CORDON DE BRASSAGE CAT6 F/UTP GRIS LSZH 10M</t>
  </si>
  <si>
    <t>RJ45 CAT6 U/UTP</t>
  </si>
  <si>
    <t>KPUU6ZH03EF</t>
  </si>
  <si>
    <t>CAT6 PATCH CORD U/UTP GREY LSZH 0.3M</t>
    <phoneticPr fontId="2" type="noConversion"/>
  </si>
  <si>
    <t>4897108882081</t>
  </si>
  <si>
    <t>7x0.145BC RJ45  OD:4.8±0.3mm</t>
  </si>
  <si>
    <t>KPUU6ZH05EF</t>
  </si>
  <si>
    <t>CORDON DE BRASSAGE CAT6 U/UTP GRIS LSZH 0,5M</t>
  </si>
  <si>
    <t>4897108882098</t>
  </si>
  <si>
    <t>KPUU6ZH1EF</t>
  </si>
  <si>
    <t>CORDON DE BRASSAGE CAT6 U/UTP GRIS LSZH 1M</t>
  </si>
  <si>
    <t>4897108882104</t>
  </si>
  <si>
    <t>KPUU6ZH2EF</t>
  </si>
  <si>
    <t>CORDON DE BRASSAGE CAT6 U/UTP GRIS LSZH 2M</t>
  </si>
  <si>
    <t>4897108882111</t>
  </si>
  <si>
    <t>CORDON DE BRASSAGE CAT6 U/UTP GRIS LSZH 3M</t>
  </si>
  <si>
    <t>4897108882128</t>
  </si>
  <si>
    <t>KPUU6ZH5EF</t>
  </si>
  <si>
    <t>CORDON DE BRASSAGE CAT6 U/UTP GRIS LSZH 5M</t>
  </si>
  <si>
    <t>4897108882135</t>
  </si>
  <si>
    <t>KPUU6ZH10EF</t>
  </si>
  <si>
    <t>CORDON DE BRASSAGE CAT6 U/UTP GRIS LSZH 10M</t>
  </si>
  <si>
    <t>4897108882142</t>
  </si>
  <si>
    <t>KPUU6ZHSL03EF</t>
  </si>
  <si>
    <t>CORDON DE BRASSAGE CAT6 U/UTP GRIS LSZH SLIM 0,3M</t>
  </si>
  <si>
    <t>Slim</t>
  </si>
  <si>
    <t>7x0.127BC RJ45  OD:3.8±0.3mm</t>
  </si>
  <si>
    <t>KPUU6ZHSL05EF</t>
  </si>
  <si>
    <t>CORDON DE BRASSAGE CAT6 U/UTP GRIS LSZH SLIM 0,5M</t>
  </si>
  <si>
    <t>KPUU6ZHSL1EF</t>
  </si>
  <si>
    <t>CORDON DE BRASSAGE CAT6 U/UTP GRIS LSZH SLIM 1M</t>
  </si>
  <si>
    <t>KPUU6ZHSL2EF</t>
  </si>
  <si>
    <t>CORDON DE BRASSAGE CAT6 U/UTP GRIS LSZH SLIM 2M</t>
  </si>
  <si>
    <t>KPUU6ZHSL3EF</t>
  </si>
  <si>
    <t>CORDON DE BRASSAGE CAT6 U/UTP GRIS LSZH SLIM 3M</t>
  </si>
  <si>
    <t>KPUU6ZHSL5EF</t>
  </si>
  <si>
    <t>CORDON DE BRASSAGE CAT6 U/UTP GRIS LSZH SLIM 5M</t>
  </si>
  <si>
    <t>KPUU6ZHSL10EF</t>
  </si>
  <si>
    <t>CORDON DE BRASSAGE CAT6 U/UTP GRIS LSZH SLIM 10M</t>
  </si>
  <si>
    <t>RJ45 CAT6A S/FTP</t>
  </si>
  <si>
    <t>KPSF6AZH03EF</t>
  </si>
  <si>
    <t>CAT6A PATCH CORD S/FTP GREY LSZH 0.3M</t>
  </si>
  <si>
    <t>CORDON DE BRASSAGE CAT6A S/FTP GRIS LSZH 0,3M</t>
  </si>
  <si>
    <t>4897108882227</t>
  </si>
  <si>
    <t>7x0.145BC RJ45  OD:6.2±0.3mm</t>
  </si>
  <si>
    <t>KPSF6AZH05EF</t>
  </si>
  <si>
    <t>CAT6A PATCH CORD S/FTP GREY LSZH 0.5M</t>
  </si>
  <si>
    <t>CORDON DE BRASSAGE CAT6A S/FTP GRIS LSZH 0,5M</t>
  </si>
  <si>
    <t>4897108882234</t>
  </si>
  <si>
    <t>KPSF6AZH1EF</t>
  </si>
  <si>
    <t>CAT6A PATCH CORD S/FTP GREY LSZH 1M</t>
  </si>
  <si>
    <t>CORDON DE BRASSAGE CAT6A S/FTP GRIS LSZH 1M</t>
  </si>
  <si>
    <t>4897108882241</t>
  </si>
  <si>
    <t>KPSF6AZH2EF</t>
  </si>
  <si>
    <t>CAT6A PATCH CORD S/FTP GREY LSZH 2M</t>
  </si>
  <si>
    <t>CORDON DE BRASSAGE CAT6A S/FTP GRIS LSZH 2M</t>
  </si>
  <si>
    <t>4897108882258</t>
  </si>
  <si>
    <t>KPSF6AZH3EF</t>
  </si>
  <si>
    <t>CAT6A PATCH CORD S/FTP GREY LSZH 3M</t>
  </si>
  <si>
    <t>CORDON DE BRASSAGE CAT6A S/FTP GRIS LSZH 3M</t>
  </si>
  <si>
    <t>4897108882265</t>
  </si>
  <si>
    <t>KPSF6AZH5EF</t>
  </si>
  <si>
    <t>CAT6A PATCH CORD S/FTP GREY LSZH 5M</t>
  </si>
  <si>
    <t>CORDON DE BRASSAGE CAT6A S/FTP GRIS LSZH 5M</t>
  </si>
  <si>
    <t>4897108882272</t>
  </si>
  <si>
    <t>KPSF6AZH10EF</t>
    <phoneticPr fontId="2" type="noConversion"/>
  </si>
  <si>
    <t>CAT6A PATCH CORD S/FTP GREY LSZH 10M</t>
  </si>
  <si>
    <t>CORDON DE BRASSAGE CAT6A S/FTP GRIS LSZH 10M</t>
  </si>
  <si>
    <t>7x0.135BC RJ45  OD:5.5±0.3mm</t>
  </si>
  <si>
    <t>28 or 30</t>
  </si>
  <si>
    <t>KPSLF6AZHSL03EF</t>
  </si>
  <si>
    <t>CORDON DE BRASSAGE CAT6A S/FTP GRIS LSZH SLIM 0,3M</t>
  </si>
  <si>
    <t>7x0.10BC RJ45  OD:4.8±0.3mm</t>
  </si>
  <si>
    <t>KPSLF6AZHSL05EF</t>
  </si>
  <si>
    <t>CAT6A PATCH CORD S/FTP GREY LSZH SLIM 0.5M</t>
  </si>
  <si>
    <t>CORDON DE BRASSAGE CAT6A S/FTP GRIS LSZH SLIM 0,5M</t>
  </si>
  <si>
    <t>KPSLF6AZHSL1EF</t>
  </si>
  <si>
    <t>CAT6A PATCH CORD S/FTP GREY LSZH SLIM 1M</t>
  </si>
  <si>
    <t>CORDON DE BRASSAGE CAT6A S/FTP GRIS LSZH SLIM 1M</t>
  </si>
  <si>
    <t>KPSLF6AZHSL2EF</t>
  </si>
  <si>
    <t>CAT6A PATCH CORD S/FTP GREY LSZH SLIM 2M</t>
  </si>
  <si>
    <t>CORDON DE BRASSAGE CAT6A S/FTP GRIS LSZH SLIM 2M</t>
  </si>
  <si>
    <t>KPSLF6AZHSL3EF</t>
  </si>
  <si>
    <t>CAT6A PATCH CORD S/FTP GREY LSZH SLIM 3M</t>
  </si>
  <si>
    <t>CORDON DE BRASSAGE CAT6A S/FTP GRIS LSZH SLIM 3M</t>
  </si>
  <si>
    <t>KPSLF6AZHSL5EF</t>
  </si>
  <si>
    <t>CAT6A PATCH CORD S/FTP GREY LSZH SLIM 5M</t>
  </si>
  <si>
    <t>CORDON DE BRASSAGE CAT6A S/FTP GRIS LSZH SLIM 5M</t>
  </si>
  <si>
    <t>KPSLF6AZHSL10EF</t>
  </si>
  <si>
    <t>CAT6A PATCH CORD S/FTP GREY LSZH SLIM 10M</t>
    <phoneticPr fontId="2" type="noConversion"/>
  </si>
  <si>
    <t>CORDON DE BRASSAGE CAT6A S/FTP GRIS LSZH SLIM 10M</t>
  </si>
  <si>
    <t>RJ45 CAT6A U/UTP</t>
  </si>
  <si>
    <t>KPUU6AZH03EF</t>
    <phoneticPr fontId="2" type="noConversion"/>
  </si>
  <si>
    <t>CAT6A PATCH CORD U/UTP GREY LSZH 0.3M</t>
    <phoneticPr fontId="2" type="noConversion"/>
  </si>
  <si>
    <t>CORDON DE BRASSAGE CAT6A U/UTP GRIS LSZH 0,3M</t>
  </si>
  <si>
    <t>HONTO</t>
    <phoneticPr fontId="16" type="noConversion"/>
  </si>
  <si>
    <t>7x0.17BC RJ45 OD:6.0±0.3mm</t>
    <phoneticPr fontId="2" type="noConversion"/>
  </si>
  <si>
    <t>KPUU6AZH05EF</t>
  </si>
  <si>
    <t>CORDON DE BRASSAGE CAT6A U/UTP GRIS LSZH 0,5M</t>
  </si>
  <si>
    <t>KPUU6AZH1EF</t>
  </si>
  <si>
    <t>CORDON DE BRASSAGE CAT6A U/UTP GRIS LSZH 1M</t>
  </si>
  <si>
    <t>KPUU6AZH2EF</t>
  </si>
  <si>
    <t>CORDON DE BRASSAGE CAT6A U/UTP GRIS LSZH 2M</t>
  </si>
  <si>
    <t>KPUU6AZH3EF</t>
  </si>
  <si>
    <t>CORDON DE BRASSAGE CAT6A U/UTP GRIS LSZH 3M</t>
  </si>
  <si>
    <t>KPUU6AZH5EF</t>
  </si>
  <si>
    <t>CORDON DE BRASSAGE CAT6A U/UTP GRIS LSZH 5M</t>
  </si>
  <si>
    <t>KPUU6AZH10EF</t>
  </si>
  <si>
    <t>CORDON DE BRASSAGE CAT6A U/UTP GRIS LSZH 10M</t>
  </si>
  <si>
    <t>KPUU6AZHSL03EF</t>
    <phoneticPr fontId="2" type="noConversion"/>
  </si>
  <si>
    <t>7X0.12±0.008 OD:3.8±0.3mm</t>
  </si>
  <si>
    <t>KPUU6AZHSL05EF</t>
  </si>
  <si>
    <t>KPUU6AZHSL1EF</t>
  </si>
  <si>
    <t>KPUU6AZHSL2EF</t>
  </si>
  <si>
    <t>KPUU6AZHSL3EF</t>
  </si>
  <si>
    <t>KPUU6AZHSL5EF</t>
  </si>
  <si>
    <t>KPUU6AZHSL10EF</t>
  </si>
  <si>
    <t>RJ45 CAT8 S/FTP</t>
  </si>
  <si>
    <t>KPSF8ZH03EF</t>
    <phoneticPr fontId="2" type="noConversion"/>
  </si>
  <si>
    <t>KPSF8ZH05EF</t>
  </si>
  <si>
    <t>KPSF8ZH1EF</t>
  </si>
  <si>
    <t>KPSF8ZH2EF</t>
  </si>
  <si>
    <t>KPSF8ZH3EF</t>
  </si>
  <si>
    <t>KPSF8ZH5EF</t>
  </si>
  <si>
    <t>PATCH PANEL</t>
  </si>
  <si>
    <t>Empty</t>
  </si>
  <si>
    <t>24 PORTS UNLOADED PATCH PANEL 1U UNSHIELDED PER ECO FRIENDLY CARTON</t>
  </si>
  <si>
    <t>PANNEAU DE BRASSAGE VIDE 24 PORTS 1U NON BLINDÉ PAR CARTON ÉCOLOGIQUE</t>
  </si>
  <si>
    <t>500pcs</t>
  </si>
  <si>
    <t>4897108882067</t>
  </si>
  <si>
    <t>24 PORTS UNLOADED PATCH PANEL 1U DIRECT GROUNDING BLACK WITH HOLE CUTTING AND ACCESSORIES PER ECO FRIENDLY CARTON</t>
  </si>
  <si>
    <t>PANNEAU DE BRASSAGE VIDE 24 ports 1U MISE A LA TERRE DIRECTE AVEC TROU DECOUPE NOIR PAR CARTON ÉCOLOGIQUE</t>
  </si>
  <si>
    <t>4897108881817</t>
  </si>
  <si>
    <t>853890 9900</t>
  </si>
  <si>
    <t>KJPP1UEF</t>
  </si>
  <si>
    <t>24 PORTS UNLOADED PATCH PANEL 1U DIRECT GROUNDING PER ECO FRIENDLY CARTON</t>
  </si>
  <si>
    <t>PANNEAU DE BRASSAGE VIDE 24 PORTS 1U MISE À LA TERRE DIRECTE PAR CARTON ÉCOLOGIQUE</t>
  </si>
  <si>
    <t>4897108882074</t>
  </si>
  <si>
    <t>500 pcs</t>
  </si>
  <si>
    <t>4897108882760</t>
  </si>
  <si>
    <t>KJPP1U246UEF</t>
  </si>
  <si>
    <t>24 PORTS CAT6 UNSHIELDED PATCH PANEL 1U DUAL IDC ECO FRIENDLY CARTON</t>
  </si>
  <si>
    <t>24 PORTS CAT6 SHIELDED PATCH PANEL 1U DUAL IDC INTERTEK CERTIFIED ECO FRIENDLY CARTON</t>
  </si>
  <si>
    <t>PANNEAU DE BRASSAGE BLINDÉ CAT6 24 PORTS 1U  DOUBLE IDC CARTON ÉCOLOGIQUE CERTIFIÉ INTERTEK</t>
  </si>
  <si>
    <t>24 PORTS UNLOADED PATCH PANEL 1U DIRECT GROUNDING BLACK T SHAPE WITH HOLE CUTTING AND ACCESSORIES WITH 24PCS CABLE TIE PER ECO FRIENDLY CARTON</t>
    <phoneticPr fontId="2" type="noConversion"/>
  </si>
  <si>
    <t>KJPP1U245EUEF</t>
  </si>
  <si>
    <t>24 PORTS CAT5E UNSHIELDED PATCH PANEL 1U DUAL IDC ECO FRIENDLY CARTON</t>
  </si>
  <si>
    <t>PANNEAU DE BRASSAGE 24 PORTS CAT5E NON BLINDÉ 1U DOUBLE IDC CARTON ÉCOLOGIQUE</t>
  </si>
  <si>
    <t>LY-PP5-07</t>
  </si>
  <si>
    <t>KJPP1UBCANEF</t>
  </si>
  <si>
    <t>24 PORTS UNLOADED PATCH PANEL 1U DIRECT GROUNDING BLACK ANGLED V SHAPE PER ECO FRIENDLY CARTON</t>
  </si>
  <si>
    <t>PANNEAU DE BRASSAGE VIDE 24 ports 1U MISE A LA TERRE DIRECTE NOIR EN V ANGULÉ PAR CARTON ÉCOLOGIQUE</t>
  </si>
  <si>
    <t>LY-BPP11-1S24P</t>
  </si>
  <si>
    <t>KJPP1U25UEF</t>
  </si>
  <si>
    <t>LY-PP5-15</t>
  </si>
  <si>
    <t>KJPP1U50UEF</t>
  </si>
  <si>
    <t>LY-PP3-16-A
PANISDN50N</t>
  </si>
  <si>
    <t>KJPP1U60UEF</t>
    <phoneticPr fontId="2" type="noConversion"/>
  </si>
  <si>
    <t>PANISDN60N</t>
    <phoneticPr fontId="2" type="noConversion"/>
  </si>
  <si>
    <t>OPTICAL FIBER</t>
  </si>
  <si>
    <t>ADAPTERS</t>
  </si>
  <si>
    <t>LC</t>
  </si>
  <si>
    <t>KSALCDS40</t>
  </si>
  <si>
    <t>TRAVERSEE BLEU MONOMODE LC DUPLEX 40PCS PAR SAC ÉCOLOGIQUE</t>
  </si>
  <si>
    <t>40 pcs friendly bag</t>
  </si>
  <si>
    <t>4897108882654</t>
  </si>
  <si>
    <t>392690 9700</t>
  </si>
  <si>
    <t>OTRANS</t>
  </si>
  <si>
    <t>KSALCDM40</t>
  </si>
  <si>
    <t>TRAVERSEE LC DUPLEX MULTIMODE BEIGE 40PCS PAR SAC ÉCOLOGIQUE</t>
  </si>
  <si>
    <t>4897108882661</t>
  </si>
  <si>
    <t>SC</t>
  </si>
  <si>
    <t>KSASCDS20</t>
  </si>
  <si>
    <t>TRAVERSEE SC DUPLEX MONOGODE BLEU 20PCS PAR SAC ÉCOLOGIQUE</t>
  </si>
  <si>
    <t>20 pcs friendly bag</t>
  </si>
  <si>
    <t>4897108882678</t>
  </si>
  <si>
    <t>KSASCDM20</t>
  </si>
  <si>
    <t>TRAVERSEE SC DUPLEX MULTIMODE BEIGE 20PCS PAR SAC ÉCOLOGIQUE</t>
  </si>
  <si>
    <t>4897108882685</t>
  </si>
  <si>
    <t>OPTICAL ACCCESSORIES</t>
  </si>
  <si>
    <t>SPLICE CASSETTE</t>
  </si>
  <si>
    <t>KSET24FO</t>
  </si>
  <si>
    <t>SPLICE CASSETTE WITH SPLICE HOLDER STACKABLE 24FO</t>
  </si>
  <si>
    <t>CASSETTE DE LOVAGE STACKABLE 24FO</t>
  </si>
  <si>
    <t>KSPLICE60MM</t>
  </si>
  <si>
    <t>SPLICE PROTECTION HEAT SHRINKABLE 60MM</t>
  </si>
  <si>
    <t>PROTECTION EPISSURE THERMORETRACTABLE 60MM</t>
  </si>
  <si>
    <t>OPTICAL CABLE</t>
  </si>
  <si>
    <t>OM3</t>
  </si>
  <si>
    <t>CENTRAL TUBE UNIVERSAL</t>
  </si>
  <si>
    <t>KFO6OM3CTZHD</t>
  </si>
  <si>
    <t>6FO OM3 CENTRAL LOOSE TUBE LSZH UNIVERSAL Dca AQUA RAL6027</t>
  </si>
  <si>
    <t>6FO OM3 TUBE CENTRAL STRUCTURE LIBRE LSZH UNIVERSEL Dca AQUA RAL6027</t>
  </si>
  <si>
    <t>4KM</t>
  </si>
  <si>
    <t>T/T against copy of document</t>
  </si>
  <si>
    <t>SDGI</t>
  </si>
  <si>
    <t>KFO8OM3CTZHD</t>
  </si>
  <si>
    <t>8FO OM3 CENTRAL LOOSE TUBE LSZH UNIVERSAL Dca AQUA RAL6027</t>
  </si>
  <si>
    <t>8FO OM3 TUBE CENTRAL STRUCTURE LIBRE LSZH UNIVERSEL Dca AQUA RAL6027</t>
  </si>
  <si>
    <t>KFO12OM3CTZHD</t>
  </si>
  <si>
    <t>12FO OM3 CENTRAL LOOSE TUBE LSZH UNIVERSAL Dca AQUA RAL6027</t>
  </si>
  <si>
    <t>12FO OM3 TUBE CENTRAL STRUCTURE LIBRE LSZH UNIVERSEL Dca AQUA RAL6027</t>
  </si>
  <si>
    <t>KFO24OM3CTZHD</t>
  </si>
  <si>
    <t>24FO OM3 CENTRAL LOOSE TUBE LSZH UNIVERSAL Dca AQUA RAL6027</t>
  </si>
  <si>
    <t>24FO OM3 TUBE CENTRAL STRUCTURE LIBRE LSZH UNIVERSEL Dca AQUA RAL6027</t>
  </si>
  <si>
    <t>TIGHT BUFFERED</t>
  </si>
  <si>
    <t>KFO6OM3TBZHC</t>
  </si>
  <si>
    <t>6FO OM3 TIGHT BUFFERED LSZH UNIVERSAL Cca AQUA RAL6027</t>
  </si>
  <si>
    <t>6FO OM3 STRUCTURE SERRÉE LSZH UNIVERSEL Cca AQUA RAL6027</t>
  </si>
  <si>
    <t>KFO8OM3TBZHC</t>
  </si>
  <si>
    <t>8FO OM3 TIGHT BUFFERED LSZH UNIVERSAL Cca AQUA RAL6027</t>
  </si>
  <si>
    <t>8FO OM3 STRUCTURE SERRÉE  LSZH UNIVERSEL Cca AQUA RAL6027</t>
  </si>
  <si>
    <t>KFO12OM3TBZHC</t>
  </si>
  <si>
    <t>12FO OM3 TIGHT BUFFERED LSZH UNIVERSAL Cca AQUA RAL6027</t>
  </si>
  <si>
    <t>12FO OM3 STRUCTURE SERRÉE  LSZH UNIVERSEL Cca AQUA RAL6027</t>
  </si>
  <si>
    <t>KFO24OM3TBZHC</t>
  </si>
  <si>
    <t>24FO OM3 TIGHT BUFFERED LSZH UNIVERSAL Cca AQUA RAL6027</t>
  </si>
  <si>
    <t>24FO OM3 STRUCTURE SERRÉE  LSZH UNIVERSEL Cca AQUA RAL6027</t>
  </si>
  <si>
    <t>2000m drum</t>
  </si>
  <si>
    <t>2KM</t>
  </si>
  <si>
    <t>CENTRAL TUBE OUTDOOR</t>
  </si>
  <si>
    <t>KFO6OM3CT</t>
  </si>
  <si>
    <t>6FO OM3 CENTRAL LOOSE TUBE PEHD OUTDOOR BLACK RAL 9005</t>
  </si>
  <si>
    <t>6FO OM3 TUBE CENTRAL STRUCTURE LIBRE PEHD EXTÉRIEUR NOIR RAL9005</t>
  </si>
  <si>
    <t>KFO8OM3CT</t>
  </si>
  <si>
    <t>8FO OM3 CENTRAL LOOSE TUBE PEHD OUTDOOR BLACK RAL9005</t>
  </si>
  <si>
    <t>8FO OM3 TUBE CENTRAL STRUCTURE LIBRE PEHD EXTÉRIEUR NOIR RAL9005</t>
  </si>
  <si>
    <t>KFO12OM3CT</t>
  </si>
  <si>
    <t>12FO OM3 CENTRAL LOOSE TUBE PEHD OUTDOOR BLACK RAL9005</t>
  </si>
  <si>
    <t>12FO OM3 TUBE CENTRAL STRUCTURE LIBRE PEHD EXTÉRIEUR NOIR RAL9005</t>
  </si>
  <si>
    <t>KFO24OM3CT</t>
  </si>
  <si>
    <t>24FO OM3 CENTRAL LOOSE TUBE PEHD OUTDOOR BLACK RAL9005</t>
  </si>
  <si>
    <t>24FO OM3 TUBE CENTRAL STRUCTURE LIBRE PEHD EXTÉRIEUR NOIR RAL9005</t>
  </si>
  <si>
    <t>CENTRAL TUBE ARMORED OUTDOOR</t>
  </si>
  <si>
    <t>KFO6OM3CTA</t>
  </si>
  <si>
    <t>6FO OM3 CENTRAL LOOSE TUBE ARMORED PEHD OUTDOOR BLACK RAL9005</t>
  </si>
  <si>
    <t>6FO OM3 TUBE CENTRAL STRUCTURE LIBRE ARMÉ PEHD EXTÉRIEUR NOIR RAL9005</t>
  </si>
  <si>
    <t>KFO8OM3CTA</t>
  </si>
  <si>
    <t>8FO OM3 CENTRAL LOOSE TUBE ARMORED PEHD OUTDOOR BLACK RAL9005</t>
  </si>
  <si>
    <t>8FO OM3 TUBE CENTRAL STRUCTURE LIBRE ARMÉ EXTÉRIEUR NOIR RAL9005</t>
  </si>
  <si>
    <t>KFO12OM3CTA</t>
  </si>
  <si>
    <t>12FO OM3 CENTRAL LOOSE TUBE ARMORED PEHD OUTDOOR BLACK RAL9005</t>
  </si>
  <si>
    <t>12FO OM3 TUBE CENTRAL STRUCTURE LIBRE ARMÉ  PEHD EXTÉRIEUR NOIR RAL9005</t>
  </si>
  <si>
    <t>KFO24OM3CTA</t>
  </si>
  <si>
    <t>24FO OM3 CENTRAL LOOSE TUBE ARMORED PEHD OUTDOOR BLACK RAL9005</t>
  </si>
  <si>
    <t>24FO OM3 TUBE CENTRAL STRUCTURE LIBRE ARMÉ  PEHD EXTÉRIEUR NOIR RAL9005</t>
  </si>
  <si>
    <t>MULTI TUBE UNIVERSAL</t>
  </si>
  <si>
    <t>KFO48OM3MTZHD</t>
  </si>
  <si>
    <t>48FO OM3 MULTI LOOSE TUBE LSZH UNIVERSAL Dca AQUA RAL6027</t>
  </si>
  <si>
    <t>48FO OM3 MULTI TUBE STRUCTURE LIBRE LSZH UNIVERSEL Dca AQUA RAL6027</t>
  </si>
  <si>
    <t>SDGI</t>
    <phoneticPr fontId="16" type="noConversion"/>
  </si>
  <si>
    <t>KFO96OM3MTZHD</t>
  </si>
  <si>
    <t>96FO OM3 MULTI LOOSE TUBE LSZH UNIVERSAL Dca AQUA RAL6027</t>
  </si>
  <si>
    <t>96FO OM3 MULTI TUBE STRUCTURE LIBRE LSZH UNIVERSEL Dca AQUA RAL6027</t>
  </si>
  <si>
    <t>MULTI TUBE OUTDOOR</t>
  </si>
  <si>
    <t>KFO48OM3MT</t>
  </si>
  <si>
    <t>48FO OM3 MULTI LOOSE TUBE PEHD OUTDOOR BLACK RAL 9005</t>
  </si>
  <si>
    <t>48FO OM3 MULTI TUBE STRUCTURE LIBRE PEHD EXTÉRIEUR NOIR RAL9005</t>
  </si>
  <si>
    <t>KFO96OM3MT</t>
  </si>
  <si>
    <t>96FO OM3 MULTI LOOSE TUBE PEHD OUTDOOR BLACK RAL 9005</t>
  </si>
  <si>
    <t>96FO OM3 MULTI TUBE STRUCTURE LIBRE PEHD EXTÉRIEUR NOIR RAL9005</t>
  </si>
  <si>
    <t>MULTI TUBE ARMORED OUTDOOR</t>
  </si>
  <si>
    <t>KFO48OM3MTA</t>
  </si>
  <si>
    <t>48FO OM3 MULTI LOOSE TUBE ARMORDED PEHD OUTDOOR BLACK RAL 9005</t>
  </si>
  <si>
    <t>48FO OM3 MULTI TUBE STRUCTURE LIBRE ARMÉ PEHD EXTÉRIEUR NOIR RAL9005</t>
  </si>
  <si>
    <t>KFO96OM3MTA</t>
  </si>
  <si>
    <t>96FO OM3 MULTI LOOSE TUBE ARMORDED PEHD OUTDOOR BLACK RAL 9005</t>
  </si>
  <si>
    <t>96FO OM3 MULTI TUBE STRUCTURE LIBRE ARMÉ PEHD EXTÉRIEUR NOIR RAL9005</t>
  </si>
  <si>
    <t>OM4</t>
  </si>
  <si>
    <t>KFO6OM4CTZHD</t>
  </si>
  <si>
    <t>6FO OM4 CENTRAL LOOSE TUBE LSZH UNIVERSAL Dca ERIKA VIOLET RAL4003</t>
  </si>
  <si>
    <t>6FO OM4 TUBE CENTRAL STRUCTURE LIBRE LSZH UNIVERSEL Dca VIOLET ERIKA RAL4003</t>
  </si>
  <si>
    <t>KFO8OM4CTZHD</t>
  </si>
  <si>
    <t>8FO OM4 CENTRAL LOOSE TUBE LSZH UNIVERSAL Dca ERIKA VIOLET RAL4003</t>
  </si>
  <si>
    <t>8FO OM4 TUBE CENTRAL STRUCTURE LIBRE LSZH UNIVERSEL Dca VIOLET ERIKA RAL4003</t>
  </si>
  <si>
    <t>KFO12OM4CTZHD</t>
  </si>
  <si>
    <t>12FO OM4 CENTRAL LOOSE TUBE LSZH UNIVERSAL Dca ERIKA VIOLET RAL4003</t>
  </si>
  <si>
    <t>12FO OM4 TUBE CENTRAL STRUCTURE LIBRE LSZH UNIVERSEL Dca VIOLET ERIKA RAL4003</t>
  </si>
  <si>
    <t>KFO24OM4CTZHD</t>
  </si>
  <si>
    <t>24FO OM4 CENTRAL LOOSE TUBE LSZH UNIVERSAL Dca ERIKA VIOLET RAL4003</t>
  </si>
  <si>
    <t>24FO OM4 TUBE CENTRAL STRUCTURE LIBRE LSZH UNIVERSEL Dca VIOLET ERIKA RAL4003</t>
  </si>
  <si>
    <t>KFO48OM4MTZHD</t>
  </si>
  <si>
    <t>48FO OM4 MULTI LOOSE TUBE LSZH UNIVERSAL Dca ERIKA VIOLET RAL4003</t>
  </si>
  <si>
    <t>48FO OM4 MULTI TUBE STRUCTURE LIBRE LSZH UNIVERSEL Dca VIOLET ERIKA RAL4003</t>
  </si>
  <si>
    <t>KFO96OM4MTZHD</t>
  </si>
  <si>
    <t>96FO OM4 MULTI LOOSE TUBE LSZH UNIVERSAL Dca ERIKA VIOLET RAL4003</t>
  </si>
  <si>
    <t>96FO OM4 MULTI TUBE STRUCTURE LIBRE LSZH UNIVERSEL Dca VIOLET ERIKA RAL4003</t>
  </si>
  <si>
    <t>KFO6OM4TBZHC</t>
  </si>
  <si>
    <t>6FO OM4 TIGHT BUFFERED LSZH UNIVERSAL Cca ERIKA VIOLET RAL4003</t>
  </si>
  <si>
    <t>6FO OM4 STRUCTURE SERRÉE LSZH UNIVERSEL Cca VIOLET ERIKA RAL4003</t>
  </si>
  <si>
    <t>KFO8OM4TBZHC</t>
  </si>
  <si>
    <t>8FO OM4 TIGHT BUFFERED LSZH UNIVERSAL Cca ERIKA VIOLET RAL4003</t>
  </si>
  <si>
    <t>8FO OM4 STRUCTURE SERRÉE  LSZH UNIVERSEL Cca VIOLET ERIKA RAL4003</t>
  </si>
  <si>
    <t>KFO12OM4TBZHC</t>
  </si>
  <si>
    <t>12FO OM4 TIGHT BUFFERED LSZH UNIVERSAL Cca ERIKA VIOLET RAL4003</t>
  </si>
  <si>
    <t>12FO OM4 STRUCTURE SERRÉE  LSZH UNIVERSEL Cca VIOLET ERIKA RAL4003</t>
  </si>
  <si>
    <t>KFO24OM4TBZHC</t>
  </si>
  <si>
    <t>24FO OM4 TIGHT BUFFERED LSZH UNIVERSAL Cca ERIKA VIOLET RAL4003</t>
  </si>
  <si>
    <t>24FO OM4 STRUCTURE SERRÉE  LSZH UNIVERSEL Cca VIOLET ERIKA RAL4003</t>
  </si>
  <si>
    <t>KFO6OM5TBZHC</t>
  </si>
  <si>
    <t>6FO OM5 TIGHT BUFFERED LSZH UNIVERSAL Cca LIME GREEN RAL 6039</t>
  </si>
  <si>
    <t>6FO OM5 STRUCTURE SERRÉE LSZH UNIVERSEL Cca VERT LIME RAL 6039</t>
  </si>
  <si>
    <t>KFO8OM5TBZHC</t>
  </si>
  <si>
    <t>8FO OM5 TIGHT BUFFERED LSZH UNIVERSAL Cca LIME GREEN RAL 6039</t>
  </si>
  <si>
    <t>8FO OM5 STRUCTURE SERRÉE  LSZH UNIVERSEL Cca VERT LIME RAL 6039</t>
  </si>
  <si>
    <t>KFO12OM5TBZHC</t>
  </si>
  <si>
    <t>12FO OM5 TIGHT BUFFERED LSZH UNIVERSAL Cca LIME GREEN RAL 6039</t>
  </si>
  <si>
    <t>12FO OM5 STRUCTURE SERRÉE  LSZH UNIVERSEL Cca VERT LIME RAL 6039</t>
  </si>
  <si>
    <t>KFO24OM5TBZHC</t>
  </si>
  <si>
    <t>24FO OM5 TIGHT BUFFERED LSZH UNIVERSAL Cca LIME GREEN RAL 6039</t>
  </si>
  <si>
    <t>24FO OM5 STRUCTURE SERRÉE  LSZH UNIVERSEL Cca VERT LIME RAL 6039</t>
  </si>
  <si>
    <t>KFO48OM4MT</t>
  </si>
  <si>
    <t>48FO OM4 MULTI LOOSE TUBE PEHD OUTDOOR BLACK RAL 9005</t>
  </si>
  <si>
    <t xml:space="preserve">48FO OM4 MULTI TUBE STRUCTURE LIBRE PEHD EXTÉRIEUR NOIR RAL9005 </t>
  </si>
  <si>
    <t>KFO96OM4MT</t>
  </si>
  <si>
    <t>96FO OM4 MULTI LOOSE TUBE PEHD OUTDOOR BLACK RAL 9005</t>
  </si>
  <si>
    <t xml:space="preserve">96FO OM4 MULTI TUBE STRUCTURE LIBREPEHD EXTÉRIEUR NOIR RAL9005 </t>
  </si>
  <si>
    <t>KFO48OM4MTA</t>
  </si>
  <si>
    <t>48FO OM4 MULTI LOOSE TUBE ARMORDED PEHD OUTDOOR BLACK RAL 9005</t>
  </si>
  <si>
    <t xml:space="preserve">48FO OM4 MULTI TUBE STRUCTURE LIBRE ARMÉ PEHD EXTÉRIEUR NOIR RAL9005 </t>
  </si>
  <si>
    <t>KFO96OM4MTA</t>
  </si>
  <si>
    <t>96FO OM4 MULTI LOOSE TUBE ARMORDED PEHD OUTDOOR BLACK RAL 9005</t>
  </si>
  <si>
    <t xml:space="preserve">96FO OM4 MULTI TUBE STRUCTURE LIBRE ARMÉ PEHD EXTÉRIEUR NOIR RAL9005 </t>
  </si>
  <si>
    <t>OM5</t>
  </si>
  <si>
    <t>KFO6OM5CTZHD</t>
  </si>
  <si>
    <t>6FO OM5 CENTRAL LOOSE TUBE LSZH UNIVERSAL Dca LIME GREEN RAL 6039</t>
  </si>
  <si>
    <t>6FO OM5 TUBE CENTRAL STRUCTURE LIBRE LSZH UNIVERSEL Dca VERT LIME RAL 6039</t>
  </si>
  <si>
    <t>KFO8OM5CTZHD</t>
  </si>
  <si>
    <t>8FO OM5 CENTRAL LOOSE TUBE LSZH UNIVERSAL Dca LIME GREEN RAL 6039</t>
  </si>
  <si>
    <t>8FO OM5 TUBE CENTRAL STRUCTURE LIBRE LSZH UNIVERSEL Dca VERT LIME RAL 6039</t>
  </si>
  <si>
    <t>KFO12OM5CTZHD</t>
  </si>
  <si>
    <t>12FO OM5 CENTRAL LOOSE TUBE LSZH UNIVERSAL Dca LIME GREEN RAL 6039</t>
  </si>
  <si>
    <t>12FO OM5 TUBE CENTRAL STRUCTURE LIBRE LSZH UNIVERSEL Dca VERT LIME RAL 6039</t>
  </si>
  <si>
    <t>KFO24OM5CTZHD</t>
  </si>
  <si>
    <t>24FO OM5 CENTRAL LOOSE TUBE LSZH UNIVERSAL Dca LIME GREEN RAL 6039</t>
  </si>
  <si>
    <t>24FO OM5 TUBE CENTRAL STRUCTURE LIBRE LSZH UNIVERSEL Dca VERT LIME RAL 6039</t>
  </si>
  <si>
    <t>KFO48OM5MTZHD</t>
  </si>
  <si>
    <t>48FO OM5 MULTI LOOSE TUBE LSZH UNIVERSAL Dca LIME GREEN RAL 6039</t>
  </si>
  <si>
    <t>48FO OM5 MULTI TUBE STRUCTURE LIBRE LSZH UNIVERSEL Dca VERT LIME RAL 6039</t>
  </si>
  <si>
    <t>KFO96OM5MTZHD</t>
  </si>
  <si>
    <t>96FO OM5 MULTI LOOSE TUBE LSZH UNIVERSAL Dca LIME GREEN RAL 6039</t>
  </si>
  <si>
    <t>96FO OM5 MULTI TUBE STRUCTURE LIBRE LSZH UNIVERSEL Dca VERT LIME RAL 6039</t>
  </si>
  <si>
    <t>OS2</t>
  </si>
  <si>
    <t>KFO6OS2CTZHD</t>
  </si>
  <si>
    <t>6FO OS2 CENTRAL LOOSE TUBE LSZH UNIVERSAL Dca YELLOW RAL1021</t>
  </si>
  <si>
    <t>6FO OS2 TUBE CENTRAL STRUCTURE LIBRE LSZH UNIVERSEL Dca JAUNE RAL1021</t>
  </si>
  <si>
    <t>Vietnam</t>
  </si>
  <si>
    <t>KFO8OS2CTZHD</t>
  </si>
  <si>
    <t>8FO OS2 CENTRAL LOOSE TUBE LSZH UNIVERSAL Dca YELLOW RAL1021</t>
  </si>
  <si>
    <t>8FO OS2 TUBE CENTRAL STRUCTURE LIBRE LSZH UNIVERSEL Dca JAUNE RAL1021</t>
  </si>
  <si>
    <t>KFO12OS2CTZHD</t>
  </si>
  <si>
    <t>12FO OS2 CENTRAL LOOSE TUBE LSZH UNIVERSAL Dca YELLOW RAL1021</t>
  </si>
  <si>
    <t>12FO OS2 TUBE CENTRAL STRUCTURE LIBRE LSZH UNIVERSEL Dca JAUNE RAL1021</t>
  </si>
  <si>
    <t>KFO24OS2CTZHD</t>
  </si>
  <si>
    <t>24FO OS2 CENTRAL LOOSE TUBE LSZH UNIVERSAL Dca YELLOW RAL1021</t>
  </si>
  <si>
    <t>24FO OS2 TUBE CENTRAL STRUCTURE LIBRE LSZH UNIVERSEL Dca JAUNE RAL1021</t>
  </si>
  <si>
    <t>KFO6OS2TBZHC</t>
  </si>
  <si>
    <t>6FO OS2 TIGHT BUFFERED LSZH UNIVERSAL Cca YELLOW RAL1021</t>
  </si>
  <si>
    <t>6FO OS2 STRUCTURE SERRÉE  LSZH UNIVERSEL Cca JAUNE RAL1021</t>
  </si>
  <si>
    <t>KFO8OS2TBZHC</t>
  </si>
  <si>
    <t>8FO OS2 TIGHT BUFFERED LSZH UNIVERSAL Cca YELLOW RAL1021</t>
  </si>
  <si>
    <t>8FO OS2 STRUCTURE SERRÉE  LSZH UNIVERSEL Cca JAUNE RAL1021</t>
  </si>
  <si>
    <t>KFO12OS2TBZHC</t>
  </si>
  <si>
    <t>12FO OS2 TIGHT BUFFERED LSZH UNIVERSAL Cca YELLOW RAL1021</t>
  </si>
  <si>
    <t>12FO OS2 STRUCTURE SERRÉE  LSZH UNIVERSEL Cca JAUNE RAL1021</t>
  </si>
  <si>
    <t>KFO24OS2TBZHC</t>
  </si>
  <si>
    <t>24FO OS2 TIGHT BUFFERED LSZH UNIVERSAL Cca YELLOW RAL1021</t>
  </si>
  <si>
    <t>24FO OS2 STRUCTURE SERRÉE  LSZH UNIVERSEL Cca JAUNE RAL1021</t>
  </si>
  <si>
    <t>KFO6OS2CT</t>
  </si>
  <si>
    <t>6FO OS2 CENTRAL LOOSE TUBE PEHD OUTDOOR BLACK RAL9005</t>
  </si>
  <si>
    <t>6FO OS2 TUBE CENTRAL STRUCTURE LIBRE PEHD EXTÉRIEUR NOIR RAL9005</t>
  </si>
  <si>
    <t>KFO8OS2CT</t>
  </si>
  <si>
    <t>8FO OS2 CENTRAL LOOSE TUBE PEHD OUTDOOR BLACK RAL9005</t>
  </si>
  <si>
    <t>8FO OS2 TUBE CENTRAL STRUCTURE LIBRE PEHD EXTÉRIEUR NOIR RAL9005</t>
  </si>
  <si>
    <t>KFO12OS2CT</t>
  </si>
  <si>
    <t>12FO OS2 CENTRAL LOOSE TUBE PEHD OUTDOOR BLACK RAL9005</t>
  </si>
  <si>
    <t>12FO OS2 TUBE CENTRAL STRUCTURE LIBRE PEHD EXTÉRIEUR NOIR RAL9005</t>
  </si>
  <si>
    <t>KFO24OS2CT</t>
  </si>
  <si>
    <t>24FO OS2 CENTRAL LOOSE TUBE PEHD OUTDOOR BLACK RAL9005</t>
  </si>
  <si>
    <t>24FO OS2 TUBE CENTRAL STRUCTURE LIBRE PEHD EXTÉRIEUR NOIR RAL9005</t>
  </si>
  <si>
    <t>KFO6OS2CTA</t>
  </si>
  <si>
    <t>6FO OS2 CENTRAL LOOSE TUBE ARMORED PEHD OUTDOOR BLACK RAL9005</t>
  </si>
  <si>
    <t>6FO OS2 TUBE CENTRAL STRUCTURE LIBRE ARMÉ  PEHD EXTÉRIEUR NOIR RAL9005</t>
  </si>
  <si>
    <t>KFO8OS2CTA</t>
  </si>
  <si>
    <t>8FO OS2 CENTRAL LOOSE TUBE ARMORED PEHD OUTDOOR BLACK RAL9005</t>
  </si>
  <si>
    <t>8FO OS2 TUBE CENTRAL STRUCTURE LIBRE ARMÉ  PEHD EXTÉRIEUR NOIR RAL9005</t>
  </si>
  <si>
    <t>KFO12OS2CTA</t>
  </si>
  <si>
    <t>12FO OS2 CENTRAL LOOSE TUBE ARMORED PEHD OUTDOOR BLACK RAL9005</t>
  </si>
  <si>
    <t>12FO OS2 TUBE CENTRAL STRUCTURE LIBRE ARMÉ  PEHD EXTÉRIEUR NOIR RAL9005</t>
  </si>
  <si>
    <t>KFO24OS2CTA</t>
  </si>
  <si>
    <t>24FO OS2 CENTRAL LOOSE TUBE ARMORED PEHD OUTDOOR BLACK RAL9005</t>
  </si>
  <si>
    <t>24FO OS2TUBE CENTRAL STRUCTURE LIBRE ARMÉ  PEHD EXTÉRIEUR NOIR RAL9005</t>
  </si>
  <si>
    <t>KFO48OS2MTZHD</t>
  </si>
  <si>
    <t>48FO OS2 MULTI LOOSE TUBE LSZH UNIVERSAL Dca YELLOW RAL1021</t>
  </si>
  <si>
    <t>48FO OS2 MULTI TUBE STRUCTURE LIBRE LSZH UNIVERSEL Dca JAUNE RAL1021</t>
  </si>
  <si>
    <t>KFO96OS2MTZHD</t>
  </si>
  <si>
    <t>96FO OS2 MULTI LOOSE TUBE LSZH UNIVERSAL Dca YELLOW RAL1021</t>
  </si>
  <si>
    <t>96FO OS2 MULTI TUBE STRUCTURE LIBRE LSZH UNIVERSEL Dca JAUNE RAL1021</t>
  </si>
  <si>
    <t>KFO48OS2MT</t>
  </si>
  <si>
    <t>48FO OS2 MULTI LOOSE TUBE PEHD OUTDOOR BLACK RAL 9005</t>
  </si>
  <si>
    <t xml:space="preserve">48FO OS2 MULTI TUBE STRUCTURE LIBRE PEHD EXTÉRIEUR NOIR RAL9005 </t>
  </si>
  <si>
    <t>KFO96OS2MT</t>
  </si>
  <si>
    <t>96FO OS2 MULTI LOOSE TUBE PEHD OUTDOOR BLACK RAL 9005</t>
  </si>
  <si>
    <t xml:space="preserve">96FO OS2 MULTI TUBE STRUCTURE LIBRE PEHD EXTÉRIEUR NOIR RAL9005 </t>
  </si>
  <si>
    <t>KFO48OS2MTA</t>
  </si>
  <si>
    <t>48FO OS2 MULTI LOOSE TUBE ARMORDED PEHD OUTDOOR BLACK RAL 9005</t>
  </si>
  <si>
    <t xml:space="preserve">48FO OS2 MULTI TUBE STRUCTURE LIBRE ARMÉ PEHD EXTÉRIEUR NOIR RAL9005 </t>
  </si>
  <si>
    <t>KFO96OS2MTA</t>
  </si>
  <si>
    <t>96FO OS2 MULTI LOOSE TUBE ARMORDED PEHD OUTDOOR BLACK RAL 9005</t>
  </si>
  <si>
    <t xml:space="preserve">96FO OS2 MULTI TUBE STRUCTURE LIBRE ARMÉ PEHD EXTÉRIEUR NOIR RAL9005 </t>
  </si>
  <si>
    <t>OPTICAL PATCH CORDS</t>
  </si>
  <si>
    <t>SC/SC</t>
  </si>
  <si>
    <t>KCDOM3SCSC1MEF</t>
  </si>
  <si>
    <t>SC/SC OM3 DUPLEX OPTICAL PATCH CORD 1M ECO FRIENDLY BAG</t>
  </si>
  <si>
    <t>JARRETIERE OPTIQUE DUPLEX SC/SC OM3 1M SAC ÉCOLOGIQUE</t>
  </si>
  <si>
    <t>1 pc eco friendly bag</t>
  </si>
  <si>
    <t>2km per cable</t>
  </si>
  <si>
    <t>KCDOM3SCSC2MEF</t>
  </si>
  <si>
    <t>SC/SC OM3 DUPLEX OPTICAL PATCH CORD 2M ECO FRIENDLY BAG</t>
  </si>
  <si>
    <t>JARRETIERE OPTIQUE DUPLEX SC/SC OM3 2M SAC ÉCOLOGIQUE</t>
  </si>
  <si>
    <t>KCDOM3SCSC3MEF</t>
  </si>
  <si>
    <t>SC/SC OM3 DUPLEX OPTICAL PATCH CORD 3M ECO FRIENDLY BAG</t>
  </si>
  <si>
    <t xml:space="preserve">JARRETIERE OPTIQUE DUPLEX SC/SC OM3 3M SAC ÉCOLOGIQUE </t>
  </si>
  <si>
    <t>KCDOM3SCSC5MEF</t>
  </si>
  <si>
    <t>SC/SC OM3 DUPLEX OPTICAL PATCH CORD 5M ECO FRIENDLY BAG</t>
  </si>
  <si>
    <t>JARRETIERE OPTIQUE DUPLEX SC/SC OM3 5M SAC ÉCOLOGIQUE</t>
  </si>
  <si>
    <t>SC/LC</t>
  </si>
  <si>
    <t>KCDOM3SCLC1MEF</t>
  </si>
  <si>
    <t>SC/LC OM3 DUPLEX OPTICAL PATCH CORD 1M ECO FRIENDLY BAG</t>
  </si>
  <si>
    <t>JARRETIERE OPTIQUE DUPLEX SC/LC OM3 1M SAC ÉCOLOGIQUE</t>
  </si>
  <si>
    <t>KCDOM3SCLC2MEF</t>
  </si>
  <si>
    <t>SC/LC OM3 DUPLEX OPTICAL PATCH CORD 2M ECO FRIENDLY BAG</t>
  </si>
  <si>
    <t>JARRETIERE OPTIQUE DUPLEX SC/LC OM3 2M SAC ÉCOLOGIQUE</t>
  </si>
  <si>
    <t>KCDOM3SCLC3MEF</t>
  </si>
  <si>
    <t>SC/LC OM3 DUPLEX OPTICAL PATCH CORD 3M ECO FRIENDLY BAG</t>
  </si>
  <si>
    <t>JARRETIERE OPTIQUE DUPLEX SC/LC OM3 3M SAC ÉCOLOGIQUE</t>
  </si>
  <si>
    <t>KCDOM3SCLC5MEF</t>
  </si>
  <si>
    <t>SC/LC OM3 DUPLEX OPTICAL PATCH CORD 5M ECO FRIENDLY BAG</t>
  </si>
  <si>
    <t>JARRETIERE OPTIQUE DUPLEX SC/LC OM3 5M SAC ÉCOLOGIQUE</t>
  </si>
  <si>
    <t>LC/LC</t>
  </si>
  <si>
    <t>KCDOM3LCLC1MEF</t>
  </si>
  <si>
    <t>LC/LC OM3 DUPLEX OPTICAL PATCH CORD 1M ECO FRIENDLY BAG</t>
  </si>
  <si>
    <t>JARRETIERE OPTIQUE DUPLEX LC/LC OM3 1M SAC ÉCOLOGIQUE</t>
  </si>
  <si>
    <t>KCDOM3LCLC2MEF</t>
  </si>
  <si>
    <t>LC/LC OM3 DUPLEX OPTICAL PATCH CORD 2M ECO FRIENDLY BAG</t>
  </si>
  <si>
    <t>JARRETIERE OPTIQUE DUPLEX LC/LC OM3 2M SAC ÉCOLOGIQUE</t>
  </si>
  <si>
    <t>KCDOM3LCLC3MEF</t>
  </si>
  <si>
    <t>LC/LC OM3 DUPLEX OPTICAL PATCH CORD 3M ECO FRIENDLY BAG</t>
  </si>
  <si>
    <t>JARRETIERE OPTIQUE DUPLEX LC/LC OM3 3M SAC ÉCOLOGIQUE</t>
  </si>
  <si>
    <t>KCDOM3LCLC5MEF</t>
  </si>
  <si>
    <t>LC/LC OM3 DUPLEX OPTICAL PATCH CORD 5M ECO FRIENDLY BAG</t>
  </si>
  <si>
    <t>JARRETIERE OPTIQUE DUPLEX LC/LC OM3 5M SAC ÉCOLOGIQUE</t>
  </si>
  <si>
    <t>KCDOM4SCSC1MEF</t>
  </si>
  <si>
    <t>SC/SC OM4 DUPLEX OPTICAL PATCH CORD 1M ECO FRIENDLY BAG</t>
  </si>
  <si>
    <t>JARRETIERE OPTIQUE DUPLEX SC/SC OM4 1M SAC ÉCOLOGIQUE</t>
  </si>
  <si>
    <t>KCDOM4SCSC2MEF</t>
  </si>
  <si>
    <t>SC/SC OM4 DUPLEX OPTICAL PATCH CORD 2M ECO FRIENDLY BAG</t>
  </si>
  <si>
    <t>JARRETIERE OPTIQUE DUPLEX SC/SC OM4 2M SAC ÉCOLOGIQUE</t>
  </si>
  <si>
    <t>KCDOM4SCSC3MEF</t>
  </si>
  <si>
    <t>SC/SC OM4 DUPLEX OPTICAL PATCH CORD 3M ECO FRIENDLY BAG</t>
  </si>
  <si>
    <t>JARRETIERE OPTIQUE DUPLEX SC/SC OM4 3M SAC ÉCOLOGIQUE</t>
  </si>
  <si>
    <t>KCDOM4SCSC5MEF</t>
  </si>
  <si>
    <t>SC/SC OM4 DUPLEX OPTICAL PATCH CORD 5M ECO FRIENDLY BAG</t>
  </si>
  <si>
    <t>JARRETIERE OPTIQUE DUPLEX SC/SC OM4 5M SAC ÉCOLOGIQUE</t>
  </si>
  <si>
    <t>KCDOM4SCLC1MEF</t>
  </si>
  <si>
    <t>SC/LC OM4 DUPLEX OPTICAL PATCH CORD 1M ECO FRIENDLY BAG</t>
  </si>
  <si>
    <t>JARRETIERE OPTIQUE DUPLEX SC/LC OM4 1M SAC ÉCOLOGIQUE</t>
  </si>
  <si>
    <t>KCDOM4SCLC2MEF</t>
  </si>
  <si>
    <t>SC/LC OM4 DUPLEX OPTICAL PATCH CORD 2M ECO FRIENDLY BAG</t>
  </si>
  <si>
    <t>JARRETIERE OPTIQUE DUPLEX SC/LC OM4 2M SAC ÉCOLOGIQUE</t>
  </si>
  <si>
    <t>KCDOM4SCLC3MEF</t>
  </si>
  <si>
    <t>SC/LC OM4 DUPLEX OPTICAL PATCH CORD 3M ECO FRIENDLY BAG</t>
  </si>
  <si>
    <t>JARRETIERE OPTIQUE DUPLEX SC/LC OM4 3M SAC ÉCOLOGIQUE</t>
  </si>
  <si>
    <t>KCDOM4SCLC5MEF</t>
  </si>
  <si>
    <t>SC/LC OM4 DUPLEX OPTICAL PATCH CORD 5M ECO FRIENDLY BAG</t>
  </si>
  <si>
    <t>JARRETIERE OPTIQUE DUPLEX SC/LC OM4 5M SAC ÉCOLOGIQUE</t>
  </si>
  <si>
    <t>KCDOM4LCLC1MEF</t>
  </si>
  <si>
    <t>JARRETIERE OPTIQUE DUPLEX LC/LC OM4 1M SAC ÉCOLOGIQUE</t>
  </si>
  <si>
    <t>KCDOM4LCLC2MEF</t>
  </si>
  <si>
    <t>LC/LC OM4 DUPLEX OPTICAL PATCH CORD 2M ECO FRIENDLY BAG</t>
  </si>
  <si>
    <t>JARRETIERE OPTIQUE DUPLEX LC/LC OM4 2M SAC ÉCOLOGIQUE</t>
  </si>
  <si>
    <t>KCDOM4LCLC3MEF</t>
  </si>
  <si>
    <t>LC/LC OM4 DUPLEX OPTICAL PATCH CORD 3M ECO FRIENDLY BAG</t>
  </si>
  <si>
    <t>JARRETIERE OPTIQUE DUPLEX LC/LC OM4 3M SAC ÉCOLOGIQUE</t>
  </si>
  <si>
    <t>KCDOM4LCLC5MEF</t>
  </si>
  <si>
    <t>LC/LC OM4 DUPLEX OPTICAL PATCH CORD 5M ECO FRIENDLY BAG</t>
  </si>
  <si>
    <t>JARRETIERE OPTIQUE DUPLEX LC/LC OM4 5M SAC ÉCOLOGIQUE</t>
  </si>
  <si>
    <t>KCDOM5SCSC1MEF</t>
  </si>
  <si>
    <t>SC/SC OM5 DUPLEX OPTICAL PATCH CORD 1M ECO FRIENDLY BAG</t>
  </si>
  <si>
    <t>JARRETIERE OPTIQUE DUPLEX SC/SC OM5 1M SAC ÉCOLOGIQUE</t>
  </si>
  <si>
    <t>KCDOM5SCSC2MEF</t>
  </si>
  <si>
    <t>SC/SC OM5 DUPLEX OPTICAL PATCH CORD 2M ECO FRIENDLY BAG</t>
  </si>
  <si>
    <t>JARRETIERE OPTIQUE DUPLEX SC/SC OM5 2M SAC ÉCOLOGIQUE</t>
  </si>
  <si>
    <t>KCDOM5SCSC3MEF</t>
  </si>
  <si>
    <t>SC/SC OM5 DUPLEX OPTICAL PATCH CORD 3M ECO FRIENDLY BAG</t>
  </si>
  <si>
    <t>JARRETIERE OPTIQUE DUPLEX SC/SC OM5 3M SAC ÉCOLOGIQUE</t>
  </si>
  <si>
    <t>KCDOM5SCSC5MEF</t>
  </si>
  <si>
    <t>SC/SC OM5 DUPLEX OPTICAL PATCH CORD 5M ECO FRIENDLY BAG</t>
  </si>
  <si>
    <t>JARRETIERE OPTIQUE DUPLEX SC/SC OM5 5M SAC ÉCOLOGIQUE</t>
  </si>
  <si>
    <t>KCDOM5SCLC1MEF</t>
  </si>
  <si>
    <t>SC/LC OM5 DUPLEX OPTICAL PATCH CORD 1M ECO FRIENDLY BAG</t>
  </si>
  <si>
    <t>JARRETIERE OPTIQUE DUPLEX SC/LC OM5 1M SAC ÉCOLOGIQUE</t>
  </si>
  <si>
    <t>KCDOM5SCLC2MEF</t>
  </si>
  <si>
    <t>SC/LC OM5 DUPLEX OPTICAL PATCH CORD 2M ECO FRIENDLY BAG</t>
  </si>
  <si>
    <t>JARRETIERE OPTIQUE DUPLEX SC/LC OM5 2M SAC ÉCOLOGIQUE</t>
  </si>
  <si>
    <t>KCDOM5SCLC3MEF</t>
  </si>
  <si>
    <t>SC/LC OM5 DUPLEX OPTICAL PATCH CORD 3M ECO FRIENDLY BAG</t>
  </si>
  <si>
    <t>JARRETIERE OPTIQUE DUPLEX SC/LC OM5 3M SAC ÉCOLOGIQUE</t>
  </si>
  <si>
    <t>KCDOM5SCLC5MEF</t>
  </si>
  <si>
    <t>SC/LC OM5 DUPLEX OPTICAL PATCH CORD 5M ECO FRIENDLY BAG</t>
  </si>
  <si>
    <t>JARRETIERE OPTIQUE DUPLEX SC/LC OM5 5M SAC ÉCOLOGIQUE</t>
  </si>
  <si>
    <t>KCDOM5LCLC1MEF</t>
  </si>
  <si>
    <t>LC/LC OM5 DUPLEX OPTICAL PATCH CORD 1M ECO FRIENDLY BAG</t>
  </si>
  <si>
    <t>JARRETIERE OPTIQUE DUPLEX LC/LC OM5 1M SAC ÉCOLOGIQUE</t>
  </si>
  <si>
    <t>KCDOM5LCLC2MEF</t>
  </si>
  <si>
    <t>LC/LC OM5 DUPLEX OPTICAL PATCH CORD 2M ECO FRIENDLY BAG</t>
  </si>
  <si>
    <t>JARRETIERE OPTIQUE DUPLEX LC/LC OM5 2M SAC ÉCOLOGIQUE</t>
  </si>
  <si>
    <t>KCDOM5LCLC3MEF</t>
  </si>
  <si>
    <t>LC/LC OM5 DUPLEX OPTICAL PATCH CORD 3M ECO FRIENDLY BAG</t>
  </si>
  <si>
    <t>JARRETIERE OPTIQUE DUPLEX LC/LC OM5 3M SAC ÉCOLOGIQUE</t>
  </si>
  <si>
    <t>KCDOM5LCLC5MEF</t>
  </si>
  <si>
    <t>LC/LC OM5 DUPLEX OPTICAL PATCH CORD 5M ECO FRIENDLY BAG</t>
  </si>
  <si>
    <t>JARRETIERE OPTIQUE DUPLEX LC/LC OM5 5M SAC ÉCOLOGIQUE</t>
  </si>
  <si>
    <t>KCDOS2SCSC1MEF</t>
  </si>
  <si>
    <t>SC/SC OS2 DUPLEX OPTICAL PATCH CORD 1M ECO FRIENDLY BAG</t>
  </si>
  <si>
    <t>JARRETIERE OPTIQUE DUPLEX SC/SC OS2 1M SAC ÉCOLOGIQUE</t>
  </si>
  <si>
    <t>KCDOS2SCSC2MEF</t>
  </si>
  <si>
    <t>SC/SC OS2 DUPLEX OPTICAL PATCH CORD 2M ECO FRIENDLY BAG</t>
  </si>
  <si>
    <t>JARRETIERE OPTIQUE DUPLEX SC/SC OS2 2M SAC ÉCOLOGIQUE</t>
  </si>
  <si>
    <t>KCDOS2SCSC3MEF</t>
  </si>
  <si>
    <t>SC/SC OS2 DUPLEX OPTICAL PATCH CORD 3M ECO FRIENDLY BAG</t>
  </si>
  <si>
    <t>JARRETIERE OPTIQUE DUPLEX SC/SC OS2 3M SAC ÉCOLOGIQUE</t>
  </si>
  <si>
    <t>KCDOS2SCSC5MEF</t>
  </si>
  <si>
    <t>SC/SC OS2 DUPLEX OPTICAL PATCH CORD 5M ECO FRIENDLY BAG</t>
  </si>
  <si>
    <t>JARRETIERE OPTIQUE DUPLEX SC/SC OS2 5M SAC ÉCOLOGIQUE</t>
  </si>
  <si>
    <t>KCDOS2SCLC1MEF</t>
  </si>
  <si>
    <t>SC/LC OS2 DUPLEX OPTICAL PATCH CORD 1M ECO FRIENDLY BAG</t>
  </si>
  <si>
    <t>JARRETIERE OPTIQUE DUPLEX SC/LC OS2 1M SAC ÉCOLOGIQUE</t>
  </si>
  <si>
    <t>KCDOS2SCLC2MEF</t>
  </si>
  <si>
    <t>SC/LC OS2 DUPLEX OPTICAL PATCH CORD 2M ECO FRIENDLY BAG</t>
  </si>
  <si>
    <t>JARRETIERE OPTIQUE DUPLEX SC/LC OS2 2M SAC ÉCOLOGIQUE</t>
  </si>
  <si>
    <t>KCDOS2SCLC3MEF</t>
  </si>
  <si>
    <t>SC/LC OS2 DUPLEX OPTICAL PATCH CORD 3M ECO FRIENDLY BAG</t>
  </si>
  <si>
    <t>JARRETIERE OPTIQUE DUPLEX SC/LC OS2 3M SAC ÉCOLOGIQUE</t>
  </si>
  <si>
    <t>KCDOS2SCLC5MEF</t>
  </si>
  <si>
    <t>SC/LC OS2 DUPLEX OPTICAL PATCH CORD 5M ECO FRIENDLY BAG</t>
  </si>
  <si>
    <t>JARRETIERE OPTIQUE DUPLEX SC/LC OS2 5M SAC ÉCOLOGIQUE</t>
  </si>
  <si>
    <t>KCDOS2LCLC1MEF</t>
  </si>
  <si>
    <t>LC/LC OS2 DUPLEX OPTICAL PATCH CORD 1M ECO FRIENDLY BAG</t>
  </si>
  <si>
    <t>JARRETIERE OPTIQUE DUPLEX LC/LC OS2 1M SAC ÉCOLOGIQUE</t>
  </si>
  <si>
    <t>KCDOS2LCLC2MEF</t>
  </si>
  <si>
    <t>LC/LC OS2 DUPLEX OPTICAL PATCH CORD 2M ECO FRIENDLY BAG</t>
  </si>
  <si>
    <t>JARRETIERE OPTIQUE DUPLEX LC/LC OS2 2M SAC ÉCOLOGIQUE</t>
  </si>
  <si>
    <t>KCDOS2LCLC3MEF</t>
  </si>
  <si>
    <t>LC/LC OS2 DUPLEX OPTICAL PATCH CORD 3M ECO FRIENDLY BAG</t>
  </si>
  <si>
    <t>JARRETIERE OPTIQUE DUPLEX LC/LC OS2 3MSAC ÉCOLOGIQUE</t>
  </si>
  <si>
    <t>KCDOS2LCLC5MEF</t>
  </si>
  <si>
    <t>LC/LC OS2 DUPLEX OPTICAL PATCH CORD 5M ECO FRIENDLY BAG</t>
  </si>
  <si>
    <t>JARRETIERE OPTIQUE DUPLEX LC/LC OS2 5M SAC ÉCOLOGIQUE</t>
  </si>
  <si>
    <t>OPTICAL PATCH PANEL</t>
  </si>
  <si>
    <t>KSFP1U245NPCEF</t>
  </si>
  <si>
    <t xml:space="preserve">TIROIR FIBRE OPTIQUE 19" 1U 245MM VIDE SANS PLAQUE AVANT AVEC DÉCOUPE DE TROU ET ACCESSOIRES PAR CARTON </t>
  </si>
  <si>
    <t>480 pcs</t>
  </si>
  <si>
    <t>KSFP1U205NPCEF</t>
  </si>
  <si>
    <t>TIROIR FIBRE OPTIQUE 19" 1U 205MM  VIDE SANS PLAQUE AVANT AVEC DÉCOUPE DE TROU ET ACCESSOIRES PAR CARTON</t>
  </si>
  <si>
    <t>4897108882609</t>
  </si>
  <si>
    <t>KSFP1UFP24SCDEF</t>
  </si>
  <si>
    <t>4897108882616</t>
  </si>
  <si>
    <t>KSFP1UFP24SCSEF</t>
  </si>
  <si>
    <t>4897108882623</t>
  </si>
  <si>
    <t>KSFP1UFP12SCDEF</t>
  </si>
  <si>
    <t>4897108882630</t>
  </si>
  <si>
    <t>KSFP1UFP12SCSEF</t>
  </si>
  <si>
    <t>4897108882647</t>
  </si>
  <si>
    <t>ST</t>
  </si>
  <si>
    <t>KSFP1UFP24STEF</t>
  </si>
  <si>
    <t>19" 1U PANEL FRONT PLATE 24ST</t>
  </si>
  <si>
    <t>PLAQUE AVANT TIROIR 19" 1U 24ST</t>
  </si>
  <si>
    <t>LGX</t>
  </si>
  <si>
    <t>KSFP1UFP3LGXEF</t>
  </si>
  <si>
    <t>19" 1U PANEL FRONT PLATE 3 LGX MODULE</t>
  </si>
  <si>
    <t>PLAQUE AVANT TIROIR 19" 1U 3 LGX</t>
  </si>
  <si>
    <t>PIGTAILS</t>
  </si>
  <si>
    <t>KPIGOM3SC2MEF</t>
  </si>
  <si>
    <t>SC OM3 PIGTAIL 2 METERS ECO FRIENDLY BAG</t>
  </si>
  <si>
    <t>SC OM3 PIGTAIL 2 MÈTRES SAC ÉCOLOGIQUE</t>
  </si>
  <si>
    <t>KPIGOM3LC2MEF</t>
  </si>
  <si>
    <t>LC OM3 PIGTAIL 2 METERS ECO FRIENDLY BAG</t>
  </si>
  <si>
    <t>LC OM3 PIGTAIL 2 MÈTRES SAC ÉCOLOGIQUE</t>
  </si>
  <si>
    <t>KPIGOM4SC2MEF</t>
  </si>
  <si>
    <t>SC OM4 PIGTAIL 2 METERS ECO FRIENDLY BAG</t>
  </si>
  <si>
    <t>SC OM4 PIGTAIL 2 MÈTRES SAC ÉCOLOGIQUE</t>
  </si>
  <si>
    <t>KPIGOM4LC2MEF</t>
  </si>
  <si>
    <t>LC OM4 PIGTAIL 2 MÈTRES SAC ÉCOLOGIQUE</t>
  </si>
  <si>
    <t>KPIGOM5SC2MEF</t>
  </si>
  <si>
    <t>SC OM5 PIGTAIL 2 METERS ECO FRIENDLY BAG</t>
  </si>
  <si>
    <t>SC OM5 PIGTAIL 2 MÈTRES SAC ÉCOLOGIQUE</t>
  </si>
  <si>
    <t>KPIGOM5LC2MEF</t>
  </si>
  <si>
    <t>LC OM5 PIGTAIL 2 METERS ECO FRIENDLY BAG</t>
  </si>
  <si>
    <t>LC OM5 PIGTAIL 2 MÈTRES SAC ÉCOLOGIQUE</t>
  </si>
  <si>
    <t>KPIGOS2SC2MEF</t>
  </si>
  <si>
    <t>SC OS2 PIGTAIL 2 METERS ECO FRIENDLY BAG</t>
  </si>
  <si>
    <t>SC OS2 PIGTAIL 2 MÈTRES SAC ÉCOLOGIQUE</t>
  </si>
  <si>
    <t>KPIGOS2LC2MEF</t>
  </si>
  <si>
    <t>LC OS2 PIGTAIL 2 MÈTRES SAC ÉCOLOGIQUE</t>
  </si>
  <si>
    <t>RACKS &amp; ACCESSORIES</t>
  </si>
  <si>
    <t>PANEL, SHELVES,DRAWERS</t>
  </si>
  <si>
    <t>KSPFK1U4REF</t>
  </si>
  <si>
    <t>19'' CABLE MANAGEMENT WITH 4 RINGS PER ECO FRIENDLY CARTON</t>
  </si>
  <si>
    <t>PANNEAU DE GESTION DE CÂBLES 19'' AVEC 4 ANNEAUX PAR CARTON ÉCOLOGIQUE</t>
  </si>
  <si>
    <t>940390 1000</t>
  </si>
  <si>
    <t>19'' CABLE MANAGEMENT WITH 4 RINGS WITH HOLE CUTTING AND ACCESSORIES PER ECO FRIENDLY CARTON</t>
  </si>
  <si>
    <t>PANNEAU DE GESTION DE CÂBLES 19'' AVEC 4 ANNEAUX AVEC TROU DECOUPE ET ACCESSOIRES PAR CARTON ÉCOLOGIQUE</t>
  </si>
  <si>
    <t>KSPFK1U4RCFEF</t>
  </si>
  <si>
    <t>19'' CABLE MANAGEMENT FULL METAL WITH 4 RINGS WITH HOLE CUTTING AND ACCESSORIES PER ECO FRIENDLY CARTON</t>
  </si>
  <si>
    <t>PANNEAU DE GESTION DE CÂBLES 19'' FULL METAL AVEC 4 ANNEAUX AVEC TROU DECOUPE ET ACCESSOIRES PAR CARTON ÉCOLOGIQUE</t>
  </si>
  <si>
    <t>KSPFK1UHDCEF</t>
  </si>
  <si>
    <t>PANNEAU DE GESTION DE CÂBLES 19'' HAUTE DENSITÉ AVEC TROU DECOUPE ET ACCESSOIRES PAR CARTON ÉCOLOGIQUE</t>
  </si>
  <si>
    <t xml:space="preserve">OTRANS </t>
  </si>
  <si>
    <t>KSPFK1UAIHDCEF</t>
  </si>
  <si>
    <t>19'' CABLE MANAGEMENT HIGH DENSITY ALU WITH HOLE CUTTING AND ACCESSORIES PER ECO FRIENDLY CARTON</t>
  </si>
  <si>
    <t>PANNEAU DE GESTION DE CÂBLES 19'' ALU HAUTE DENSITÉ AVEC TROU DECOUPE ET ACCESSOIRES PAR CARTON ÉCOLOGIQUE</t>
  </si>
  <si>
    <t>KSBRUSHEF</t>
  </si>
  <si>
    <t>19'' CABLE MANAGEMENT WITH BRUSH PER ECO FRIENDLY CARTON</t>
  </si>
  <si>
    <t>PANNEAU DE GESTION DE CÂBLES 19'' AVEC BROSSE PAR CARTON ÉCOLOGIQUE</t>
  </si>
  <si>
    <t>KSBRUSHCEF</t>
  </si>
  <si>
    <t>19'' CABLE MANAGEMENT WITH BRUSH WITH HOLE CUTTING AND ACCESSORIES PER ECO FRIENDLY CARTON</t>
  </si>
  <si>
    <t>PANNEAU DE GESTION DE CÂBLES 19'' AVEC BROSSE AVEC TROU DECOUPE ET ACCESSOIRES PAR CARTON ÉCOLOGIQUE</t>
  </si>
  <si>
    <t>KSFS1U250</t>
  </si>
  <si>
    <t>19" FIXED SHELVE 1U DEPTH 250 MM PER BOX</t>
  </si>
  <si>
    <t>ÉTAGÈRE FIXE 19" 1U PROFONDEUR 250 MM PAR BOITE</t>
  </si>
  <si>
    <t>4897108882814</t>
  </si>
  <si>
    <t>KSFS2U250</t>
  </si>
  <si>
    <t>19" FIXED SHELVE 2U DEPTH 250 MM PER BOX</t>
  </si>
  <si>
    <t>ÉTAGÈRE FIXE 19" 2U PROFONDEUR 250 MM PAR BOÎTE</t>
  </si>
  <si>
    <t>4897108882821</t>
  </si>
  <si>
    <t>KSOB1UC</t>
  </si>
  <si>
    <t>19" BLANK MODULE WITH ONE HOLE CUT AND ACCESSORIES PER BOX</t>
  </si>
  <si>
    <t>OBTURATEUR 19" AVEC UN TROU DECOUPE ET ACCESSOIRES PAR BOÎTE</t>
  </si>
  <si>
    <t xml:space="preserve">LY </t>
  </si>
  <si>
    <t>KSPFK1U5RCFEF</t>
  </si>
  <si>
    <t>19'' CABLE MANAGEMENT FULL METAL WITH 5 RINGS WITH HOLE CUTTING AND ACCESSORIES PER ECO FRIENDLY CARTON</t>
  </si>
  <si>
    <t>PANNEAU DE GESTION DE CÂBLES 19'' FULL METAL AVEC 5 ANNEAUX AVEC TROU DECOUPE ET ACCESSOIRES PAR CARTON ÉCOLOGIQUE</t>
  </si>
  <si>
    <t>LY-CM-51-5P</t>
    <phoneticPr fontId="2" type="noConversion"/>
  </si>
  <si>
    <t>PDU</t>
  </si>
  <si>
    <t>KPDU8PC90</t>
  </si>
  <si>
    <t>PDU FRENCH 19" 8 SOCKETS ALU WITH 90° FIXTURES PER BOX</t>
  </si>
  <si>
    <t>BLOC D'ALIMENTATION FRANÇAIS 19" 8 PRISES ALU AVEC FIXATION 90° PAR BOÎTE</t>
  </si>
  <si>
    <t>4897108882555</t>
  </si>
  <si>
    <t>853561 9090</t>
  </si>
  <si>
    <t>MINGYE</t>
  </si>
  <si>
    <t>85366900001</t>
  </si>
  <si>
    <t>KPDU8PCSW90</t>
  </si>
  <si>
    <t>PDU FRENCH 19" 8 SOCKETS ALU WITH SWITCH WITH 90° FIXTURES PER BOX</t>
  </si>
  <si>
    <t>BLOC D'ALIMENTATION FRANÇAIS 19" 8 PRISES ALU AVEC INTERRUPTEUR AVEC FIXATION 90° PAR BOÎTE</t>
  </si>
  <si>
    <t>4897108882562</t>
  </si>
  <si>
    <t>KPDU6PCCB</t>
  </si>
  <si>
    <t>PDU FRENCH 19" 6 SOCKETS ALU WITH CIRCUIT BREAKER 16A 30MA WITH PROTECTION COVER PER BOX</t>
  </si>
  <si>
    <t>BLOC D'ALIMENTATION FRANÇAIS 19" 6 PRISES ALU AVEC DISJONCTEUR 16A 30MA AVEC COUVERCLE DE PROTECTION PAR BOITE</t>
  </si>
  <si>
    <t>OEM</t>
    <phoneticPr fontId="2" type="noConversion"/>
  </si>
  <si>
    <t>PATCH CORDS</t>
    <phoneticPr fontId="2" type="noConversion"/>
  </si>
  <si>
    <t>XELPCFUTP6G015</t>
    <phoneticPr fontId="2" type="noConversion"/>
  </si>
  <si>
    <t>CAT6 PATCH CORD F/UTP GREY PVC 0.15M</t>
    <phoneticPr fontId="2" type="noConversion"/>
  </si>
  <si>
    <t>1pc per polybag</t>
    <phoneticPr fontId="2" type="noConversion"/>
  </si>
  <si>
    <t>3KM of cable</t>
    <phoneticPr fontId="2" type="noConversion"/>
  </si>
  <si>
    <t>A</t>
    <phoneticPr fontId="2" type="noConversion"/>
  </si>
  <si>
    <t>WEKINO</t>
  </si>
  <si>
    <t>XELPCFUTP6G03</t>
  </si>
  <si>
    <t>XELPCFUTP6G05</t>
  </si>
  <si>
    <t>XELPCFUTP6G1</t>
  </si>
  <si>
    <t>XELPCFUTP6G2</t>
  </si>
  <si>
    <t>XELPCFUTP6G3</t>
    <phoneticPr fontId="2" type="noConversion"/>
  </si>
  <si>
    <t>CAT6 PATCH CORD F/UTP GREY PVC 3M</t>
    <phoneticPr fontId="2" type="noConversion"/>
  </si>
  <si>
    <t>XELPCFUTP6G5</t>
  </si>
  <si>
    <t>XELPCFUTP6G10</t>
    <phoneticPr fontId="2" type="noConversion"/>
  </si>
  <si>
    <t>CAT6 PATCH CORD F/UTP GREY PVC 10M</t>
    <phoneticPr fontId="2" type="noConversion"/>
  </si>
  <si>
    <t>XELPCFUTP6G15</t>
    <phoneticPr fontId="2" type="noConversion"/>
  </si>
  <si>
    <t>CAT6 PATCH CORD F/UTP GREY PVC 15M</t>
    <phoneticPr fontId="2" type="noConversion"/>
  </si>
  <si>
    <t>XELPCFUTP6G20</t>
    <phoneticPr fontId="2" type="noConversion"/>
  </si>
  <si>
    <t>CAT6 PATCH CORD F/UTP GREY PVC 20M</t>
    <phoneticPr fontId="2" type="noConversion"/>
  </si>
  <si>
    <t>XELPCFUTP6G25</t>
    <phoneticPr fontId="2" type="noConversion"/>
  </si>
  <si>
    <t>CAT6 PATCH CORD F/UTP GREY PVC 25M</t>
    <phoneticPr fontId="2" type="noConversion"/>
  </si>
  <si>
    <t>XELPCFUTP6G30</t>
    <phoneticPr fontId="2" type="noConversion"/>
  </si>
  <si>
    <t>CAT6 PATCH CORD F/UTP GREY PVC 30M</t>
    <phoneticPr fontId="2" type="noConversion"/>
  </si>
  <si>
    <t>XELPCFUTP6G50</t>
    <phoneticPr fontId="2" type="noConversion"/>
  </si>
  <si>
    <t>XELPCSFTP6AZHG015</t>
    <phoneticPr fontId="2" type="noConversion"/>
  </si>
  <si>
    <t>CAT6A PATCH CORD S/FTP GREY LSZH 0.15M</t>
    <phoneticPr fontId="2" type="noConversion"/>
  </si>
  <si>
    <t>XELPCSFTP6AZHG03</t>
  </si>
  <si>
    <t>XELPCSFTP6AZHG1</t>
  </si>
  <si>
    <t>XELPCSFTP6AZHG2</t>
  </si>
  <si>
    <t>XELPCSFTP6AZHG3</t>
  </si>
  <si>
    <t>XELPCSFTP6AZHG4</t>
    <phoneticPr fontId="2" type="noConversion"/>
  </si>
  <si>
    <t>CAT6A PATCH CORD S/FTP GREY LSZH 4M</t>
    <phoneticPr fontId="2" type="noConversion"/>
  </si>
  <si>
    <t>XELPCSFTP6AZHG5</t>
    <phoneticPr fontId="2" type="noConversion"/>
  </si>
  <si>
    <t>CAT6A PATCH CORD S/FTP GREY LSZH 5M</t>
    <phoneticPr fontId="2" type="noConversion"/>
  </si>
  <si>
    <t>XELPCSFTP6AZHG6</t>
    <phoneticPr fontId="2" type="noConversion"/>
  </si>
  <si>
    <t>CAT6A PATCH CORD S/FTP GREY LSZH 6M</t>
    <phoneticPr fontId="2" type="noConversion"/>
  </si>
  <si>
    <t>XELPCSFTP6AZHG7</t>
    <phoneticPr fontId="2" type="noConversion"/>
  </si>
  <si>
    <t>CAT6A PATCH CORD S/FTP GREY LSZH 7M</t>
    <phoneticPr fontId="2" type="noConversion"/>
  </si>
  <si>
    <t>XELPCSFTP6AZHG8</t>
    <phoneticPr fontId="2" type="noConversion"/>
  </si>
  <si>
    <t>CAT6A PATCH CORD S/FTP GREY LSZH 8M</t>
    <phoneticPr fontId="2" type="noConversion"/>
  </si>
  <si>
    <t>XELPCSFTP6AZHG10</t>
    <phoneticPr fontId="2" type="noConversion"/>
  </si>
  <si>
    <t>CAT6A PATCH CORD S/FTP GREY LSZH 10M</t>
    <phoneticPr fontId="2" type="noConversion"/>
  </si>
  <si>
    <t>1pc per polybag</t>
  </si>
  <si>
    <t>XELPCSFTP6AZHG15</t>
    <phoneticPr fontId="2" type="noConversion"/>
  </si>
  <si>
    <t>CAT6A PATCH CORD S/FTP GREY LSZH 15M</t>
    <phoneticPr fontId="2" type="noConversion"/>
  </si>
  <si>
    <t>XELPCSFTP6AZHG20</t>
    <phoneticPr fontId="2" type="noConversion"/>
  </si>
  <si>
    <t>CAT6A PATCH CORD S/FTP GREY LSZH 20M</t>
    <phoneticPr fontId="2" type="noConversion"/>
  </si>
  <si>
    <t>XELPCSFTP6AZHG25</t>
    <phoneticPr fontId="2" type="noConversion"/>
  </si>
  <si>
    <t>CAT6A PATCH CORD S/FTP GREY LSZH 25M</t>
    <phoneticPr fontId="2" type="noConversion"/>
  </si>
  <si>
    <t>XELPCSFTP6AZHG30</t>
    <phoneticPr fontId="2" type="noConversion"/>
  </si>
  <si>
    <t>CAT6A PATCH CORD S/FTP GREY LSZH 30M</t>
    <phoneticPr fontId="2" type="noConversion"/>
  </si>
  <si>
    <t>XELPCSFTP6AZHG50</t>
    <phoneticPr fontId="2" type="noConversion"/>
  </si>
  <si>
    <t>KJPP1UUEF</t>
    <phoneticPr fontId="2" type="noConversion"/>
  </si>
  <si>
    <t>1 pc eco friendly box</t>
    <phoneticPr fontId="2" type="noConversion"/>
  </si>
  <si>
    <t xml:space="preserve">24 pcs eco friendly box </t>
    <phoneticPr fontId="2" type="noConversion"/>
  </si>
  <si>
    <t>Orsean</t>
    <phoneticPr fontId="2" type="noConversion"/>
  </si>
  <si>
    <t>KJPP1UBMCTEF</t>
  </si>
  <si>
    <t>KJPP1UBCTEF</t>
  </si>
  <si>
    <t>OEG3TVs4DT5</t>
  </si>
  <si>
    <t>OEG3TVs4DT40</t>
  </si>
  <si>
    <t>OEG3TVs4CT40</t>
    <phoneticPr fontId="2" type="noConversion"/>
  </si>
  <si>
    <t>OEG3TVs4CT5</t>
    <phoneticPr fontId="2" type="noConversion"/>
  </si>
  <si>
    <t>KK</t>
    <phoneticPr fontId="2" type="noConversion"/>
  </si>
  <si>
    <t>CÂBLE G3TV  F/FTP 1x4 PAIRES AWG23 2200MHz LSZH CPR CCA WHITE RAL9003 500M 85dB</t>
  </si>
  <si>
    <t>CÂBLE G3TV  F/FTP 1x4 PAIRES AWG23 2200MHz LSZH CPR CCA WHITE RAL9003 4000M 85dB</t>
  </si>
  <si>
    <t>Turkey</t>
    <phoneticPr fontId="2" type="noConversion"/>
  </si>
  <si>
    <t>T/T 30 days</t>
    <phoneticPr fontId="2" type="noConversion"/>
  </si>
  <si>
    <t>WEKINO/HONTO</t>
  </si>
  <si>
    <t>CÂBLE CAT6 U/UTP 4 PAIRES AWG24 TEST A 400MHz LSZH CPR ECA GRIS RAL7035 500M</t>
    <phoneticPr fontId="2" type="noConversion"/>
  </si>
  <si>
    <t>CÂBLE CAT6 U/UTP 4 PAIRES AWG24 TEST A 400MHz LSZH CPR ECA GRIS RAL7035 B305M</t>
    <phoneticPr fontId="2" type="noConversion"/>
  </si>
  <si>
    <t>WALL CABINET SE</t>
  </si>
  <si>
    <t>COFFRET ST 6U PROFONDEUR 600MM - NOIR - SE WALL CABINET 570*600 4-19" MOUNTING</t>
  </si>
  <si>
    <t>COFFRET ST 9U PROFONDEUR 600MM - NOIR - SE WALL CABINET 570*600 4-19" MOUNTING</t>
  </si>
  <si>
    <t>COFFRET ST 12U PROFONDEUR 600MM - NOIR - SE WALL CABINET 570*600 4-19" MOUNTING</t>
  </si>
  <si>
    <t>COFFRET ST 15U PROFONDEUR 600MM - NOIR - SE WALL CABINET 570*600 4-19" MOUNTING</t>
  </si>
  <si>
    <t>COFFRET ST 18U PROFONDEUR 600MM - NOIR - SE WALL CABINET 570*600 4-19" MOUNTING</t>
  </si>
  <si>
    <t>COFFRET ST 22U PROFONDEUR 600MM - NOIR - SE WALL CABINET 570*600 4-19" MOUNTING</t>
  </si>
  <si>
    <t>COFFRET ST 27U PROFONDEUR 600MM - NOIR - SE WALL CABINET 570*600 4-19" MOUNTING</t>
  </si>
  <si>
    <t>COFFRET ST 6U PROFONDEUR 450MM - NOIR - SE WALL CABINET 570*450 2-19" MOUNTING</t>
  </si>
  <si>
    <t>COFFRET ST 9U PROFONDEUR 450MM - NOIR - SE WALL CABINET 570*450 2-19" MOUNTING</t>
  </si>
  <si>
    <t>COFFRET ST 12U PROFONDEUR 450MM - NOIR - SE WALL CABINET 570*450 2-19" MOUNTING</t>
  </si>
  <si>
    <t>COFFRET ST 15U PROFONDEUR 450MM - NOIR - SE WALL CABINET 570*450 2-19" MOUNTING</t>
  </si>
  <si>
    <t>COFFRET ST 18U PROFONDEUR 450MM - NOIR - SE WALL CABINET 570*450 2-19" MOUNTING</t>
  </si>
  <si>
    <t>COFFRET ST 22U PROFONDEUR 450MM - NOIR - SE WALL CABINET 570*450 2-19" MOUNTING</t>
  </si>
  <si>
    <t>COFFRET ST 27U PROFONDEUR 450MM - NOIR - SE WALL CABINET 570*450 2-19" MOUNTING</t>
  </si>
  <si>
    <t>1pc per carton</t>
    <phoneticPr fontId="2" type="noConversion"/>
  </si>
  <si>
    <t>1x20GP=21ton,26cbm</t>
    <phoneticPr fontId="2" type="noConversion"/>
  </si>
  <si>
    <t>NO PALLET</t>
    <phoneticPr fontId="2" type="noConversion"/>
  </si>
  <si>
    <t xml:space="preserve">OEM </t>
    <phoneticPr fontId="2" type="noConversion"/>
  </si>
  <si>
    <t>WALL CABINET</t>
    <phoneticPr fontId="2" type="noConversion"/>
  </si>
  <si>
    <t>SHIP</t>
    <phoneticPr fontId="2" type="noConversion"/>
  </si>
  <si>
    <t>OEM</t>
    <phoneticPr fontId="26" type="noConversion"/>
  </si>
  <si>
    <t>INDUSTRY CABLE</t>
    <phoneticPr fontId="2" type="noConversion"/>
  </si>
  <si>
    <t xml:space="preserve">INSTRUMENTATION </t>
    <phoneticPr fontId="2" type="noConversion"/>
  </si>
  <si>
    <t>INSTRUMENTATION CABLE HSLCH-OZ 2X1.5 LSZH BROWN B2CA 1000M DRUM</t>
    <phoneticPr fontId="2" type="noConversion"/>
  </si>
  <si>
    <t>INSTRUMENTATION CABLE HSLCH-OZ 4X1.5 LSZH BROWN B2CA 1000M DRUM</t>
    <phoneticPr fontId="2" type="noConversion"/>
  </si>
  <si>
    <t>INSTRUMENTATION CABLE HSLCH-OZ 4X6 LSZH BROWN B2CA 1500M DRUM</t>
    <phoneticPr fontId="2" type="noConversion"/>
  </si>
  <si>
    <t>INSTRUMENTATION CABLE HSLCH-OZ 7X2.5 LSZH BROWN B2CA 1000M DRUM</t>
    <phoneticPr fontId="2" type="noConversion"/>
  </si>
  <si>
    <t>INSTRUMENTATION CABLE HSLCH-OZ 12X2.5 LSZH BROWN B2CA 1500M DRUM</t>
    <phoneticPr fontId="2" type="noConversion"/>
  </si>
  <si>
    <t xml:space="preserve">BALUN CORDS </t>
    <phoneticPr fontId="2" type="noConversion"/>
  </si>
  <si>
    <t>RJ45 TO F CONNECTOR</t>
    <phoneticPr fontId="2" type="noConversion"/>
  </si>
  <si>
    <t>CR503S78-0.5</t>
  </si>
  <si>
    <t>CORDON RJ45/PRISE F BLANC 0.5M CABLAGE 7/8.BALUN:2300MHZ</t>
  </si>
  <si>
    <t>RESIDENTIAL METAL RACK FRANCE</t>
    <phoneticPr fontId="2" type="noConversion"/>
  </si>
  <si>
    <t>RESIDENTIAL METAL RACK KIT ACCESS</t>
    <phoneticPr fontId="2" type="noConversion"/>
  </si>
  <si>
    <t>COFFRETALIM</t>
    <phoneticPr fontId="2" type="noConversion"/>
  </si>
  <si>
    <t>POWER SUPPLY OF ACCESS CONTROL 1PC BOX 1PC DOOR 1PC LOCK 2 DIN RAIL</t>
    <phoneticPr fontId="2" type="noConversion"/>
  </si>
  <si>
    <t>PLAQUE</t>
    <phoneticPr fontId="2" type="noConversion"/>
  </si>
  <si>
    <t>PLATE STEEL CONTROLLER 15/10 
WITH DIN RAIL FIXING</t>
    <phoneticPr fontId="2" type="noConversion"/>
  </si>
  <si>
    <t>MIRSAN</t>
    <phoneticPr fontId="2" type="noConversion"/>
  </si>
  <si>
    <t>HUNDU</t>
    <phoneticPr fontId="2" type="noConversion"/>
  </si>
  <si>
    <t>KSPFK1U4RCEF</t>
  </si>
  <si>
    <t>KJPP2UBMCTEF</t>
    <phoneticPr fontId="2" type="noConversion"/>
  </si>
  <si>
    <t>KSFP1UFP12SCSLEF</t>
    <phoneticPr fontId="2" type="noConversion"/>
  </si>
  <si>
    <t>KSFP1UFP24SCSLEF</t>
    <phoneticPr fontId="2" type="noConversion"/>
  </si>
  <si>
    <t>KSFP1U245NPLCEF</t>
    <phoneticPr fontId="2" type="noConversion"/>
  </si>
  <si>
    <t>KCU64PLGR5</t>
    <phoneticPr fontId="2" type="noConversion"/>
  </si>
  <si>
    <t>CAT6 CABLE U/UTP 4 PAIRS AWG24 TEST UP TO 400MHz PVC CPR ECA GREY RAL7035 B305M</t>
    <phoneticPr fontId="2" type="noConversion"/>
  </si>
  <si>
    <t>UKN</t>
    <phoneticPr fontId="2" type="noConversion"/>
  </si>
  <si>
    <t>Eca</t>
    <phoneticPr fontId="2" type="noConversion"/>
  </si>
  <si>
    <t>G3TV CABLE F/FTP 1x4 PAIRS AWG23 2200MHz LSZH CPR DCA WHITE RAL9003 500M 85dB</t>
    <phoneticPr fontId="2" type="noConversion"/>
  </si>
  <si>
    <t>G3TV CABLE F/FTP 1x4 PAIRS AWG23 2200MHz LSZH CPR DCA WHITE RAL9003 4000M 85dB</t>
    <phoneticPr fontId="2" type="noConversion"/>
  </si>
  <si>
    <t>KCSF74PZHCOR5</t>
    <phoneticPr fontId="2" type="noConversion"/>
  </si>
  <si>
    <t>KCSF78PZHCOR5</t>
    <phoneticPr fontId="2" type="noConversion"/>
  </si>
  <si>
    <t>CAT7 CABLE S/FTP 4 PAIRS AWG23 TEST UP TO 900MHz LSZH CPR CCA ORANGE RAL2003 500M</t>
    <phoneticPr fontId="2" type="noConversion"/>
  </si>
  <si>
    <t>CAT7 CABLE S/FTP 2x4 PAIRS AWG23 TEST UP TO 900MHz LSZH CPR CCA ORANGE RAL2003 500M</t>
    <phoneticPr fontId="2" type="noConversion"/>
  </si>
  <si>
    <t>CÂBLE CAT7 S/FTP 4 PAIRES AWG23 TEST A 900MHz LSZH CPR CCA ORANGE RAL2003 500M</t>
    <phoneticPr fontId="2" type="noConversion"/>
  </si>
  <si>
    <t>CÂBLE CAT7 S/FTP 2x4 PAIRES AWG23 TEST A 900MHz LSZH CPR CCA ORANGE RAL2003 500M</t>
    <phoneticPr fontId="2" type="noConversion"/>
  </si>
  <si>
    <t>KK</t>
    <phoneticPr fontId="2" type="noConversion"/>
  </si>
  <si>
    <t>Turkey</t>
    <phoneticPr fontId="2" type="noConversion"/>
  </si>
  <si>
    <t>KCFU5E4PGR5</t>
    <phoneticPr fontId="2" type="noConversion"/>
  </si>
  <si>
    <t>KCU5E4PGR5</t>
    <phoneticPr fontId="2" type="noConversion"/>
  </si>
  <si>
    <t>CAT6 PATCH CORD F/UTP GREY PVC 50M</t>
    <phoneticPr fontId="2" type="noConversion"/>
  </si>
  <si>
    <t>INFOKS</t>
    <phoneticPr fontId="2" type="noConversion"/>
  </si>
  <si>
    <t>SDGI VIETNAM</t>
    <phoneticPr fontId="16" type="noConversion"/>
  </si>
  <si>
    <t>INSTRUMENTATION CABLE HP4X1.5 LSZH NON ARMORED BROWN B2CA 1000M DRUM</t>
    <phoneticPr fontId="2" type="noConversion"/>
  </si>
  <si>
    <t>CAT6A PATCH CORD S/FTP GREY LSZH 50M</t>
    <phoneticPr fontId="2" type="noConversion"/>
  </si>
  <si>
    <t>China</t>
    <phoneticPr fontId="2" type="noConversion"/>
  </si>
  <si>
    <t>INSTRUMENTATION CABLE HSLCH-OZ 7X1.5 LSZH BROWN B2CA 1000M DRUM</t>
    <phoneticPr fontId="2" type="noConversion"/>
  </si>
  <si>
    <t>INSTRUMENTATION CABLE HSLCH-OZ 8X1.5 LSZH BROWN B2CA 1000M DRUM</t>
    <phoneticPr fontId="2" type="noConversion"/>
  </si>
  <si>
    <t>INSTRUMENTATION CABLE HSLCH-OZ 12X1.5 LSZH BROWN B2CA 1000M DRUM</t>
    <phoneticPr fontId="2" type="noConversion"/>
  </si>
  <si>
    <t>INSTRUMENTATION CABLE HSLCH-OZ 4X2.5 LSZH BROWN B2CA 1000M DRUM</t>
    <phoneticPr fontId="2" type="noConversion"/>
  </si>
  <si>
    <t>D</t>
    <phoneticPr fontId="2" type="noConversion"/>
  </si>
  <si>
    <t>LCL DAP/Pallet</t>
    <phoneticPr fontId="2" type="noConversion"/>
  </si>
  <si>
    <t>UKN</t>
    <phoneticPr fontId="2" type="noConversion"/>
  </si>
  <si>
    <t>COPPER</t>
    <phoneticPr fontId="2" type="noConversion"/>
  </si>
  <si>
    <t>Product base 2025</t>
  </si>
  <si>
    <t>Brand</t>
  </si>
  <si>
    <t>KCSF6A4PZHCOUT5</t>
  </si>
  <si>
    <t>CAT6A CABLE S/FTP 4 PAIRS AWG23 TESTED UP TO 650MHz LSZH CPR CCA INDOOR/OUTDOOR BLACK RAL9005 500M</t>
  </si>
  <si>
    <t>CÂBLE CAT6A S/FTP 4 PAIRES AWG23 TEST A 650MHz LSZH CPR CCA INTÉRIEUR/EXTÉRIEUR NOIR RAL9005 500M</t>
  </si>
  <si>
    <t>KCSF7A4PZHB2BR5</t>
  </si>
  <si>
    <t>CAT7A CABLE S/FTP 4 PAIRS AWG23 TEST UP TO 1200MHz LSZH CPR B2CA BROWN RAL8008 500M</t>
  </si>
  <si>
    <t>CÂBLE CAT7A S/FTP 4 PAIRES AWG23 TEST A 1200MHz LSZH CPR B2CA MARRON RAL8008 500M</t>
  </si>
  <si>
    <t>25 PORTS UNSHIELDED TELEPHONE PATCH PANEL 1U DUAL IDC ECO FRIENDLY CARTON</t>
  </si>
  <si>
    <t>50 PORTS UNSHIELDED TELEPHONE PATCH PANEL 1U DUAL IDC ECO FRIENDLY CARTON</t>
  </si>
  <si>
    <t>60 PORTS UNSHIELDED TELEPHONE PATCH PANEL 1U DUAL IDC ECO FRIENDLY CARTON</t>
  </si>
  <si>
    <t>PANNEAU DE BRASSAGE TELEPHONIQUE 25 PORTS NON BLINDÉ 1U DOUBLE IDC CARTON ÉCOLOGIQUE</t>
  </si>
  <si>
    <t>PANNEAU DE BRASSAGE TELEPHONIQUE 50 PORTS NON BLINDÉ 1U DOUBLE IDC CARTON ÉCOLOGIQUE</t>
  </si>
  <si>
    <t>No</t>
  </si>
  <si>
    <t>Yes</t>
  </si>
  <si>
    <t>KCSF78PZHCOR5</t>
  </si>
  <si>
    <t>CAT7 CABLE S/FTP 2x4 PAIRS AWG23 TEST UP TO 900MHz LSZH CPR CCA ORANGE RAL2003 500M</t>
  </si>
  <si>
    <t>CÂBLE CAT7 S/FTP 2x4 PAIRES AWG23 TEST A 900MHz LSZH CPR CCA ORANGE RAL2003 500M</t>
  </si>
  <si>
    <t>PLAQUE AVANT TIROIR 19" 1U 24 SC DUPLEX/LC QUAD</t>
  </si>
  <si>
    <t>PLAQUE AVANT TIROIR 19" 1U 12 SC DUPLEX/LC QUAD</t>
  </si>
  <si>
    <t>PLAQUE AVANT TIROIR 19" 1U 24 SC SIMPLEX/LC DUPLEX</t>
  </si>
  <si>
    <t>PLAQUE AVANT TIROIR 19" 1U 12 SC SIMPLEX/LC DUPLEX</t>
  </si>
  <si>
    <t>PLAQUE AVANT TIROIR 19" 1U AVEC VERROUILLAGE 12 SC SIMPLEX/LC DUPLEX</t>
  </si>
  <si>
    <t>PLAQUE AVANT TIROIR 19" 1U AVEC VERROUILLAGE 24 SC SIMPLEX/LC DUPLEX</t>
  </si>
  <si>
    <r>
      <t xml:space="preserve">1x40GP ocean freight </t>
    </r>
    <r>
      <rPr>
        <b/>
        <sz val="10.5"/>
        <color theme="8"/>
        <rFont val="Calibri"/>
        <family val="2"/>
      </rPr>
      <t>(China)</t>
    </r>
  </si>
  <si>
    <r>
      <t xml:space="preserve">1x20GP ocean freight  </t>
    </r>
    <r>
      <rPr>
        <b/>
        <sz val="10.5"/>
        <color theme="8"/>
        <rFont val="Calibri"/>
        <family val="2"/>
      </rPr>
      <t>(China)</t>
    </r>
  </si>
  <si>
    <r>
      <t xml:space="preserve">1x40GP ocean freight </t>
    </r>
    <r>
      <rPr>
        <b/>
        <sz val="10.5"/>
        <color theme="8"/>
        <rFont val="Calibri"/>
        <family val="2"/>
      </rPr>
      <t>(Turkey)</t>
    </r>
  </si>
  <si>
    <t>PA CIF €</t>
  </si>
  <si>
    <t>EUR/CNY</t>
  </si>
  <si>
    <t>Q1 2025</t>
  </si>
  <si>
    <t>SC SIMPLEX SINGLEMODE  BLUE ADAPTOR 20PCS PER ECO FRIENDLY BAG</t>
  </si>
  <si>
    <t>KSFP1UFP2424SCDSEF</t>
  </si>
  <si>
    <t>KSFP1UFP2424SCSSEF</t>
  </si>
  <si>
    <t>KSFP1UFP2412SCDSEF</t>
  </si>
  <si>
    <t>KSFP1UFP2424LCDSEF</t>
  </si>
  <si>
    <t>KSFP1UFP2412LCDSEF</t>
  </si>
  <si>
    <t>KSFP1UFP2424SCDMEF</t>
  </si>
  <si>
    <t>KSFP1UFP2412SCDMEF</t>
  </si>
  <si>
    <t>KSFP1UFP2424LCDMEF</t>
  </si>
  <si>
    <t>KSFP1UFP2412LCDMEF</t>
  </si>
  <si>
    <t>2 pc eco friendly box</t>
  </si>
  <si>
    <t>3 pc eco friendly box</t>
  </si>
  <si>
    <t>4 pc eco friendly box</t>
  </si>
  <si>
    <t>5 pc eco friendly box</t>
  </si>
  <si>
    <t>6 pc eco friendly box</t>
  </si>
  <si>
    <t>7 pc eco friendly box</t>
  </si>
  <si>
    <t>8 pc eco friendly box</t>
  </si>
  <si>
    <t>9 pc eco friendly box</t>
  </si>
  <si>
    <t>10 pc eco friendly box</t>
  </si>
  <si>
    <t>CUIVRE</t>
  </si>
  <si>
    <t>FIBRE OPTIQUE</t>
  </si>
  <si>
    <t>TÔLERIE</t>
  </si>
  <si>
    <t>PANNEAU DE BRASSAGE VIDE 24 PORTS 1U MISE A LA TERRE DIRECTE AVEC TROU DECOUPE NOIR PAR CARTON ÉCOLOGIQUE</t>
  </si>
  <si>
    <t>PANNEAU DE BRASSAGE VIDE 24 PORTS 1U METAL MISE A LA TERRE DIRECTE AVEC TROU DECOUPE NOIR PAR CARTON ÉCOLOGIQUE</t>
  </si>
  <si>
    <t>PANNEAU DE BRASSAGE VIDE 48 PORTS 2U METAL MISE A LA TERRE DIRECTE AVEC TROU DECOUPE NOIR PAR CARTON ÉCOLOGIQUE</t>
  </si>
  <si>
    <t>PLAQUE AVANT TIROIR 19" 1U 24 SC DUPLEX EQUIPPE DE 24 TRAVERSEES MONOMODE</t>
  </si>
  <si>
    <t>PLAQUE AVANT TIROIR 19" 1U 24 SC DUPLEX EQUIPPE DE 12 TRAVERSEES MONOMODE</t>
  </si>
  <si>
    <t>PLAQUE AVANT TIROIR 19" 1U 24 SC SIMPLEX EQUIPPE DE 24 TRAVERSEES MONOMODE</t>
  </si>
  <si>
    <t>PLAQUE AVANT TIROIR 19" 1U 24 LC DUPLEX EQUIPPE DE 24 TRAVERSEES MONOMODE</t>
  </si>
  <si>
    <t>PLAQUE AVANT TIROIR 19" 1U 24 LC DUPLEX EQUIPPE DE 12 TRAVERSEES MONOMODE</t>
  </si>
  <si>
    <t>PLAQUE AVANT TIROIR 19" 1U 24 SC DUPLEX EQUIPPE DE 24 TRAVERSEES MULTIMODE</t>
  </si>
  <si>
    <t>PLAQUE AVANT TIROIR 19" 1U 24 SC DUPLEX EQUIPPE DE 12 TRAVERSEES MULTIMODE</t>
  </si>
  <si>
    <t>PLAQUE AVANT TIROIR 19" 1U 24 LC DUPLEX EQUIPPE DE 24 TRAVERSEES MULTIMODE</t>
  </si>
  <si>
    <t>PLAQUE AVANT TIROIR 19" 1U 24 LC DUPLEX EQUIPPE DE 12 TRAVERSEES MULTIMODE</t>
  </si>
  <si>
    <t>Conditionnement</t>
  </si>
  <si>
    <t>Prix Franco H.T</t>
  </si>
  <si>
    <t>Référence</t>
  </si>
  <si>
    <t>Gamme</t>
  </si>
  <si>
    <t>Sous gamme</t>
  </si>
  <si>
    <t>TRAVERSEES</t>
  </si>
  <si>
    <t>CABLES RESEAUX</t>
  </si>
  <si>
    <t xml:space="preserve"> CABLE CAT6</t>
  </si>
  <si>
    <t xml:space="preserve"> CABLE CAT6A</t>
  </si>
  <si>
    <t xml:space="preserve"> CABLE CAT7</t>
  </si>
  <si>
    <t>PLASTRONS</t>
  </si>
  <si>
    <t>KEYSTONE  &amp; ACCESSOIRES</t>
  </si>
  <si>
    <t>CONNECTEUR DE TERRAIN CAT6A</t>
  </si>
  <si>
    <t>ACCESSOIRES</t>
  </si>
  <si>
    <t>ACCCESSOIRES OPTIQUES</t>
  </si>
  <si>
    <t>CASSETTE DE LOVAGE</t>
  </si>
  <si>
    <t>CABLE FIBRE OPTIQUE</t>
  </si>
  <si>
    <t xml:space="preserve"> STRUCTURE LIBRE UNIVERSEL OM3</t>
  </si>
  <si>
    <t>STRUCTURE SERREE OM3</t>
  </si>
  <si>
    <t xml:space="preserve"> STRUCTURE LIBRE EXTERIEURE OM3</t>
  </si>
  <si>
    <t xml:space="preserve"> STRUCTURE LIBRE EXTERIEURE ARMEE OM3</t>
  </si>
  <si>
    <t xml:space="preserve"> STRUCTURE LIBRE UNIVERSEL OM4</t>
  </si>
  <si>
    <t>STRUCTURE SERREE OM4</t>
  </si>
  <si>
    <t>STRUCTURE SERREE OM5</t>
  </si>
  <si>
    <t xml:space="preserve"> STRUCTURE LIBRE EXTERIEURE OM4</t>
  </si>
  <si>
    <t xml:space="preserve"> STRUCTURE LIBRE EXTERIEURE ARMEE OM4</t>
  </si>
  <si>
    <t xml:space="preserve"> STRUCTURE LIBRE UNIVERSEL OM5</t>
  </si>
  <si>
    <t xml:space="preserve"> STRUCTURE LIBRE UNIVERSEL OS2</t>
  </si>
  <si>
    <t>STRUCTURE SERREE OS2</t>
  </si>
  <si>
    <t xml:space="preserve"> STRUCTURE LIBRE EXTERIEURE OS2</t>
  </si>
  <si>
    <t xml:space="preserve"> STRUCTURE LIBRE EXTERIEURE ARMEE OS2</t>
  </si>
  <si>
    <t>JARRETIERE OPTIQUE</t>
  </si>
  <si>
    <t>JARRETIERE OPTIQUE OM3</t>
  </si>
  <si>
    <t>JARRETIERE OPTIQUE OM4</t>
  </si>
  <si>
    <t>JARRETIERE OPTIQUE OM5</t>
  </si>
  <si>
    <t>JARRETIERE OPTIQUE OS2</t>
  </si>
  <si>
    <t>TIROIR OPTIQUE</t>
  </si>
  <si>
    <t>CORDONS RJ45</t>
  </si>
  <si>
    <t>PANNEAU DE BRASSAGE</t>
  </si>
  <si>
    <t>BLOC D'ALIMENTATION</t>
  </si>
  <si>
    <t>PANNEAU, ETAGERE, TIROIR</t>
  </si>
  <si>
    <t>29.01.2025</t>
  </si>
  <si>
    <t>KCFF6A4PZHDBLB</t>
    <phoneticPr fontId="2" type="noConversion"/>
  </si>
  <si>
    <t>305m Reelex box</t>
    <phoneticPr fontId="2" type="noConversion"/>
  </si>
  <si>
    <t>4897108882753</t>
  </si>
  <si>
    <t>KSFP1UFP24STEF</t>
    <phoneticPr fontId="16" type="noConversion"/>
  </si>
  <si>
    <t>Yes</t>
    <phoneticPr fontId="2" type="noConversion"/>
  </si>
  <si>
    <t>KJPP1UBCTEF</t>
    <phoneticPr fontId="2" type="noConversion"/>
  </si>
  <si>
    <t>KPL6AFSEF8</t>
    <phoneticPr fontId="2" type="noConversion"/>
  </si>
  <si>
    <t>KSBRUSHCEF</t>
    <phoneticPr fontId="2" type="noConversion"/>
  </si>
  <si>
    <t>KSPFK1U4RCEF</t>
    <phoneticPr fontId="2" type="noConversion"/>
  </si>
  <si>
    <t>KSPFK1U4RCFEF</t>
    <phoneticPr fontId="2" type="noConversion"/>
  </si>
  <si>
    <t>KPDU8PC90</t>
    <phoneticPr fontId="2" type="noConversion"/>
  </si>
  <si>
    <t>KSPLICE60MM</t>
    <phoneticPr fontId="2" type="noConversion"/>
  </si>
  <si>
    <t>19" 1U PANEL FRONT PLATE 24 SC DUPLEX/LC QUAD EQUIPPED WITH 24 SC DUPLEX SINGLEMODE</t>
  </si>
  <si>
    <t>19" 1U PANEL FRONT PLATE 24 SC DUPLEX/LC QUAD EQUIPPED WITH 12 SC DUPLEX SINGLEMODE</t>
  </si>
  <si>
    <t>19" 1U PANEL FRONT PLATE 24 SC DUPLEX/LC QUAD EQUIPPED WITH 24 SC DUPLEX MULTIMODE</t>
  </si>
  <si>
    <t>19" 1U PANEL FRONT PLATE 24 SC DUPLEX/LC QUAD EQUIPPED WITH 12 SC DUPLEX MULTIMODE</t>
  </si>
  <si>
    <t>KJPP1UBCEF</t>
    <phoneticPr fontId="2" type="noConversion"/>
  </si>
  <si>
    <t>DOPPLER</t>
    <phoneticPr fontId="2" type="noConversion"/>
  </si>
  <si>
    <t>LOD 141</t>
    <phoneticPr fontId="2" type="noConversion"/>
  </si>
  <si>
    <t>LOD 142</t>
    <phoneticPr fontId="2" type="noConversion"/>
  </si>
  <si>
    <t>KPSF6AZH10EF</t>
    <phoneticPr fontId="2" type="noConversion"/>
  </si>
  <si>
    <t>KPSF6AZH15EF</t>
    <phoneticPr fontId="2" type="noConversion"/>
  </si>
  <si>
    <t>KPSF6AZH20EF</t>
    <phoneticPr fontId="2" type="noConversion"/>
  </si>
  <si>
    <t>KPSF6AZH25EF</t>
    <phoneticPr fontId="2" type="noConversion"/>
  </si>
  <si>
    <t>KPSF6AZH30EF</t>
    <phoneticPr fontId="2" type="noConversion"/>
  </si>
  <si>
    <t>CAT6A PATCH CORD S/FTP GREY LSZH 15M</t>
    <phoneticPr fontId="2" type="noConversion"/>
  </si>
  <si>
    <t>CAT6A PATCH CORD S/FTP GREY LSZH 20M</t>
    <phoneticPr fontId="2" type="noConversion"/>
  </si>
  <si>
    <t>CAT6A PATCH CORD S/FTP GREY LSZH 25M</t>
    <phoneticPr fontId="2" type="noConversion"/>
  </si>
  <si>
    <t>CAT6A PATCH CORD S/FTP GREY LSZH 30M</t>
    <phoneticPr fontId="2" type="noConversion"/>
  </si>
  <si>
    <t>CORDON DE BRASSAGE CAT6A S/FTP GRIS LSZH 15M</t>
    <phoneticPr fontId="2" type="noConversion"/>
  </si>
  <si>
    <t>CORDON DE BRASSAGE CAT6A S/FTP GRIS LSZH 20M</t>
    <phoneticPr fontId="2" type="noConversion"/>
  </si>
  <si>
    <t>CORDON DE BRASSAGE CAT6A S/FTP GRIS LSZH 25M</t>
    <phoneticPr fontId="2" type="noConversion"/>
  </si>
  <si>
    <t>CORDON DE BRASSAGE CAT6A S/FTP GRIS LSZH 30M</t>
    <phoneticPr fontId="2" type="noConversion"/>
  </si>
  <si>
    <t>22.5X45 FACE PLATE 1 PORT FLAT 12PCS PER ECO FRIENDLY CARTON</t>
    <phoneticPr fontId="2" type="noConversion"/>
  </si>
  <si>
    <t>KFP225451PEF12</t>
    <phoneticPr fontId="2" type="noConversion"/>
  </si>
  <si>
    <t>12 pcs eco friendly box</t>
    <phoneticPr fontId="2" type="noConversion"/>
  </si>
  <si>
    <t>1pc eco bag+10pcs PE bag+carton</t>
  </si>
  <si>
    <t>1pc eco bag+carton</t>
  </si>
  <si>
    <t>PLASTRON 22.5X45 1 PORT PLAT 12PCS PAR CARTON ÉCOLOGIQUE</t>
    <phoneticPr fontId="2" type="noConversion"/>
  </si>
  <si>
    <t>1pc eco bag+10pcs PE bag+carton</t>
    <phoneticPr fontId="2" type="noConversion"/>
  </si>
  <si>
    <t>28.01.2025</t>
  </si>
  <si>
    <t>TRAVERSEE SC DUPLEX MONONODE BLEU 20PCS PAR SAC ÉCOLOGIQUE</t>
  </si>
  <si>
    <t>KSASCSSXX</t>
  </si>
  <si>
    <t>Conditionnemen</t>
  </si>
  <si>
    <t>7x0.135BC RJ45  OD:5.5±0.3mm</t>
    <phoneticPr fontId="2" type="noConversion"/>
  </si>
  <si>
    <t>KSFP1U205NPCEF</t>
    <phoneticPr fontId="2" type="noConversion"/>
  </si>
  <si>
    <t>KSET24FO</t>
    <phoneticPr fontId="2" type="noConversion"/>
  </si>
  <si>
    <t>732690 9890</t>
  </si>
  <si>
    <t>Elendil / Coris</t>
    <phoneticPr fontId="2" type="noConversion"/>
  </si>
  <si>
    <t>FOB USD/unit (CN)
EXW Eur/unit (TK)</t>
    <phoneticPr fontId="2" type="noConversion"/>
  </si>
  <si>
    <t>KSONO2X15ZHB2BR10</t>
    <phoneticPr fontId="2" type="noConversion"/>
  </si>
  <si>
    <t>KSONO4X15ZHB2BR10</t>
    <phoneticPr fontId="2" type="noConversion"/>
  </si>
  <si>
    <t>KSONO7X15ZHB2BR10</t>
    <phoneticPr fontId="2" type="noConversion"/>
  </si>
  <si>
    <t>KSONO8X15ZHB2BR10</t>
    <phoneticPr fontId="2" type="noConversion"/>
  </si>
  <si>
    <t>KSONO12X15ZHB2BR10</t>
    <phoneticPr fontId="2" type="noConversion"/>
  </si>
  <si>
    <t>KSONO24X15ZHB2BR10</t>
    <phoneticPr fontId="2" type="noConversion"/>
  </si>
  <si>
    <t>KSONO4X25ZHB2BR10</t>
    <phoneticPr fontId="2" type="noConversion"/>
  </si>
  <si>
    <t>KSONO7X25ZHB2BR10</t>
    <phoneticPr fontId="2" type="noConversion"/>
  </si>
  <si>
    <t>KSONO12X25ZHB2BR10</t>
    <phoneticPr fontId="2" type="noConversion"/>
  </si>
  <si>
    <t>KSONO4X6ZHB2BR10</t>
    <phoneticPr fontId="2" type="noConversion"/>
  </si>
  <si>
    <t>KSONO4X15NZHB2BR10</t>
    <phoneticPr fontId="2" type="noConversion"/>
  </si>
  <si>
    <t>KCDOS2SCLC10MEF</t>
    <phoneticPr fontId="2" type="noConversion"/>
  </si>
  <si>
    <t>SC/LC OS2 DUPLEX OPTICAL PATCH CORD 10M ECO FRIENDLY BAG</t>
    <phoneticPr fontId="2" type="noConversion"/>
  </si>
  <si>
    <t>JARRETIERE OPTIQUE DUPLEX SC/LC OS2 10M SAC ÉCOLOGIQUE</t>
    <phoneticPr fontId="2" type="noConversion"/>
  </si>
  <si>
    <t>KCDOM4LCLC10MEF</t>
    <phoneticPr fontId="2" type="noConversion"/>
  </si>
  <si>
    <t>LC/LC OM4 DUPLEX OPTICAL PATCH CORD 10M ECO FRIENDLY BAG</t>
    <phoneticPr fontId="2" type="noConversion"/>
  </si>
  <si>
    <t>JARRETIERE OPTIQUE DUPLEX LC/LC OM4 10M SAC ÉCOLOGIQUE</t>
    <phoneticPr fontId="2" type="noConversion"/>
  </si>
  <si>
    <t>SOLID CABLE CAT6A</t>
    <phoneticPr fontId="2" type="noConversion"/>
  </si>
  <si>
    <t>KCFU6A4PZHDBL5</t>
    <phoneticPr fontId="2" type="noConversion"/>
  </si>
  <si>
    <t>KCFU6A8PZHDBL5</t>
    <phoneticPr fontId="2" type="noConversion"/>
  </si>
  <si>
    <t>KCFU6A4PZHDBLB</t>
    <phoneticPr fontId="2" type="noConversion"/>
  </si>
  <si>
    <t>KCFU6A4PZHCBL5</t>
    <phoneticPr fontId="2" type="noConversion"/>
  </si>
  <si>
    <t>KCFU6A4PZHB2BL5</t>
    <phoneticPr fontId="2" type="noConversion"/>
  </si>
  <si>
    <t>CAT6A CABLE F/UTP 4 PAIRS AWG23 TESTED UP TO 650MHz LSZH CPR DCA BLUE RAL5024 500M</t>
    <phoneticPr fontId="2" type="noConversion"/>
  </si>
  <si>
    <t>CAT6A CABLE F/UTP 2x4 PAIRS AWG23 TESTED UP TO 650MHz LSZH CPR DCA BLUE RAL5024 500M</t>
    <phoneticPr fontId="2" type="noConversion"/>
  </si>
  <si>
    <t>CAT6A CABLE F/UTP 4 PAIRS AWG23 TESTED UP TO 650MHz LSZH CPR DCA BLUE RAL5024 B305M</t>
    <phoneticPr fontId="2" type="noConversion"/>
  </si>
  <si>
    <t>CAT6A CABLE F/UTP 4 PAIRS AWG23 TESTED UP TO 650MHz LSZH CPR CCA BLUE RAL5024 500M</t>
    <phoneticPr fontId="2" type="noConversion"/>
  </si>
  <si>
    <t>CAT6A CABLE F/UTP 4 PAIRS AWG23 TESTED UP TO 650MHz LSZH CPR B2CA BLUE RAL5024 500M</t>
    <phoneticPr fontId="2" type="noConversion"/>
  </si>
  <si>
    <t>CÂBLE CAT6A F/UTP 4 PAIRES AWG23 TEST A 650MHz LSZH CPR DCA BLEU RAL5024 500M</t>
    <phoneticPr fontId="2" type="noConversion"/>
  </si>
  <si>
    <t>CÂBLE CAT6A F/UTP 2x4 PAIRES AWG23 TEST A 650MHz LSZH CPR DCA BLEU RAL5024 500M</t>
    <phoneticPr fontId="2" type="noConversion"/>
  </si>
  <si>
    <t>CÂBLE CAT6A F/UTP 4 PAIRES AWG23 TEST A 650MHz LSZH CPR CCA BLEU RAL5024 500M</t>
    <phoneticPr fontId="2" type="noConversion"/>
  </si>
  <si>
    <t>CÂBLE CAT6A F/UTP 4 PAIRES AWG23 TEST A 650MHz LSZH CPR B2CA BLEU RAL5024 500M</t>
    <phoneticPr fontId="2" type="noConversion"/>
  </si>
  <si>
    <t>KSF74PLZHDOUT5</t>
    <phoneticPr fontId="2" type="noConversion"/>
  </si>
  <si>
    <t>Dca</t>
    <phoneticPr fontId="2" type="noConversion"/>
  </si>
  <si>
    <t>AYP</t>
    <phoneticPr fontId="16" type="noConversion"/>
  </si>
  <si>
    <t>LY</t>
    <phoneticPr fontId="2" type="noConversion"/>
  </si>
  <si>
    <t>UnShielded</t>
    <phoneticPr fontId="2" type="noConversion"/>
  </si>
  <si>
    <t>CAT5E CABLE U/UTP 4 PAIRS AWG24 TEST UP TO 200MHz PVC CPR ECA WHITE RAL7035 500M</t>
  </si>
  <si>
    <t>CAT6 PATCH CORD U/UTP WHITE LSZH 0.5M</t>
  </si>
  <si>
    <t>CAT6 PATCH CORD U/UTP WHITE LSZH 1M</t>
  </si>
  <si>
    <t>CAT6 PATCH CORD U/UTP WHITE LSZH 2M</t>
  </si>
  <si>
    <t>CAT6 PATCH CORD U/UTP WHITE LSZH 3M</t>
  </si>
  <si>
    <t>CAT6 PATCH CORD U/UTP WHITE LSZH 5M</t>
  </si>
  <si>
    <t>CAT6 PATCH CORD U/UTP WHITE LSZH 10M</t>
  </si>
  <si>
    <t>CAT6A PATCH CORD U/UTP WHITE LSZH 0.5M</t>
  </si>
  <si>
    <t>CAT6A PATCH CORD U/UTP WHITE LSZH 1M</t>
  </si>
  <si>
    <t>CAT6A PATCH CORD U/UTP WHITE LSZH 2M</t>
  </si>
  <si>
    <t>CAT6A PATCH CORD U/UTP WHITE LSZH 3M</t>
  </si>
  <si>
    <t>CAT6A PATCH CORD U/UTP WHITE LSZH 5M</t>
  </si>
  <si>
    <t>CAT6A PATCH CORD U/UTP WHITE LSZH 10M</t>
  </si>
  <si>
    <t>CAT6A PATCH CORD S/FTP GREY LSZH 0.3M</t>
    <phoneticPr fontId="2" type="noConversion"/>
  </si>
  <si>
    <t>CAT6A PATCH CORD S/FTP GREY LSZH 0.5M</t>
    <phoneticPr fontId="2" type="noConversion"/>
  </si>
  <si>
    <t>CAT6A PATCH CORD S/FTP GREY LSZH 1M</t>
    <phoneticPr fontId="2" type="noConversion"/>
  </si>
  <si>
    <t>CAT6A PATCH CORD S/FTP GREY LSZH 2M</t>
    <phoneticPr fontId="2" type="noConversion"/>
  </si>
  <si>
    <t>CORDON DE BRASSAGE CAT6 U/UTP BLANC LSZH 0,5M</t>
  </si>
  <si>
    <t>CORDON DE BRASSAGE CAT6 U/UTP BLANC LSZH 1M</t>
  </si>
  <si>
    <t>CORDON DE BRASSAGE CAT6 U/UTP BLANC LSZH 2M</t>
  </si>
  <si>
    <t>CORDON DE BRASSAGE CAT6 U/UTP BLANC LSZH 3M</t>
  </si>
  <si>
    <t>CORDON DE BRASSAGE CAT6 U/UTP BLANC LSZH 5M</t>
  </si>
  <si>
    <t>CORDON DE BRASSAGE CAT6 U/UTP BLANC LSZH 10M</t>
  </si>
  <si>
    <t>CORDON DE BRASSAGE CAT6A S/FTP GRIS LSZH 0,3M</t>
    <phoneticPr fontId="2" type="noConversion"/>
  </si>
  <si>
    <t>CORDON DE BRASSAGE CAT6 U/UTP BLANC LSZH 0,3M</t>
    <phoneticPr fontId="2" type="noConversion"/>
  </si>
  <si>
    <t>CAT6A PATCH CORD U/UTP WHITE LSZH 0.3M</t>
    <phoneticPr fontId="2" type="noConversion"/>
  </si>
  <si>
    <t>KPUU6ZHWH03EF</t>
    <phoneticPr fontId="2" type="noConversion"/>
  </si>
  <si>
    <t>KPUU6ZHWH05EF</t>
    <phoneticPr fontId="2" type="noConversion"/>
  </si>
  <si>
    <t>KPUU6ZHWH1EF</t>
    <phoneticPr fontId="2" type="noConversion"/>
  </si>
  <si>
    <t>KPUU6ZHWH2EF</t>
    <phoneticPr fontId="2" type="noConversion"/>
  </si>
  <si>
    <t>KPUU6ZHWH3EF</t>
    <phoneticPr fontId="2" type="noConversion"/>
  </si>
  <si>
    <t>KPUU6ZHWH5EF</t>
    <phoneticPr fontId="2" type="noConversion"/>
  </si>
  <si>
    <t>KPUU6ZHWH10EF</t>
    <phoneticPr fontId="2" type="noConversion"/>
  </si>
  <si>
    <t>CAT6 PATCH CORD U/UTP GREY LSZH 0.5M</t>
  </si>
  <si>
    <t>CAT6 PATCH CORD U/UTP GREY LSZH 1M</t>
  </si>
  <si>
    <t>CAT6 PATCH CORD U/UTP GREY LSZH 2M</t>
  </si>
  <si>
    <t>CAT6 PATCH CORD U/UTP GREY LSZH 3M</t>
  </si>
  <si>
    <t>CAT6 PATCH CORD U/UTP GREY LSZH 5M</t>
  </si>
  <si>
    <t>CAT6 PATCH CORD U/UTP GREY LSZH 10M</t>
  </si>
  <si>
    <t>CAT6 PATCH CORD U/UTP GREY LSZH SLIM 0.5M</t>
  </si>
  <si>
    <t>CAT6 PATCH CORD U/UTP GREY LSZH SLIM 1M</t>
  </si>
  <si>
    <t>CAT6 PATCH CORD U/UTP GREY LSZH SLIM 2M</t>
  </si>
  <si>
    <t>CAT6 PATCH CORD U/UTP GREY LSZH SLIM 3M</t>
  </si>
  <si>
    <t>CAT6 PATCH CORD U/UTP GREY LSZH SLIM 5M</t>
  </si>
  <si>
    <t>CAT6 PATCH CORD U/UTP GREY LSZH SLIM 10M</t>
  </si>
  <si>
    <t>CAT6 PATCH CORD U/UTP WHITE LSZH 0.3M</t>
    <phoneticPr fontId="2" type="noConversion"/>
  </si>
  <si>
    <t>CORDON DE BRASSAGE CAT6 U/UTP GRIS LSZH 0,3M</t>
    <phoneticPr fontId="2" type="noConversion"/>
  </si>
  <si>
    <t>KPUU6AZHWH03EF</t>
    <phoneticPr fontId="2" type="noConversion"/>
  </si>
  <si>
    <t>KPUU6AZHWH05EF</t>
    <phoneticPr fontId="2" type="noConversion"/>
  </si>
  <si>
    <t>KPUU6AZHWH1EF</t>
    <phoneticPr fontId="2" type="noConversion"/>
  </si>
  <si>
    <t>KPUU6AZHWH5EF</t>
    <phoneticPr fontId="2" type="noConversion"/>
  </si>
  <si>
    <t>KPUU6AZHWH10EF</t>
    <phoneticPr fontId="2" type="noConversion"/>
  </si>
  <si>
    <t>CORDON DE BRASSAGE CAT6A U/UTP BLANC LSZH 0,5M</t>
  </si>
  <si>
    <t>CORDON DE BRASSAGE CAT6A U/UTP BLANC LSZH 1M</t>
  </si>
  <si>
    <t>CORDON DE BRASSAGE CAT6A U/UTP BLANC LSZH 2M</t>
  </si>
  <si>
    <t>CORDON DE BRASSAGE CAT6A U/UTP BLANC LSZH 3M</t>
  </si>
  <si>
    <t>CORDON DE BRASSAGE CAT6A U/UTP BLANC LSZH 5M</t>
  </si>
  <si>
    <t>CORDON DE BRASSAGE CAT6A U/UTP BLANC LSZH 10M</t>
  </si>
  <si>
    <t>CÂBLE CAT5E U/UTP 4 PAIRES AWG24 TEST A 200MHz PVC CPR ECA BLANC RAL7035 500M</t>
  </si>
  <si>
    <t>CORDON DE BRASSAGE CAT6A U/UTP BLANC LSZH 0,3M</t>
    <phoneticPr fontId="2" type="noConversion"/>
  </si>
  <si>
    <t>CAT6A PATCH CORD U/UTP GREY LSZH 0.5M</t>
  </si>
  <si>
    <t>CAT6A PATCH CORD U/UTP GREY LSZH 1M</t>
  </si>
  <si>
    <t>CAT6A PATCH CORD U/UTP GREY LSZH 2M</t>
  </si>
  <si>
    <t>CAT6A PATCH CORD U/UTP GREY LSZH 3M</t>
  </si>
  <si>
    <t>CAT6A PATCH CORD U/UTP GREY LSZH 5M</t>
  </si>
  <si>
    <t>CAT6A PATCH CORD U/UTP GREY LSZH 10M</t>
  </si>
  <si>
    <t>CAT6A PATCH CORD U/UTP GREY LSZH SLIM 0.5M</t>
  </si>
  <si>
    <t>CAT6A PATCH CORD U/UTP GREY LSZH SLIM 1M</t>
  </si>
  <si>
    <t>CAT6A PATCH CORD U/UTP GREY LSZH SLIM 2M</t>
  </si>
  <si>
    <t>CAT6A PATCH CORD U/UTP GREY LSZH SLIM 3M</t>
  </si>
  <si>
    <t>CAT6A PATCH CORD U/UTP GREY LSZH SLIM 5M</t>
  </si>
  <si>
    <t>CAT6A PATCH CORD U/UTP GREY LSZH SLIM 10M</t>
  </si>
  <si>
    <t>Yes</t>
    <phoneticPr fontId="2" type="noConversion"/>
  </si>
  <si>
    <t>SYT CABLES</t>
    <phoneticPr fontId="2" type="noConversion"/>
  </si>
  <si>
    <t>SYT 2</t>
    <phoneticPr fontId="2" type="noConversion"/>
  </si>
  <si>
    <t>KSYT2A245PZHB2BR5</t>
    <phoneticPr fontId="2" type="noConversion"/>
  </si>
  <si>
    <t>KSYT2A2410ZHB2BR5</t>
    <phoneticPr fontId="2" type="noConversion"/>
  </si>
  <si>
    <t>KSYT2A2415ZHB2BR5</t>
    <phoneticPr fontId="2" type="noConversion"/>
  </si>
  <si>
    <t>KSYT2A2456ZHB2BR5</t>
    <phoneticPr fontId="2" type="noConversion"/>
  </si>
  <si>
    <t>KSYT2A24112ZHB2BR5</t>
    <phoneticPr fontId="2" type="noConversion"/>
  </si>
  <si>
    <t>KSYT2A205ZHB2BR5</t>
    <phoneticPr fontId="2" type="noConversion"/>
  </si>
  <si>
    <t>KSYT2A2010ZHB2BR5</t>
    <phoneticPr fontId="2" type="noConversion"/>
  </si>
  <si>
    <t>KSYT2A2015ZHB2BR5</t>
    <phoneticPr fontId="2" type="noConversion"/>
  </si>
  <si>
    <t>KSYT2A2056ZHB2BR5</t>
    <phoneticPr fontId="2" type="noConversion"/>
  </si>
  <si>
    <t>KSYT2A20112ZHB2BR5</t>
    <phoneticPr fontId="2" type="noConversion"/>
  </si>
  <si>
    <t>T/T 30 days</t>
    <phoneticPr fontId="2" type="noConversion"/>
  </si>
  <si>
    <t>KK</t>
    <phoneticPr fontId="2" type="noConversion"/>
  </si>
  <si>
    <t>B2ca</t>
    <phoneticPr fontId="2" type="noConversion"/>
  </si>
  <si>
    <t>HT</t>
    <phoneticPr fontId="2" type="noConversion"/>
  </si>
  <si>
    <t>China</t>
    <phoneticPr fontId="2" type="noConversion"/>
  </si>
  <si>
    <t>30 km</t>
    <phoneticPr fontId="2" type="noConversion"/>
  </si>
  <si>
    <t>KCSF6A4PZHCBL5</t>
    <phoneticPr fontId="2" type="noConversion"/>
  </si>
  <si>
    <t>PANNEAU DE BRASSAGE EN MÉTAL 19 POUCES 1U 24 PORTS RJ45 KEYSTONE
MISE À LA TERRE AUTOMATIQUE ET OUIES DE FIXATION DÉCOUPÉES</t>
  </si>
  <si>
    <t>PANNEAU DE BRASSAGE EN MÉTAL 19 POUCES 2U 48 PORTS RJ45 KEYSTONE</t>
  </si>
  <si>
    <t>FIELD PLUG CAT8</t>
    <phoneticPr fontId="2" type="noConversion"/>
  </si>
  <si>
    <t>CTK</t>
    <phoneticPr fontId="2" type="noConversion"/>
  </si>
  <si>
    <t>KCSF78PZHDOR5</t>
    <phoneticPr fontId="2" type="noConversion"/>
  </si>
  <si>
    <t>1pc per eco bag -&gt; 24pcs per transparent polybag</t>
    <phoneticPr fontId="2" type="noConversion"/>
  </si>
  <si>
    <t>KCDOM3SCSC15MEF</t>
    <phoneticPr fontId="2" type="noConversion"/>
  </si>
  <si>
    <t>SC/SC OM3 DUPLEX OPTICAL PATCH CORD 10M ECO FRIENDLY BAG</t>
    <phoneticPr fontId="2" type="noConversion"/>
  </si>
  <si>
    <t>SC/SC OM3 DUPLEX OPTICAL PATCH CORD 15M ECO FRIENDLY BAG</t>
    <phoneticPr fontId="2" type="noConversion"/>
  </si>
  <si>
    <t xml:space="preserve">JARRETIERE OPTIQUE DUPLEX SC/SC OM3 10M SAC ÉCOLOGIQUE </t>
    <phoneticPr fontId="2" type="noConversion"/>
  </si>
  <si>
    <t>JARRETIERE OPTIQUE DUPLEX SC/SC OM3 15M SAC ÉCOLOGIQUE</t>
    <phoneticPr fontId="2" type="noConversion"/>
  </si>
  <si>
    <t>KCDOM3SCLC15MEF</t>
    <phoneticPr fontId="2" type="noConversion"/>
  </si>
  <si>
    <t>SC/LC OM3 DUPLEX OPTICAL PATCH CORD 10M ECO FRIENDLY BAG</t>
    <phoneticPr fontId="2" type="noConversion"/>
  </si>
  <si>
    <t>SC/LC OM3 DUPLEX OPTICAL PATCH CORD 15M ECO FRIENDLY BAG</t>
    <phoneticPr fontId="2" type="noConversion"/>
  </si>
  <si>
    <t>JARRETIERE OPTIQUE DUPLEX SC/LC OM3 10M SAC ÉCOLOGIQUE</t>
    <phoneticPr fontId="2" type="noConversion"/>
  </si>
  <si>
    <t>JARRETIERE OPTIQUE DUPLEX SC/LC OM3 15M SAC ÉCOLOGIQUE</t>
    <phoneticPr fontId="2" type="noConversion"/>
  </si>
  <si>
    <t>KCDOM3LCLC10MEF</t>
    <phoneticPr fontId="2" type="noConversion"/>
  </si>
  <si>
    <t>KCDOM3LCLC15MEF</t>
    <phoneticPr fontId="2" type="noConversion"/>
  </si>
  <si>
    <t>LC/LC OM3 DUPLEX OPTICAL PATCH CORD 10M ECO FRIENDLY BAG</t>
    <phoneticPr fontId="2" type="noConversion"/>
  </si>
  <si>
    <t>LC/LC OM3 DUPLEX OPTICAL PATCH CORD 15M ECO FRIENDLY BAG</t>
    <phoneticPr fontId="2" type="noConversion"/>
  </si>
  <si>
    <t>JARRETIERE OPTIQUE DUPLEX LC/LC OM3 10M SAC ÉCOLOGIQUE</t>
    <phoneticPr fontId="2" type="noConversion"/>
  </si>
  <si>
    <t>JARRETIERE OPTIQUE DUPLEX LC/LC OM3 15M SAC ÉCOLOGIQUE</t>
    <phoneticPr fontId="2" type="noConversion"/>
  </si>
  <si>
    <t>KCDOM4SCSC10MEF</t>
    <phoneticPr fontId="2" type="noConversion"/>
  </si>
  <si>
    <t>KCDOM4SCSC15MEF</t>
    <phoneticPr fontId="2" type="noConversion"/>
  </si>
  <si>
    <t>SC/SC OM4 DUPLEX OPTICAL PATCH CORD 10M ECO FRIENDLY BAG</t>
    <phoneticPr fontId="2" type="noConversion"/>
  </si>
  <si>
    <t>SC/SC OM4 DUPLEX OPTICAL PATCH CORD 15M ECO FRIENDLY BAG</t>
    <phoneticPr fontId="2" type="noConversion"/>
  </si>
  <si>
    <t>JARRETIERE OPTIQUE DUPLEX SC/SC OM4 10M SAC ÉCOLOGIQUE</t>
    <phoneticPr fontId="2" type="noConversion"/>
  </si>
  <si>
    <t>JARRETIERE OPTIQUE DUPLEX SC/SC OM4 15M SAC ÉCOLOGIQUE</t>
    <phoneticPr fontId="2" type="noConversion"/>
  </si>
  <si>
    <t>KCDOM4SCLC10MEF</t>
    <phoneticPr fontId="2" type="noConversion"/>
  </si>
  <si>
    <t>KCDOM4SCLC15MEF</t>
    <phoneticPr fontId="2" type="noConversion"/>
  </si>
  <si>
    <t>SC/LC OM4 DUPLEX OPTICAL PATCH CORD 10M ECO FRIENDLY BAG</t>
    <phoneticPr fontId="2" type="noConversion"/>
  </si>
  <si>
    <t>SC/LC OM4 DUPLEX OPTICAL PATCH CORD 15M ECO FRIENDLY BAG</t>
    <phoneticPr fontId="2" type="noConversion"/>
  </si>
  <si>
    <t>JARRETIERE OPTIQUE DUPLEX SC/LC OM4 10M SAC ÉCOLOGIQUE</t>
    <phoneticPr fontId="2" type="noConversion"/>
  </si>
  <si>
    <t>JARRETIERE OPTIQUE DUPLEX SC/LC OM4 15M SAC ÉCOLOGIQUE</t>
    <phoneticPr fontId="2" type="noConversion"/>
  </si>
  <si>
    <t>KCDOM4LCLC15MEF</t>
    <phoneticPr fontId="2" type="noConversion"/>
  </si>
  <si>
    <t>LC/LC OM4 DUPLEX OPTICAL PATCH CORD 15M ECO FRIENDLY BAG</t>
    <phoneticPr fontId="2" type="noConversion"/>
  </si>
  <si>
    <t>JARRETIERE OPTIQUE DUPLEX LC/LC OM4 15M SAC ÉCOLOGIQUE</t>
    <phoneticPr fontId="2" type="noConversion"/>
  </si>
  <si>
    <t>KCDOM5SCSC10MEF</t>
    <phoneticPr fontId="2" type="noConversion"/>
  </si>
  <si>
    <t>KCDOM5SCSC15MEF</t>
    <phoneticPr fontId="2" type="noConversion"/>
  </si>
  <si>
    <t>SC/SC OM5 DUPLEX OPTICAL PATCH CORD 10M ECO FRIENDLY BAG</t>
    <phoneticPr fontId="2" type="noConversion"/>
  </si>
  <si>
    <t>SC/SC OM5 DUPLEX OPTICAL PATCH CORD 15M ECO FRIENDLY BAG</t>
    <phoneticPr fontId="2" type="noConversion"/>
  </si>
  <si>
    <t>JARRETIERE OPTIQUE DUPLEX SC/SC OM5 10M SAC ÉCOLOGIQUE</t>
    <phoneticPr fontId="2" type="noConversion"/>
  </si>
  <si>
    <t>JARRETIERE OPTIQUE DUPLEX SC/SC OM5 15M SAC ÉCOLOGIQUE</t>
    <phoneticPr fontId="2" type="noConversion"/>
  </si>
  <si>
    <t>KCDOM5SCLC10MEF</t>
    <phoneticPr fontId="2" type="noConversion"/>
  </si>
  <si>
    <t>KCDOM5SCLC15MEF</t>
    <phoneticPr fontId="2" type="noConversion"/>
  </si>
  <si>
    <t>SC/LC OM5 DUPLEX OPTICAL PATCH CORD 10M ECO FRIENDLY BAG</t>
    <phoneticPr fontId="2" type="noConversion"/>
  </si>
  <si>
    <t>SC/LC OM5 DUPLEX OPTICAL PATCH CORD 15M ECO FRIENDLY BAG</t>
    <phoneticPr fontId="2" type="noConversion"/>
  </si>
  <si>
    <t>JARRETIERE OPTIQUE DUPLEX SC/LC OM5 10M SAC ÉCOLOGIQUE</t>
    <phoneticPr fontId="2" type="noConversion"/>
  </si>
  <si>
    <t>JARRETIERE OPTIQUE DUPLEX SC/LC OM5 15M SAC ÉCOLOGIQUE</t>
    <phoneticPr fontId="2" type="noConversion"/>
  </si>
  <si>
    <t>KCDOM5LCLC10MEF</t>
    <phoneticPr fontId="2" type="noConversion"/>
  </si>
  <si>
    <t>KCDOM5LCLC15MEF</t>
    <phoneticPr fontId="2" type="noConversion"/>
  </si>
  <si>
    <t>LC/LC OM5 DUPLEX OPTICAL PATCH CORD 10M ECO FRIENDLY BAG</t>
    <phoneticPr fontId="2" type="noConversion"/>
  </si>
  <si>
    <t>LC/LC OM5 DUPLEX OPTICAL PATCH CORD 15M ECO FRIENDLY BAG</t>
    <phoneticPr fontId="2" type="noConversion"/>
  </si>
  <si>
    <t>JARRETIERE OPTIQUE DUPLEX LC/LC OM5 10M SAC ÉCOLOGIQUE</t>
    <phoneticPr fontId="2" type="noConversion"/>
  </si>
  <si>
    <t>JARRETIERE OPTIQUE DUPLEX LC/LC OM5 15M SAC ÉCOLOGIQUE</t>
    <phoneticPr fontId="2" type="noConversion"/>
  </si>
  <si>
    <t>KCDOS2SCSC10MEF</t>
    <phoneticPr fontId="2" type="noConversion"/>
  </si>
  <si>
    <t>KCDOS2SCSC15MEF</t>
    <phoneticPr fontId="2" type="noConversion"/>
  </si>
  <si>
    <t>SC/SC OS2 DUPLEX OPTICAL PATCH CORD 10M ECO FRIENDLY BAG</t>
    <phoneticPr fontId="2" type="noConversion"/>
  </si>
  <si>
    <t>SC/SC OS2 DUPLEX OPTICAL PATCH CORD 15M ECO FRIENDLY BAG</t>
    <phoneticPr fontId="2" type="noConversion"/>
  </si>
  <si>
    <t>JARRETIERE OPTIQUE DUPLEX SC/SC OS2 10M SAC ÉCOLOGIQUE</t>
    <phoneticPr fontId="2" type="noConversion"/>
  </si>
  <si>
    <t>JARRETIERE OPTIQUE DUPLEX SC/SC OS2 15M SAC ÉCOLOGIQUE</t>
    <phoneticPr fontId="2" type="noConversion"/>
  </si>
  <si>
    <t>KCDOS2SCLC15MEF</t>
    <phoneticPr fontId="2" type="noConversion"/>
  </si>
  <si>
    <t>SC/LC OS2 DUPLEX OPTICAL PATCH CORD 15M ECO FRIENDLY BAG</t>
    <phoneticPr fontId="2" type="noConversion"/>
  </si>
  <si>
    <t>JARRETIERE OPTIQUE DUPLEX SC/LC OS2 15M SAC ÉCOLOGIQUE</t>
    <phoneticPr fontId="2" type="noConversion"/>
  </si>
  <si>
    <t>KCDOS2LCLC10MEF</t>
    <phoneticPr fontId="2" type="noConversion"/>
  </si>
  <si>
    <t>KCDOS2LCLC15MEF</t>
    <phoneticPr fontId="2" type="noConversion"/>
  </si>
  <si>
    <t>LC/LC OS2 DUPLEX OPTICAL PATCH CORD 10M ECO FRIENDLY BAG</t>
    <phoneticPr fontId="2" type="noConversion"/>
  </si>
  <si>
    <t>LC/LC OS2 DUPLEX OPTICAL PATCH CORD 15M ECO FRIENDLY BAG</t>
    <phoneticPr fontId="2" type="noConversion"/>
  </si>
  <si>
    <t>JARRETIERE OPTIQUE DUPLEX LC/LC OS2 10M SAC ÉCOLOGIQUE</t>
    <phoneticPr fontId="2" type="noConversion"/>
  </si>
  <si>
    <t>JARRETIERE OPTIQUE DUPLEX LC/LC OS2 15M SAC ÉCOLOGIQUE</t>
    <phoneticPr fontId="2" type="noConversion"/>
  </si>
  <si>
    <t>KCSF7A4PBZHB2BR5</t>
    <phoneticPr fontId="2" type="noConversion"/>
  </si>
  <si>
    <t>KFO12OS2CTZHC</t>
    <phoneticPr fontId="2" type="noConversion"/>
  </si>
  <si>
    <t>KFO24OS2CTZHC</t>
    <phoneticPr fontId="2" type="noConversion"/>
  </si>
  <si>
    <t>12FO OS2 CENTRAL LOOSE TUBE LSZH UNIVERSAL Cca YELLOW RAL1021</t>
    <phoneticPr fontId="2" type="noConversion"/>
  </si>
  <si>
    <t>24FO OS2 CENTRAL LOOSE TUBE LSZH UNIVERSAL Cca YELLOW RAL1021</t>
    <phoneticPr fontId="2" type="noConversion"/>
  </si>
  <si>
    <t>12FO OS2 TUBE CENTRAL STRUCTURE LIBRE LSZH UNIVERSEL Cca JAUNE RAL1021</t>
    <phoneticPr fontId="2" type="noConversion"/>
  </si>
  <si>
    <t>24FO OS2 TUBE CENTRAL STRUCTURE LIBRE LSZH UNIVERSEL Cca JAUNE RAL1021</t>
    <phoneticPr fontId="2" type="noConversion"/>
  </si>
  <si>
    <t>Cca</t>
    <phoneticPr fontId="2" type="noConversion"/>
  </si>
  <si>
    <t>KFO48OS2MTZHC</t>
    <phoneticPr fontId="2" type="noConversion"/>
  </si>
  <si>
    <t>48FO OS2 MULTI LOOSE TUBE LSZH UNIVERSAL Cca YELLOW RAL1021</t>
    <phoneticPr fontId="2" type="noConversion"/>
  </si>
  <si>
    <t>48FO OS2 MULTI TUBE STRUCTURE LIBRE LSZH UNIVERSEL Cca JAUNE RAL1021</t>
    <phoneticPr fontId="2" type="noConversion"/>
  </si>
  <si>
    <t>MULTI TUBE UNIVERSAL DOUBLE JACKET</t>
    <phoneticPr fontId="2" type="noConversion"/>
  </si>
  <si>
    <t>KFO12OM3CTZHC</t>
    <phoneticPr fontId="2" type="noConversion"/>
  </si>
  <si>
    <t>KFO24OM3CTZHC</t>
    <phoneticPr fontId="2" type="noConversion"/>
  </si>
  <si>
    <t>12FO OM3 CENTRAL LOOSE TUBE LSZH UNIVERSAL Cca AQUA RAL6027</t>
    <phoneticPr fontId="2" type="noConversion"/>
  </si>
  <si>
    <t>24FO OM3 CENTRAL LOOSE TUBE LSZH UNIVERSAL Cca AQUA RAL6027</t>
    <phoneticPr fontId="2" type="noConversion"/>
  </si>
  <si>
    <t>12FO OM3 TUBE CENTRAL STRUCTURE LIBRE LSZH UNIVERSEL Cca AQUA RAL6027</t>
    <phoneticPr fontId="2" type="noConversion"/>
  </si>
  <si>
    <t>24FO OM3 TUBE CENTRAL STRUCTURE LIBRE LSZH UNIVERSEL Cca AQUA RAL6027</t>
    <phoneticPr fontId="2" type="noConversion"/>
  </si>
  <si>
    <t>48FO OM3 MULTI LOOSE TUBE LSZH UNIVERSAL Cca AQUA RAL6027</t>
    <phoneticPr fontId="2" type="noConversion"/>
  </si>
  <si>
    <t>48FO OM3 MULTI TUBE STRUCTURE LIBRE LSZH UNIVERSEL Cca AQUA RAL6027</t>
    <phoneticPr fontId="2" type="noConversion"/>
  </si>
  <si>
    <t>OM3</t>
    <phoneticPr fontId="2" type="noConversion"/>
  </si>
  <si>
    <t>KFO24OM4CTZHC</t>
    <phoneticPr fontId="2" type="noConversion"/>
  </si>
  <si>
    <t>KFO48OM4MTZHC</t>
    <phoneticPr fontId="2" type="noConversion"/>
  </si>
  <si>
    <t>24FO OM4 CENTRAL LOOSE TUBE LSZH UNIVERSAL Cca ERIKA VIOLET RAL4003</t>
    <phoneticPr fontId="2" type="noConversion"/>
  </si>
  <si>
    <t>48FO OM4 MULTI LOOSE TUBE LSZH UNIVERSAL Cca ERIKA VIOLET RAL4003</t>
    <phoneticPr fontId="2" type="noConversion"/>
  </si>
  <si>
    <t>24FO OM4 TUBE CENTRAL STRUCTURE LIBRE LSZH UNIVERSEL Cca VIOLET ERIKA RAL4003</t>
    <phoneticPr fontId="2" type="noConversion"/>
  </si>
  <si>
    <t>48FO OM4 MULTI TUBE STRUCTURE LIBRE LSZH UNIVERSEL Cca VIOLET ERIKA RAL4003</t>
    <phoneticPr fontId="2" type="noConversion"/>
  </si>
  <si>
    <t>OM4</t>
    <phoneticPr fontId="2" type="noConversion"/>
  </si>
  <si>
    <t>AYP</t>
    <phoneticPr fontId="2" type="noConversion"/>
  </si>
  <si>
    <t>OEFU64PXSDWHT5</t>
    <phoneticPr fontId="2" type="noConversion"/>
  </si>
  <si>
    <t>OEFU64PXSDWHTB</t>
    <phoneticPr fontId="2" type="noConversion"/>
  </si>
  <si>
    <t>KCU6A4PLZHDBL5</t>
    <phoneticPr fontId="2" type="noConversion"/>
  </si>
  <si>
    <t>KJ6AUHQEF24</t>
    <phoneticPr fontId="2" type="noConversion"/>
  </si>
  <si>
    <t>KPSF6AZH03EF</t>
    <phoneticPr fontId="2" type="noConversion"/>
  </si>
  <si>
    <t>KPIGOS2LC2MEF</t>
    <phoneticPr fontId="2" type="noConversion"/>
  </si>
  <si>
    <t>KSFP1UFP24SCSEF</t>
    <phoneticPr fontId="2" type="noConversion"/>
  </si>
  <si>
    <t>LC DUPLEX SINGLEMODE BLUE ADAPTOR 40PCS PER ECO FRIENDLY BAG</t>
    <phoneticPr fontId="2" type="noConversion"/>
  </si>
  <si>
    <t>LC DUPLEX MULTIMODE BEIGE ADAPTOR 40PCS PER ECO FRIENDLY BAG</t>
    <phoneticPr fontId="2" type="noConversion"/>
  </si>
  <si>
    <t>LC OM4 PIGTAIL 2 METERS ECO FRIENDLY BAG</t>
    <phoneticPr fontId="2" type="noConversion"/>
  </si>
  <si>
    <t>LC OS2 PIGTAIL 2 METERS ECO FRIENDLY BAG</t>
    <phoneticPr fontId="2" type="noConversion"/>
  </si>
  <si>
    <t>LC/LC OM4 DUPLEX OPTICAL PATCH CORD 1M ECO FRIENDLY BAG</t>
    <phoneticPr fontId="2" type="noConversion"/>
  </si>
  <si>
    <t>LC/LC OS2 DUPLEX OPTICAL PATCH CORD 1M ECO FRIENDLY BAG</t>
    <phoneticPr fontId="2" type="noConversion"/>
  </si>
  <si>
    <t>No</t>
    <phoneticPr fontId="2" type="noConversion"/>
  </si>
  <si>
    <t>Yes</t>
    <phoneticPr fontId="2" type="noConversion"/>
  </si>
  <si>
    <t>B2ca</t>
    <phoneticPr fontId="2" type="noConversion"/>
  </si>
  <si>
    <t>ZD</t>
    <phoneticPr fontId="2" type="noConversion"/>
  </si>
  <si>
    <t>854449 1100</t>
    <phoneticPr fontId="2" type="noConversion"/>
  </si>
  <si>
    <t>T/T 60 days</t>
    <phoneticPr fontId="2" type="noConversion"/>
  </si>
  <si>
    <t>C</t>
    <phoneticPr fontId="2" type="noConversion"/>
  </si>
  <si>
    <t>KSFP1U06POS2LCEDF</t>
    <phoneticPr fontId="2" type="noConversion"/>
  </si>
  <si>
    <t>KSFP1U12POS2LCEDF</t>
    <phoneticPr fontId="2" type="noConversion"/>
  </si>
  <si>
    <t>KSFP1U24POS2LCEDF</t>
    <phoneticPr fontId="2" type="noConversion"/>
  </si>
  <si>
    <t>KSFP1U48POS2LCEDF</t>
    <phoneticPr fontId="2" type="noConversion"/>
  </si>
  <si>
    <t>KSFP1U06POM4LCEDF</t>
    <phoneticPr fontId="2" type="noConversion"/>
  </si>
  <si>
    <t>KSFP1U12POM4LCEDF</t>
    <phoneticPr fontId="2" type="noConversion"/>
  </si>
  <si>
    <t>KSFP1U24POM4LCEDF</t>
    <phoneticPr fontId="2" type="noConversion"/>
  </si>
  <si>
    <t>TIROIR FIBRE OPTIQUE 19" 1U 245MM EQUIPPE DE 6 PIGTAILS OS2 LC/3 TRAVERSEES LCD/CASSETTE DE LOVAGE</t>
  </si>
  <si>
    <t>TIROIR FIBRE OPTIQUE 19" 1U 245MM EQUIPPE DE 12 PIGTAILS OS2 LC/6 TRAVERSEES LCD/CASSETTE DE LOVAGE</t>
  </si>
  <si>
    <t>TIROIR FIBRE OPTIQUE 19" 1U 245MM EQUIPPE DE 24 PIGTAILS OS2 LC/12 TRAVERSEES LCD/CASSETTE DE LOVAGE</t>
  </si>
  <si>
    <t>TIROIR FIBRE OPTIQUE 19" 1U 245MM EQUIPPE DE 48 PIGTAILS OS2 LC/24 TRAVERSEES LCD/CASSETTE DE LOVAGE</t>
  </si>
  <si>
    <t>TIROIR FIBRE OPTIQUE 19" 1U 245MM EQUIPPE DE 6 PIGTAILS OM4 LC/3 TRAVERSEES LCD/CASSETTE DE LOVAGE</t>
  </si>
  <si>
    <t>TIROIR FIBRE OPTIQUE 19" 1U 245MM EQUIPPE DE 12 PIGTAILS OM4 LC/6 TRAVERSEES LCD/CASSETTE DE LOVAGE</t>
  </si>
  <si>
    <t>TIROIR FIBRE OPTIQUE 19" 1U 245MM EQUIPPE DE 24 PIGTAILS OM4 LC/12 TRAVERSEES LCD/CASSETTE DE LOVAGE</t>
  </si>
  <si>
    <t>TIROIR FIBRE OPTIQUE 19" 1U 245MM EQUIPPE DE 48 PIGTAILS OM4 LC/24 TRAVERSEES LCD/CASSETTE DE LOVAGE</t>
  </si>
  <si>
    <t>1000 pcs</t>
    <phoneticPr fontId="2" type="noConversion"/>
  </si>
  <si>
    <t xml:space="preserve">Grade B version extra cost </t>
  </si>
  <si>
    <t>Singlemode</t>
    <phoneticPr fontId="2" type="noConversion"/>
  </si>
  <si>
    <t>Duplex = RMB 1.26 x 4 = RMB5.04 will be added on each cord</t>
    <phoneticPr fontId="2" type="noConversion"/>
  </si>
  <si>
    <t xml:space="preserve">Simplex = RMB 1.26 x 2 =RMB2.52 will be added on each cord </t>
    <phoneticPr fontId="2" type="noConversion"/>
  </si>
  <si>
    <t>Multimode</t>
    <phoneticPr fontId="2" type="noConversion"/>
  </si>
  <si>
    <t>Duplex = RMB 0.2 x 4 = RMB5.04 will be added on each cord</t>
    <phoneticPr fontId="2" type="noConversion"/>
  </si>
  <si>
    <t xml:space="preserve">Simplex = RMB 0.2 x 2 =RMB2.52 will be added on each cord </t>
    <phoneticPr fontId="2" type="noConversion"/>
  </si>
  <si>
    <t>UKN current fiber patch cords OD2.0mm G652D</t>
  </si>
  <si>
    <t>OD3.0mm, keep same prices as 2.0mm</t>
  </si>
  <si>
    <t>G657A2 fiber extra cost</t>
  </si>
  <si>
    <t>Patch cords extra RMB0.05/meter, Pigtail RMB0.03/meter will be added</t>
  </si>
  <si>
    <t>* Pigtail 1.26x 1 for Singlemode and 0.2x1 for Multimode</t>
    <phoneticPr fontId="2" type="noConversion"/>
  </si>
  <si>
    <t>OS2/G652D</t>
    <phoneticPr fontId="2" type="noConversion"/>
  </si>
  <si>
    <t>KMP8FSEF8</t>
    <phoneticPr fontId="2" type="noConversion"/>
  </si>
  <si>
    <t>KJPP1UBMCTEF</t>
    <phoneticPr fontId="2" type="noConversion"/>
  </si>
  <si>
    <t>KCSF84PZHCLI5</t>
    <phoneticPr fontId="2" type="noConversion"/>
  </si>
  <si>
    <t>Cca</t>
    <phoneticPr fontId="2" type="noConversion"/>
  </si>
  <si>
    <t>B2ca</t>
    <phoneticPr fontId="2" type="noConversion"/>
  </si>
  <si>
    <t>HT</t>
    <phoneticPr fontId="2" type="noConversion"/>
  </si>
  <si>
    <t>IEC60331-2</t>
    <phoneticPr fontId="2" type="noConversion"/>
  </si>
  <si>
    <t>70m Fluke, 0.40BC/0.40TC/48x0.10TC,No Dca cert. yet</t>
    <phoneticPr fontId="2" type="noConversion"/>
  </si>
  <si>
    <t>0.58BC/TC 30%</t>
    <phoneticPr fontId="2" type="noConversion"/>
  </si>
  <si>
    <t>China</t>
    <phoneticPr fontId="2" type="noConversion"/>
  </si>
  <si>
    <t>C</t>
    <phoneticPr fontId="2" type="noConversion"/>
  </si>
  <si>
    <t>0.60BC/TC 30%</t>
    <phoneticPr fontId="2" type="noConversion"/>
  </si>
  <si>
    <t>Yes</t>
    <phoneticPr fontId="2" type="noConversion"/>
  </si>
  <si>
    <t>COPPER</t>
    <phoneticPr fontId="2" type="noConversion"/>
  </si>
  <si>
    <t>SPE CABLES</t>
    <phoneticPr fontId="2" type="noConversion"/>
  </si>
  <si>
    <t>SINGLE PAIR ETHERNET 1 PAIR AWG26 PUR GREEN 500M</t>
    <phoneticPr fontId="2" type="noConversion"/>
  </si>
  <si>
    <t>SINGLE PAIR ETHERNET 1 PAIR AWG22 PVC BLACK 500M</t>
    <phoneticPr fontId="2" type="noConversion"/>
  </si>
  <si>
    <t>KSPE261PPURGE5</t>
    <phoneticPr fontId="2" type="noConversion"/>
  </si>
  <si>
    <t>KSPE221PPVCBK5</t>
    <phoneticPr fontId="2" type="noConversion"/>
  </si>
  <si>
    <t>500m drum</t>
    <phoneticPr fontId="2" type="noConversion"/>
  </si>
  <si>
    <t>KMP6AUXSEF1</t>
    <phoneticPr fontId="2" type="noConversion"/>
  </si>
  <si>
    <t>KMP6AFSXSEF1</t>
    <phoneticPr fontId="2" type="noConversion"/>
  </si>
  <si>
    <t>KMP6AUEF1</t>
    <phoneticPr fontId="2" type="noConversion"/>
  </si>
  <si>
    <t>KMP6AFSEF1</t>
    <phoneticPr fontId="2" type="noConversion"/>
  </si>
  <si>
    <t>CAT6A RJ45 FIELD PLUG UNSHIELDED TOOLESS 1PCS PER ECO FRIENDLY BAG</t>
    <phoneticPr fontId="2" type="noConversion"/>
  </si>
  <si>
    <t>CAT6A RJ45 FIELD PLUG SHIELDED TOOLESS 1PCS PER ECO FRIENDLY BAG</t>
    <phoneticPr fontId="2" type="noConversion"/>
  </si>
  <si>
    <t>KMP6AFSHQEF1</t>
    <phoneticPr fontId="2" type="noConversion"/>
  </si>
  <si>
    <t>CAT6A RJ45 MINI PLUG SHIELDED TOOLESS 1PCS PER ECO FRIENDLY BAG</t>
    <phoneticPr fontId="2" type="noConversion"/>
  </si>
  <si>
    <t>CAT6A RJ45 MINI PLUG UNSHIELDED TOOLESS 1PCS PER ECO FRIENDLY BAG</t>
    <phoneticPr fontId="2" type="noConversion"/>
  </si>
  <si>
    <t xml:space="preserve">1 pcs eco friendly box </t>
    <phoneticPr fontId="2" type="noConversion"/>
  </si>
  <si>
    <t>2.4USD, outsource by CTK</t>
    <phoneticPr fontId="2" type="noConversion"/>
  </si>
  <si>
    <t>LY-KJ-AP016-S6A w/shutter</t>
    <phoneticPr fontId="2" type="noConversion"/>
  </si>
  <si>
    <t>CAT6A FIELD EXTENDER FEMALE/FEMALE SHIELDED TOOLESS WITH SHUTTER 1PCS PER ECO FRIENDLY BAG</t>
    <phoneticPr fontId="2" type="noConversion"/>
  </si>
  <si>
    <t>VOLET ANTI-POUSSIÈRE CAT6A ROUGE RAL3027 100PCS PAR SAC ÉCOLOGIQUE</t>
    <phoneticPr fontId="2" type="noConversion"/>
  </si>
  <si>
    <t>CONNECTEUR DE TERRAIN CAT6A RJ45 BLINDÉE SANS OUTIL 1PCS PAR SAC ÉCOLOGIQUE</t>
    <phoneticPr fontId="2" type="noConversion"/>
  </si>
  <si>
    <t>TRAVERSEE DE TERRAIN CAT6A FEMELLE/FEMELLE BLINDÉE SANS OUTIL AVEC ANTI-POUSSIÈRE 1PCS PAR SAC ÉCOLOGIQUE</t>
    <phoneticPr fontId="2" type="noConversion"/>
  </si>
  <si>
    <t>CONNECTEUR DE TERRAIN CAT6A RJ45 BLINDÉE SANS OUTIL CERTIFIÉE DELTA FORCE 1PCS PAR SAC ÉCOLOGIQUE</t>
    <phoneticPr fontId="2" type="noConversion"/>
  </si>
  <si>
    <t>CONNECTEUR DE TERRAIN CAT8 RJ45 BLINDÉE SANS OUTIL 1PCS PAR SAC ÉCOLOGIQUE</t>
    <phoneticPr fontId="2" type="noConversion"/>
  </si>
  <si>
    <t>CAT8 RJ45 FIELD PLUG SHIELDED TOOLESS 1PCS PER ECO FRIENDLY BAG</t>
    <phoneticPr fontId="2" type="noConversion"/>
  </si>
  <si>
    <t>5000pcs</t>
    <phoneticPr fontId="2" type="noConversion"/>
  </si>
  <si>
    <t>OEG3TVs4DT5</t>
    <phoneticPr fontId="2" type="noConversion"/>
  </si>
  <si>
    <t>B2ca</t>
    <phoneticPr fontId="2" type="noConversion"/>
  </si>
  <si>
    <t>LCAPC</t>
    <phoneticPr fontId="2" type="noConversion"/>
  </si>
  <si>
    <t>KSALCAQSXX</t>
    <phoneticPr fontId="2" type="noConversion"/>
  </si>
  <si>
    <t>China</t>
    <phoneticPr fontId="2" type="noConversion"/>
  </si>
  <si>
    <t>SCAPC</t>
    <phoneticPr fontId="2" type="noConversion"/>
  </si>
  <si>
    <t>KSASCADS20</t>
    <phoneticPr fontId="2" type="noConversion"/>
  </si>
  <si>
    <t>KCDOS2LCLC10MEF</t>
  </si>
  <si>
    <t>OS2/G657A2</t>
  </si>
  <si>
    <t>OS2/G657A2</t>
    <phoneticPr fontId="2" type="noConversion"/>
  </si>
  <si>
    <t>SC/SC OS2 DUPLEX OPTICAL PATCH CORD 10M ECO FRIENDLY BAG</t>
  </si>
  <si>
    <t>JARRETIERE OPTIQUE DUPLEX SC/SC OS2 10M SAC ÉCOLOGIQUE</t>
  </si>
  <si>
    <t>SC/SC OS2 DUPLEX OPTICAL PATCH CORD 15M ECO FRIENDLY BAG</t>
  </si>
  <si>
    <t>JARRETIERE OPTIQUE DUPLEX SC/SC OS2 15M SAC ÉCOLOGIQUE</t>
  </si>
  <si>
    <t>SC/LC OS2 DUPLEX OPTICAL PATCH CORD 10M ECO FRIENDLY BAG</t>
  </si>
  <si>
    <t>JARRETIERE OPTIQUE DUPLEX SC/LC OS2 10M SAC ÉCOLOGIQUE</t>
  </si>
  <si>
    <t>SC/LC OS2 DUPLEX OPTICAL PATCH CORD 15M ECO FRIENDLY BAG</t>
  </si>
  <si>
    <t>JARRETIERE OPTIQUE DUPLEX SC/LC OS2 15M SAC ÉCOLOGIQUE</t>
  </si>
  <si>
    <t>LC/LC OS2 DUPLEX OPTICAL PATCH CORD 10M ECO FRIENDLY BAG</t>
  </si>
  <si>
    <t>JARRETIERE OPTIQUE DUPLEX LC/LC OS2 10M SAC ÉCOLOGIQUE</t>
  </si>
  <si>
    <t>LC/LC OS2 DUPLEX OPTICAL PATCH CORD 15M ECO FRIENDLY BAG</t>
  </si>
  <si>
    <t>JARRETIERE OPTIQUE DUPLEX LC/LC OS2 15M SAC ÉCOLOGIQUE</t>
  </si>
  <si>
    <t>CAT8.2 CABLE S/FTP 4 PAIRS AWG22 TEST UP TO 2000MHz LSZH CPR B2CA LIME GREEN RAL6039 500M</t>
    <phoneticPr fontId="2" type="noConversion"/>
  </si>
  <si>
    <t>CAT8.2 CABLE S/FTP 4 PAIRS AWG22 TEST UP TO 2000MHz LSZH CPR CCA LIME GREEN RAL6039 500M</t>
    <phoneticPr fontId="2" type="noConversion"/>
  </si>
  <si>
    <t>CÂBLE CAT8.2 S/FTP 4 PAIRES AWG22 TEST A 2000MHz LSZH CPR B2CA VERT CITRON RAL6039 500M</t>
    <phoneticPr fontId="2" type="noConversion"/>
  </si>
  <si>
    <t>CAT8 PATCH CORD S/FTP LIME GREEN LSZH 0.3M</t>
    <phoneticPr fontId="2" type="noConversion"/>
  </si>
  <si>
    <t>CAT8 PATCH CORD S/FTP LIME GREEN LSZH 0.5M</t>
  </si>
  <si>
    <t>CAT8 PATCH CORD S/FTP LIME GREEN LSZH 1M</t>
  </si>
  <si>
    <t>CAT8 PATCH CORD S/FTP LIME GREEN LSZH 2M</t>
  </si>
  <si>
    <t>CAT8 PATCH CORD S/FTP LIME GREEN LSZH 3M</t>
  </si>
  <si>
    <t>CAT8 PATCH CORD S/FTP LIME GREEN LSZH 5M</t>
  </si>
  <si>
    <t>CORDON DE BRASSAGE CAT8 S/FTP VERT CITRON LSZH  0,3M</t>
  </si>
  <si>
    <t>CORDON DE BRASSAGE CAT8 S/FTP VERT CITRON LSZH  0,5M</t>
  </si>
  <si>
    <t>CORDON DE BRASSAGE CAT8 S/FTP VERT CITRON LSZH  1M</t>
  </si>
  <si>
    <t>CORDON DE BRASSAGE CAT8 S/FTP VERT CITRON LSZH  2M</t>
  </si>
  <si>
    <t>CORDON DE BRASSAGE CAT8 S/FTP VERT CITRON LSZH  3M</t>
  </si>
  <si>
    <t>CORDON DE BRASSAGE CAT8 S/FTP VERT CITRON LSZH  5M</t>
  </si>
  <si>
    <t>7x0.156BC RJ45 OD5.9±.2mm</t>
    <phoneticPr fontId="2" type="noConversion"/>
  </si>
  <si>
    <t>KCFF6A4PZHDGR5</t>
    <phoneticPr fontId="2" type="noConversion"/>
  </si>
  <si>
    <t>KCFF6A8PZHDGR5</t>
    <phoneticPr fontId="2" type="noConversion"/>
  </si>
  <si>
    <t>CAT6A CABLE F/FTP 4 PAIRS AWG23 TESTED UP TO 650MHz LSZH CPR DCA GREY RAL7035 500M</t>
    <phoneticPr fontId="2" type="noConversion"/>
  </si>
  <si>
    <t>CAT6A CABLE F/FTP 2x4 PAIRS AWG23 TESTED UP TO 650MHz LSZH CPR DCA GREY RAL7035 500M</t>
    <phoneticPr fontId="2" type="noConversion"/>
  </si>
  <si>
    <t>CÂBLE CAT6A F/FTP 4 PAIRES AWG23 TEST A 650MHz LSZH CPR DCA GRIS RAL7035 500M</t>
    <phoneticPr fontId="2" type="noConversion"/>
  </si>
  <si>
    <t>CÂBLE CAT6A F/FTP 2x4 PAIRES AWG23 TEST A 650MHz LSZH CPR DCA GRIS RAL7035 500M</t>
    <phoneticPr fontId="2" type="noConversion"/>
  </si>
  <si>
    <t>SC DUPLEX SINGLEMODE BLUE ADAPTOR 20PCS PER ECO FRIENDLY BAG</t>
    <phoneticPr fontId="2" type="noConversion"/>
  </si>
  <si>
    <t>SC DUPLEX MULTIMODE BEIGE ADAPTOR 20PCS PER ECO FRIENDLY BAG</t>
    <phoneticPr fontId="2" type="noConversion"/>
  </si>
  <si>
    <t>KEYSTONE CAT6A</t>
    <phoneticPr fontId="2" type="noConversion"/>
  </si>
  <si>
    <t>Shielded</t>
    <phoneticPr fontId="2" type="noConversion"/>
  </si>
  <si>
    <t>1000 pcs</t>
    <phoneticPr fontId="2" type="noConversion"/>
  </si>
  <si>
    <t>KJ6AFF6AUEF10</t>
    <phoneticPr fontId="2" type="noConversion"/>
  </si>
  <si>
    <t>CAT6A KEYSTONE EXTENDER FEMALE/FEMALE UNSHIELDED 10PCS PER ECO FRIENDLY BAG</t>
    <phoneticPr fontId="2" type="noConversion"/>
  </si>
  <si>
    <t>LY-KJ-AP009-S6A</t>
    <phoneticPr fontId="2" type="noConversion"/>
  </si>
  <si>
    <t>LY-KJ-AP016-S6A</t>
    <phoneticPr fontId="2" type="noConversion"/>
  </si>
  <si>
    <t>BOOTS FOR RJ45 PLUG 3Y GREY DIAM 7.0/7.5/8.0</t>
    <phoneticPr fontId="2" type="noConversion"/>
  </si>
  <si>
    <t>MANCHETTE POUR FICHE RJ45 3Y GRIS DIAM 7.0/7.5/8.0</t>
    <phoneticPr fontId="2" type="noConversion"/>
  </si>
  <si>
    <t>UnShielded</t>
    <phoneticPr fontId="2" type="noConversion"/>
  </si>
  <si>
    <t>KPL45EPTOOL</t>
    <phoneticPr fontId="2" type="noConversion"/>
  </si>
  <si>
    <t>KPL45EPBOGR</t>
    <phoneticPr fontId="2" type="noConversion"/>
  </si>
  <si>
    <t>1 pcs</t>
    <phoneticPr fontId="2" type="noConversion"/>
  </si>
  <si>
    <t>EXW</t>
    <phoneticPr fontId="2" type="noConversion"/>
  </si>
  <si>
    <t>KJPP1U246SHQEF</t>
    <phoneticPr fontId="2" type="noConversion"/>
  </si>
  <si>
    <t>24FO OS2 MULTI LOOSE TUBE PEHD OUTDOOR BLACK RAL 9005</t>
    <phoneticPr fontId="2" type="noConversion"/>
  </si>
  <si>
    <t xml:space="preserve">24FO OS2 MULTI TUBE STRUCTURE LIBRE PEHD EXTÉRIEUR NOIR RAL9005 </t>
    <phoneticPr fontId="2" type="noConversion"/>
  </si>
  <si>
    <t>KX310100</t>
    <phoneticPr fontId="2" type="noConversion"/>
  </si>
  <si>
    <t>CÂBLE CAT6 U/UTP 4 PAIRES AWG24 TEST A 400MHz LSZH CPR DCA GRIS RAL7035 500M</t>
    <phoneticPr fontId="2" type="noConversion"/>
  </si>
  <si>
    <t>ACM type 0.51+/0.005; 5.3+/-0.3</t>
  </si>
  <si>
    <t>ACM type 0.51+/0.005; 5.3+/-0.3</t>
    <phoneticPr fontId="2" type="noConversion"/>
  </si>
  <si>
    <t>CABINET</t>
  </si>
  <si>
    <t>START</t>
  </si>
  <si>
    <t>YES</t>
  </si>
  <si>
    <t>KRS2266SGR</t>
  </si>
  <si>
    <t>KRS2466SGR</t>
  </si>
  <si>
    <t>KRS2766SGR</t>
  </si>
  <si>
    <t>KRS3266SGR</t>
  </si>
  <si>
    <t>KRS4266SGR</t>
  </si>
  <si>
    <t>KRS4266WDR</t>
  </si>
  <si>
    <t>KRS2268SGR</t>
  </si>
  <si>
    <t>KRS2468SGR</t>
  </si>
  <si>
    <t>KRS2768SGR</t>
  </si>
  <si>
    <t>KRS3268SGR</t>
  </si>
  <si>
    <t>KRS4268SGR</t>
  </si>
  <si>
    <t>KRS4268WDR</t>
  </si>
  <si>
    <t>KRS42610SGR</t>
  </si>
  <si>
    <t>KRS4286DGR</t>
  </si>
  <si>
    <t>KRS4286WDR</t>
  </si>
  <si>
    <t>KRS2788DGR</t>
  </si>
  <si>
    <t>KRS3288DGR</t>
  </si>
  <si>
    <t>KRS4288DGR</t>
  </si>
  <si>
    <t>KRS4288WDR</t>
  </si>
  <si>
    <t>KRS42810DGR</t>
  </si>
  <si>
    <t>KRS42810WDR</t>
  </si>
  <si>
    <t>KRS600SG</t>
  </si>
  <si>
    <t>KRS600SP</t>
  </si>
  <si>
    <t>KRS800DGR</t>
  </si>
  <si>
    <t>KRS800DP</t>
  </si>
  <si>
    <t>KRS600R</t>
  </si>
  <si>
    <t>KRS800R</t>
  </si>
  <si>
    <t>KRG2266SGR</t>
  </si>
  <si>
    <t>KRG2466SGR</t>
  </si>
  <si>
    <t>KRG2766SGR</t>
  </si>
  <si>
    <t>KRG3266SGR</t>
  </si>
  <si>
    <t>KRG4266SGR</t>
  </si>
  <si>
    <t>KRG2268SGR</t>
  </si>
  <si>
    <t>KRG2768SGR</t>
  </si>
  <si>
    <t>KRG4268SGR</t>
  </si>
  <si>
    <t>KRG42610SGR</t>
  </si>
  <si>
    <t>KRG2266SG2</t>
  </si>
  <si>
    <t>KRG2466SG2</t>
  </si>
  <si>
    <t>KRG2766SG2</t>
  </si>
  <si>
    <t>KRG3266SG2</t>
  </si>
  <si>
    <t>KRG4266SG2</t>
  </si>
  <si>
    <t>KRG2268SG2</t>
  </si>
  <si>
    <t>KRG2768SG2</t>
  </si>
  <si>
    <t>KRG4268SG2</t>
  </si>
  <si>
    <t>KRG42610SG2</t>
  </si>
  <si>
    <t>KRG4286DGR</t>
  </si>
  <si>
    <t>KRG3288DGR</t>
  </si>
  <si>
    <t>KRG4288DGR</t>
  </si>
  <si>
    <t>KRG4788DGR</t>
  </si>
  <si>
    <t>KRG42810DGR</t>
  </si>
  <si>
    <t>KRG42812DGR</t>
  </si>
  <si>
    <t>KRG47812DGR</t>
  </si>
  <si>
    <t>KRG3288DG2</t>
  </si>
  <si>
    <t>KRG4288DG2</t>
  </si>
  <si>
    <t>KRG4788DG2</t>
  </si>
  <si>
    <t>KRG42810DG2</t>
  </si>
  <si>
    <t>KRG42812DG2</t>
  </si>
  <si>
    <t>KRG47812DG2</t>
  </si>
  <si>
    <t>KRG2266SPR</t>
  </si>
  <si>
    <t>KRG2466SPR</t>
  </si>
  <si>
    <t>KRG2766SPR</t>
  </si>
  <si>
    <t>KRG3266SPR</t>
  </si>
  <si>
    <t>KRG4266SPR</t>
  </si>
  <si>
    <t>KRG2268SPR</t>
  </si>
  <si>
    <t>KRG2768SPR</t>
  </si>
  <si>
    <t>KRG4268SPR</t>
  </si>
  <si>
    <t>KRG4768SPR</t>
  </si>
  <si>
    <t>KRG42610SPR</t>
  </si>
  <si>
    <t>KRG2266SP2</t>
  </si>
  <si>
    <t>KRG2466SP2</t>
  </si>
  <si>
    <t>KRG2766SP2</t>
  </si>
  <si>
    <t>KRG3266SP2</t>
  </si>
  <si>
    <t>KRG4266SP2</t>
  </si>
  <si>
    <t>KRG2268SP2</t>
  </si>
  <si>
    <t>KRG2768SP2</t>
  </si>
  <si>
    <t>KRG4268SP2</t>
  </si>
  <si>
    <t>KRG4768SP2</t>
  </si>
  <si>
    <t>KRG42610SP2</t>
  </si>
  <si>
    <t>KRG4286DPR</t>
  </si>
  <si>
    <t>KRG3288DPR</t>
  </si>
  <si>
    <t>KRG4288DPR</t>
  </si>
  <si>
    <t>KRG4788DPR</t>
  </si>
  <si>
    <t>KRG42810DPR</t>
  </si>
  <si>
    <t>KRG47810DPR</t>
  </si>
  <si>
    <t>KRG42812DPR</t>
  </si>
  <si>
    <t>KRG47812DPR</t>
  </si>
  <si>
    <t>KRG4286DP2</t>
  </si>
  <si>
    <t>KRG3288DP2</t>
  </si>
  <si>
    <t>KRG4288DP2</t>
  </si>
  <si>
    <t>KRG4788DP2</t>
  </si>
  <si>
    <t>KRG42810DP2</t>
  </si>
  <si>
    <t>KRG47810DP2</t>
  </si>
  <si>
    <t>KRG42812DP2</t>
  </si>
  <si>
    <t>KRG47812DP2</t>
  </si>
  <si>
    <t>KRG4288EDF</t>
  </si>
  <si>
    <t>KRG4288EDFP</t>
  </si>
  <si>
    <t>KRG4266EDF</t>
  </si>
  <si>
    <t>KRG4266EDFP</t>
  </si>
  <si>
    <t>KRG4268EDF</t>
  </si>
  <si>
    <t>KRG4268EDFP</t>
  </si>
  <si>
    <t>KRG42810EDF</t>
  </si>
  <si>
    <t>KRG42810EDFP</t>
  </si>
  <si>
    <t>KRG4788EDF</t>
  </si>
  <si>
    <t>KRG4788EDFP</t>
  </si>
  <si>
    <t>KRG47810EDF</t>
  </si>
  <si>
    <t>KRG47810EDFP</t>
  </si>
  <si>
    <t>KWG09600FD</t>
  </si>
  <si>
    <t>KWG12600</t>
  </si>
  <si>
    <t>KWG12600FD</t>
  </si>
  <si>
    <t>KWG12600PED</t>
  </si>
  <si>
    <t>KWGDOOR12PED</t>
  </si>
  <si>
    <t>KWGDOOR12FD</t>
  </si>
  <si>
    <t>KWG22450</t>
  </si>
  <si>
    <t>KWG22450FD</t>
  </si>
  <si>
    <t>KWG22450PED</t>
  </si>
  <si>
    <t>KWG22600</t>
  </si>
  <si>
    <t>KWG22600FD</t>
  </si>
  <si>
    <t>KWG226000PED</t>
  </si>
  <si>
    <t>KWGDOOR22FD</t>
  </si>
  <si>
    <t>KWGDOOR22PED</t>
  </si>
  <si>
    <t>NETWORK CABINET "START" 22U 600x600 19 INCH SINGLE GLASS DOOR - REAR PANEL</t>
  </si>
  <si>
    <t>NETWORK CABINET "START" 24U 600x600 19 INCH SINGLE GLASS DOOR - REAR PANEL</t>
  </si>
  <si>
    <t>NETWORK CABINET "START" 27U 600x600 19 INCH SINGLE GLASS DOOR - REAR PANEL</t>
  </si>
  <si>
    <t>NETWORK CABINET "START" 32U 600x600 19 INCH SINGLE GLASS DOOR - REAR PANEL</t>
  </si>
  <si>
    <t>NETWORK CABINET "START" 42U 600x600 19 INCH SINGLE GLASS DOOR - REAR PANEL</t>
  </si>
  <si>
    <t>NETWORK CABINET "START" 42U 600x600 19 INCH WITHOUT DOOR AND REAR PANEL</t>
  </si>
  <si>
    <t>NETWORK CABINET "START" 22U 600x800 19 INCH SINGLE GLASS DOOR - REAR PANEL</t>
  </si>
  <si>
    <t>NETWORK CABINET "START" 24U 600x800 19 INCH SINGLE GLASS DOOR - REAR PANEL</t>
  </si>
  <si>
    <t>NETWORK CABINET "START" 27U 600x800 19 INCH SINGLE GLASS DOOR - REAR PANEL</t>
  </si>
  <si>
    <t>NETWORK CABINET "START" 32U 600x800 19 INCH SINGLE GLASS DOOR - REAR PANEL</t>
  </si>
  <si>
    <t>NETWORK CABINET "START" 42U 600x800 19 INCH SINGLE GLASS DOOR - REAR PANEL</t>
  </si>
  <si>
    <t>NETWORK CABINET "START" 42U 600x800 19 INCH WITHOUT DOOR AND REAR PANEL</t>
  </si>
  <si>
    <t>NETWORK CABINET "START" 42U 600x1000 19 INCH SINGLE GLASS DOOR - REAR PANEL</t>
  </si>
  <si>
    <t>NETWORK CABINET "START" 42U 800x600 19 INCH DOUBLE GLASS DOORS - REAR PANEL</t>
  </si>
  <si>
    <t>NETWORK CABINET "START" 42U 800x600 19 INCH WITHOUT DOOR AND REAR PANEL</t>
  </si>
  <si>
    <t>NETWORK CABINET "START" 27U 800x800 19 INCH DOUBLE GLASS DOORS - REAR PANEL</t>
  </si>
  <si>
    <t>NETWORK CABINET "START" 32U 800x800 19 INCH DOUBLE GLASS DOORS - REAR PANEL</t>
  </si>
  <si>
    <t>NETWORK CABINET "START" 42U 800x800 19 INCH DOUBLE GLASS DOORS - REAR PANEL</t>
  </si>
  <si>
    <t>NETWORK CABINET "START" 42U 800x800 19 INCH WITHOUT DOORS AND REAR PANEL</t>
  </si>
  <si>
    <t>NETWORK CABINET "START" 42U 800x1000 19 INCH DOUBLE GLASS DOORS - REAR PANEL</t>
  </si>
  <si>
    <t>NETWORK CABINET "START" 42U 800x1000 19 INCH WITHOUT DOORS AND REAR PANEL</t>
  </si>
  <si>
    <t xml:space="preserve">GLASS DOOR FOR 600MM NETWORK CABINET  "START" 19 INCH </t>
  </si>
  <si>
    <t xml:space="preserve">SINGLE PERFORATED DOOR FOR 600MM NETWORK CABINET  "START" 19 INCH </t>
  </si>
  <si>
    <t xml:space="preserve">DOUBLE GLASS DOORS FOR 800MM NETWORK CABINET  "START" 19 INCH </t>
  </si>
  <si>
    <t xml:space="preserve">DOUBLE PERFORATED DOORS FOR 800MM NETWORK CABINET  "START" 19 INCH </t>
  </si>
  <si>
    <t xml:space="preserve">REAR PANNEL FOR 600MM NETWORK CABINET  "START" 19 INCH </t>
  </si>
  <si>
    <t xml:space="preserve">REAR PANNEL FOR 800MM NETWORK CABINET  "START" 19 INCH </t>
  </si>
  <si>
    <t>NETWORK CABINET "GRID" 22U 600x600 19 INCH SINGLE FRONT GLASS DOOR - FULL REAR</t>
  </si>
  <si>
    <t>NETWORK CABINET "GRID" 24U 600x600 19 INCH SINGLE FRONT GLASS DOOR - FULL REAR</t>
  </si>
  <si>
    <t>NETWORK CABINET "GRID" 27U 600x600 19 INCH SINGLE FRONT GLASS DOOR - FULL REAR</t>
  </si>
  <si>
    <t>NETWORK CABINET "GRID" 32U 600x600 19 INCH SINGLE FRONT GLASS DOOR - FULL REAR</t>
  </si>
  <si>
    <t>NETWORK CABINET "GRID" 42U 600x600 19 INCH SINGLE FRONT GLASS DOOR - FULL REAR</t>
  </si>
  <si>
    <t>NETWORK CABINET "GRID" 22U 600x800 19 INCH SINGLE FRONT GLASS DOOR - FULL REAR</t>
  </si>
  <si>
    <t>NETWORK CABINET "GRID" 27U 600x800 19 INCH SINGLE FRONT GLASS DOOR - FULL REAR</t>
  </si>
  <si>
    <t>NETWORK CABINET "GRID" 42U 600x800 19 INCH SINGLE FRONT GLASS DOOR - FULL REAR</t>
  </si>
  <si>
    <t>NETWORK CABINET "GRID" 42U 600x1000 19 INCH SINGLE FRONT GLASS DOOR - FULL REAR</t>
  </si>
  <si>
    <t>NETWORK CABINET "GRID" 22U 600x600 19 INCH SINGLE FRONT/REAR GLASS DOORS</t>
  </si>
  <si>
    <t>NETWORK CABINET "GRID" 24U 600x600 19 INCH SINGLE FRONT/REAR GLASS DOORS</t>
  </si>
  <si>
    <t>NETWORK CABINET "GRID" 27U 600x600 19 INCH SINGLE FRONT/REAR GLASS DOORS</t>
  </si>
  <si>
    <t>NETWORK CABINET "GRID" 32U 600x600 19 INCH SINGLE FRONT/REAR GLASS DOORS</t>
  </si>
  <si>
    <t>NETWORK CABINET "GRID" 42U 600x600 19 INCH SINGLE FRONT/REAR GLASS DOORS</t>
  </si>
  <si>
    <t>NETWORK CABINET "GRID" 22U 600x800 19 INCH SINGLE FRONT/REAR GLASS DOORS</t>
  </si>
  <si>
    <t>NETWORK CABINET "GRID" 27U 600x800 19 INCH SINGLE FRONT/REAR GLASS DOORS</t>
  </si>
  <si>
    <t>NETWORK CABINET "GRID" 42U 600x800 19 INCH SINGLE FRONT/REAR GLASS DOORS</t>
  </si>
  <si>
    <t>NETWORK CABINET "GRID" 42U 600x1000 19 INCH SINGLE FRONT/REAR GLASS DOORS</t>
  </si>
  <si>
    <t>NETWORK CABINET "GRID" 42U 800x600 19 INCH DOUBLE  FRONT GLASS DOOR - FULL REAR</t>
  </si>
  <si>
    <t>NETWORK CABINET "GRID" 32U 800x800 19 INCH DOUBLE  FRONT GLASS DOOR - FULL REAR</t>
  </si>
  <si>
    <t>NETWORK CABINET "GRID" 42U 800x800 19 INCH DOUBLE  FRONT GLASS DOOR - FULL REAR</t>
  </si>
  <si>
    <t>NETWORK CABINET "GRID" 47U 800x800 19 INCH DOUBLE  FRONT GLASS DOOR - FULL REAR</t>
  </si>
  <si>
    <t>NETWORK CABINET "GRID" 42U 800x1000 19 INCH DOUBLE  FRONT GLASS DOOR - FULL REAR</t>
  </si>
  <si>
    <t>NETWORK CABINET "GRID" 42U 800x1200 19 INCH DOUBLE  FRONT GLASS DOOR - FULL REAR</t>
  </si>
  <si>
    <t>NETWORK CABINET "GRID" 47U 800x1200 19 INCH DOUBLE  FRONT GLASS DOOR - FULL REAR</t>
  </si>
  <si>
    <t>NETWORK CABINET "GRID" 32U 800x800 19 INCH DOUBLE GLASS FRONT/REAR DOORS</t>
  </si>
  <si>
    <t>NETWORK CABINET "GRID" 42U 800x800 19 INCH DOUBLE GLASS FRONT/REAR DOORS</t>
  </si>
  <si>
    <t>NETWORK CABINET "GRID" 47U 800x800 19 INCH DOUBLE GLASS FRONT/REAR DOORS</t>
  </si>
  <si>
    <t>NETWORK CABINET "GRID" 42U 800x1000 19 INCH DOUBLE GLASS FRONT/REAR DOORS</t>
  </si>
  <si>
    <t>NETWORK CABINET "GRID" 42U 800x1200 19 INCH DOUBLE GLASS FRONT/REAR DOORS</t>
  </si>
  <si>
    <t>NETWORK CABINET "GRID" 47U 800x1200 19 INCH DOUBLE GLASS FRONT/REAR DOORS</t>
  </si>
  <si>
    <t>NETWORK CABINET "GRID" 24U 600x600 19 INCH SINGLE FRONT PERFORATED DOOR - FULL REAR</t>
  </si>
  <si>
    <t>NETWORK CABINET "GRID" 27U 600x600 19 INCH SINGLE FRONT PERFORATED DOOR - FULL REAR</t>
  </si>
  <si>
    <t>NETWORK CABINET "GRID" 32U 600x600 19 INCH SINGLE FRONT PERFORATED DOOR - FULL REAR</t>
  </si>
  <si>
    <t>NETWORK CABINET "GRID" 42U 600x600 19 INCH SINGLE FRONT PERFORATED DOOR - FULL REAR</t>
  </si>
  <si>
    <t>NETWORK CABINET "GRID" 22U 600x800 19 INCH SINGLE FRONT PERFORATED DOOR - FULL REAR</t>
  </si>
  <si>
    <t>NETWORK CABINET "GRID" 27U 600x800 19 INCH SINGLE FRONT PERFORATED DOOR - FULL REAR</t>
  </si>
  <si>
    <t>NETWORK CABINET "GRID" 42U 600x800 19 INCH SINGLE FRONT PERFORATED DOOR - FULL REAR</t>
  </si>
  <si>
    <t>NETWORK CABINET "GRID" 47U 600x800 19 INCH SINGLE FRONT PERFORATED DOOR - FULL REAR</t>
  </si>
  <si>
    <t>NETWORK CABINET "GRID" 42U 600x1000 19 INCH SINGLE FRONT PERFORATED DOOR - FULL REAR</t>
  </si>
  <si>
    <t>NETWORK CABINET "GRID" 22U 600x600 19 INCH SINGLE FRONT/REAR PERFORATED DOORS</t>
  </si>
  <si>
    <t>NETWORK CABINET "GRID" 24U 600x600 19 INCH SINGLE FRONT/REAR PERFORATED DOORS</t>
  </si>
  <si>
    <t>NETWORK CABINET "GRID" 27U 600x600 19 INCH SINGLE FRONT/REAR PERFORATED DOORS</t>
  </si>
  <si>
    <t>NETWORK CABINET "GRID" 32U 600x600 19 INCH SINGLE FRONT/REAR PERFORATED DOORS</t>
  </si>
  <si>
    <t>NETWORK CABINET "GRID" 42U 600x600 19 INCH SINGLE FRONT/REAR PERFORATED DOORS</t>
  </si>
  <si>
    <t>NETWORK CABINET "GRID" 22U 600x800 19 INCH SINGLE FRONT/REAR PERFORATED DOORS</t>
  </si>
  <si>
    <t>NETWORK CABINET "GRID" 27U 600x800 19 INCH SINGLE FRONT/REAR PERFORATED DOORS</t>
  </si>
  <si>
    <t>NETWORK CABINET "GRID" 42U 600x800 19 INCH SINGLE FRONT/REAR PERFORATED DOORS</t>
  </si>
  <si>
    <t>NETWORK CABINET "GRID" 47U 600x800 19 INCH SINGLE FRONT/REAR PERFORATED DOORS</t>
  </si>
  <si>
    <t>NETWORK CABINET "GRID" 42U 600x1000 19 INCH SINGLE FRONT/REAR PERFORATED DOORS</t>
  </si>
  <si>
    <t>NETWORK CABINET "GRID" 42U 800x600 19 INCH DOUBLE  FRONT PERFORATED DOOR - FULL REAR</t>
  </si>
  <si>
    <t>NETWORK CABINET "GRID" 32U 800x800 19 INCH DOUBLE  FRONT PERFORATED DOOR - FULL REAR</t>
  </si>
  <si>
    <t>NETWORK CABINET "GRID" 42U 800x800 19 INCH DOUBLE  FRONT PERFORATED DOOR - FULL REAR</t>
  </si>
  <si>
    <t>NETWORK CABINET "GRID" 47U 800x800 19 INCH DOUBLE  FRONT PERFORATED DOOR - FULL REAR</t>
  </si>
  <si>
    <t>NETWORK CABINET "GRID" 42U 800x1000 19 INCH DOUBLE  FRONT PERFORATED DOOR - FULL REAR</t>
  </si>
  <si>
    <t>NETWORK CABINET "GRID" 47U 800x1000 19 INCH DOUBLE  FRONT PERFORATED DOOR - FULL REAR</t>
  </si>
  <si>
    <t>NETWORK CABINET "GRID" 42U 800x1200 19 INCH DOUBLE  FRONT PERFORATED DOOR - FULL REAR</t>
  </si>
  <si>
    <t>NETWORK CABINET "GRID" 47U 800x1200 19 INCH DOUBLE  FRONT PERFORATED DOOR - FULL REAR</t>
  </si>
  <si>
    <t>NETWORK CABINET "GRID" 42U 800x600 19 INCH DOUBLE FRONT/REAR PERFORATED DOORS</t>
  </si>
  <si>
    <t>NETWORK CABINET "GRID" 32U 800x800 19 INCH DOUBLE FRONT/REAR PERFORATED DOORS</t>
  </si>
  <si>
    <t>NETWORK CABINET "GRID" 42U 800x800 19 INCH DOUBLE FRONT/REAR PERFORATED DOORS</t>
  </si>
  <si>
    <t>NETWORK CABINET "GRID" 47U 800x800 19 INCH DOUBLE FRONT/REAR PERFORATED DOORS</t>
  </si>
  <si>
    <t>NETWORK CABINET "GRID" 42U 800x1000 19 INCH DOUBLE FRONT/REAR PERFORATED DOORS</t>
  </si>
  <si>
    <t>NETWORK CABINET "GRID" 47U 800x1000 19 INCH DOUBLE FRONT/REAR PERFORATED DOORS</t>
  </si>
  <si>
    <t>NETWORK CABINET "GRID" 42U 800x1200 19 INCH DOUBLE FRONT/REAR PERFORATED DOORS</t>
  </si>
  <si>
    <t>NETWORK CABINET "GRID" 47U 800x1200 19 INCH DOUBLE FRONT/REAR PERFORATED DOORS</t>
  </si>
  <si>
    <t>NETWORK CABINET "GRID" 42U 800x800 19 INCH FRONT/REAR PERFORATED DOORS EDF SPECIAL</t>
  </si>
  <si>
    <t>NETWORK CABINET EXTENSION "GRID" 42U 800x800 19 INCH FRONT/REAR PERFORATED DOORS EDF SPECIAL</t>
  </si>
  <si>
    <t>NETWORK CABINET "GRID" 42U 600x600 19 INCH FRONT/REAR PERFORATED DOORS EDF SPECIAL</t>
  </si>
  <si>
    <t>NETWORK CABINET EXTENSION "GRID" 42U 600x600 19 INCH FRONT/REAR PERFORATED DOORS EDF SPECIAL</t>
  </si>
  <si>
    <t>NETWORK CABINET "GRID" 42U 600x800 19 INCH FRONT/REAR PERFORATED DOORS EDF SPECIAL</t>
  </si>
  <si>
    <t>NETWORK CABINET EXTENSION "GRID" 42U 600x800 19 INCH FRONT/REAR PERFORATED DOORS EDF SPECIAL</t>
  </si>
  <si>
    <t>NETWORK CABINET "GRID" 42U 600x1000 19 INCH FRONT/REAR PERFORATED DOORS EDF SPECIAL</t>
  </si>
  <si>
    <t>NETWORK CABINET EXTENSION "GRID" 42U 600x1000 19 INCH FRONT/REAR PERFORATED DOORS EDF SPECIAL</t>
  </si>
  <si>
    <t>NETWORK CABINET "GRID" 47U 800x800 19 INCH FRONT/REAR PERFORATED DOORS EDF SPECIAL</t>
  </si>
  <si>
    <t>NETWORK CABINET EXTENSION "GRID" 47U 800x800 19 INCH FRONT/REAR PERFORATED DOORS EDF SPECIAL</t>
  </si>
  <si>
    <t>NETWORK CABINET "GRID" 47U 800x1000 19 INCH FRONT/REAR PERFORATED DOORS EDF SPECIAL</t>
  </si>
  <si>
    <t>NETWORK CABINET EXTENSION "GRID" 47U 800x1000 19 INCH FRONT/REAR PERFORATED DOORS EDF SPECIAL</t>
  </si>
  <si>
    <t>19 INCH WALL MOUNTED RACK 09U PROF600 WITH SOLID FRONT DOOR</t>
  </si>
  <si>
    <t>19 INCH WALL MOUNTED RACK 12U PROF600</t>
  </si>
  <si>
    <t>19 INCH WALL MOUNTED RACK 12U PROF600 WITH SOLID FRONT DOOR</t>
  </si>
  <si>
    <t>19 INCH WALL MOUNTED RACK 12U PROF600 WITH PERFORATED FRONT DOOR</t>
  </si>
  <si>
    <t>PERFORATED FRONT DOOR 12U</t>
  </si>
  <si>
    <t>SOLID FRONT DOOR 12U</t>
  </si>
  <si>
    <t>19 INCH WALL MOUNTED RACK 22U PROF450</t>
  </si>
  <si>
    <t>19 INCH WALL MOUNTED RACK 22U PROF450 WITH SOLID FRONT DOOR</t>
  </si>
  <si>
    <t>19 INCH WALL MOUNTED RACK 22U PROF450 WITH PERFORATED FRONT DOOR</t>
  </si>
  <si>
    <t>19 INCH WALL MOUNTED RACK 22U PROF600</t>
  </si>
  <si>
    <t>19 INCH WALL MOUNTED RACK 22U PROF600 WITH SOLID FRONT DOOR</t>
  </si>
  <si>
    <t>19 INCH WALL MOUNTED RACK 22U PROF600 WITH PERFORATED FRONT DOOR</t>
  </si>
  <si>
    <t>PERFORATED FRONT DOOR 22U</t>
  </si>
  <si>
    <t>SOLID FRONT DOOR 22U</t>
  </si>
  <si>
    <t>BAIE RESEAU "START" 22U 600x600 19 POUCES PORTE AV VITREE SIMPLE - PANNEAU AR</t>
  </si>
  <si>
    <t>BAIE RESEAU "START" 24U 600x600 19 POUCES PORTE AV VITREE SIMPLE - PANNEAU AR</t>
  </si>
  <si>
    <t>BAIE RESEAU "START" 27U 600x600 19 POUCES PORTE AV VITREE SIMPLE - PANNEAU AR</t>
  </si>
  <si>
    <t>BAIE RESEAU "START" 32U 600x600 19 POUCES PORTE AV VITREE SIMPLE - PANNEAU AR</t>
  </si>
  <si>
    <t>BAIE RESEAU "START" 42U 600x600 19 POUCES PORTE AV VITREE SIMPLE - PANNEAU AR</t>
  </si>
  <si>
    <t>BAIE RESEAU "START" 42U 600x600 19 POUCES SANS PORTE AV - SANS PANNEAU AR</t>
  </si>
  <si>
    <t>BAIE RESEAU "START" 22U 600x800 19 POUCES PORTE AV VITREE SIMPLE - PANNEAU AR</t>
  </si>
  <si>
    <t>BAIE RESEAU "START" 24U 600x800 19 POUCES PORTE AV VITREE SIMPLE - PANNEAU AR</t>
  </si>
  <si>
    <t>BAIE RESEAU "START" 27U 600x800 19 POUCES PORTE AV VITREE SIMPLE - PANNEAU AR</t>
  </si>
  <si>
    <t>BAIE RESEAU "START" 32U 600x800 19 POUCES PORTE AV VITREE SIMPLE - PANNEAU AR</t>
  </si>
  <si>
    <t>BAIE RESEAU "START" 42U 600x800 19 POUCES PORTE AV VITREE SIMPLE - PANNEAU AR</t>
  </si>
  <si>
    <t>BAIE RESEAU "START" 42U 600x800 19 POUCES SANS PORTE AV - SANS PANNEAU AR</t>
  </si>
  <si>
    <t>BAIE RESEAU "START" 42U 600x1000 19 POUCES PORTE AV VITREE SIMPLE - PANNEAU AR</t>
  </si>
  <si>
    <t>BAIE RESEAU "START" 42U 800x600 19 POUCES DOUBLE PORTE AV VITREE - PANNEAU AR</t>
  </si>
  <si>
    <t>BAIE RESEAU "START" 42U 800x600 19 POUCES SANS PORTE AV - SANS PANNEAU AR</t>
  </si>
  <si>
    <t>BAIE RESEAU "START" 27U 800x800 19 POUCES DOUBLE PORTE AV VITREE - PANNEAU AR</t>
  </si>
  <si>
    <t>BAIE RESEAU "START" 32U 800x800 19 POUCES DOUBLE PORTE AV VITREE - PANNEAU AR</t>
  </si>
  <si>
    <t>BAIE RESEAU "START" 42U 800x800 19 POUCES DOUBLE PORTE AV VITREE - PANNEAU AR</t>
  </si>
  <si>
    <t>BAIE RESEAU "START" 42U 800x800 19 POUCES SANS PORTE AV - SANS PANNEAU AR</t>
  </si>
  <si>
    <t>BAIE RESEAU "START" 42U 800x1000 19 POUCES DOUBLE PORTE AV VITREE - PANNEAU AR</t>
  </si>
  <si>
    <t>BAIE RESEAU "START" 42U 800x1000 19 POUCES SANS PORTE AV - SANS PANNEAU AR</t>
  </si>
  <si>
    <t>PORTE VITRÉE POUR BAIE RESEAU "START" 19 POUCES DE 600 MM</t>
  </si>
  <si>
    <t>PORTE PERFORÉE SIMPLE POUR BAIE RESEAU "START" 19 POUCES DE 600 MM</t>
  </si>
  <si>
    <t>PORTES VITRÉES DOUBLES POUR BAIE RESEAU "START" 19 POUCES DE 800 MM</t>
  </si>
  <si>
    <t>PORTES PERFORÉES DOUBLES POUR BAIE RESEAU "START" 19 POUCES DE 800 MM</t>
  </si>
  <si>
    <t>PANNEAU ARRIÈRE POUR BAIE RESEAU "START" 19 POUCES DE 600 MM</t>
  </si>
  <si>
    <t>PANNEAU ARRIÈRE POUR BAIE RESEAU "START" 19 POUCES DE 800 MM</t>
  </si>
  <si>
    <t>BAIE RESEAU "GRID" 22U 600x600 19 POUCES PORTE AV VITREE SIMPLE - PANNEAU AR</t>
  </si>
  <si>
    <t>BAIE RESEAU "GRID" 24U 600x600 19 POUCES PORTE AV VITREE SIMPLE - PANNEAU AR</t>
  </si>
  <si>
    <t>BAIE RESEAU "GRID" 27U 600x600 19 POUCES PORTE AV VITREE SIMPLE - PANNEAU AR</t>
  </si>
  <si>
    <t>BAIE RESEAU "GRID" 32U 600x600 19 POUCES PORTE AV VITREE SIMPLE - PANNEAU AR</t>
  </si>
  <si>
    <t>BAIE RESEAU "GRID" 42U 600x600 19 POUCES PORTE AV VITREE SIMPLE - PANNEAU AR</t>
  </si>
  <si>
    <t>BAIE RESEAU "GRID" 22U 600x800 19 POUCES PORTE AV VITREE SIMPLE - PANNEAU AR</t>
  </si>
  <si>
    <t>BAIE RESEAU "GRID" 27U 600x800 19 POUCES PORTE AV VITREE SIMPLE - PANNEAU AR</t>
  </si>
  <si>
    <t>BAIE RESEAU "GRID" 42U 600x800 19 POUCES PORTE AV VITREE SIMPLE - PANNEAU AR</t>
  </si>
  <si>
    <t>BAIE RESEAU "GRID" 42U 600x1000 19 POUCES PORTE AV VITREE SIMPLE - PANNEAU AR</t>
  </si>
  <si>
    <t>BAIE RESEAU "GRID" 22U 600x600 19 POUCES PORTES AV/AR VITREES SIMPLE</t>
  </si>
  <si>
    <t>BAIE RESEAU "GRID" 24U 600x600 19 POUCES PORTES AV/AR VITREES SIMPLE</t>
  </si>
  <si>
    <t>BAIE RESEAU "GRID" 27U 600x600 19 POUCES PORTES AV/AR VITREES SIMPLE</t>
  </si>
  <si>
    <t>BAIE RESEAU "GRID" 32U 600x600 19 POUCES PORTES AV/AR VITREES SIMPLE</t>
  </si>
  <si>
    <t>BAIE RESEAU "GRID" 42U 600x600 19 POUCES PORTES AV/AR VITREES SIMPLE</t>
  </si>
  <si>
    <t>BAIE RESEAU "GRID" 22U 600x800 19 POUCES PORTES AV/AR VITREES SIMPLE</t>
  </si>
  <si>
    <t>BAIE RESEAU "GRID" 27U 600x800 19 POUCES PORTES AV/AR VITREES SIMPLE</t>
  </si>
  <si>
    <t>BAIE RESEAU "GRID" 42U 600x800 19 POUCES PORTES AV/AR VITREES SIMPLE</t>
  </si>
  <si>
    <t>BAIE RESEAU "GRID" 42U 600x1000 19 POUCES PORTES AV/AR VITREES SIMPLE</t>
  </si>
  <si>
    <t>BAIE RESEAU "GRID" 42U 800x600 19 POUCES DOUBLE PORTE AV VITREE - PANNEAU AR</t>
  </si>
  <si>
    <t>BAIE RESEAU "GRID" 32U 800x800 19 POUCES DOUBLE PORTE AV VITREE - PANNEAU AR</t>
  </si>
  <si>
    <t>BAIE RESEAU "GRID" 42U 800x800 19 POUCES DOUBLE PORTE AV VITREE - PANNEAU AR</t>
  </si>
  <si>
    <t>BAIE RESEAU "GRID" 47U 800x800 19 POUCES DOUBLE PORTE AV VITREE - PANNEAU AR</t>
  </si>
  <si>
    <t>BAIE RESEAU "GRID" 42U 800x1000 19 POUCES DOUBLE PORTE AV VITREE - PANNEAU AR</t>
  </si>
  <si>
    <t>BAIE RESEAU "GRID" 42U 800x1200 19 POUCES DOUBLE PORTE AV VITREE - PANNEAU AR</t>
  </si>
  <si>
    <t>BAIE RESEAU "GRID" 47U 800x1200 19 POUCES DOUBLE PORTE AV VITREE - PANNEAU AR</t>
  </si>
  <si>
    <t>BAIE RESEAU "GRID" 32U 800x800 19 POUCES DOUBLE PORTE AV/AR VITREES</t>
  </si>
  <si>
    <t>BAIE RESEAU "GRID" 42U 800x800 19 POUCES DOUBLE PORTE AV/AR VITREES</t>
  </si>
  <si>
    <t>BAIE RESEAU "GRID" 47U 800x800 19 POUCES DOUBLE PORTE AV/AR VITREES</t>
  </si>
  <si>
    <t>BAIE RESEAU "GRID" 42U 800x1000 19 POUCES DOUBLE PORTE AV/AR VITREES</t>
  </si>
  <si>
    <t>BAIE RESEAU "GRID" 42U 800x1200 19 POUCES DOUBLE PORTE AV/AR VITREES</t>
  </si>
  <si>
    <t>BAIE RESEAU "GRID" 47U 800x1200 19 POUCES DOUBLE PORTE AV/AR VITREES</t>
  </si>
  <si>
    <t>BAIE RESEAU "GRID" 22U 600x600 19 POUCES PORTE AV PERFOREE SIMPLE - PANNEAU AR</t>
  </si>
  <si>
    <t>BAIE RESEAU "GRID" 24U 600x600 19 POUCES PORTE AV PERFOREE SIMPLE - PANNEAU AR</t>
  </si>
  <si>
    <t>BAIE RESEAU "GRID" 27U 600x600 19 POUCES PORTE AV PERFOREE SIMPLE - PANNEAU AR</t>
  </si>
  <si>
    <t>BAIE RESEAU "GRID" 32U 600x600 19 POUCES PORTE AV PERFOREE SIMPLE - PANNEAU AR</t>
  </si>
  <si>
    <t>BAIE RESEAU "GRID" 42U 600x600 19 POUCES PORTE AV PERFOREE SIMPLE - PANNEAU AR</t>
  </si>
  <si>
    <t>BAIE RESEAU "GRID" 22U 600x800 19 POUCES PORTE AV PERFOREE SIMPLE - PANNEAU AR</t>
  </si>
  <si>
    <t>BAIE RESEAU "GRID" 27U 600x800 19 POUCES PORTE AV PERFOREE SIMPLE - PANNEAU AR</t>
  </si>
  <si>
    <t>BAIE RESEAU "GRID" 42U 600x800 19 POUCES PORTE AV PERFOREE SIMPLE - PANNEAU AR</t>
  </si>
  <si>
    <t>BAIE RESEAU "GRID" 47U 600x800 19 POUCES PORTE AV PERFOREE SIMPLE - PANNEAU AR</t>
  </si>
  <si>
    <t>BAIE RESEAU "GRID" 42U 600x1000 19 POUCES PORTE AV PERFOREE SIMPLE - PANNEAU AR</t>
  </si>
  <si>
    <t>BAIE RESEAU "GRID" 22U 600x600 19 POUCES PORTES AV/AR PERFOREES SIMPLE</t>
  </si>
  <si>
    <t>BAIE RESEAU "GRID" 24U 600x600 19 POUCES PORTES AV/AR PERFOREES SIMPLE</t>
  </si>
  <si>
    <t>BAIE RESEAU "GRID" 27U 600x600 19 POUCES PORTES AV/AR PERFOREES SIMPLE</t>
  </si>
  <si>
    <t>BAIE RESEAU "GRID" 32U 600x600 19 POUCES PORTES AV/AR PERFOREES SIMPLE</t>
  </si>
  <si>
    <t>BAIE RESEAU "GRID" 42U 600x600 19 POUCES PORTES AV/AR PERFOREES SIMPLE</t>
  </si>
  <si>
    <t>BAIE RESEAU "GRID" 22U 600x800 19 POUCES PORTES AV/AR PERFOREES SIMPLE</t>
  </si>
  <si>
    <t>BAIE RESEAU "GRID" 27U 600x800 19 POUCES PORTES AV/AR PERFOREES SIMPLE</t>
  </si>
  <si>
    <t>BAIE RESEAU "GRID" 42U 600x800 19 POUCES PORTES AV/AR PERFOREES SIMPLE</t>
  </si>
  <si>
    <t>BAIE RESEAU "GRID" 47U 600x800 19 POUCES PORTES AV/AR PERFOREES SIMPLE</t>
  </si>
  <si>
    <t>BAIE RESEAU "GRID" 42U 600x1000 19 POUCES PORTES AV/AR PERFOREES SIMPLE</t>
  </si>
  <si>
    <t>BAIE RESEAU "GRID" 42U 800x600 19 POUCES DOUBLE PORTE AV PERFOREE - PANNEAU AR</t>
  </si>
  <si>
    <t>BAIE RESEAU "GRID" 32U 800x800 19 POUCES DOUBLE PORTE AV PERFOREE - PANNEAU AR</t>
  </si>
  <si>
    <t>BAIE RESEAU "GRID" 42U 800x800 19 POUCES DOUBLE PORTE AV PERFOREE - PANNEAU AR</t>
  </si>
  <si>
    <t>BAIE RESEAU "GRID" 47U 800x800 19 POUCES DOUBLE PORTE AV PERFOREE - PANNEAU AR</t>
  </si>
  <si>
    <t>BAIE RESEAU "GRID" 42U 800x1000 19 POUCES DOUBLE PORTE AV PERFOREE - PANNEAU AR</t>
  </si>
  <si>
    <t>BAIE RESEAU "GRID" 47U 800x1000 19 POUCES DOUBLE PORTE AV PERFOREE - PANNEAU AR</t>
  </si>
  <si>
    <t>BAIE RESEAU "GRID" 42U 800x1200 19 POUCES DOUBLE PORTE AV PERFOREE - PANNEAU AR</t>
  </si>
  <si>
    <t>BAIE RESEAU "GRID" 47U 800x1200 19 POUCES DOUBLE PORTE AV PERFOREE - PANNEAU AR</t>
  </si>
  <si>
    <t>BAIE RESEAU "GRID" 42U 800x600 19 POUCES DOUBLE PORTE AV/AR PERFOREES</t>
  </si>
  <si>
    <t>BAIE RESEAU "GRID" 32U 800x800 19 POUCES DOUBLE PORTE AV/AR PERFOREES</t>
  </si>
  <si>
    <t>BAIE RESEAU "GRID" 42U 800x800 19 POUCES DOUBLE PORTE AV/AR PERFOREES</t>
  </si>
  <si>
    <t>BAIE RESEAU "GRID" 47U 800x800 19 POUCES DOUBLE PORTE AV/AR PERFOREES</t>
  </si>
  <si>
    <t>BAIE RESEAU "GRID" 42U 800x1000 19 POUCES DOUBLE PORTE AV/AR PERFOREES</t>
  </si>
  <si>
    <t>BAIE RESEAU "GRID" 47U 800x1000 19 POUCES DOUBLE PORTE AV/AR PERFOREES</t>
  </si>
  <si>
    <t>BAIE RESEAU "GRID" 42U 800x1200 19 POUCES DOUBLE PORTE AV/AR PERFOREES</t>
  </si>
  <si>
    <t>BAIE RESEAU "GRID" 47U 800x1200 19 POUCES DOUBLE PORTE AV/AR PERFOREES</t>
  </si>
  <si>
    <t>BAIE RESEAU "GRID" 42U 800x800 19 POUCES PORTE AV/AR PERFOREES SPECIAL EDF</t>
  </si>
  <si>
    <t>BAIE RESEAU EXTENSION "GRID" 42U 800x800 19 POUCES PORTE AV/AR PERFOREES SPECIAL EDF</t>
  </si>
  <si>
    <t>BAIE RESEAU "GRID" 42U 600x600 19 POUCES PORTE AV/AR PERFOREES SPECIAL EDF</t>
  </si>
  <si>
    <t>BAIE RESEAU EXTENSION "GRID" 42U 600x600 19 POUCES PORTE AV/AR PERFOREES SPECIAL EDF</t>
  </si>
  <si>
    <t>BAIE RESEAU "GRID" 42U 600x800 19 POUCES PORTE AV/AR PERFOREES SPECIAL EDF</t>
  </si>
  <si>
    <t>BAIE RESEAU EXTENSION "GRID" 42U 600x800 19 POUCES PORTE AV/AR PERFOREES SPECIAL EDF</t>
  </si>
  <si>
    <t>BAIE RESEAU "GRID" 42U 600x1000 19 POUCES PORTE AV/AR PERFOREES SPECIAL EDF</t>
  </si>
  <si>
    <t>BAIE RESEAU EXTENSION "GRID" 42U 600x1000 19 POUCES PORTE AV/AR PERFOREES SPECIAL EDF</t>
  </si>
  <si>
    <t>BAIE RESEAU "GRID" 47U 800x800 19 POUCES PORTE AV/AR PERFOREES SPECIAL EDF</t>
  </si>
  <si>
    <t>BAIE RESEAU EXTENSION "GRID" 47U 800x800 19 POUCES PORTE AV/AR PERFOREES SPECIAL EDF</t>
  </si>
  <si>
    <t>BAIE RESEAU "GRID" 47U 800x1000 19 POUCES PORTE AV/AR PERFOREES SPECIAL EDF</t>
  </si>
  <si>
    <t>BAIE RESEAU EXTENSION "GRID" 47U 800x1000 19 POUCES PORTE AV/AR PERFOREES SPECIAL EDF</t>
  </si>
  <si>
    <t>COFFRET 19 POUCES 09U PROF600 PORTE AV PLEINE</t>
  </si>
  <si>
    <t>COFFRET 19 POUCES 12U PROF600</t>
  </si>
  <si>
    <t>COFFRET 19 POUCES 12U PROF600 PORTE AV PLEINE</t>
  </si>
  <si>
    <t>COFFRET 19 POUCES 12U PROF600 PORTE AV PERFOREE</t>
  </si>
  <si>
    <t>PORTE AV PERFOREE 12U</t>
  </si>
  <si>
    <t>PORTE AV PLEINE 12U</t>
  </si>
  <si>
    <t>COFFRET 19 POUCES 22U PROF450</t>
  </si>
  <si>
    <t>COFFRET 19 POUCES 22U PROF450 PORTE AV PLEINE</t>
  </si>
  <si>
    <t>COFFRET 19 POUCES 22U PROF450  PORTE AV PERFOREE</t>
  </si>
  <si>
    <t>COFFRET 19 POUCES 22U PROF600</t>
  </si>
  <si>
    <t>COFFRET 19 POUCES 22U PROF600 PORTE AV PLEINE</t>
  </si>
  <si>
    <t>COFFRET 19 POUCES 22U PROF600  PORTE AV PERFOREE</t>
  </si>
  <si>
    <t>PORTE AV PERFOREE 22U</t>
  </si>
  <si>
    <t>PORTE AV PLEINE 22U</t>
  </si>
  <si>
    <t>1pc</t>
  </si>
  <si>
    <t>GRID</t>
  </si>
  <si>
    <t>EDF</t>
  </si>
  <si>
    <t>WALL CABINET</t>
  </si>
  <si>
    <t>KCU64PLZHDGR5</t>
    <phoneticPr fontId="2" type="noConversion"/>
  </si>
  <si>
    <t>KJPP2UBMCTEF</t>
  </si>
  <si>
    <t>KSFP1U48POM4LCEDF</t>
  </si>
  <si>
    <t>KCFU6A4PZHCWH5</t>
    <phoneticPr fontId="2" type="noConversion"/>
  </si>
  <si>
    <t>CAT6A CABLE F/UTP 4 PAIRS AWG23 TESTED UP TO 650MHz LSZH CPR DCA WHITE RAL9003 500M</t>
    <phoneticPr fontId="2" type="noConversion"/>
  </si>
  <si>
    <t>CAT6A CABLE F/UTP 4 PAIRS AWG23 TESTED UP TO 650MHz LSZH CPR CCA WHITE RAL9003 500M</t>
    <phoneticPr fontId="2" type="noConversion"/>
  </si>
  <si>
    <t>CÂBLE CAT6A F/UTP 4 PAIRES AWG23 TEST A 650MHz LSZH CPR DCA BLANC RAL9003 500M</t>
    <phoneticPr fontId="2" type="noConversion"/>
  </si>
  <si>
    <t>CÂBLE CAT6A F/UTP 4 PAIRES AWG23 TEST A 650MHz LSZH CPR CCA BLANC RAL9003 500M</t>
    <phoneticPr fontId="2" type="noConversion"/>
  </si>
  <si>
    <t>0.60BC/1.56SFS/TC 30%/OD 8.3, 24m Channel</t>
    <phoneticPr fontId="2" type="noConversion"/>
  </si>
  <si>
    <t>KCFF6A8PZHCGR5</t>
    <phoneticPr fontId="2" type="noConversion"/>
  </si>
  <si>
    <t>Cca</t>
    <phoneticPr fontId="2" type="noConversion"/>
  </si>
  <si>
    <t>KCSF6A8PZHCBL5</t>
    <phoneticPr fontId="2" type="noConversion"/>
  </si>
  <si>
    <t>CAT6A CABLE S/FTP 2x4 PAIRS AWG23 TESTED UP TO 650MHz LSZH CPR CCA BLUE RAL5024 500M</t>
    <phoneticPr fontId="2" type="noConversion"/>
  </si>
  <si>
    <t>CÂBLE CAT6A S/FTP 2x4 PAIRES AWG23 TEST A 650MHz LSZH CPR CCA BLEU RAL5024 500M</t>
    <phoneticPr fontId="2" type="noConversion"/>
  </si>
  <si>
    <t>KCSF6A8PZHCBL5</t>
    <phoneticPr fontId="2" type="noConversion"/>
  </si>
  <si>
    <t>KCFF6A8PZHCBL5</t>
    <phoneticPr fontId="2" type="noConversion"/>
  </si>
  <si>
    <t>CAT6A CABLE F/FTP 2x4 PAIRS AWG23 TESTED UP TO 650MHz LSZH CPR CCA BLUE RAL5024 500M</t>
    <phoneticPr fontId="2" type="noConversion"/>
  </si>
  <si>
    <t>CÂBLE CAT6A F/FTP 2x4 PAIRES AWG23 TEST A 650MHz LSZH CPR CCA BLEU RAL5024 500M</t>
    <phoneticPr fontId="2" type="noConversion"/>
  </si>
  <si>
    <t>Koros,Xeilom, Coris</t>
    <phoneticPr fontId="2" type="noConversion"/>
  </si>
  <si>
    <t>Elendil</t>
    <phoneticPr fontId="2" type="noConversion"/>
  </si>
  <si>
    <t>Turkey</t>
    <phoneticPr fontId="2" type="noConversion"/>
  </si>
  <si>
    <t>KCU64PZHDGR5</t>
    <phoneticPr fontId="2" type="noConversion"/>
  </si>
  <si>
    <t>KCU64PZHCGR5</t>
    <phoneticPr fontId="2" type="noConversion"/>
  </si>
  <si>
    <t>Cca</t>
    <phoneticPr fontId="2" type="noConversion"/>
  </si>
  <si>
    <t>CAT6A CABLE U/UTP 4 PAIRS AWG23 TESTED UP TO 650MHz LSZH CPR CCA BLUE RAL5024 500M</t>
    <phoneticPr fontId="2" type="noConversion"/>
  </si>
  <si>
    <t>KCU6A4PZHDBL5</t>
    <phoneticPr fontId="2" type="noConversion"/>
  </si>
  <si>
    <t>CAT6A CABLE U/UTP 4 PAIRS AWG23 TESTED UP TO 650MHz LSZH CPR DCA BLUE RAL5024 500M</t>
    <phoneticPr fontId="2" type="noConversion"/>
  </si>
  <si>
    <t>CÂBLE CAT6A U/UTP 4 PAIRES AWG23 TEST A 650MHz LSZH CPR CCA BLEU RAL5024 500M</t>
    <phoneticPr fontId="2" type="noConversion"/>
  </si>
  <si>
    <t>Dca</t>
    <phoneticPr fontId="2" type="noConversion"/>
  </si>
  <si>
    <t>No</t>
    <phoneticPr fontId="2" type="noConversion"/>
  </si>
  <si>
    <t>Yes</t>
    <phoneticPr fontId="2" type="noConversion"/>
  </si>
  <si>
    <t>KFO6OS2CTZHC</t>
    <phoneticPr fontId="2" type="noConversion"/>
  </si>
  <si>
    <t>6FO OS2 CENTRAL LOOSE TUBE LSZH UNIVERSAL Cca YELLOW RAL1021</t>
    <phoneticPr fontId="2" type="noConversion"/>
  </si>
  <si>
    <t>6FO OS2 TUBE CENTRAL STRUCTURE LIBRE LSZH UNIVERSEL Cca JAUNE RAL1021</t>
    <phoneticPr fontId="2" type="noConversion"/>
  </si>
  <si>
    <t>KJPP1UBMCTEF =ELENDIL</t>
    <phoneticPr fontId="2" type="noConversion"/>
  </si>
  <si>
    <t>KSPFK1U4RCFEF = 3D CORIS / XEILOM / KOROS</t>
    <phoneticPr fontId="2" type="noConversion"/>
  </si>
  <si>
    <t>KJPP1UBCTEF= 3D CORIS / XEILOM / KOROS</t>
    <phoneticPr fontId="2" type="noConversion"/>
  </si>
  <si>
    <t>KSPFK1U4RCEF/KSPFK1U4RCFEF = ELENDIL</t>
    <phoneticPr fontId="2" type="noConversion"/>
  </si>
  <si>
    <t>10 km</t>
    <phoneticPr fontId="2" type="noConversion"/>
  </si>
  <si>
    <t>KCSF6A4PZHMCB2R5</t>
    <phoneticPr fontId="2" type="noConversion"/>
  </si>
  <si>
    <t>CAT6A CABLE S/FTP 4 PAIRS AWG23 TESTED UP TO 650MHz LSZH CPR B2CA PH120 RED RAL 3018 500M</t>
    <phoneticPr fontId="2" type="noConversion"/>
  </si>
  <si>
    <t>CÂBLE CAT6A S/FTP 4 PAIRES AWG23 TEST A 650MHz LSZH CPR B2CA PH120 ROUGE RAL 3018 500M</t>
    <phoneticPr fontId="2" type="noConversion"/>
  </si>
  <si>
    <t>1x20GP=21ton, &lt;26cbm</t>
    <phoneticPr fontId="2" type="noConversion"/>
  </si>
  <si>
    <t>KWA645F</t>
    <phoneticPr fontId="2" type="noConversion"/>
  </si>
  <si>
    <t>KWA1560F</t>
    <phoneticPr fontId="2" type="noConversion"/>
  </si>
  <si>
    <t>KWA660F</t>
    <phoneticPr fontId="2" type="noConversion"/>
  </si>
  <si>
    <t>KWA960F</t>
    <phoneticPr fontId="2" type="noConversion"/>
  </si>
  <si>
    <t>KWA1260F</t>
    <phoneticPr fontId="2" type="noConversion"/>
  </si>
  <si>
    <t>KWA2260F</t>
    <phoneticPr fontId="2" type="noConversion"/>
  </si>
  <si>
    <t>KWA1860F</t>
    <phoneticPr fontId="2" type="noConversion"/>
  </si>
  <si>
    <t>KWA2760F</t>
    <phoneticPr fontId="2" type="noConversion"/>
  </si>
  <si>
    <t>KWA945F</t>
    <phoneticPr fontId="2" type="noConversion"/>
  </si>
  <si>
    <t>KWA1245F</t>
    <phoneticPr fontId="2" type="noConversion"/>
  </si>
  <si>
    <t>KWA1545F</t>
    <phoneticPr fontId="2" type="noConversion"/>
  </si>
  <si>
    <t>KWA1845F</t>
    <phoneticPr fontId="2" type="noConversion"/>
  </si>
  <si>
    <t>KWA2245F</t>
    <phoneticPr fontId="2" type="noConversion"/>
  </si>
  <si>
    <t>KWA2745F</t>
    <phoneticPr fontId="2" type="noConversion"/>
  </si>
  <si>
    <t>KPSF6AZH50EF</t>
    <phoneticPr fontId="2" type="noConversion"/>
  </si>
  <si>
    <t>KPSF6AZH70EF</t>
    <phoneticPr fontId="2" type="noConversion"/>
  </si>
  <si>
    <t>CAT6A PATCH CORD S/FTP GREY LSZH 70M</t>
    <phoneticPr fontId="2" type="noConversion"/>
  </si>
  <si>
    <t>CORDON DE BRASSAGE CAT6A S/FTP GRIS LSZH 50M</t>
    <phoneticPr fontId="2" type="noConversion"/>
  </si>
  <si>
    <t>CORDON DE BRASSAGE CAT6A S/FTP GRIS LSZH 70M</t>
    <phoneticPr fontId="2" type="noConversion"/>
  </si>
  <si>
    <t>KFO12OM3CTAZHB2</t>
    <phoneticPr fontId="2" type="noConversion"/>
  </si>
  <si>
    <t>KFO24OM3CTAZHB2</t>
    <phoneticPr fontId="2" type="noConversion"/>
  </si>
  <si>
    <t>12FO OM3 CENTRAL LOOSE TUBE ARMORED LSZH B2ca OUTDOOR AQUA RAL6027</t>
    <phoneticPr fontId="2" type="noConversion"/>
  </si>
  <si>
    <t>24FO OM3 CENTRAL LOOSE TUBE ARMORED LSZH B2ca OUTDOOR AQUA RAL6027</t>
    <phoneticPr fontId="2" type="noConversion"/>
  </si>
  <si>
    <t>48FO OM3 MULTI TUBE STRUCTURE LIBRE LSZH UNIVERSEL Dca AQUA RAL6027</t>
    <phoneticPr fontId="2" type="noConversion"/>
  </si>
  <si>
    <t>12FO OM3 TUBE CENTRAL STRUCTURE LIBRE ARMÉ LSZH B2ca EXTÉRIEUR AQUA RAL6027</t>
    <phoneticPr fontId="2" type="noConversion"/>
  </si>
  <si>
    <t>24FO OM3 TUBE CENTRAL STRUCTURE LIBRE ARMÉ LSZH B2ca EXTÉRIEUR AQUA RAL6027</t>
    <phoneticPr fontId="2" type="noConversion"/>
  </si>
  <si>
    <t>KFO4OM3CTAZHB2FR</t>
    <phoneticPr fontId="2" type="noConversion"/>
  </si>
  <si>
    <t>KFO6OM3CTAZHB2FR</t>
    <phoneticPr fontId="2" type="noConversion"/>
  </si>
  <si>
    <t>KFO8OM3CTAZHB2FR</t>
    <phoneticPr fontId="2" type="noConversion"/>
  </si>
  <si>
    <t>KFO12OM3CTAZHB2FR</t>
    <phoneticPr fontId="2" type="noConversion"/>
  </si>
  <si>
    <t>KFO24OM3CTAZHB2FR</t>
    <phoneticPr fontId="2" type="noConversion"/>
  </si>
  <si>
    <t>4FO OM3 CENTRAL LOOSE TUBE ARMORED LSZH FR B2ca OUTDOOR AQUA RAL6027</t>
  </si>
  <si>
    <t>6FO OM3 CENTRAL LOOSE TUBE ARMORED LSZH FR B2ca OUTDOOR AQUA RAL6027</t>
    <phoneticPr fontId="2" type="noConversion"/>
  </si>
  <si>
    <t>8FO OM3 CENTRAL LOOSE TUBE ARMORED LSZH FR B2ca OUTDOOR AQUA RAL6027</t>
    <phoneticPr fontId="2" type="noConversion"/>
  </si>
  <si>
    <t>12FO OM3 CENTRAL LOOSE TUBE ARMORED LSZH FR B2ca OUTDOOR AQUA RAL6027</t>
    <phoneticPr fontId="2" type="noConversion"/>
  </si>
  <si>
    <t>24FO OM3 CENTRAL LOOSE TUBE ARMORED LSZH FR B2ca OUTDOOR AQUA RAL6027</t>
    <phoneticPr fontId="2" type="noConversion"/>
  </si>
  <si>
    <t>4FO OM3 TUBE CENTRAL STRUCTURE LIBRE ARMÉ LSZH FR B2ca EXTÉRIEUR AQUA RAL6027</t>
    <phoneticPr fontId="2" type="noConversion"/>
  </si>
  <si>
    <t>6FO OM3 TUBE CENTRAL STRUCTURE LIBRE ARMÉ LSZH FR B2ca EXTÉRIEUR AQUA RAL6027</t>
    <phoneticPr fontId="2" type="noConversion"/>
  </si>
  <si>
    <t>8FO OM3 TUBE CENTRAL STRUCTURE LIBRE ARMÉ LSZH FR B2ca EXTÉRIEUR AQUA RAL6027</t>
    <phoneticPr fontId="2" type="noConversion"/>
  </si>
  <si>
    <t>12FO OM3 TUBE CENTRAL STRUCTURE LIBRE ARMÉ LSZH FR B2ca EXTÉRIEUR AQUA RAL6027</t>
    <phoneticPr fontId="2" type="noConversion"/>
  </si>
  <si>
    <t>24FO OM3 TUBE CENTRAL STRUCTURE LIBRE ARMÉ LSZH FR B2ca EXTÉRIEUR AQUA RAL6027</t>
    <phoneticPr fontId="2" type="noConversion"/>
  </si>
  <si>
    <t>MULTI TUBE ARMORED OUTDOOR SIMPLE JACKET</t>
    <phoneticPr fontId="2" type="noConversion"/>
  </si>
  <si>
    <t>KFO12OM3MTAZHB2</t>
  </si>
  <si>
    <t>KFO24OM3MTAZHB2</t>
  </si>
  <si>
    <t>KFO48OM3MTAZHB2</t>
  </si>
  <si>
    <t>12FO OM3 MULTITUBE STRUCTURE LIBRE ARME SIMPLE GAINE LSZH B2ca EXTÉRIEUR AQUA RAL6027</t>
    <phoneticPr fontId="2" type="noConversion"/>
  </si>
  <si>
    <t>24FO OM3 MULTITUBE STRUCTURE LIBRE ARME SIMPLE GAINE LSZH B2ca EXTÉRIEUR AQUA RAL6027</t>
    <phoneticPr fontId="2" type="noConversion"/>
  </si>
  <si>
    <t>48FO OM3 MULTITUBE STRUCTURE LIBRE ARME SIMPLE GAINE LSZH B2ca EXTÉRIEUR AQUA RAL6027</t>
    <phoneticPr fontId="2" type="noConversion"/>
  </si>
  <si>
    <t>12FO OM3 MULTI LOOSE TUBE ARMORDED SIMPLE JACKET LSZH B2ca OUTDOOR AQUA RAL6027</t>
    <phoneticPr fontId="2" type="noConversion"/>
  </si>
  <si>
    <t>24FO OM3 MULTI LOOSE TUBE ARMORDED SIMPLE JACKET LSZH B2ca OUTDOOR AQUA RAL6027</t>
    <phoneticPr fontId="2" type="noConversion"/>
  </si>
  <si>
    <t>48FO OM3 MULTI LOOSE TUBE ARMORDED SIMPLE JACKET LSZH B2ca OUTDOOR AQUA RAL6027</t>
    <phoneticPr fontId="2" type="noConversion"/>
  </si>
  <si>
    <t>KFO24OM3MTZHAZHB2</t>
    <phoneticPr fontId="2" type="noConversion"/>
  </si>
  <si>
    <t>KFO48OM3MTZHAZHB2</t>
    <phoneticPr fontId="2" type="noConversion"/>
  </si>
  <si>
    <t>12FO OM3 MULTI LOOSE TUBE ARMORDED DOUBLE JACKET LSZH B2ca OUTDOOR AQUA RAL6027</t>
    <phoneticPr fontId="2" type="noConversion"/>
  </si>
  <si>
    <t>24FO OM3 MULTI LOOSE TUBE ARMORDED DOUBLE JACKET LSZH B2ca OUTDOOR AQUA RAL6027</t>
    <phoneticPr fontId="2" type="noConversion"/>
  </si>
  <si>
    <t>48FO OM3 MULTI LOOSE TUBE ARMORDED DOUBLE JACKET LSZH B2ca OUTDOOR AQUA RAL6027</t>
    <phoneticPr fontId="2" type="noConversion"/>
  </si>
  <si>
    <t>6FO OM4 TUBE CENTRAL STRUCTURE LIBRE LSZH UNIVERSEL Dca VIOLET ERIKA RAL4003</t>
    <phoneticPr fontId="2" type="noConversion"/>
  </si>
  <si>
    <t>6FO OM4 CENTRAL LOOSE TUBE LSZH UNIVERSAL Dca ERIKA VIOLET RAL4003</t>
    <phoneticPr fontId="2" type="noConversion"/>
  </si>
  <si>
    <t>KFO12OM4CTAZHB2</t>
  </si>
  <si>
    <t>KFO24OM4CTAZHB2</t>
  </si>
  <si>
    <t>24FO OM4 CENTRAL LOOSE TUBE LSZH UNIVERSAL Dca ERIKA VIOLET RAL4003</t>
    <phoneticPr fontId="2" type="noConversion"/>
  </si>
  <si>
    <t>12FO OM4 CENTRAL LOOSE TUBE ARMORED LSZH B2ca OUTDOOR ERIKA VIOLET RAL4003</t>
    <phoneticPr fontId="2" type="noConversion"/>
  </si>
  <si>
    <t>24FO OM4 CENTRAL LOOSE TUBE ARMORED LSZH B2ca OUTDOOR ERIKA VIOLET RAL4003</t>
    <phoneticPr fontId="2" type="noConversion"/>
  </si>
  <si>
    <t xml:space="preserve">48FO OM4 MULTI TUBE STRUCTURE LIBRE ARMÉ PEHD EXTÉRIEUR NOIR RAL9005 </t>
    <phoneticPr fontId="2" type="noConversion"/>
  </si>
  <si>
    <t xml:space="preserve">48FO OM4 MULTI TUBE STRUCTURE LIBRE PEHD EXTÉRIEUR NOIR RAL9005 </t>
    <phoneticPr fontId="2" type="noConversion"/>
  </si>
  <si>
    <t>12FO OM4 TUBE CENTRAL STRUCTURE LIBRE ARMÉ LSZH B2ca EXTÉRIEUR VIOLET ERIKA RAL4003</t>
    <phoneticPr fontId="2" type="noConversion"/>
  </si>
  <si>
    <t>24FO OM4 TUBE CENTRAL STRUCTURE LIBRE ARMÉ LSZH B2ca EXTÉRIEUR VIOLET ERIKA RAL4003</t>
    <phoneticPr fontId="2" type="noConversion"/>
  </si>
  <si>
    <t>KFO6OM4CTZHC</t>
    <phoneticPr fontId="2" type="noConversion"/>
  </si>
  <si>
    <t>KFO12OM4CTZHC</t>
    <phoneticPr fontId="2" type="noConversion"/>
  </si>
  <si>
    <t>6FO OM4 CENTRAL LOOSE TUBE LSZH UNIVERSAL Cca ERIKA VIOLET RAL4003</t>
    <phoneticPr fontId="2" type="noConversion"/>
  </si>
  <si>
    <t>12FO OM4 CENTRAL LOOSE TUBE LSZH UNIVERSAL Cca ERIKA VIOLET RAL4003</t>
    <phoneticPr fontId="2" type="noConversion"/>
  </si>
  <si>
    <t>6FO OM4 TUBE CENTRAL STRUCTURE LIBRE LSZH UNIVERSEL Cca VIOLET ERIKA RAL4003</t>
    <phoneticPr fontId="2" type="noConversion"/>
  </si>
  <si>
    <t>12FO OM4 TUBE CENTRAL STRUCTURE LIBRE LSZH UNIVERSEL Cca VIOLET ERIKA RAL4003</t>
    <phoneticPr fontId="2" type="noConversion"/>
  </si>
  <si>
    <t>CAT6A CABLE F/FTP 4 PAIRS AWG23 TESTED UP TO 650MHz LSZH CPR DCA GREY RAL7035 500M</t>
  </si>
  <si>
    <t>MULTI TUBE UNIVERSAL SIMPLE JACKET</t>
  </si>
  <si>
    <t>MULTI TUBE UNIVERSAL SIMPLE JACKET</t>
    <phoneticPr fontId="2" type="noConversion"/>
  </si>
  <si>
    <t>KFO12OM4MTAZHB2</t>
  </si>
  <si>
    <t>KFO24OM4MTAZHB2</t>
  </si>
  <si>
    <t>KFO48OM4MTAZHB2</t>
  </si>
  <si>
    <t>12FO OM4 MULTI LOOSE TUBE ARMORDED SIMPLE JACKET LSZH B2ca OUTDOOR ERIKA VIOLET RAL4003</t>
    <phoneticPr fontId="2" type="noConversion"/>
  </si>
  <si>
    <t>24FO OM4 MULTI LOOSE TUBE ARMORDED SIMPLE JACKET LSZH B2ca OUTDOOR ERIKA VIOLET RAL4003</t>
    <phoneticPr fontId="2" type="noConversion"/>
  </si>
  <si>
    <t>48FO OM4 MULTI LOOSE TUBE ARMORDED SIMPLE JACKET LSZH B2ca OUTDOOR ERIKA VIOLET RAL4003</t>
    <phoneticPr fontId="2" type="noConversion"/>
  </si>
  <si>
    <t>12FO OM4 MULTITUBE STRUCTURE LIBRE ARME SIMPLE GAINE LSZH B2ca EXTÉRIEUR VIOLET ERIKA RAL4003</t>
    <phoneticPr fontId="2" type="noConversion"/>
  </si>
  <si>
    <t>24FO OM4 MULTITUBE STRUCTURE LIBRE ARME SIMPLE GAINE LSZH B2ca EXTÉRIEUR VIOLET ERIKA RAL4003</t>
    <phoneticPr fontId="2" type="noConversion"/>
  </si>
  <si>
    <t>48FO OM4 MULTITUBE STRUCTURE LIBRE ARME SIMPLE GAINE LSZH B2ca EXTÉRIEUR VIOLET ERIKA RAL4003</t>
    <phoneticPr fontId="2" type="noConversion"/>
  </si>
  <si>
    <t>12FO OM3 MULTITUBE STRUCTURE LIBRE ARME DOUBLE GAINE LSZH B2ca EXTÉRIEUR AQUA RAL6027</t>
    <phoneticPr fontId="2" type="noConversion"/>
  </si>
  <si>
    <t>24FO OM3 MULTITUBE STRUCTURE LIBRE ARME DOUBLE GAINE LSZH B2ca EXTÉRIEUR AQUA RAL6027</t>
    <phoneticPr fontId="2" type="noConversion"/>
  </si>
  <si>
    <t>48FO OM3 MULTITUBE STRUCTURE LIBRE ARME DOUBLE GAINE LSZH B2ca EXTÉRIEUR AQUA RAL6027</t>
    <phoneticPr fontId="2" type="noConversion"/>
  </si>
  <si>
    <t>KFO12OM4MTZHAZHB2</t>
    <phoneticPr fontId="16" type="noConversion"/>
  </si>
  <si>
    <t>KFO24OM4MTZHAZHB2</t>
    <phoneticPr fontId="2" type="noConversion"/>
  </si>
  <si>
    <t>KFO48OM4MTZHAZHB2</t>
    <phoneticPr fontId="2" type="noConversion"/>
  </si>
  <si>
    <t>KFO12OM3MTZHAZHB2</t>
    <phoneticPr fontId="16" type="noConversion"/>
  </si>
  <si>
    <t>12FO OM4 MULTI LOOSE TUBE ARMORDED DOUBLE JACKET LSZH B2ca OUTDOOR ERIKA VIOLET RAL4003</t>
    <phoneticPr fontId="2" type="noConversion"/>
  </si>
  <si>
    <t>24FO OM4 MULTI LOOSE TUBE ARMORDED DOUBLE JACKET LSZH B2ca OUTDOOR ERIKA VIOLET RAL4003</t>
    <phoneticPr fontId="2" type="noConversion"/>
  </si>
  <si>
    <t>48FO OM4 MULTI LOOSE TUBE ARMORDED DOUBLE JACKET LSZH B2ca OUTDOOR ERIKA VIOLET RAL4003</t>
    <phoneticPr fontId="2" type="noConversion"/>
  </si>
  <si>
    <t>12FO OM4 MULTITUBE STRUCTURE LIBRE ARME DOUBLE GAINE LSZH B2ca EXTÉRIEUR VIOLET ERIKA RAL4003</t>
    <phoneticPr fontId="2" type="noConversion"/>
  </si>
  <si>
    <t>24FO OM4 MULTITUBE STRUCTURE LIBRE ARME DOUBLE GAINE LSZH B2ca EXTÉRIEUR VIOLET ERIKA RAL4003</t>
    <phoneticPr fontId="2" type="noConversion"/>
  </si>
  <si>
    <t>48FO OM4 MULTITUBE STRUCTURE LIBRE ARME DOUBLE GAINE LSZH B2ca EXTÉRIEUR VIOLET ERIKA RAL4003</t>
    <phoneticPr fontId="2" type="noConversion"/>
  </si>
  <si>
    <t>OM5</t>
    <phoneticPr fontId="2" type="noConversion"/>
  </si>
  <si>
    <t>KFO24OS2CTAZHB2</t>
  </si>
  <si>
    <t>12FO OS2 CENTRAL LOOSE TUBE ARMORED LSZH B2ca OUTDOOR YELLOW RAL 1021</t>
  </si>
  <si>
    <t>24FO OS2 CENTRAL LOOSE TUBE ARMORED LSZH B2ca OUTDOOR YELLOW RAL 1021</t>
  </si>
  <si>
    <t>24FO OS2TUBE CENTRAL STRUCTURE LIBRE ARMÉ  PEHD EXTÉRIEUR NOIR RAL9005</t>
    <phoneticPr fontId="2" type="noConversion"/>
  </si>
  <si>
    <t>12FO OS2 TUBE CENTRAL STRUCTURE LIBRE ARMÉ LSZH B2ca EXTÉRIEUR JAUNE RAL1021</t>
    <phoneticPr fontId="2" type="noConversion"/>
  </si>
  <si>
    <t>24FO OS2 TUBE CENTRAL STRUCTURE LIBRE ARMÉ LSZH B2ca EXTÉRIEUR JAUNE RAL1021</t>
    <phoneticPr fontId="2" type="noConversion"/>
  </si>
  <si>
    <t>KFO4OS2CTAZHB2FR</t>
  </si>
  <si>
    <t>KFO6OS2CTAZHB2FR</t>
  </si>
  <si>
    <t>KFO8OS2CTAZHB2FR</t>
  </si>
  <si>
    <t>KFO12OS2CTAZHB2FR</t>
  </si>
  <si>
    <t>KFO24OS2CTAZHB2FR</t>
  </si>
  <si>
    <t>4FO OS2 CENTRAL LOOSE TUBE ARMORED LSZH FR B2ca OUTDOOR YELLOW RAL 1021</t>
  </si>
  <si>
    <t>6FO OS2 CENTRAL LOOSE TUBE ARMORED LSZH FR B2ca OUTDOOR YELLOW RAL 1021</t>
  </si>
  <si>
    <t>8FO OS2 CENTRAL LOOSE TUBE ARMORED LSZH FR B2ca OUTDOOR YELLOW RAL 1021</t>
  </si>
  <si>
    <t>24FO OS2 CENTRAL LOOSE TUBE ARMORED LSZH FR B2ca OUTDOOR YELLOW RAL 1021</t>
  </si>
  <si>
    <t>12FO OS2 TUBE CENTRAL STRUCTURE LIBRE ARMÉ LSZH FR B2ca EXTÉRIEUR JAUNE RAL1021</t>
    <phoneticPr fontId="2" type="noConversion"/>
  </si>
  <si>
    <t>24FO OS2 TUBE CENTRAL STRUCTURE LIBRE ARMÉ LSZH FR B2ca EXTÉRIEUR JAUNE RAL1021</t>
    <phoneticPr fontId="2" type="noConversion"/>
  </si>
  <si>
    <t>4FO OS2 TUBE CENTRAL STRUCTURE LIBRE ARMÉ LSZH FR B2ca EXTÉRIEUR JAUNE RAL1021</t>
    <phoneticPr fontId="2" type="noConversion"/>
  </si>
  <si>
    <t>6FO OS2 TUBE CENTRAL STRUCTURE LIBRE ARMÉ LSZH FR B2ca EXTÉRIEUR JAUNE RAL1021</t>
    <phoneticPr fontId="2" type="noConversion"/>
  </si>
  <si>
    <t>8FO OS2 TUBE CENTRAL STRUCTURE LIBRE ARMÉ LSZH FR B2ca EXTÉRIEUR JAUNE RAL1021</t>
    <phoneticPr fontId="2" type="noConversion"/>
  </si>
  <si>
    <t>KFO12OS2MTAZHB2</t>
  </si>
  <si>
    <t>KFO24OS2MTAZHB2</t>
  </si>
  <si>
    <t>KFO48OS2MTAZHB2</t>
  </si>
  <si>
    <t>KFO144OS2MTAZHB2</t>
    <phoneticPr fontId="2" type="noConversion"/>
  </si>
  <si>
    <t>KFO288OS2MTAZHB2</t>
    <phoneticPr fontId="2" type="noConversion"/>
  </si>
  <si>
    <t>12FO OS2 CENTRAL LOOSE TUBE ARMORED LSZH FR B2ca OUTDOOR YELLOW RAL 1021</t>
    <phoneticPr fontId="2" type="noConversion"/>
  </si>
  <si>
    <t>12FO OS2 MULTI LOOSE TUBE ARMORDED SIMPLE JACKET LSZH B2ca OUTDOOR YELLOW RAL 1021</t>
    <phoneticPr fontId="2" type="noConversion"/>
  </si>
  <si>
    <t>24FO OS2 MULTI LOOSE TUBE ARMORDED SIMPLE JACKET LSZH B2ca OUTDOOR YELLOW RAL 1021</t>
    <phoneticPr fontId="2" type="noConversion"/>
  </si>
  <si>
    <t>48FO OS2 MULTI LOOSE TUBE ARMORDED SIMPLE JACKET LSZH B2ca OUTDOOR YELLOW RAL 1021</t>
    <phoneticPr fontId="2" type="noConversion"/>
  </si>
  <si>
    <t>144FO OS2 MULTI LOOSE TUBE ARMORDED SIMPLE JACKET LSZH B2ca OUTDOOR YELLOW RAL 1021</t>
    <phoneticPr fontId="2" type="noConversion"/>
  </si>
  <si>
    <t>288FO OS2 MULTI LOOSE TUBE ARMORDED SIMPLE JACKET LSZH B2ca OUTDOOR YELLOW RAL 1021</t>
    <phoneticPr fontId="2" type="noConversion"/>
  </si>
  <si>
    <t>12FO OS2 MULTITUBE STRUCTURE LIBRE ARME SIMPLE GAINE LSZH B2ca EXTÉRIEUR JAUNE RAL1021</t>
    <phoneticPr fontId="2" type="noConversion"/>
  </si>
  <si>
    <t>24FO OS2 MULTITUBE STRUCTURE LIBRE ARME SIMPLE GAINE LSZH B2ca EXTÉRIEUR JAUNE RAL1021</t>
    <phoneticPr fontId="2" type="noConversion"/>
  </si>
  <si>
    <t>48FO OS2 MULTITUBE STRUCTURE LIBRE ARME SIMPLE GAINE LSZH B2ca EXTÉRIEUR JAUNE RAL1021</t>
    <phoneticPr fontId="2" type="noConversion"/>
  </si>
  <si>
    <t>12FO OS2 MULTITUBE STRUCTURE LIBRE ARME DOUBLE GAINE LSZH B2ca EXTÉRIEUR JAUNE RAL1021</t>
    <phoneticPr fontId="2" type="noConversion"/>
  </si>
  <si>
    <t>24FO OS2 MULTITUBE STRUCTURE LIBRE ARME DOUBLE GAINE LSZH B2ca EXTÉRIEUR JAUNE RAL1021</t>
    <phoneticPr fontId="2" type="noConversion"/>
  </si>
  <si>
    <t>48FO OS2 MULTITUBE STRUCTURE LIBRE ARME DOUBLE GAINE LSZH B2ca EXTÉRIEUR JAUNE RAL1021</t>
    <phoneticPr fontId="2" type="noConversion"/>
  </si>
  <si>
    <t>144FO OS2 MULTITUBE STRUCTURE LIBRE ARME SIMPLE GAINE LSZH B2ca EXTÉRIEUR JAUNE RAL1021</t>
    <phoneticPr fontId="2" type="noConversion"/>
  </si>
  <si>
    <t>288FO OS2 MULTITUBE STRUCTURE LIBRE ARME SIMPLE GAINE LSZH B2ca EXTÉRIEUR JAUNE RAL1021</t>
    <phoneticPr fontId="2" type="noConversion"/>
  </si>
  <si>
    <t>KFO24OS2MTZHAZHB2</t>
    <phoneticPr fontId="2" type="noConversion"/>
  </si>
  <si>
    <t>KFO48OS2MTZHAZHB2</t>
    <phoneticPr fontId="2" type="noConversion"/>
  </si>
  <si>
    <t>KFO144OS2MTZHAZHB2</t>
    <phoneticPr fontId="2" type="noConversion"/>
  </si>
  <si>
    <t>KFO288OS2MTZHAZHB2</t>
    <phoneticPr fontId="2" type="noConversion"/>
  </si>
  <si>
    <t>144FO OS2 MULTI LOOSE TUBE ARMORDED DOUBLE JACKET LSZH B2ca OUTDOOR YELLOW RAL 1021</t>
    <phoneticPr fontId="2" type="noConversion"/>
  </si>
  <si>
    <t>288FO OS2 MULTI LOOSE TUBE ARMORDED DOUBLE JACKET LSZH B2ca OUTDOOR YELLOW RAL 1021</t>
    <phoneticPr fontId="2" type="noConversion"/>
  </si>
  <si>
    <t>144FO OS2 MULTITUBE STRUCTURE LIBRE ARME DOUBLE GAINE LSZH B2ca EXTÉRIEUR JAUNE RAL1021</t>
    <phoneticPr fontId="2" type="noConversion"/>
  </si>
  <si>
    <t>288FO OS2 MULTITUBE STRUCTURE LIBRE ARME DOUBLE GAINE LSZH B2ca EXTÉRIEUR JAUNE RAL1021</t>
    <phoneticPr fontId="2" type="noConversion"/>
  </si>
  <si>
    <t>KFO12OS2MTZHAZHB2</t>
    <phoneticPr fontId="2" type="noConversion"/>
  </si>
  <si>
    <t>KFO48OS2MTZHAZHB2FR</t>
    <phoneticPr fontId="2" type="noConversion"/>
  </si>
  <si>
    <t>48FO OS2 MULTI LOOSE TUBE ARMORDED DOUBLE JACKET LSZH FR B2ca OUTDOOR YELLOW RAL 1021</t>
    <phoneticPr fontId="2" type="noConversion"/>
  </si>
  <si>
    <t>48FO OS2 MULTITUBE STRUCTURE LIBRE ARME DOUBLE GAINE LSZH FR B2ca EXTÉRIEUR JAUNE RAL1021</t>
    <phoneticPr fontId="2" type="noConversion"/>
  </si>
  <si>
    <t>Fca</t>
    <phoneticPr fontId="2" type="noConversion"/>
  </si>
  <si>
    <t>KFO8OM4TBZHC</t>
    <phoneticPr fontId="2" type="noConversion"/>
  </si>
  <si>
    <t>KFO12OS2CTAZHB2</t>
    <phoneticPr fontId="2" type="noConversion"/>
  </si>
  <si>
    <t>KFO96OM5MTZHD</t>
    <phoneticPr fontId="2" type="noConversion"/>
  </si>
  <si>
    <t>TRAVERSEE SC DUPLEX MONOMODE BLEU 20PCS PAR SAC ÉCOLOGIQUE</t>
  </si>
  <si>
    <t>item code</t>
  </si>
  <si>
    <t>KFO12OS2CTA20</t>
  </si>
  <si>
    <t>KFO24OS2CTA20</t>
  </si>
  <si>
    <t>KFO6OS2CTZHD20</t>
  </si>
  <si>
    <t>KFO8OS2CTZHD20</t>
  </si>
  <si>
    <t>KFO12OS2CTZHD20</t>
  </si>
  <si>
    <t>KFO24OS2CTZHD20</t>
  </si>
  <si>
    <t>KFO8OM4CTZHD20</t>
  </si>
  <si>
    <t>KFO12OM4CTZHD20</t>
  </si>
  <si>
    <t>KFO24OM4CTZHD20</t>
  </si>
  <si>
    <t>KFO12OM3CTZHD20</t>
  </si>
  <si>
    <t>KFO48OM3MTZHC</t>
  </si>
  <si>
    <t>KFO24OS2MT</t>
  </si>
  <si>
    <t>KCU6A4PZHCBL5</t>
  </si>
  <si>
    <t>KCFU6A4PZHDBL5</t>
  </si>
  <si>
    <t>KJ5EUEF24</t>
  </si>
  <si>
    <t>KJ6AFF6AFSEF10</t>
  </si>
  <si>
    <t>KPSF6AZH25EF</t>
  </si>
  <si>
    <t>KSALCADS40</t>
  </si>
  <si>
    <t>KCDOM3SCSC10MEF</t>
  </si>
  <si>
    <t>KCDOM3SCLC10MEF</t>
  </si>
  <si>
    <t>KCDOS2SCSC10MEF</t>
  </si>
  <si>
    <t>KPSF6AZH40EF</t>
    <phoneticPr fontId="2" type="noConversion"/>
  </si>
  <si>
    <t>CAT6A PATCH CORD S/FTP GREY LSZH 40M</t>
    <phoneticPr fontId="2" type="noConversion"/>
  </si>
  <si>
    <t>CORDON DE BRASSAGE CAT6A S/FTP GRIS LSZH 40M</t>
    <phoneticPr fontId="2" type="noConversion"/>
  </si>
  <si>
    <t>4897108882289</t>
  </si>
  <si>
    <t>4897108884573</t>
  </si>
  <si>
    <t>4897108884580</t>
  </si>
  <si>
    <t>T/T 60 days</t>
    <phoneticPr fontId="2" type="noConversion"/>
  </si>
  <si>
    <t>19" 1U FIBRE OPTIC PATCH PANEL 205 UNLOADED WITHOUT FRONT PLATE WITH HOLE CUTTING AND ACCESSORIES PER FRIENDLY CARTON</t>
    <phoneticPr fontId="2" type="noConversion"/>
  </si>
  <si>
    <t>KSFP1UFP24SCDEF</t>
    <phoneticPr fontId="2" type="noConversion"/>
  </si>
  <si>
    <t>BG53601.0</t>
    <phoneticPr fontId="2" type="noConversion"/>
  </si>
  <si>
    <t>No</t>
    <phoneticPr fontId="2" type="noConversion"/>
  </si>
  <si>
    <t>T24ST0TF</t>
    <phoneticPr fontId="2" type="noConversion"/>
  </si>
  <si>
    <t>KSFP1U205NPCKRS</t>
    <phoneticPr fontId="2" type="noConversion"/>
  </si>
  <si>
    <t>KSFP1UFP24STKRS</t>
    <phoneticPr fontId="2" type="noConversion"/>
  </si>
  <si>
    <t>neutral packing</t>
    <phoneticPr fontId="2" type="noConversion"/>
  </si>
  <si>
    <t>IP55</t>
    <phoneticPr fontId="2" type="noConversion"/>
  </si>
  <si>
    <t>KWI07600</t>
  </si>
  <si>
    <t>KWI09600</t>
  </si>
  <si>
    <t>KWI12600</t>
  </si>
  <si>
    <t>KWI16600</t>
  </si>
  <si>
    <t>KWI18600</t>
  </si>
  <si>
    <t>KWI20600</t>
  </si>
  <si>
    <t>KWI22600</t>
  </si>
  <si>
    <t>KWI07600FDRA</t>
  </si>
  <si>
    <t>KWI09600FDRA</t>
  </si>
  <si>
    <t>KWI12600FDRA</t>
  </si>
  <si>
    <t>KWI16600FDRA</t>
  </si>
  <si>
    <t>KWI18600FDRA</t>
  </si>
  <si>
    <t>KWI20600FDRA</t>
  </si>
  <si>
    <t>KWI22600FDRA</t>
  </si>
  <si>
    <t>KWI07600SGRA</t>
  </si>
  <si>
    <t>KWI09600SGRA</t>
  </si>
  <si>
    <t>KWI12600SGRA</t>
  </si>
  <si>
    <t>KWI16600SGRA</t>
  </si>
  <si>
    <t>KWI18600SGRA</t>
  </si>
  <si>
    <t>KWI20600SGRA</t>
  </si>
  <si>
    <t>KWI22600SGRA</t>
  </si>
  <si>
    <t>KWI07800FDRA</t>
  </si>
  <si>
    <t>KWI09800FDRA</t>
  </si>
  <si>
    <t>KWI12800FDRA</t>
  </si>
  <si>
    <t>KWI16800FDRA</t>
  </si>
  <si>
    <t>KWI18800FDRA</t>
  </si>
  <si>
    <t>KWI20800FDRA</t>
  </si>
  <si>
    <t>KWI22800FDRA</t>
  </si>
  <si>
    <t>KWI07800SGRA</t>
  </si>
  <si>
    <t>KWI09800SGRA</t>
  </si>
  <si>
    <t>KWI12800SGRA</t>
  </si>
  <si>
    <t>KWI16800SGRA</t>
  </si>
  <si>
    <t>KWI18800SGRA</t>
  </si>
  <si>
    <t>KWI20800SGRA</t>
  </si>
  <si>
    <t>KWI22800SGRA</t>
  </si>
  <si>
    <t>KWG06450SG</t>
  </si>
  <si>
    <t>KWG09450SG</t>
  </si>
  <si>
    <t>KWG12450SG</t>
  </si>
  <si>
    <t>KWG15450SG</t>
  </si>
  <si>
    <t>KWG18450SG</t>
  </si>
  <si>
    <t>KWG22450SG</t>
  </si>
  <si>
    <t>KWG06600SG</t>
  </si>
  <si>
    <t>KWG09600SG</t>
  </si>
  <si>
    <t>KWG12600SG</t>
  </si>
  <si>
    <t>KWG15600SG</t>
  </si>
  <si>
    <t>KWG18600SG</t>
  </si>
  <si>
    <t>KWG22600SG</t>
  </si>
  <si>
    <t>4897108884214</t>
  </si>
  <si>
    <t>4897108884207</t>
  </si>
  <si>
    <t>4897108884085</t>
  </si>
  <si>
    <t>4897108884092</t>
  </si>
  <si>
    <t>4897108884054</t>
  </si>
  <si>
    <t>4897108884061</t>
  </si>
  <si>
    <t>4897108884078</t>
  </si>
  <si>
    <t>4897108884108</t>
  </si>
  <si>
    <t>4897108884115</t>
  </si>
  <si>
    <t>4897108884122</t>
  </si>
  <si>
    <t>4897108884139</t>
  </si>
  <si>
    <t>4897108884177</t>
  </si>
  <si>
    <t>4897108884146</t>
  </si>
  <si>
    <t>4897108884153</t>
  </si>
  <si>
    <t>4897108884160</t>
  </si>
  <si>
    <t>4897108884009</t>
  </si>
  <si>
    <t>4897108884221</t>
  </si>
  <si>
    <t>4897108884238</t>
  </si>
  <si>
    <t>4897108884245</t>
  </si>
  <si>
    <t>4897108884535</t>
  </si>
  <si>
    <t>4897108884511</t>
  </si>
  <si>
    <t>4897108884504</t>
  </si>
  <si>
    <t>4897108884474</t>
  </si>
  <si>
    <t>4897108884542</t>
  </si>
  <si>
    <t>4897108884528</t>
  </si>
  <si>
    <t>4897108884498</t>
  </si>
  <si>
    <t>4897108884481</t>
  </si>
  <si>
    <t>4897108884191</t>
  </si>
  <si>
    <t>4897108884184</t>
  </si>
  <si>
    <t>KPIG12OS2SC2MEF</t>
    <phoneticPr fontId="2" type="noConversion"/>
  </si>
  <si>
    <t>KPIG12OS2LC2MEF</t>
    <phoneticPr fontId="2" type="noConversion"/>
  </si>
  <si>
    <t>KPIG12OM3SC2MEF</t>
  </si>
  <si>
    <t>KPIG12OM3LC2MEF</t>
  </si>
  <si>
    <t>KPIG12OM4SC2MEF</t>
  </si>
  <si>
    <t>KPIG12OM4LC2MEF</t>
  </si>
  <si>
    <t>KPIG12OM5SC2MEF</t>
  </si>
  <si>
    <t>KPIG12OM5LC2MEF</t>
  </si>
  <si>
    <t>SC</t>
    <phoneticPr fontId="2" type="noConversion"/>
  </si>
  <si>
    <t>LC</t>
    <phoneticPr fontId="2" type="noConversion"/>
  </si>
  <si>
    <t>1 pc eco friendly bag (250mm*300mm)</t>
    <phoneticPr fontId="2" type="noConversion"/>
  </si>
  <si>
    <t>China</t>
    <phoneticPr fontId="2" type="noConversion"/>
  </si>
  <si>
    <t>480 pcs</t>
    <phoneticPr fontId="2" type="noConversion"/>
  </si>
  <si>
    <t>C</t>
    <phoneticPr fontId="2" type="noConversion"/>
  </si>
  <si>
    <t>12 SC OS2 PIGTAIL 2 METERS ECO FRIENDLY BAG</t>
    <phoneticPr fontId="2" type="noConversion"/>
  </si>
  <si>
    <t>12 LC OS2 PIGTAIL 2 METERS ECO FRIENDLY BAG</t>
    <phoneticPr fontId="2" type="noConversion"/>
  </si>
  <si>
    <t>12 SC OM3 PIGTAIL 2 METERS ECO FRIENDLY BAG</t>
    <phoneticPr fontId="2" type="noConversion"/>
  </si>
  <si>
    <t>12 LC OM3 PIGTAIL 2 METERS ECO FRIENDLY BAG</t>
    <phoneticPr fontId="2" type="noConversion"/>
  </si>
  <si>
    <t>12 SC OM4 PIGTAIL 2 METERS ECO FRIENDLY BAG</t>
    <phoneticPr fontId="2" type="noConversion"/>
  </si>
  <si>
    <t>12 LC OM4 PIGTAIL 2 METERS ECO FRIENDLY BAG</t>
    <phoneticPr fontId="2" type="noConversion"/>
  </si>
  <si>
    <t>12 SC OM5 PIGTAIL 2 METERS ECO FRIENDLY BAG</t>
    <phoneticPr fontId="2" type="noConversion"/>
  </si>
  <si>
    <t>12 LC OM5 PIGTAIL 2 METERS ECO FRIENDLY BAG</t>
    <phoneticPr fontId="2" type="noConversion"/>
  </si>
  <si>
    <t>12 SC OS2 PIGTAIL 2 MÈTRES SAC ÉCOLOGIQUE</t>
    <phoneticPr fontId="2" type="noConversion"/>
  </si>
  <si>
    <t>12 LC OS2 PIGTAIL 2 MÈTRES SAC ÉCOLOGIQUE</t>
    <phoneticPr fontId="2" type="noConversion"/>
  </si>
  <si>
    <t>12 SC OM3 PIGTAIL 2 MÈTRES SAC ÉCOLOGIQUE</t>
    <phoneticPr fontId="2" type="noConversion"/>
  </si>
  <si>
    <t>12 LC OM3 PIGTAIL 2 MÈTRES SAC ÉCOLOGIQUE</t>
    <phoneticPr fontId="2" type="noConversion"/>
  </si>
  <si>
    <t>12 SC OM4 PIGTAIL 2 MÈTRES SAC ÉCOLOGIQUE</t>
    <phoneticPr fontId="2" type="noConversion"/>
  </si>
  <si>
    <t>12 LC OM4 PIGTAIL 2 MÈTRES SAC ÉCOLOGIQUE</t>
    <phoneticPr fontId="2" type="noConversion"/>
  </si>
  <si>
    <t>12 SC OM5 PIGTAIL 2 MÈTRES SAC ÉCOLOGIQUE</t>
    <phoneticPr fontId="2" type="noConversion"/>
  </si>
  <si>
    <t>12 LC OM5 PIGTAIL 2 MÈTRES SAC ÉCOLOGIQUE</t>
    <phoneticPr fontId="2" type="noConversion"/>
  </si>
  <si>
    <t>5.1?</t>
    <phoneticPr fontId="2" type="noConversion"/>
  </si>
  <si>
    <t>‘4897108881855</t>
    <phoneticPr fontId="2" type="noConversion"/>
  </si>
  <si>
    <t>KFP45451PANGEF8</t>
    <phoneticPr fontId="2" type="noConversion"/>
  </si>
  <si>
    <t>Q3 &amp; Q4 2025</t>
  </si>
  <si>
    <t>CAT7A CABLE S/FTP 4 PAIRS AWG22 TEST UP TO 1500MHz LSZH CPR B2CA BROWN RAL8008 500M</t>
  </si>
  <si>
    <t>INSTRUMENTATION CABLE HSLCH-OZ 24X1.5 LSZH BROWN B2CA 1000M DRUM</t>
  </si>
  <si>
    <t>CÂBLE CAT6 U/UTP 4 PAIRES AWG23 TEST A 400MHz LSZH CPR ECA GRIS RAL7035 500M</t>
  </si>
  <si>
    <t>CAT6 CABLE U/UTP 4 PAIRS AWG23 TEST UP TO 400MHz PVC CPR ECA GREY RAL7035 500M</t>
  </si>
  <si>
    <t>KCFF6A8PZHDGR5</t>
  </si>
  <si>
    <t>KCSF84PZHB2LI5</t>
  </si>
  <si>
    <t>KJ8FSHQEF24</t>
  </si>
  <si>
    <t>KCFU6A4PZHDWH5</t>
  </si>
  <si>
    <t>CAT6 CABLE F/UTP 4 PAIRS AWG24 TEST UP TO 400MHz LSZH CPR DCA WHITE RAL9003 500M</t>
  </si>
  <si>
    <t>G3TV CABLE F/FTP 1x4 PAIRS AWG23 2200MHz LSZH CPR DCA WHITE RAL9003 500M 85dB</t>
  </si>
  <si>
    <t>CAT6 CABLE F/UTP 4 PAIRS AWG24 TEST UP TO 400MHz LSZH CPR DCA WHITE RAL9003 B305M</t>
  </si>
  <si>
    <t>CÂBLE CAT6 F/UTP 4 PAIRES AWG24 TEST A 400MHz LSZH CPR DCA BLANC RAL9003 500M</t>
  </si>
  <si>
    <t>CÂBLE CAT6 F/UTP 4 PAIRES AWG24 TEST A 400MHz LSZH CPR DCA BLANC RAL9003 B305M</t>
  </si>
  <si>
    <t>EZ-P88FZ03MV2-C6</t>
  </si>
  <si>
    <t>CORDS RJ45/F CONNECTOR WHITE 0.5M CABLING 7/8.BALUN:2300MHZ</t>
  </si>
  <si>
    <t>CÂBLE CAT6 U/UTP 4 PAIRES AWG23 TEST A 400MHz LSZH CPR CCA GRIS RAL7035 500M</t>
  </si>
  <si>
    <t>CAT6A CABLE F/FTP 4 PAIRS AWG23 TESTED UP TO 650MHz LSZH CPR DCA GREY RAL7035 500M KX SYSTEM</t>
  </si>
  <si>
    <t>CÂBLE CAT6A F/FTP 4 PAIRES AWG23 TEST A 650MHz LSZH CPR DCA GRIS RAL7035 500M KX SYSTEM</t>
  </si>
  <si>
    <t>CÂBLE CAT6A U/UTP 4 PAIRES AWG23 TEST A 650MHz LSZH CPR DCA BLEU RAL5024 500M NANEXT</t>
  </si>
  <si>
    <t>CÂBLE CAT7A S/FTP 4 PAIRES AWG22 TEST A 1500MHz LSZH CPR B2CA MARRON RAL8008 500M</t>
  </si>
  <si>
    <t>CÂBLE CAT8.2 S/FTP 4 PAIRES AWG22 TEST A 2000MHz LSZH CPR CCA VERT CITRON RAL6039 500M</t>
  </si>
  <si>
    <t>CÂBLE G3TV F/FTP 4 PAIRES AWG23 TEST A 2200MHz LSZH CPR CCA BLANC RAL90033 500M 85dB</t>
  </si>
  <si>
    <t>CÂBLE G3TV F/FTP 4 PAIRES AWG23 TEST A 2200MHz LSZH CPR CCA BLANC RAL90033 4000M 85dB</t>
  </si>
  <si>
    <t>CÂBLE G3TV F/FTP 4 PAIRES AWG23 TEST A 2200MHz LSZH CPR DCA BLANC RAL90033 500M 85dB</t>
  </si>
  <si>
    <t>CÂBLE G3TV F/FTP 4 PAIRES AWG23 TEST A 2200MHz LSZH CPR DCA BLANC RAL90033 4000M 85dB</t>
  </si>
  <si>
    <t>G3TV CABLE F/FTP 1x4 PAIRS AWG23 2200MHz LSZH CPR CCA WHITE RAL9003 500M 85dB</t>
  </si>
  <si>
    <t>CÂBLE G3TV F/FTP 4 PAIRES AWG23 TEST A 2200MHz LSZH CPR CCA BLANC RAL9003 500M 85dB</t>
  </si>
  <si>
    <t>G3TV CABLE F/FTP 1x4 PAIRS AWG23 2200MHz LSZH CPR CCA WHITE RAL9003 4000M 85dB</t>
  </si>
  <si>
    <t>PLAQUE MURALE 86X86 2 PORTS 8PCS PAR CARTON ÉCOLOGIQUE</t>
  </si>
  <si>
    <t>CÂBLE INSTRUMENTATION/SONO HSLCH-OZ 2X1.5 LSZH MARRON B2CA 1000M TOURET</t>
  </si>
  <si>
    <t>CÂBLE INSTRUMENTATION HSLCH-OZ 4X1.5 LSZH MARRON B2CA 1000M TOURET</t>
  </si>
  <si>
    <t>CÂBLE INSTRUMENTATION HSLCH-OZ 7X1.5 LSZH MARRON B2CA 1000M TOURET</t>
  </si>
  <si>
    <t>CÂBLE INSTRUMENTATION HSLCH-OZ 8X1.5 LSZH MARRON B2CA 1000M TOURET</t>
  </si>
  <si>
    <t>CÂBLE INSTRUMENTATION HSLCH-OZ 12X1.5 LSZH MARRON B2CA 1000M TOURET</t>
  </si>
  <si>
    <t>CÂBLE INSTRUMENTATION HSLCH-OZ 24X1.5 LSZH MARRON B2CA 1000M TOURET</t>
  </si>
  <si>
    <t>CÂBLE INSTRUMENTATION HSLCH-OZ 4X2.5 LSZH MARRON B2CA 1000M TOURET</t>
  </si>
  <si>
    <t>CÂBLE INSTRUMENTATION HSLCH-OZ 7X2.5 LSZH MARRON B2CA 1000M TOURET</t>
  </si>
  <si>
    <t>CÂBLE INSTRUMENTATION HSLCH-OZ 12X2.5 LSZH MARRON B2CA 1500M TOURET</t>
  </si>
  <si>
    <t>CÂBLE INSTRUMENTATION HSLCH-OZ 4X6 LSZH MARRON B2CA 1500M TOURET</t>
  </si>
  <si>
    <t>CONNECTEUR DE TERRAIN CAT6A RJ45 NON BLINDÉE SANS OUTIL 1PCS PAR SAC ÉCOLOGIQUE</t>
  </si>
  <si>
    <t>MINI CONNECTEUR DE TERRAIN CAT6A RJ45 BLINDÉE SANS OUTIL 1PCS PAR SAC ÉCOLOGIQUE</t>
  </si>
  <si>
    <t>MINI CONNECTEUR DE TERRAIN CAT6A RJ45 NON BLINDÉE SANS OUTIL 1PCS PAR SAC ÉCOLOGIQUE</t>
  </si>
  <si>
    <t>CAT6A KEYSTONE EXTENDER FEMALE/FEMALE SHIELDED WITH SHUTTER 10PCS PER ECO FRIENDLY BAG</t>
  </si>
  <si>
    <t>EXTENSION KEYSTONE CAT6A FEMELLE/FEMELLE BLINDÉE AVEC OBTURATEUR 10 PIÈCES PAR SACHET ÉCOLOGIQUE</t>
  </si>
  <si>
    <t>EXTENSION KEYSTONE CAT6A FEMELLE/FEMELLE NON BLINDÉE AVEC OBTURATEUR 10 PIÈCES PAR SACHET ÉCOLOGIQUE</t>
  </si>
  <si>
    <t>26+</t>
  </si>
  <si>
    <t>CORDON DE BRASSAGE CAT6A U/UTP GRIS LSZH SLIM 0,3M</t>
  </si>
  <si>
    <t>CORDON DE BRASSAGE CAT6A U/UTP GRIS LSZH SLIM 0,5M</t>
  </si>
  <si>
    <t>CORDON DE BRASSAGE CAT6A U/UTP GRIS LSZH SLIM 1M</t>
  </si>
  <si>
    <t>CORDON DE BRASSAGE CAT6A U/UTP GRIS LSZH SLIM 2M</t>
  </si>
  <si>
    <t>CORDON DE BRASSAGE CAT6A U/UTP GRIS LSZH SLIM 3M</t>
  </si>
  <si>
    <t>CORDON DE BRASSAGE CAT6A U/UTP GRIS LSZH SLIM 5M</t>
  </si>
  <si>
    <t>CORDON DE BRASSAGE CAT6A U/UTP GRIS LSZH SLIM 10M</t>
  </si>
  <si>
    <t>PANNEAU DE BRASSAGE 24 PORTS CAT6 UNSHIELDED 1U DUAL IDC CARTON ECOLOGIQUE</t>
  </si>
  <si>
    <t>CÂBLE SINGLE PAIR ETHERNET 1 PAIRES AWG26 PUR VERT 500M</t>
  </si>
  <si>
    <t>CÂBLE SINGLE PAIR ETHERNET 1 PAIRES AWG26 PVC NOIR 500M</t>
  </si>
  <si>
    <t>CÂBLES 6/10 SYT 2 ARMEE LSZH 5 PAIRES MARRON B2CA</t>
  </si>
  <si>
    <t>CÂBLES 6/10 SYT 2 ARMEE LSZH 10 PAIRES MARRON B2CA</t>
  </si>
  <si>
    <t>CÂBLES 6/10 SYT 2 ARMEE LSZH 15 PAIRES MARRON B2CA</t>
  </si>
  <si>
    <t>CÂBLES 6/10 SYT 2 ARMEE LSZH 56 PAIRES MARRON B2CA</t>
  </si>
  <si>
    <t>CÂBLES 6/10 SYT 2 ARMEE LSZH 112 PAIRES MARRON B2CA</t>
  </si>
  <si>
    <t>CÂBLES 9/10 SYT 2 ARMEE LSZH 5 PAIRES MARRON B2CA</t>
  </si>
  <si>
    <t>CÂBLES 9/10 SYT 2 ARMEE LSZH 10 PAIRES MARRON B2CA</t>
  </si>
  <si>
    <t>CÂBLES 9/10 SYT 2 ARMEE LSZH 15 PAIRES MARRON B2CA</t>
  </si>
  <si>
    <t>CÂBLES 9/10 SYT 2 ARMEE LSZH 56 PAIRES MARRON B2CA</t>
  </si>
  <si>
    <t>CÂBLES 9/10 SYT 2 ARMEE LSZH 112 PAIRES MARRON B2CA</t>
  </si>
  <si>
    <t>LC APC DUPLEX SINGLEMODE GREEN ADAPTOR 40PCS PER ECO FRIENDLY BAG</t>
  </si>
  <si>
    <t>LC APC QUAD SINGLEMODE GREEN ADAPTOR 20PCS PER ECO FRIENDLY BAG</t>
  </si>
  <si>
    <t>SC SIMPLEX MUTLIMODE BEIGE ADAPTOR 20PCS PER ECO FRIENDLY BAG</t>
  </si>
  <si>
    <t>SC APC DUPLEX SINGLEMODE GREEN ADAPTOR 20PCS PER ECO FRIENDLY BAG</t>
  </si>
  <si>
    <t>TRAVERSEE SC SIMPLEX MONOMODE BLEU 20PCS PAR SAC ÉCOLOGIQUE</t>
  </si>
  <si>
    <t>TRAVERSEE SC APC DUPLEX MONOMODE VERT 20PCS PAR SAC ÉCOLOGIQUE</t>
  </si>
  <si>
    <t>TRAVERSEE MONOMODE BLEU LC DUPLEX 40PCS PAR SAC ÉCOLOGIQUE</t>
  </si>
  <si>
    <t>TRAVERSEE MULTIMODE BEIGE LC DUPLEX 40PCS PAR SAC ÉCOLOGIQUE</t>
  </si>
  <si>
    <t>TRAVERSEE MONOMODE VERT LC APC DUPLEX 40PCS PAR SAC ÉCOLOGIQUE</t>
  </si>
  <si>
    <t>TRAVERSEE MONOMODE VERT LC APC QUAD 40PCS PAR SAC ÉCOLOGIQUE</t>
  </si>
  <si>
    <t>OS2/G652D</t>
  </si>
  <si>
    <t>KFO6OM3CTZHC</t>
  </si>
  <si>
    <t>6FO OM3 CENTRAL LOOSE TUBE LSZH UNIVERSAL Cca AQUA RAL6027</t>
  </si>
  <si>
    <t>6FO OM3 TUBE CENTRAL STRUCTURE LIBRE LSZH UNIVERSEL Cca AQUA RAL6027</t>
  </si>
  <si>
    <t>22U</t>
  </si>
  <si>
    <t>24U</t>
  </si>
  <si>
    <t>27U</t>
  </si>
  <si>
    <t>32U</t>
  </si>
  <si>
    <t>42U</t>
  </si>
  <si>
    <t>47U</t>
  </si>
  <si>
    <t>09U</t>
  </si>
  <si>
    <t>12U</t>
  </si>
  <si>
    <t>07U</t>
  </si>
  <si>
    <t>16U</t>
  </si>
  <si>
    <t>18U</t>
  </si>
  <si>
    <t>20U</t>
  </si>
  <si>
    <t>06U</t>
  </si>
  <si>
    <t>15U</t>
  </si>
  <si>
    <t>WALL MOUNTED RACK "START" 6U 570x600 19 INCH FLAT PACK - BLACK</t>
  </si>
  <si>
    <t>WALL MOUNTED RACK "START" 9U 570x600 19 INCH FLAT PACK - BLACK</t>
  </si>
  <si>
    <t>WALL MOUNTED RACK "START" 12U 570x600 19 INCH FLAT PACK - BLACK</t>
  </si>
  <si>
    <t>WALL MOUNTED RACK "START" 15U 570x600 19 INCH FLAT PACK - BLACK</t>
  </si>
  <si>
    <t>WALL MOUNTED RACK "START" 18U 570x600 19 INCH FLAT PACK - BLACK</t>
  </si>
  <si>
    <t>WALL MOUNTED RACK "START" 22U 570x600 19 INCH FLAT PACK - BLACK</t>
  </si>
  <si>
    <t>WALL MOUNTED RACK "START" 27U 570x600 19 INCH FLAT PACK - BLACK</t>
  </si>
  <si>
    <t>WALL MOUNTED RACK "START" 6U 570x450 19 INCH FLAT PACK - BLACK</t>
  </si>
  <si>
    <t>WALL MOUNTED RACK "START" 9U 570x450 19 INCH FLAT PACK - BLACK</t>
  </si>
  <si>
    <t>WALL MOUNTED RACK "START" 12U 570x450 19 INCH FLAT PACK - BLACK</t>
  </si>
  <si>
    <t>WALL MOUNTED RACK "START" 15U 570x450 19 INCH FLAT PACK - BLACK</t>
  </si>
  <si>
    <t>WALL MOUNTED RACK "START" 18U 570x450 19 INCH FLAT PACK - BLACK</t>
  </si>
  <si>
    <t>WALL MOUNTED RACK "START" 22U 570x450 19 INCH FLAT PACK - BLACK</t>
  </si>
  <si>
    <t>WALL MOUNTED RACK "START" 27U 570x450 19 INCH FLAT PACK - BLACK</t>
  </si>
  <si>
    <t>COFFRET 19 POUCES  "START" 6U 570x600 NON MONTE - NOIR</t>
  </si>
  <si>
    <t>COFFRET 19 POUCES  "START" 9U 570x600 NON MONTE - NOIR</t>
  </si>
  <si>
    <t>COFFRET 19 POUCES  "START" 12U 570x600 NON MONTE - NOIR</t>
  </si>
  <si>
    <t>COFFRET 19 POUCES  "START" 15U 570x600 NON MONTE - NOIR</t>
  </si>
  <si>
    <t>COFFRET 19 POUCES  "START" 18U 570x600 NON MONTE - NOIR</t>
  </si>
  <si>
    <t>COFFRET 19 POUCES  "START" 22U 570x600 NON MONTE - NOIR</t>
  </si>
  <si>
    <t>COFFRET 19 POUCES  "START" 27U 570x600 NON MONTE - NOIR</t>
  </si>
  <si>
    <t>COFFRET 19 POUCES  "START" 6U 570x450 NON MONTE - NOIR</t>
  </si>
  <si>
    <t>COFFRET 19 POUCES  "START" 9U 570x450 NON MONTE - NOIR</t>
  </si>
  <si>
    <t>COFFRET 19 POUCES  "START" 12U 570x450 NON MONTE - NOIR</t>
  </si>
  <si>
    <t>COFFRET 19 POUCES  "START" 15U 570x450 NON MONTE - NOIR</t>
  </si>
  <si>
    <t>COFFRET 19 POUCES  "START" 18U 570x450 NON MONTE - NOIR</t>
  </si>
  <si>
    <t>COFFRET 19 POUCES  "START" 22U 570x450 NON MONTE - NOIR</t>
  </si>
  <si>
    <t>COFFRET 19 POUCES  "START" 27U 570x450 NON MONTE - NOIR</t>
  </si>
  <si>
    <t>IP 55 WALL MOUNTED RACK 7U 600x600 19 INCH - LIGHT GREY</t>
  </si>
  <si>
    <t>IP 55 WALL MOUNTED RACK 9U 600x600 19 INCH - LIGHT GREY</t>
  </si>
  <si>
    <t>IP 55 WALL MOUNTED RACK 12U 600x600 19 INCH - LIGHT GREY</t>
  </si>
  <si>
    <t>IP 55 WALL MOUNTED RACK 18U 600x600 19 INCH - LIGHT GREY</t>
  </si>
  <si>
    <t>IP 55 WALL MOUNTED RACK 16U 600x600 19 INCH - LIGHT GREY</t>
  </si>
  <si>
    <t>IP 55 WALL MOUNTED RACK 22U 600x600 19 INCH - LIGHT GREY</t>
  </si>
  <si>
    <t>IP 55 WALL MOUNTED RACK 20U 600x600 19 INCH - LIGHT GREY</t>
  </si>
  <si>
    <t>COFFRET 19 POUCES IP55  7U 600x600 - GRIS CLAIR</t>
  </si>
  <si>
    <t>COFFRET 19 POUCES IP55  9U 600x600 - GRIS CLAIR</t>
  </si>
  <si>
    <t>COFFRET 19 POUCES IP55  12U 600x600 - GRIS CLAIR</t>
  </si>
  <si>
    <t>COFFRET 19 POUCES IP55  16U 600x600 - GRIS CLAIR</t>
  </si>
  <si>
    <t>COFFRET 19 POUCES IP55  18U 600x600 - GRIS CLAIR</t>
  </si>
  <si>
    <t>COFFRET 19 POUCES IP55  20U 600x600 - GRIS CLAIR</t>
  </si>
  <si>
    <t>COFFRET 19 POUCES IP55  22U 600x600 - GRIS CLAIR</t>
  </si>
  <si>
    <t>IP 55 WALL MOUNTED RACK 7U 600x600 19 INCH REMOVABLE SIDE PANEL - LIGHT GREY</t>
  </si>
  <si>
    <t>IP 55 WALL MOUNTED RACK 9U 600x600 19 INCH REMOVABLE SIDE PANEL - LIGHT GREY</t>
  </si>
  <si>
    <t>IP 55 WALL MOUNTED RACK 12U 600x600 19 INCH REMOVABLE SIDE PANEL - LIGHT GREY</t>
  </si>
  <si>
    <t>IP 55 WALL MOUNTED RACK 16U 600x600 19 INCH REMOVABLE SIDE PANEL - LIGHT GREY</t>
  </si>
  <si>
    <t>IP 55 WALL MOUNTED RACK 18U 600x600 19 INCH REMOVABLE SIDE PANEL - LIGHT GREY</t>
  </si>
  <si>
    <t>IP 55 WALL MOUNTED RACK 20U 600x600 19 INCH REMOVABLE SIDE PANEL - LIGHT GREY</t>
  </si>
  <si>
    <t>IP 55 WALL MOUNTED RACK 22U 600x600 19 INCH REMOVABLE SIDE PANEL - LIGHT GREY</t>
  </si>
  <si>
    <t>COFFRET 19 POUCES IP55  7U 600x600  PANNEAU LATERAL AMOVIBLE - GRIS CLAIR</t>
  </si>
  <si>
    <t>COFFRET 19 POUCES IP55  9U 600x600 PANNEAU LATERAL AMOVIBLE - GRIS CLAIR</t>
  </si>
  <si>
    <t>COFFRET 19 POUCES IP55  12U 600x600 PANNEAU LATERAL AMOVIBLE - GRIS CLAIR</t>
  </si>
  <si>
    <t>COFFRET 19 POUCES IP55  16U 600x600 PANNEAU LATERAL AMOVIBLE - GRIS CLAIR</t>
  </si>
  <si>
    <t>COFFRET 19 POUCES IP55  18U 600x600 PANNEAU LATERAL AMOVIBLE - GRIS CLAIR</t>
  </si>
  <si>
    <t>COFFRET 19 POUCES IP55  20U 600x600 PANNEAU LATERAL AMOVIBLE - GRIS CLAIR</t>
  </si>
  <si>
    <t>COFFRET 19 POUCES IP55  22U 600x600 PANNEAU LATERAL AMOVIBLE - GRIS CLAIR</t>
  </si>
  <si>
    <t>IP 55 WALL MOUNTED RACK 7U 600x600 19 INCH FRONT GLASS DOOR &amp; REMOVABLE SIDE PANEL - LIGHT GREY</t>
  </si>
  <si>
    <t>IP 55 WALL MOUNTED RACK 9U 600x600 19 INCH FRONT GLASS DOOR &amp; REMOVABLE SIDE PANEL - LIGHT GREY</t>
  </si>
  <si>
    <t>IP 55 WALL MOUNTED RACK 12U 600x600 19 INCH FRONT GLASS DOOR &amp; REMOVABLE SIDE PANEL - LIGHT GREY</t>
  </si>
  <si>
    <t>IP 55 WALL MOUNTED RACK 16U 600x600 19 INCH FRONT GLASS DOOR &amp; REMOVABLE SIDE PANEL - LIGHT GREY</t>
  </si>
  <si>
    <t>IP 55 WALL MOUNTED RACK 18U 600x600 19 INCH FRONT GLASS DOOR &amp; REMOVABLE SIDE PANEL - LIGHT GREY</t>
  </si>
  <si>
    <t>IP 55 WALL MOUNTED RACK 20U 600x600 19 INCH FRONT GLASS DOOR &amp; REMOVABLE SIDE PANEL - LIGHT GREY</t>
  </si>
  <si>
    <t>IP 55 WALL MOUNTED RACK 22U 600x600 19 INCH FRONT GLASS DOOR &amp; REMOVABLE SIDE PANEL - LIGHT GREY</t>
  </si>
  <si>
    <t>COFFRET 19 POUCES IP55  7U 600x600 PORTE AVANT VERRE &amp;  PANNEAU LATERAL AMOVIBLE - GRIS CLAIR</t>
  </si>
  <si>
    <t>COFFRET 19 POUCES IP55  9U 600x600 PORTE AVANT VERRE &amp;  PANNEAU LATERAL AMOVIBLE - GRIS CLAIR</t>
  </si>
  <si>
    <t>COFFRET 19 POUCES IP55  12U 600x600 PORTE AVANT VERRE &amp;  PANNEAU LATERAL AMOVIBLE - GRIS CLAIR</t>
  </si>
  <si>
    <t>COFFRET 19 POUCES IP55  16U 600x600 PORTE AVANT VERRE &amp;  PANNEAU LATERAL AMOVIBLE - GRIS CLAIR</t>
  </si>
  <si>
    <t>COFFRET 19 POUCES IP55  18U 600x600 PORTE AVANT VERRE &amp;  PANNEAU LATERAL AMOVIBLE - GRIS CLAIR</t>
  </si>
  <si>
    <t>COFFRET 19 POUCES IP55  20U 600x600 PORTE AVANT VERRE &amp;  PANNEAU LATERAL AMOVIBLE - GRIS CLAIR</t>
  </si>
  <si>
    <t>COFFRET 19 POUCES IP55  22U 600x600 PORTE AVANT VERRE &amp;  PANNEAU LATERAL AMOVIBLE - GRIS CLAIR</t>
  </si>
  <si>
    <t>IP 55 WALL MOUNTED RACK 7U 600x800 19 INCH REMOVABLE SIDE PANEL - LIGHT GREY</t>
  </si>
  <si>
    <t>COFFRET 19 POUCES IP55  7U 600x800  PANNEAU LATERAL AMOVIBLE - GRIS CLAIR</t>
  </si>
  <si>
    <t>IP 55 WALL MOUNTED RACK 9U 600x800 19 INCH REMOVABLE SIDE PANEL - LIGHT GREY</t>
  </si>
  <si>
    <t>COFFRET 19 POUCES IP55  9U 600x800 PANNEAU LATERAL AMOVIBLE - GRIS CLAIR</t>
  </si>
  <si>
    <t>IP 55 WALL MOUNTED RACK 12U 600x800 19 INCH REMOVABLE SIDE PANEL - LIGHT GREY</t>
  </si>
  <si>
    <t>COFFRET 19 POUCES IP55  12U 600x800 PANNEAU LATERAL AMOVIBLE - GRIS CLAIR</t>
  </si>
  <si>
    <t>IP 55 WALL MOUNTED RACK 16U 600x800 19 INCH REMOVABLE SIDE PANEL - LIGHT GREY</t>
  </si>
  <si>
    <t>COFFRET 19 POUCES IP55  16U 600x800 PANNEAU LATERAL AMOVIBLE - GRIS CLAIR</t>
  </si>
  <si>
    <t>IP 55 WALL MOUNTED RACK 18U 600x800 19 INCH REMOVABLE SIDE PANEL - LIGHT GREY</t>
  </si>
  <si>
    <t>COFFRET 19 POUCES IP55  18U 600x800 PANNEAU LATERAL AMOVIBLE - GRIS CLAIR</t>
  </si>
  <si>
    <t>IP 55 WALL MOUNTED RACK 20U 600x800 19 INCH REMOVABLE SIDE PANEL - LIGHT GREY</t>
  </si>
  <si>
    <t>COFFRET 19 POUCES IP55  20U 600x800 PANNEAU LATERAL AMOVIBLE - GRIS CLAIR</t>
  </si>
  <si>
    <t>IP 55 WALL MOUNTED RACK 22U 600x800 19 INCH REMOVABLE SIDE PANEL - LIGHT GREY</t>
  </si>
  <si>
    <t>COFFRET 19 POUCES IP55  22U 600x800 PANNEAU LATERAL AMOVIBLE - GRIS CLAIR</t>
  </si>
  <si>
    <t>IP 55 WALL MOUNTED RACK 7U 600x800 19 INCH FRONT GLASS DOOR &amp; REMOVABLE SIDE PANEL - LIGHT GREY</t>
  </si>
  <si>
    <t>COFFRET 19 POUCES IP55  7U 600x800 PORTE AVANT VERRE &amp;  PANNEAU LATERAL AMOVIBLE - GRIS CLAIR</t>
  </si>
  <si>
    <t>IP 55 WALL MOUNTED RACK 9U 600x800 19 INCH FRONT GLASS DOOR &amp; REMOVABLE SIDE PANEL - LIGHT GREY</t>
  </si>
  <si>
    <t>COFFRET 19 POUCES IP55  9U 600x800 PORTE AVANT VERRE &amp;  PANNEAU LATERAL AMOVIBLE - GRIS CLAIR</t>
  </si>
  <si>
    <t>IP 55 WALL MOUNTED RACK 12U 600x800 19 INCH FRONT GLASS DOOR &amp; REMOVABLE SIDE PANEL - LIGHT GREY</t>
  </si>
  <si>
    <t>COFFRET 19 POUCES IP55  12U 600x800 PORTE AVANT VERRE &amp;  PANNEAU LATERAL AMOVIBLE - GRIS CLAIR</t>
  </si>
  <si>
    <t>IP 55 WALL MOUNTED RACK 16U 600x800 19 INCH FRONT GLASS DOOR &amp; REMOVABLE SIDE PANEL - LIGHT GREY</t>
  </si>
  <si>
    <t>COFFRET 19 POUCES IP55  16U 600x800 PORTE AVANT VERRE &amp;  PANNEAU LATERAL AMOVIBLE - GRIS CLAIR</t>
  </si>
  <si>
    <t>IP 55 WALL MOUNTED RACK 18U 600x800 19 INCH FRONT GLASS DOOR &amp; REMOVABLE SIDE PANEL - LIGHT GREY</t>
  </si>
  <si>
    <t>COFFRET 19 POUCES IP55  18U 600x800 PORTE AVANT VERRE &amp;  PANNEAU LATERAL AMOVIBLE - GRIS CLAIR</t>
  </si>
  <si>
    <t>IP 55 WALL MOUNTED RACK 20U 600x800 19 INCH FRONT GLASS DOOR &amp; REMOVABLE SIDE PANEL - LIGHT GREY</t>
  </si>
  <si>
    <t>COFFRET 19 POUCES IP55  20U 600x800 PORTE AVANT VERRE &amp;  PANNEAU LATERAL AMOVIBLE - GRIS CLAIR</t>
  </si>
  <si>
    <t>IP 55 WALL MOUNTED RACK 22U 600x800 19 INCH FRONT GLASS DOOR &amp; REMOVABLE SIDE PANEL - LIGHT GREY</t>
  </si>
  <si>
    <t>COFFRET 19 POUCES IP55  22U 600x800 PORTE AVANT VERRE &amp;  PANNEAU LATERAL AMOVIBLE - GRIS CLAIR</t>
  </si>
  <si>
    <t>COFFRET 19 POUCES  "GRID" 6U 565x450  - NOIR</t>
  </si>
  <si>
    <t>WALL MOUNTED RACK "GRID" 6U 565x450 19 INCH - BLACK</t>
  </si>
  <si>
    <t>WALL MOUNTED RACK "GRID" 9U 565x450 19 INCH - BLACK</t>
  </si>
  <si>
    <t>WALL MOUNTED RACK "GRID" 12U 565x450 19 INCH - BLACK</t>
  </si>
  <si>
    <t>WALL MOUNTED RACK "GRID" 15U 565x450 19 INCH - BLACK</t>
  </si>
  <si>
    <t>WALL MOUNTED RACK "GRID" 18U 565x450 19 INCH - BLACK</t>
  </si>
  <si>
    <t>WALL MOUNTED RACK "GRID" 22U 565x450 19 INCH - BLACK</t>
  </si>
  <si>
    <t>COFFRET 19 POUCES  "GRID" 9U 565x450  - NOIR</t>
  </si>
  <si>
    <t>COFFRET 19 POUCES  "GRID" 12U 565x450  - NOIR</t>
  </si>
  <si>
    <t>COFFRET 19 POUCES  "GRID" 15U 565x450  - NOIR</t>
  </si>
  <si>
    <t>COFFRET 19 POUCES  "GRID" 18U 565x450  - NOIR</t>
  </si>
  <si>
    <t>COFFRET 19 POUCES  "GRID" 22U 565x450  - NOIR</t>
  </si>
  <si>
    <t>WALL MOUNTED RACK "GRID" 6U 565x600 19 INCH - BLACK</t>
  </si>
  <si>
    <t>WALL MOUNTED RACK "GRID" 9U 565x600 19 INCH - BLACK</t>
  </si>
  <si>
    <t>WALL MOUNTED RACK "GRID" 12U 565x600 19 INCH - BLACK</t>
  </si>
  <si>
    <t>WALL MOUNTED RACK "GRID" 15U 565x600 19 INCH - BLACK</t>
  </si>
  <si>
    <t>WALL MOUNTED RACK "GRID" 18U 565x600 19 INCH - BLACK</t>
  </si>
  <si>
    <t>WALL MOUNTED RACK "GRID" 22U 565x600 19 INCH - BLACK</t>
  </si>
  <si>
    <t>COFFRET 19 POUCES  "GRID" 6U 565x600  - NOIR</t>
  </si>
  <si>
    <t>COFFRET 19 POUCES  "GRID" 9U 565x600  - NOIR</t>
  </si>
  <si>
    <t>COFFRET 19 POUCES  "GRID" 12U 565x600  - NOIR</t>
  </si>
  <si>
    <t>COFFRET 19 POUCES  "GRID" 15U 565x600  - NOIR</t>
  </si>
  <si>
    <t>COFFRET 19 POUCES  "GRID" 18U 565x600  - NOIR</t>
  </si>
  <si>
    <t>COFFRET 19 POUCES  "GRID" 22U 565x600  - NOIR</t>
  </si>
  <si>
    <t>KCH881628</t>
  </si>
  <si>
    <t>CHAISES DE BAIE 800x800 H158-280</t>
  </si>
  <si>
    <t>KCH882852</t>
  </si>
  <si>
    <t>CHAISES DE BAIE 800x800 H278-520</t>
  </si>
  <si>
    <t>KCH8101628</t>
  </si>
  <si>
    <t>CHAISES DE BAIE 800x1000 H158-280</t>
  </si>
  <si>
    <t>KCH8102852</t>
  </si>
  <si>
    <t>CHAISES DE BAIE 800x1000 H278-520</t>
  </si>
  <si>
    <t>KCH661628</t>
  </si>
  <si>
    <t>CHAISES DE BAIE 600x600 H158-280</t>
  </si>
  <si>
    <t>KCH662852</t>
  </si>
  <si>
    <t>CHAISES DE BAIE 600x600 H278-520</t>
  </si>
  <si>
    <t>KCH681628</t>
  </si>
  <si>
    <t>CHAISES DE BAIE 600x800 H158-280</t>
  </si>
  <si>
    <t>KCH682852</t>
  </si>
  <si>
    <t>CHAISES DE BAIE 600x800 H278-520</t>
  </si>
  <si>
    <t>KCH6101628</t>
  </si>
  <si>
    <t>CHAISES DE BAIE 600x1000 H158-280</t>
  </si>
  <si>
    <t>KCH6102852</t>
  </si>
  <si>
    <t>CHAISES DE BAIE 600x1000 H278-520</t>
  </si>
  <si>
    <t xml:space="preserve">CABINET </t>
  </si>
  <si>
    <t>ACCESSORIES</t>
  </si>
  <si>
    <t>Prix Public</t>
  </si>
  <si>
    <t>Prix remise 40%</t>
  </si>
  <si>
    <t>Prix remise 50%</t>
  </si>
  <si>
    <t>Prix remise 60%</t>
  </si>
  <si>
    <t>08.09.2025</t>
  </si>
  <si>
    <t>CAT6 CABLE U/UTP 4 PAIRS AWG23 TEST UP TO 400MHz LSZH CPR CCA GREY RAL7035 500M</t>
  </si>
  <si>
    <t>CAT7 CABLE S/FTP 4 PAIRS AWG26 TESTED UP TO 650MHz LSZH CPR DCA INDOOR/OUTDOOR BLACK RAL9005 500M</t>
  </si>
  <si>
    <t>CÂBLE CAT7 S/FTP 4 PAIRES AWG26 TEST A 650MHz LSZH CPR DCA INTÉRIEUR/EXTÉRIEUR NOIR RAL9005 500M</t>
  </si>
  <si>
    <t>KMPFF6AFSEF1</t>
  </si>
  <si>
    <t>24 PORTS UNLOADED PATCH PANEL 1U DIRECT GROUNDING FULL METAL BLACK T SHAPE WITH HOLE CUTTING AND ACCESSORIES WITH 24PCS CABLE TIE PER ECO FRIENDLY CARTON</t>
  </si>
  <si>
    <t>48 PORTS UNLOADED PATCH PANEL 2U DIRECT GROUNDING FULL METAL BLACK T SHAPE WITH HOLE CUTTING AND ACCESSORIES WITH 24PCS CABLE TIE PER ECO FRIENDLY CARTON</t>
  </si>
  <si>
    <t>KSASCSMXX</t>
  </si>
  <si>
    <t>19" 1U PANEL FRONT PLATE 24 SC DUPLEX/LC QUAD</t>
  </si>
  <si>
    <t>19" 1U PANEL FRONT PLATE 24 SC SIMPLEX/LC DUPLEX</t>
  </si>
  <si>
    <t>19" 1U PANEL FRONT PLATE 12 SC DUPLEX/LC QUAD</t>
  </si>
  <si>
    <t>19" 1U PANEL FRONT PLATE 12 SC SIMPLEX/LC DUPLEX</t>
  </si>
  <si>
    <t>19" 1U PANEL FRONT PLATE WITH LOCKING SYSTEM 12 SC SIMPLEX/LC DUPLEX</t>
  </si>
  <si>
    <t>19" 1U PANEL FRONT PLATE WITH LOCKING SYSTEM 24 SC SIMPLEX/LC DUPLEX</t>
  </si>
  <si>
    <t>D</t>
  </si>
  <si>
    <t>Active France Y/N</t>
  </si>
  <si>
    <t>Active Export Y/N</t>
  </si>
  <si>
    <t>ADJUSTABLE CHAIR 800x800 H158-280</t>
  </si>
  <si>
    <t>ADJUSTABLE CHAIR 800x800 H278-520</t>
  </si>
  <si>
    <t>ADJUSTABLE CHAIR 800x1000 H158-280</t>
  </si>
  <si>
    <t>ADJUSTABLE CHAIR 800x1000 H278-520</t>
  </si>
  <si>
    <t>ADJUSTABLE CHAIR 600x600 H158-280</t>
  </si>
  <si>
    <t>ADJUSTABLE CHAIR 600x600 H278-520</t>
  </si>
  <si>
    <t>ADJUSTABLE CHAIR 600x800 H158-280</t>
  </si>
  <si>
    <t>ADJUSTABLE CHAIR 600x800 H278-520</t>
  </si>
  <si>
    <t>ADJUSTABLE CHAIR 600x1000 H158-280</t>
  </si>
  <si>
    <t>ADJUSTABLE CHAIR 600x1000 H278-520</t>
  </si>
  <si>
    <t/>
  </si>
  <si>
    <t>U0102001</t>
  </si>
  <si>
    <t>U0102003</t>
  </si>
  <si>
    <t>U0103014</t>
  </si>
  <si>
    <t>U0103015</t>
  </si>
  <si>
    <t>U0103018</t>
  </si>
  <si>
    <t>U0103001</t>
  </si>
  <si>
    <t>U0103007</t>
  </si>
  <si>
    <t>U0103016</t>
  </si>
  <si>
    <t>U0103017</t>
  </si>
  <si>
    <t>U0103006</t>
  </si>
  <si>
    <t>U0103003</t>
  </si>
  <si>
    <t>U0103020</t>
  </si>
  <si>
    <t>U0103008</t>
  </si>
  <si>
    <t>U0103021</t>
  </si>
  <si>
    <t>U0104004</t>
  </si>
  <si>
    <t>U0104007</t>
  </si>
  <si>
    <t>U0106001</t>
  </si>
  <si>
    <t>O0101002</t>
  </si>
  <si>
    <t>O0101001</t>
  </si>
  <si>
    <t>U0301003</t>
  </si>
  <si>
    <t>U0301006</t>
  </si>
  <si>
    <t>U0301004</t>
  </si>
  <si>
    <t>U0301007</t>
  </si>
  <si>
    <t>U0301002</t>
  </si>
  <si>
    <t>U0301005</t>
  </si>
  <si>
    <t>U0202001</t>
  </si>
  <si>
    <t>U0202002</t>
  </si>
  <si>
    <t>U0203005</t>
  </si>
  <si>
    <t>U0203006</t>
  </si>
  <si>
    <t>U0203009</t>
  </si>
  <si>
    <t>U0204001</t>
  </si>
  <si>
    <t>U0203004</t>
  </si>
  <si>
    <t>U0203001</t>
  </si>
  <si>
    <t>U0203002</t>
  </si>
  <si>
    <t>U0203003</t>
  </si>
  <si>
    <t>U0403001</t>
  </si>
  <si>
    <t>U0403002</t>
  </si>
  <si>
    <t>U0403004</t>
  </si>
  <si>
    <t>U0403005</t>
  </si>
  <si>
    <t>U0403006</t>
  </si>
  <si>
    <t>U0403007</t>
  </si>
  <si>
    <t>U0403003</t>
  </si>
  <si>
    <t>U0403008</t>
  </si>
  <si>
    <t>U0403009</t>
  </si>
  <si>
    <t>U0403011</t>
  </si>
  <si>
    <t>U0403012</t>
  </si>
  <si>
    <t>U0403013</t>
  </si>
  <si>
    <t>U0403014</t>
  </si>
  <si>
    <t>U0403010</t>
  </si>
  <si>
    <t>U0405001</t>
  </si>
  <si>
    <t>U0405002</t>
  </si>
  <si>
    <t>U0405005</t>
  </si>
  <si>
    <t>U0405007</t>
  </si>
  <si>
    <t>U0405008</t>
  </si>
  <si>
    <t>U0405009</t>
  </si>
  <si>
    <t>U0405003</t>
  </si>
  <si>
    <t>U0405004</t>
  </si>
  <si>
    <t>U0405006</t>
  </si>
  <si>
    <t>U0407001</t>
  </si>
  <si>
    <t>U0407002</t>
  </si>
  <si>
    <t>U0407004</t>
  </si>
  <si>
    <t>U0407005</t>
  </si>
  <si>
    <t>U0407006</t>
  </si>
  <si>
    <t>U0407007</t>
  </si>
  <si>
    <t>U0501011</t>
  </si>
  <si>
    <t>U0501015</t>
  </si>
  <si>
    <t>U0501009</t>
  </si>
  <si>
    <t>U0501007</t>
  </si>
  <si>
    <t>U0501006</t>
  </si>
  <si>
    <t>U0601002</t>
  </si>
  <si>
    <t>U0601001</t>
  </si>
  <si>
    <t>U0601004</t>
  </si>
  <si>
    <t>U0601003</t>
  </si>
  <si>
    <t>U0701002</t>
  </si>
  <si>
    <t>U0701001</t>
  </si>
  <si>
    <t>U0901009</t>
  </si>
  <si>
    <t>U0901010</t>
  </si>
  <si>
    <t>U0901011</t>
  </si>
  <si>
    <t>U0901012</t>
  </si>
  <si>
    <t>U0901005</t>
  </si>
  <si>
    <t>U0901006</t>
  </si>
  <si>
    <t>U0901007</t>
  </si>
  <si>
    <t>U0901008</t>
  </si>
  <si>
    <t>U0901001</t>
  </si>
  <si>
    <t>U0901002</t>
  </si>
  <si>
    <t>U0901003</t>
  </si>
  <si>
    <t>U0901004</t>
  </si>
  <si>
    <t>U0902009</t>
  </si>
  <si>
    <t>U0902010</t>
  </si>
  <si>
    <t>U0902011</t>
  </si>
  <si>
    <t>U0902012</t>
  </si>
  <si>
    <t>U0902005</t>
  </si>
  <si>
    <t>U0902006</t>
  </si>
  <si>
    <t>U0902007</t>
  </si>
  <si>
    <t>U0902008</t>
  </si>
  <si>
    <t>U0902001</t>
  </si>
  <si>
    <t>U0902002</t>
  </si>
  <si>
    <t>U0902003</t>
  </si>
  <si>
    <t>U0902004</t>
  </si>
  <si>
    <t>U0903009</t>
  </si>
  <si>
    <t>U0903010</t>
  </si>
  <si>
    <t>U0903011</t>
  </si>
  <si>
    <t>U0903012</t>
  </si>
  <si>
    <t>U0903005</t>
  </si>
  <si>
    <t>U0903006</t>
  </si>
  <si>
    <t>U0903007</t>
  </si>
  <si>
    <t>U0903008</t>
  </si>
  <si>
    <t>U0903001</t>
  </si>
  <si>
    <t>U0903002</t>
  </si>
  <si>
    <t>U0903003</t>
  </si>
  <si>
    <t>U0903004</t>
  </si>
  <si>
    <t>U0904009</t>
  </si>
  <si>
    <t>U0904010</t>
  </si>
  <si>
    <t>U0904011</t>
  </si>
  <si>
    <t>U0904012</t>
  </si>
  <si>
    <t>U0904005</t>
  </si>
  <si>
    <t>U0904006</t>
  </si>
  <si>
    <t>U0904007</t>
  </si>
  <si>
    <t>U0904008</t>
  </si>
  <si>
    <t>U0904001</t>
  </si>
  <si>
    <t>U0904002</t>
  </si>
  <si>
    <t>U0904003</t>
  </si>
  <si>
    <t>U0904004</t>
  </si>
  <si>
    <t>U1001002</t>
  </si>
  <si>
    <t>U1001001</t>
  </si>
  <si>
    <t>U1001015</t>
  </si>
  <si>
    <t>U1001016</t>
  </si>
  <si>
    <t>U1001004</t>
  </si>
  <si>
    <t>U1001005</t>
  </si>
  <si>
    <t>U1001018</t>
  </si>
  <si>
    <t>U1001014</t>
  </si>
  <si>
    <t>U1001010</t>
  </si>
  <si>
    <t>U1001012</t>
  </si>
  <si>
    <t>U1001008</t>
  </si>
  <si>
    <t>U1001013</t>
  </si>
  <si>
    <t>U1001009</t>
  </si>
  <si>
    <t>U1001011</t>
  </si>
  <si>
    <t>U1001007</t>
  </si>
  <si>
    <t>U1101002</t>
  </si>
  <si>
    <t>U1101001</t>
  </si>
  <si>
    <t>U1102002</t>
  </si>
  <si>
    <t>U1102001</t>
  </si>
  <si>
    <t>U1104002</t>
  </si>
  <si>
    <t>U1104001</t>
  </si>
  <si>
    <t>U1201006</t>
  </si>
  <si>
    <t>U1201007</t>
  </si>
  <si>
    <t>U1201011</t>
  </si>
  <si>
    <t>U1201010</t>
  </si>
  <si>
    <t>U1201001</t>
  </si>
  <si>
    <t>U1201003</t>
  </si>
  <si>
    <t>U1201004</t>
  </si>
  <si>
    <t>U1201005</t>
  </si>
  <si>
    <t>U1201009</t>
  </si>
  <si>
    <t>U1301002</t>
  </si>
  <si>
    <t>U1301003</t>
  </si>
  <si>
    <t>U1301001</t>
  </si>
  <si>
    <t>U0807009</t>
  </si>
  <si>
    <t>U0807013</t>
  </si>
  <si>
    <t>U0807001</t>
  </si>
  <si>
    <t>U0807005</t>
  </si>
  <si>
    <t>U0802005</t>
  </si>
  <si>
    <t>U0802007</t>
  </si>
  <si>
    <t>U0802001</t>
  </si>
  <si>
    <t>U0802003</t>
  </si>
  <si>
    <t>U0801005</t>
  </si>
  <si>
    <t>U0801007</t>
  </si>
  <si>
    <t>U0801001</t>
  </si>
  <si>
    <t>U0801003</t>
  </si>
  <si>
    <t>U0805001</t>
  </si>
  <si>
    <t>U0805004</t>
  </si>
  <si>
    <t>U0804001</t>
  </si>
  <si>
    <t>U0804004</t>
  </si>
  <si>
    <t>U0807010</t>
  </si>
  <si>
    <t>U0807014</t>
  </si>
  <si>
    <t>U0807002</t>
  </si>
  <si>
    <t>U0807006</t>
  </si>
  <si>
    <t>U0807011</t>
  </si>
  <si>
    <t>U0807015</t>
  </si>
  <si>
    <t>U0807003</t>
  </si>
  <si>
    <t>U0807007</t>
  </si>
  <si>
    <t>U0805002</t>
  </si>
  <si>
    <t>U0805005</t>
  </si>
  <si>
    <t>U0804002</t>
  </si>
  <si>
    <t>U0804005</t>
  </si>
  <si>
    <t>U0807012</t>
  </si>
  <si>
    <t>U0807016</t>
  </si>
  <si>
    <t>U0807004</t>
  </si>
  <si>
    <t>U0807008</t>
  </si>
  <si>
    <t>U0802006</t>
  </si>
  <si>
    <t>U0802008</t>
  </si>
  <si>
    <t>U0802002</t>
  </si>
  <si>
    <t>U0802004</t>
  </si>
  <si>
    <t>U0801006</t>
  </si>
  <si>
    <t>U0801008</t>
  </si>
  <si>
    <t>U0801002</t>
  </si>
  <si>
    <t>U0801004</t>
  </si>
  <si>
    <t>U0805003</t>
  </si>
  <si>
    <t>U0805006</t>
  </si>
  <si>
    <t>U0804003</t>
  </si>
  <si>
    <t>U0804006</t>
  </si>
  <si>
    <t>U0803019</t>
  </si>
  <si>
    <t>U0803021</t>
  </si>
  <si>
    <t>U0803023</t>
  </si>
  <si>
    <t>U0803020</t>
  </si>
  <si>
    <t>U0803022</t>
  </si>
  <si>
    <t>U1402001</t>
  </si>
  <si>
    <t>U1402002</t>
  </si>
  <si>
    <t>U1402003</t>
  </si>
  <si>
    <t>U1402004</t>
  </si>
  <si>
    <t>U1402005</t>
  </si>
  <si>
    <t>U1402006</t>
  </si>
  <si>
    <t>U1402007</t>
  </si>
  <si>
    <t>U1402008</t>
  </si>
  <si>
    <t>U1402009</t>
  </si>
  <si>
    <t>U1402010</t>
  </si>
  <si>
    <t>U1402011</t>
  </si>
  <si>
    <t>U1402012</t>
  </si>
  <si>
    <t>U1402013</t>
  </si>
  <si>
    <t>U1402014</t>
  </si>
  <si>
    <t>U1402015</t>
  </si>
  <si>
    <t>U1402016</t>
  </si>
  <si>
    <t>U1402017</t>
  </si>
  <si>
    <t>U1402018</t>
  </si>
  <si>
    <t>U1402019</t>
  </si>
  <si>
    <t>U1402020</t>
  </si>
  <si>
    <t>U1402021</t>
  </si>
  <si>
    <t>U1403001</t>
  </si>
  <si>
    <t>U1403002</t>
  </si>
  <si>
    <t>U1403003</t>
  </si>
  <si>
    <t>U1403004</t>
  </si>
  <si>
    <t>U1403005</t>
  </si>
  <si>
    <t>U1403006</t>
  </si>
  <si>
    <t>U1403007</t>
  </si>
  <si>
    <t>U1403008</t>
  </si>
  <si>
    <t>U1403009</t>
  </si>
  <si>
    <t>U1403010</t>
  </si>
  <si>
    <t>U1403011</t>
  </si>
  <si>
    <t>U1403012</t>
  </si>
  <si>
    <t>U1403013</t>
  </si>
  <si>
    <t>U1403014</t>
  </si>
  <si>
    <t>U1403015</t>
  </si>
  <si>
    <t>U1403016</t>
  </si>
  <si>
    <t>U1403017</t>
  </si>
  <si>
    <t>U1403018</t>
  </si>
  <si>
    <t>U1403019</t>
  </si>
  <si>
    <t>U1403020</t>
  </si>
  <si>
    <t>U1403021</t>
  </si>
  <si>
    <t>U1403022</t>
  </si>
  <si>
    <t>U1403023</t>
  </si>
  <si>
    <t>U1403024</t>
  </si>
  <si>
    <t>U1403025</t>
  </si>
  <si>
    <t>U1403026</t>
  </si>
  <si>
    <t>U1403027</t>
  </si>
  <si>
    <t>U1403028</t>
  </si>
  <si>
    <t>U1403029</t>
  </si>
  <si>
    <t>U1403030</t>
  </si>
  <si>
    <t>U1403031</t>
  </si>
  <si>
    <t>U1403032</t>
  </si>
  <si>
    <t>U1403033</t>
  </si>
  <si>
    <t>U1403034</t>
  </si>
  <si>
    <t>U1403035</t>
  </si>
  <si>
    <t>U1403036</t>
  </si>
  <si>
    <t>U1403037</t>
  </si>
  <si>
    <t>U1403038</t>
  </si>
  <si>
    <t>U1403039</t>
  </si>
  <si>
    <t>U1403040</t>
  </si>
  <si>
    <t>U1403041</t>
  </si>
  <si>
    <t>U1403042</t>
  </si>
  <si>
    <t>U1403043</t>
  </si>
  <si>
    <t>U1403044</t>
  </si>
  <si>
    <t>U1403045</t>
  </si>
  <si>
    <t>U1403046</t>
  </si>
  <si>
    <t>U1403047</t>
  </si>
  <si>
    <t>U1403048</t>
  </si>
  <si>
    <t>U1403049</t>
  </si>
  <si>
    <t>U1403050</t>
  </si>
  <si>
    <t>U1403051</t>
  </si>
  <si>
    <t>U1403052</t>
  </si>
  <si>
    <t>U1403053</t>
  </si>
  <si>
    <t>U1403054</t>
  </si>
  <si>
    <t>U1403055</t>
  </si>
  <si>
    <t>U1403056</t>
  </si>
  <si>
    <t>U1403057</t>
  </si>
  <si>
    <t>U1403058</t>
  </si>
  <si>
    <t>U1403059</t>
  </si>
  <si>
    <t>U1403060</t>
  </si>
  <si>
    <t>U1403061</t>
  </si>
  <si>
    <t>U1403062</t>
  </si>
  <si>
    <t>U1403063</t>
  </si>
  <si>
    <t>U1403064</t>
  </si>
  <si>
    <t>U1403065</t>
  </si>
  <si>
    <t>U1403066</t>
  </si>
  <si>
    <t>U1403067</t>
  </si>
  <si>
    <t>U1405002</t>
  </si>
  <si>
    <t>U1405003</t>
  </si>
  <si>
    <t>U1405004</t>
  </si>
  <si>
    <t>U1405005</t>
  </si>
  <si>
    <t>U1405006</t>
  </si>
  <si>
    <t>U1405007</t>
  </si>
  <si>
    <t>U1405008</t>
  </si>
  <si>
    <t>U1405009</t>
  </si>
  <si>
    <t>U1405010</t>
  </si>
  <si>
    <t>U1405011</t>
  </si>
  <si>
    <t>U1405012</t>
  </si>
  <si>
    <t>U1405013</t>
  </si>
  <si>
    <t>U1503001</t>
  </si>
  <si>
    <t>U1503002</t>
  </si>
  <si>
    <t>U1503003</t>
  </si>
  <si>
    <t>U1503004</t>
  </si>
  <si>
    <t>U1503005</t>
  </si>
  <si>
    <t>U1503006</t>
  </si>
  <si>
    <t>U1503007</t>
  </si>
  <si>
    <t>U1503008</t>
  </si>
  <si>
    <t>U1503009</t>
  </si>
  <si>
    <t>U1503010</t>
  </si>
  <si>
    <t>U1503011</t>
  </si>
  <si>
    <t>U1503012</t>
  </si>
  <si>
    <t>U1503013</t>
  </si>
  <si>
    <t>U1503014</t>
  </si>
  <si>
    <t>30 Km</t>
  </si>
  <si>
    <t>CABLE CAT6</t>
  </si>
  <si>
    <t>CABLE CAT6A</t>
  </si>
  <si>
    <t>CABLE CAT7</t>
  </si>
  <si>
    <t>CABLE CAT7A</t>
  </si>
  <si>
    <t>CABLE CAT8</t>
  </si>
  <si>
    <t>CABLE GRADE3 TV</t>
  </si>
  <si>
    <t>KEYSTONE JACK &amp; ACCESSOIRES</t>
  </si>
  <si>
    <t>CONNECTEUR DE TERRAIN CAT8</t>
  </si>
  <si>
    <t>PLUGS &amp; ACCESSOIRES</t>
  </si>
  <si>
    <t>CABLES SPE</t>
  </si>
  <si>
    <t>CABLES SYT</t>
  </si>
  <si>
    <t>TUBE CENTRAL ARMÉ EXTÉRIEUR</t>
  </si>
  <si>
    <t>TUBE CENTRAL EXTÉRIEUR</t>
  </si>
  <si>
    <t>STRUCTURE SERREE UNIVERSEL</t>
  </si>
  <si>
    <t>TUBE CENTRAL UNIVERSEL</t>
  </si>
  <si>
    <t>MULTI-TUBES ARMÉ EXTÉRIEUR</t>
  </si>
  <si>
    <t>MULTI-TUBES ARMÉ GAINE SIMPLE UNIVERSEL</t>
  </si>
  <si>
    <t>MULTI-TUBES ARMÉ GAINE DOUBLE UNIVERSEL</t>
  </si>
  <si>
    <t>MULTI-TUBES EXTÉRIEUR</t>
  </si>
  <si>
    <t>MULTI-TUBES UNIVERSEL</t>
  </si>
  <si>
    <t>BAIES</t>
  </si>
  <si>
    <t>COFFRET 19"</t>
  </si>
  <si>
    <t>NO</t>
  </si>
  <si>
    <t>CAT6 CABLE U/UTP 4 PAIRS AWG23 TEST UP TO 400MHz LSZH CPR DCA GREY RAL7035 500M</t>
    <phoneticPr fontId="2" type="noConversion"/>
  </si>
  <si>
    <t xml:space="preserve">Supplier Item / Construction </t>
    <phoneticPr fontId="2" type="noConversion"/>
  </si>
  <si>
    <t>KFAN2V</t>
  </si>
  <si>
    <t>KFAN4V</t>
  </si>
  <si>
    <t>KTRAY400MM</t>
  </si>
  <si>
    <t>KTRAY450MM</t>
  </si>
  <si>
    <t>KTRAY550MM</t>
  </si>
  <si>
    <t>KTRAY720MM</t>
  </si>
  <si>
    <t>KTRAYSLID720MM</t>
  </si>
  <si>
    <t>KTRAY920MM</t>
  </si>
  <si>
    <t>KTRAYSLID350MM</t>
  </si>
  <si>
    <t>KTRAYSLID550MM</t>
  </si>
  <si>
    <t>KLEDPAN1U</t>
  </si>
  <si>
    <t>KGRND</t>
  </si>
  <si>
    <t>KIT6RINGS</t>
  </si>
  <si>
    <t>KITSCRW50</t>
  </si>
  <si>
    <t>KBLANK1U</t>
  </si>
  <si>
    <t>KBLANK2U</t>
  </si>
  <si>
    <t>KBLANK3U</t>
  </si>
  <si>
    <t>KBLANK5U</t>
  </si>
  <si>
    <t>KPLINT66</t>
  </si>
  <si>
    <t>KPLINT68</t>
  </si>
  <si>
    <t>KPLINT86</t>
  </si>
  <si>
    <t>KPLINT88</t>
  </si>
  <si>
    <t>KPLINT610</t>
  </si>
  <si>
    <t>KPLINT810</t>
  </si>
  <si>
    <t>KPLINT812</t>
  </si>
  <si>
    <t>KCASTOR4</t>
  </si>
  <si>
    <t>KFEET4</t>
  </si>
  <si>
    <t>2FANS,ANALOG THERMOSTAT CONTROLLED FAN MODULE</t>
  </si>
  <si>
    <t>4FANS,ANALOG THERMOSTAT CONTROLLED FAN MODULE</t>
  </si>
  <si>
    <t>1U 19" LED LIGHTING MODULE, MANUEL ON/OFF SWITCH</t>
  </si>
  <si>
    <t>6 EARTHING POINTS, 4 PCS EARTHING CABLE, 1 PCS 200MM BUSBAR EARTHING SET</t>
  </si>
  <si>
    <t>CABLE ORGANIZER SET (HOOK TYPE), ALUMINIUM 44X60MM, 1SET =1PCS</t>
  </si>
  <si>
    <t>M6 CAGE NUT SET AND MOUNTING SCREWS, 1SET= 50PCS</t>
  </si>
  <si>
    <t>W=600 D=600 H=100MM PLINTH MODULE</t>
  </si>
  <si>
    <t>W=600 D=800 H=100MM PLINTH MODULE</t>
  </si>
  <si>
    <t>W=800 D=600 H=100MM PLINTH MODULE</t>
  </si>
  <si>
    <t>W=800 D=800 H=100MM PLINTH MODULE</t>
  </si>
  <si>
    <t>W=600 D=1000 H=100MM PLINTH MODULE</t>
  </si>
  <si>
    <t>W=800 D=1000 H=100MM PLINTH MODULE</t>
  </si>
  <si>
    <t>W=800 D=1200 H=100MM PLINTH MODULE</t>
  </si>
  <si>
    <t>FREE STANDING TYPE CASTER GROUP, 4 POINT CONNECTION1SET= 4PCS. (2 WITH BRAKES)</t>
  </si>
  <si>
    <t>PVC  BODY, PINION FEET, 1SET= 4PCS.</t>
  </si>
  <si>
    <t>19" FIXED SHELVE 1U DEPTH 400 MM PER BOX</t>
  </si>
  <si>
    <t>19" FIXED SHELVE 1U DEPTH 450 MM PER BOX</t>
  </si>
  <si>
    <t>19" FIXED SHELVE 1U DEPTH 550 MM PER BOX</t>
  </si>
  <si>
    <t>19" FIXED SHELVE 1U DEPTH 720 MM ADJUSTABLE PER BOX</t>
  </si>
  <si>
    <t>19" FIXED SHELVE 1U DEPTH 920 MM ADJUSTABLE PER BOX</t>
  </si>
  <si>
    <t>19" SLIDING  SHELVE 1U DEPTH 720 MM ADJUSTABLE PER BOX</t>
  </si>
  <si>
    <t>19" SLIDING  SHELVE 1U DEPTH 350 MM ADJUSTABLE PER BOX</t>
  </si>
  <si>
    <t>19" SLIDING  SHELVE 1U DEPTH 550 MM ADJUSTABLE PER BOX</t>
  </si>
  <si>
    <t>19" 1U BLANK PANEL PER BOX</t>
  </si>
  <si>
    <t>19" 2U BLANK PANEL PER BOX</t>
  </si>
  <si>
    <t>19" 3U BLANK PANEL PER BOX</t>
  </si>
  <si>
    <t>19" 5U BLANK PANEL PER BOX</t>
  </si>
  <si>
    <t>ÉTAGÈRE FIXE 19" 1U PROFONDEUR 400 MM PAR BOITE</t>
  </si>
  <si>
    <t>ÉTAGÈRE FIXE 19" 1U PROFONDEUR 450 MM PAR BOITE</t>
  </si>
  <si>
    <t>ÉTAGÈRE FIXE 19" 1U PROFONDEUR 550 MM PAR BOITE</t>
  </si>
  <si>
    <t>ÉTAGÈRE FIXE 19" 1U PROFONDEUR 720 MM AJUSTABLE PAR BOITE</t>
  </si>
  <si>
    <t>ÉTAGÈRE FIXE 19" 1U PROFONDEUR 920 MM AJUSTABLE PAR BOITE</t>
  </si>
  <si>
    <t>ÉTAGÈRE GLISSIERE 19" 1U PROFONDEUR 720 MM AJUSTABLE PAR BOITE</t>
  </si>
  <si>
    <t>ÉTAGÈRE GLISSIERE 19" 1U PROFONDEUR 350 MM AJUSTABLE PAR BOITE</t>
  </si>
  <si>
    <t>ÉTAGÈRE GLISSIERE 19" 1U PROFONDEUR 550 MM AJUSTABLE PAR BOITE</t>
  </si>
  <si>
    <t>PANNEAU OBTURATEUR  19'' 1U PAR BOITE</t>
  </si>
  <si>
    <t>PANNEAU OBTURATEUR  19'' 2U PAR BOITE</t>
  </si>
  <si>
    <t>PANNEAU OBTURATEUR  19'' 3U PAR BOITE</t>
  </si>
  <si>
    <t>PANNEAU OBTURATEUR  19'' 5U PAR BOITE</t>
  </si>
  <si>
    <t>100 pcs</t>
  </si>
  <si>
    <t>MODULE D’ÉCLAIRAGE LED 1U 19", INTERRUPTEUR MARCHE/ARRÊT MANUEL</t>
  </si>
  <si>
    <t>PIEDS DE BAIE 4PCS PAR BOITE</t>
  </si>
  <si>
    <t>SOCLE DE BAIE 600x600x100</t>
  </si>
  <si>
    <t>SOCLE DE BAIE 800x800x100</t>
  </si>
  <si>
    <t>SOCLE DE BAIE 600x800x100</t>
  </si>
  <si>
    <t>SOCLE DE BAIE 800x600x100</t>
  </si>
  <si>
    <t>SOCLE DE BAIE 600x1000x100</t>
  </si>
  <si>
    <t>SOCLE DE BAIE 800x1000x100</t>
  </si>
  <si>
    <t>SOCLE DE BAIE 800x1200x100</t>
  </si>
  <si>
    <t>ROULETTES AUTOPORTANTES  4 POINTS CONNECTION 4PCS (2 AVEC FREINS) PAR BOITE</t>
  </si>
  <si>
    <t>KIT VIS RONDELLES ÉCROUS-CAGES M6, 50PCS PAR BOITE</t>
  </si>
  <si>
    <t>ENSEMBLE D’ORGANISATEUR DE CÂBLES (TYPE CROCHET), ALUMINIUM 44X60MM PAR BOITE</t>
  </si>
  <si>
    <t>KIT DE MISE À LA TERRE JEU DE BARRES DE 200 MM 6 POINTS DE MISE À LA TERRE 4 CÂBLES  PAR BOITE</t>
  </si>
  <si>
    <t>PLAQUE 2 VENTILATEURS, MODULE DE VENTILATEUR CONTRÔLÉ PAR THERMOSTAT ANALOGIQUE</t>
  </si>
  <si>
    <t>PLAQUE 4 VENTILATEURS, MODULE DE VENTILATEUR CONTRÔLÉ PAR THERMOSTAT ANALOGIQUE</t>
  </si>
  <si>
    <t>AWG/SIZE</t>
  </si>
  <si>
    <t>600x600</t>
  </si>
  <si>
    <t>600x800</t>
  </si>
  <si>
    <t>600x1000</t>
  </si>
  <si>
    <t>800x600</t>
  </si>
  <si>
    <t>800x800</t>
  </si>
  <si>
    <t>800x1000</t>
  </si>
  <si>
    <t>800x1200</t>
  </si>
  <si>
    <t>200x2600</t>
  </si>
  <si>
    <t>6x1000</t>
  </si>
  <si>
    <t>Z0603003</t>
  </si>
  <si>
    <t>Z0403006</t>
  </si>
  <si>
    <t>Z0403007</t>
  </si>
  <si>
    <t>Z0403008</t>
  </si>
  <si>
    <t>Z0403009</t>
  </si>
  <si>
    <t>Z0403010</t>
  </si>
  <si>
    <t>18.09.2025</t>
  </si>
  <si>
    <t>02.10.2025</t>
  </si>
  <si>
    <t>KCU6A4PZHDBL5</t>
    <phoneticPr fontId="2" type="noConversion"/>
  </si>
  <si>
    <t>KPUU6ZH3EF</t>
    <phoneticPr fontId="2" type="noConversion"/>
  </si>
  <si>
    <t>KPL45U6</t>
    <phoneticPr fontId="2" type="noConversion"/>
  </si>
  <si>
    <t>KJPP1UBCTEF</t>
    <phoneticPr fontId="2" type="noConversion"/>
  </si>
  <si>
    <t>KSFP1U24POS2LCEDF</t>
  </si>
  <si>
    <t>KFO8OM3CTZHC</t>
    <phoneticPr fontId="2" type="noConversion"/>
  </si>
  <si>
    <t>8FO OM3 CENTRAL LOOSE TUBE LSZH UNIVERSAL Cca AQUA RAL6027</t>
    <phoneticPr fontId="2" type="noConversion"/>
  </si>
  <si>
    <t>8FO OM3 TUBE CENTRAL STRUCTURE LIBRE LSZH UNIVERSEL Cca AQUA RAL6027</t>
    <phoneticPr fontId="2" type="noConversion"/>
  </si>
  <si>
    <t>12FO OM3 CENTRAL LOOSE TUBE PEHD OUTDOOR BLACK RAL9005</t>
    <phoneticPr fontId="2" type="noConversion"/>
  </si>
  <si>
    <t>KFO12OM3MTZHD</t>
    <phoneticPr fontId="2" type="noConversion"/>
  </si>
  <si>
    <t>12FO OM3 MULTI LOOSE TUBE LSZH UNIVERSAL Dca AQUA RAL6027</t>
    <phoneticPr fontId="2" type="noConversion"/>
  </si>
  <si>
    <t>12FO OM3 MULTI TUBE STRUCTURE LIBRE LSZH UNIVERSEL Dca AQUA RAL6027</t>
    <phoneticPr fontId="2" type="noConversion"/>
  </si>
  <si>
    <t>KFO24OM3MTZHD</t>
    <phoneticPr fontId="2" type="noConversion"/>
  </si>
  <si>
    <t>24FO OM3 MULTI LOOSE TUBE LSZH UNIVERSAL Dca AQUA RAL6027</t>
    <phoneticPr fontId="2" type="noConversion"/>
  </si>
  <si>
    <t>24FO OM3 MULTI TUBE STRUCTURE LIBRE LSZH UNIVERSEL Dca AQUA RAL6027</t>
    <phoneticPr fontId="2" type="noConversion"/>
  </si>
  <si>
    <t>KFO72OM3MTZHD</t>
    <phoneticPr fontId="2" type="noConversion"/>
  </si>
  <si>
    <t>72FO OM3 MULTI LOOSE TUBE LSZH UNIVERSAL Dca AQUA RAL6027</t>
    <phoneticPr fontId="2" type="noConversion"/>
  </si>
  <si>
    <t>72FO OM3 MULTI TUBE STRUCTURE LIBRE LSZH UNIVERSEL Dca AQUA RAL6027</t>
    <phoneticPr fontId="2" type="noConversion"/>
  </si>
  <si>
    <t>KFO144OM3MTZHD</t>
    <phoneticPr fontId="2" type="noConversion"/>
  </si>
  <si>
    <t>144FO OM3 MULTI LOOSE TUBE LSZH UNIVERSAL Dca AQUA RAL6027</t>
    <phoneticPr fontId="2" type="noConversion"/>
  </si>
  <si>
    <t>144FO OM3 MULTI TUBE STRUCTURE LIBRE LSZH UNIVERSEL Dca AQUA RAL6027</t>
    <phoneticPr fontId="2" type="noConversion"/>
  </si>
  <si>
    <t>KFO288OM3MTZHD</t>
    <phoneticPr fontId="2" type="noConversion"/>
  </si>
  <si>
    <t>288FO OM3 MULTI LOOSE TUBE LSZH UNIVERSAL Dca AQUA RAL6027</t>
    <phoneticPr fontId="2" type="noConversion"/>
  </si>
  <si>
    <t>288FO OM3 MULTI TUBE STRUCTURE LIBRE LSZH UNIVERSEL Dca AQUA RAL6027</t>
    <phoneticPr fontId="2" type="noConversion"/>
  </si>
  <si>
    <t>KFO12OM3MTZHC</t>
    <phoneticPr fontId="2" type="noConversion"/>
  </si>
  <si>
    <t>12FO OM3 MULTI LOOSE TUBE LSZH UNIVERSAL Cca AQUA RAL6027</t>
    <phoneticPr fontId="2" type="noConversion"/>
  </si>
  <si>
    <t>12FO OM3 MULTI TUBE STRUCTURE LIBRE LSZH UNIVERSEL Cca AQUA RAL6027</t>
    <phoneticPr fontId="2" type="noConversion"/>
  </si>
  <si>
    <t>KFO24OM3MTZHC</t>
    <phoneticPr fontId="2" type="noConversion"/>
  </si>
  <si>
    <t>24FO OM3 MULTI LOOSE TUBE LSZH UNIVERSAL Cca AQUA RAL6027</t>
    <phoneticPr fontId="2" type="noConversion"/>
  </si>
  <si>
    <t>24FO OM3 MULTI TUBE STRUCTURE LIBRE LSZH UNIVERSEL Cca AQUA RAL6027</t>
    <phoneticPr fontId="2" type="noConversion"/>
  </si>
  <si>
    <t>KFO72OM3MTZHC</t>
    <phoneticPr fontId="2" type="noConversion"/>
  </si>
  <si>
    <t>72FO OM3 MULTI LOOSE TUBE LSZH UNIVERSAL Cca AQUA RAL6027</t>
    <phoneticPr fontId="2" type="noConversion"/>
  </si>
  <si>
    <t>72FO OM3 MULTI TUBE STRUCTURE LIBRE LSZH UNIVERSEL Cca AQUA RAL6027</t>
    <phoneticPr fontId="2" type="noConversion"/>
  </si>
  <si>
    <t>KFO96OM3MTZHC</t>
    <phoneticPr fontId="2" type="noConversion"/>
  </si>
  <si>
    <t>96FO OM3 MULTI LOOSE TUBE LSZH UNIVERSAL Cca AQUA RAL6027</t>
    <phoneticPr fontId="2" type="noConversion"/>
  </si>
  <si>
    <t>96FO OM3 MULTI TUBE STRUCTURE LIBRE LSZH UNIVERSEL Cca AQUA RAL6027</t>
    <phoneticPr fontId="2" type="noConversion"/>
  </si>
  <si>
    <t>KFO144OM3MTZHC</t>
    <phoneticPr fontId="2" type="noConversion"/>
  </si>
  <si>
    <t>144FO OM3 MULTI LOOSE TUBE LSZH UNIVERSAL Cca AQUA RAL6027</t>
    <phoneticPr fontId="2" type="noConversion"/>
  </si>
  <si>
    <t>144FO OM3 MULTI TUBE STRUCTURE LIBRE LSZH UNIVERSEL Cca AQUA RAL6027</t>
    <phoneticPr fontId="2" type="noConversion"/>
  </si>
  <si>
    <t>KFO288OM3MTZHC</t>
    <phoneticPr fontId="2" type="noConversion"/>
  </si>
  <si>
    <t>288FO OM3 MULTI LOOSE TUBE LSZH UNIVERSAL Cca AQUA RAL6027</t>
    <phoneticPr fontId="2" type="noConversion"/>
  </si>
  <si>
    <t>288FO OM3 MULTI TUBE STRUCTURE LIBRE LSZH UNIVERSEL Cca AQUA RAL6027</t>
    <phoneticPr fontId="2" type="noConversion"/>
  </si>
  <si>
    <t>KFO12OM4MTZHD</t>
    <phoneticPr fontId="2" type="noConversion"/>
  </si>
  <si>
    <t>12FO OM4 MULTI LOOSE TUBE LSZH UNIVERSAL Dca ERIKA VIOLET RAL4003</t>
    <phoneticPr fontId="2" type="noConversion"/>
  </si>
  <si>
    <t>12FO OM4 MULTI TUBE STRUCTURE LIBRE LSZH UNIVERSEL Dca VIOLET ERIKA RAL4003</t>
    <phoneticPr fontId="2" type="noConversion"/>
  </si>
  <si>
    <t>KFO24OM4MTZHD</t>
    <phoneticPr fontId="2" type="noConversion"/>
  </si>
  <si>
    <t>24FO OM4 MULTI LOOSE TUBE LSZH UNIVERSAL Dca ERIKA VIOLET RAL4003</t>
    <phoneticPr fontId="2" type="noConversion"/>
  </si>
  <si>
    <t>24FO OM4 MULTI TUBE STRUCTURE LIBRE LSZH UNIVERSEL Dca VIOLET ERIKA RAL4003</t>
    <phoneticPr fontId="2" type="noConversion"/>
  </si>
  <si>
    <t>KFO72OM4MTZHD</t>
    <phoneticPr fontId="2" type="noConversion"/>
  </si>
  <si>
    <t>72FO OM4 MULTI LOOSE TUBE LSZH UNIVERSAL Dca ERIKA VIOLET RAL4003</t>
    <phoneticPr fontId="2" type="noConversion"/>
  </si>
  <si>
    <t>72FO OM4 MULTI TUBE STRUCTURE LIBRE LSZH UNIVERSEL Dca VIOLET ERIKA RAL4003</t>
    <phoneticPr fontId="2" type="noConversion"/>
  </si>
  <si>
    <t>KFO144OM4MTZHD</t>
    <phoneticPr fontId="2" type="noConversion"/>
  </si>
  <si>
    <t>144FO OM4 MULTI LOOSE TUBE LSZH UNIVERSAL Dca ERIKA VIOLET RAL4003</t>
    <phoneticPr fontId="2" type="noConversion"/>
  </si>
  <si>
    <t>144FO OM4 MULTI TUBE STRUCTURE LIBRE LSZH UNIVERSEL Dca VIOLET ERIKA RAL4003</t>
    <phoneticPr fontId="2" type="noConversion"/>
  </si>
  <si>
    <t>KFO288OM4MTZHD</t>
    <phoneticPr fontId="2" type="noConversion"/>
  </si>
  <si>
    <t>288FO OM4 MULTI LOOSE TUBE LSZH UNIVERSAL Dca ERIKA VIOLET RAL4003</t>
    <phoneticPr fontId="2" type="noConversion"/>
  </si>
  <si>
    <t>288FO OM4 MULTI TUBE STRUCTURE LIBRE LSZH UNIVERSEL Dca VIOLET ERIKA RAL4003</t>
    <phoneticPr fontId="2" type="noConversion"/>
  </si>
  <si>
    <t>KFO8OM4CTZHC</t>
    <phoneticPr fontId="2" type="noConversion"/>
  </si>
  <si>
    <t>8FO OM4 CENTRAL LOOSE TUBE LSZH UNIVERSAL Cca ERIKA VIOLET RAL4003</t>
    <phoneticPr fontId="2" type="noConversion"/>
  </si>
  <si>
    <t>8FO OM4 TUBE CENTRAL STRUCTURE LIBRE LSZH UNIVERSEL Cca VIOLET ERIKA RAL4003</t>
    <phoneticPr fontId="2" type="noConversion"/>
  </si>
  <si>
    <t>KFO12OM4MTZHC</t>
    <phoneticPr fontId="2" type="noConversion"/>
  </si>
  <si>
    <t>12FO OM4 MULTI LOOSE TUBE LSZH UNIVERSAL Cca ERIKA VIOLET RAL4003</t>
    <phoneticPr fontId="2" type="noConversion"/>
  </si>
  <si>
    <t>12FO OM4 MULTI TUBE STRUCTURE LIBRE LSZH UNIVERSEL Cca VIOLET ERIKA RAL4003</t>
    <phoneticPr fontId="2" type="noConversion"/>
  </si>
  <si>
    <t>KFO24OM4MTZHC</t>
    <phoneticPr fontId="2" type="noConversion"/>
  </si>
  <si>
    <t>24FO OM4 MULTI LOOSE TUBE LSZH UNIVERSAL Cca ERIKA VIOLET RAL4003</t>
    <phoneticPr fontId="2" type="noConversion"/>
  </si>
  <si>
    <t>24FO OM4 MULTI TUBE STRUCTURE LIBRE LSZH UNIVERSEL Cca VIOLET ERIKA RAL4003</t>
    <phoneticPr fontId="2" type="noConversion"/>
  </si>
  <si>
    <t>KFO72OM4MTZHC</t>
    <phoneticPr fontId="2" type="noConversion"/>
  </si>
  <si>
    <t>72FO OM4 MULTI LOOSE TUBE LSZH UNIVERSAL Cca ERIKA VIOLET RAL4003</t>
    <phoneticPr fontId="2" type="noConversion"/>
  </si>
  <si>
    <t>72FO OM4 MULTI TUBE STRUCTURE LIBRE LSZH UNIVERSEL Cca VIOLET ERIKA RAL4003</t>
    <phoneticPr fontId="2" type="noConversion"/>
  </si>
  <si>
    <t>KFO96OM4MTZHC</t>
    <phoneticPr fontId="2" type="noConversion"/>
  </si>
  <si>
    <t>96FO OM4 MULTI LOOSE TUBE LSZH UNIVERSAL Cca ERIKA VIOLET RAL4003</t>
    <phoneticPr fontId="2" type="noConversion"/>
  </si>
  <si>
    <t>96FO OM4 MULTI TUBE STRUCTURE LIBRE LSZH UNIVERSEL Cca VIOLET ERIKA RAL4003</t>
    <phoneticPr fontId="2" type="noConversion"/>
  </si>
  <si>
    <t>KFO144OM4MTZHC</t>
    <phoneticPr fontId="2" type="noConversion"/>
  </si>
  <si>
    <t>144FO OM4 MULTI LOOSE TUBE LSZH UNIVERSAL Cca ERIKA VIOLET RAL4003</t>
    <phoneticPr fontId="2" type="noConversion"/>
  </si>
  <si>
    <t>144FO OM4 MULTI TUBE STRUCTURE LIBRE LSZH UNIVERSEL Cca VIOLET ERIKA RAL4003</t>
    <phoneticPr fontId="2" type="noConversion"/>
  </si>
  <si>
    <t>KFO288OM4MTZHC</t>
    <phoneticPr fontId="2" type="noConversion"/>
  </si>
  <si>
    <t>288FO OM4 MULTI LOOSE TUBE LSZH UNIVERSAL Cca ERIKA VIOLET RAL4003</t>
    <phoneticPr fontId="2" type="noConversion"/>
  </si>
  <si>
    <t>288FO OM4 MULTI TUBE STRUCTURE LIBRE LSZH UNIVERSEL Cca VIOLET ERIKA RAL4003</t>
    <phoneticPr fontId="2" type="noConversion"/>
  </si>
  <si>
    <t>KFO12OM5MTZHD</t>
    <phoneticPr fontId="2" type="noConversion"/>
  </si>
  <si>
    <t>12FO OM5 MULTI LOOSE TUBE LSZH UNIVERSAL Dca LIME GREEN RAL 6039</t>
    <phoneticPr fontId="2" type="noConversion"/>
  </si>
  <si>
    <t>12FO OM5 MULTI TUBE STRUCTURE LIBRE LSZH UNIVERSEL Dca VERT LIME RAL 6039</t>
    <phoneticPr fontId="2" type="noConversion"/>
  </si>
  <si>
    <t>KFO24OM5MTZHD</t>
    <phoneticPr fontId="2" type="noConversion"/>
  </si>
  <si>
    <t>24FO OM5 MULTI LOOSE TUBE LSZH UNIVERSAL Dca LIME GREEN RAL 6039</t>
    <phoneticPr fontId="2" type="noConversion"/>
  </si>
  <si>
    <t>24FO OM5 MULTI TUBE STRUCTURE LIBRE LSZH UNIVERSEL Dca VERT LIME RAL 6039</t>
    <phoneticPr fontId="2" type="noConversion"/>
  </si>
  <si>
    <t>KFO72OM5MTZHD</t>
    <phoneticPr fontId="2" type="noConversion"/>
  </si>
  <si>
    <t>72FO OM5 MULTI LOOSE TUBE LSZH UNIVERSAL Dca LIME GREEN RAL 6039</t>
    <phoneticPr fontId="2" type="noConversion"/>
  </si>
  <si>
    <t>72FO OM5 MULTI TUBE STRUCTURE LIBRE LSZH UNIVERSEL Dca VERT LIME RAL 6039</t>
    <phoneticPr fontId="2" type="noConversion"/>
  </si>
  <si>
    <t>KFO144OM5MTZHD</t>
    <phoneticPr fontId="2" type="noConversion"/>
  </si>
  <si>
    <t>144FO OM5 MULTI LOOSE TUBE LSZH UNIVERSAL Dca LIME GREEN RAL 6039</t>
    <phoneticPr fontId="2" type="noConversion"/>
  </si>
  <si>
    <t>144FO OM5 MULTI TUBE STRUCTURE LIBRE LSZH UNIVERSEL Dca VERT LIME RAL 6039</t>
    <phoneticPr fontId="2" type="noConversion"/>
  </si>
  <si>
    <t>KFO288OM5MTZHD</t>
    <phoneticPr fontId="2" type="noConversion"/>
  </si>
  <si>
    <t>288FO OM5 MULTI LOOSE TUBE LSZH UNIVERSAL Dca LIME GREEN RAL 6039</t>
    <phoneticPr fontId="2" type="noConversion"/>
  </si>
  <si>
    <t>288FO OM5 MULTI TUBE STRUCTURE LIBRE LSZH UNIVERSEL Dca VERT LIME RAL 6039</t>
    <phoneticPr fontId="2" type="noConversion"/>
  </si>
  <si>
    <t>KFO8OS2CTZHC</t>
    <phoneticPr fontId="2" type="noConversion"/>
  </si>
  <si>
    <t>8FO OS2 CENTRAL LOOSE TUBE LSZH UNIVERSAL Cca YELLOW RAL1021</t>
    <phoneticPr fontId="2" type="noConversion"/>
  </si>
  <si>
    <t>8FO OS2 TUBE CENTRAL STRUCTURE LIBRE LSZH UNIVERSEL Cca JAUNE RAL1021</t>
    <phoneticPr fontId="2" type="noConversion"/>
  </si>
  <si>
    <t>KFO12OS2MTZHD</t>
    <phoneticPr fontId="2" type="noConversion"/>
  </si>
  <si>
    <t>12FO OS2 MULTI LOOSE TUBE LSZH UNIVERSAL Dca YELLOW RAL1021</t>
    <phoneticPr fontId="2" type="noConversion"/>
  </si>
  <si>
    <t>12FO OS2 MULTI TUBE STRUCTURE LIBRE LSZH UNIVERSEL Dca JAUNE RAL1021</t>
    <phoneticPr fontId="2" type="noConversion"/>
  </si>
  <si>
    <t>KFO24OS2MTZHD</t>
    <phoneticPr fontId="2" type="noConversion"/>
  </si>
  <si>
    <t>24FO OS2 MULTI LOOSE TUBE LSZH UNIVERSAL Dca YELLOW RAL1021</t>
    <phoneticPr fontId="2" type="noConversion"/>
  </si>
  <si>
    <t>24FO OS2 MULTI TUBE STRUCTURE LIBRE LSZH UNIVERSEL Dca JAUNE RAL1021</t>
    <phoneticPr fontId="2" type="noConversion"/>
  </si>
  <si>
    <t>KFO72OS2MTZHD</t>
    <phoneticPr fontId="2" type="noConversion"/>
  </si>
  <si>
    <t>72FO OS2 MULTI LOOSE TUBE LSZH UNIVERSAL Dca YELLOW RAL1021</t>
    <phoneticPr fontId="2" type="noConversion"/>
  </si>
  <si>
    <t>72FO OS2 MULTI TUBE STRUCTURE LIBRE LSZH UNIVERSEL Dca JAUNE RAL1021</t>
    <phoneticPr fontId="2" type="noConversion"/>
  </si>
  <si>
    <t>KFO144OS2MTZHD</t>
    <phoneticPr fontId="2" type="noConversion"/>
  </si>
  <si>
    <t>144FO OS2 MULTI LOOSE TUBE LSZH UNIVERSAL Dca YELLOW RAL1021</t>
    <phoneticPr fontId="2" type="noConversion"/>
  </si>
  <si>
    <t>144FO OS2 MULTI TUBE STRUCTURE LIBRE LSZH UNIVERSEL Dca JAUNE RAL1021</t>
    <phoneticPr fontId="2" type="noConversion"/>
  </si>
  <si>
    <t>KFO288OS2MTZHD</t>
    <phoneticPr fontId="2" type="noConversion"/>
  </si>
  <si>
    <t>288FO OS2 MULTI LOOSE TUBE LSZH UNIVERSAL Dca YELLOW RAL1021</t>
    <phoneticPr fontId="2" type="noConversion"/>
  </si>
  <si>
    <t>288FO OS2 MULTI TUBE STRUCTURE LIBRE LSZH UNIVERSEL Dca JAUNE RAL1021</t>
    <phoneticPr fontId="2" type="noConversion"/>
  </si>
  <si>
    <t>12FO OS2 MULTI LOOSE TUBE LSZH UNIVERSAL Cca YELLOW RAL1021</t>
    <phoneticPr fontId="2" type="noConversion"/>
  </si>
  <si>
    <t>KFO24OS2MTZHC</t>
    <phoneticPr fontId="2" type="noConversion"/>
  </si>
  <si>
    <t>24FO OS2 MULTI LOOSE TUBE LSZH UNIVERSAL Cca YELLOW RAL1021</t>
    <phoneticPr fontId="2" type="noConversion"/>
  </si>
  <si>
    <t>24FO OS2 MULTI TUBE STRUCTURE LIBRE LSZH UNIVERSEL Cca JAUNE RAL1021</t>
    <phoneticPr fontId="2" type="noConversion"/>
  </si>
  <si>
    <t>KFO72OS2MTZHC</t>
    <phoneticPr fontId="2" type="noConversion"/>
  </si>
  <si>
    <t>72FO OS2 MULTI LOOSE TUBE LSZH UNIVERSAL Cca YELLOW RAL1021</t>
    <phoneticPr fontId="2" type="noConversion"/>
  </si>
  <si>
    <t>72FO OS2 MULTI TUBE STRUCTURE LIBRE LSZH UNIVERSEL Cca JAUNE RAL1021</t>
    <phoneticPr fontId="2" type="noConversion"/>
  </si>
  <si>
    <t>KFO96OS2MTZHC</t>
    <phoneticPr fontId="2" type="noConversion"/>
  </si>
  <si>
    <t>96FO OS2 MULTI LOOSE TUBE LSZH UNIVERSAL Cca YELLOW RAL1021</t>
    <phoneticPr fontId="2" type="noConversion"/>
  </si>
  <si>
    <t>96FO OS2 MULTI TUBE STRUCTURE LIBRE LSZH UNIVERSEL Cca JAUNE RAL1021</t>
    <phoneticPr fontId="2" type="noConversion"/>
  </si>
  <si>
    <t>KFO144OS2MTZHC</t>
    <phoneticPr fontId="2" type="noConversion"/>
  </si>
  <si>
    <t>144FO OS2 MULTI LOOSE TUBE LSZH UNIVERSAL Cca YELLOW RAL1021</t>
    <phoneticPr fontId="2" type="noConversion"/>
  </si>
  <si>
    <t>144FO OS2 MULTI TUBE STRUCTURE LIBRE LSZH UNIVERSEL Cca JAUNE RAL1021</t>
    <phoneticPr fontId="2" type="noConversion"/>
  </si>
  <si>
    <t>KFO288OS2MTZHC</t>
    <phoneticPr fontId="2" type="noConversion"/>
  </si>
  <si>
    <t>288FO OS2 MULTI LOOSE TUBE LSZH UNIVERSAL Cca YELLOW RAL1021</t>
    <phoneticPr fontId="2" type="noConversion"/>
  </si>
  <si>
    <t>288FO OS2 MULTI TUBE STRUCTURE LIBRE LSZH UNIVERSEL Cca JAUNE RAL1021</t>
    <phoneticPr fontId="2" type="noConversion"/>
  </si>
  <si>
    <t>6</t>
  </si>
  <si>
    <t>8</t>
  </si>
  <si>
    <t>12</t>
  </si>
  <si>
    <t>24</t>
  </si>
  <si>
    <t>48</t>
  </si>
  <si>
    <t>96</t>
  </si>
  <si>
    <t>4</t>
  </si>
  <si>
    <t>72</t>
  </si>
  <si>
    <t>144</t>
  </si>
  <si>
    <t>288</t>
  </si>
  <si>
    <t>KX310200</t>
    <phoneticPr fontId="2" type="noConversion"/>
  </si>
  <si>
    <t>Z0603004</t>
    <phoneticPr fontId="2" type="noConversion"/>
  </si>
  <si>
    <t>CAT6A CABLE F/FTP 2x4 PAIRS AWG23 TESTED UP TO 650MHz LSZH CPR DCA GREY RAL7035 500M KX SYSTEM</t>
    <phoneticPr fontId="2" type="noConversion"/>
  </si>
  <si>
    <t>CÂBLE CAT6A F/FTP 2x4 PAIRES AWG23 TEST A 650MHz LSZH CPR DCA GRIS RAL7035 500M KX SYSTEM</t>
    <phoneticPr fontId="2" type="noConversion"/>
  </si>
  <si>
    <t>KPL45U6EP</t>
    <phoneticPr fontId="2" type="noConversion"/>
  </si>
  <si>
    <t>NETWORK CABINET "GRID" 22U 600x600 19 INCH SINGLE FRONT PERFORATED DOOR - FULL REAR</t>
    <phoneticPr fontId="2" type="noConversion"/>
  </si>
  <si>
    <t>KCFU64PZHMCB2R5</t>
    <phoneticPr fontId="2" type="noConversion"/>
  </si>
  <si>
    <r>
      <t xml:space="preserve">CAT6 CABLE F/UTP 4 PAIRS AWG23 TESTED UP TO </t>
    </r>
    <r>
      <rPr>
        <sz val="10.5"/>
        <color rgb="FFFF0000"/>
        <rFont val="Calibri"/>
        <family val="2"/>
      </rPr>
      <t>450MHz</t>
    </r>
    <r>
      <rPr>
        <sz val="10.5"/>
        <color rgb="FF162F56"/>
        <rFont val="Calibri"/>
        <family val="2"/>
      </rPr>
      <t xml:space="preserve"> LSZH CPR B2CA PH90 RED RAL 3018 500M</t>
    </r>
    <phoneticPr fontId="2" type="noConversion"/>
  </si>
  <si>
    <t>CÂBLE CAT6 F/UTP 4 PAIRES AWG23 TEST A 450MHz LSZH CPR B2CA PH90 ROUGE RAL 3018 500M</t>
    <phoneticPr fontId="2" type="noConversion"/>
  </si>
  <si>
    <t>IEC60331-23</t>
    <phoneticPr fontId="2" type="noConversion"/>
  </si>
  <si>
    <t>KCDOS2A2SCSC1MEF</t>
    <phoneticPr fontId="2" type="noConversion"/>
  </si>
  <si>
    <t>KCDOS2A2SCSC2MEF</t>
    <phoneticPr fontId="2" type="noConversion"/>
  </si>
  <si>
    <t>KCDOS2A2SCSC3MEF</t>
    <phoneticPr fontId="2" type="noConversion"/>
  </si>
  <si>
    <t>KCDOS2A2SCSC5MEF</t>
    <phoneticPr fontId="2" type="noConversion"/>
  </si>
  <si>
    <t>KCDOS2A2SCSC10MEF</t>
    <phoneticPr fontId="2" type="noConversion"/>
  </si>
  <si>
    <t>KCDOS2A2SCSC15MEF</t>
    <phoneticPr fontId="2" type="noConversion"/>
  </si>
  <si>
    <t>KCDOS2A2SCLC1MEF</t>
    <phoneticPr fontId="2" type="noConversion"/>
  </si>
  <si>
    <t>KCDOS2A2SCLC2MEF</t>
    <phoneticPr fontId="2" type="noConversion"/>
  </si>
  <si>
    <t>KCDOS2A2SCLC3MEF</t>
    <phoneticPr fontId="2" type="noConversion"/>
  </si>
  <si>
    <t>KCDOS2A2SCLC5MEF</t>
    <phoneticPr fontId="2" type="noConversion"/>
  </si>
  <si>
    <t>KCDOS2A2SCLC10MEF</t>
    <phoneticPr fontId="2" type="noConversion"/>
  </si>
  <si>
    <t>KCDOS2A2SCLC15MEF</t>
    <phoneticPr fontId="2" type="noConversion"/>
  </si>
  <si>
    <t>KCDOS2A2LCLC1MEF</t>
    <phoneticPr fontId="2" type="noConversion"/>
  </si>
  <si>
    <t>KCDOS2A2LCLC2MEF</t>
    <phoneticPr fontId="2" type="noConversion"/>
  </si>
  <si>
    <t>KCDOS2A2LCLC3MEF</t>
    <phoneticPr fontId="2" type="noConversion"/>
  </si>
  <si>
    <t>KCDOS2A2LCLC5MEF</t>
    <phoneticPr fontId="2" type="noConversion"/>
  </si>
  <si>
    <t>KCDOS2A2LCLC10MEF</t>
    <phoneticPr fontId="2" type="noConversion"/>
  </si>
  <si>
    <t>KCDOS2A2LCLC15MEF</t>
    <phoneticPr fontId="2" type="noConversion"/>
  </si>
  <si>
    <t>FACE PLATE</t>
    <phoneticPr fontId="2" type="noConversion"/>
  </si>
  <si>
    <t>86X86 WALL PLATE 1 PORT ANGLED UK STYLE c/w SHUTTER</t>
    <phoneticPr fontId="2" type="noConversion"/>
  </si>
  <si>
    <t>HCI</t>
    <phoneticPr fontId="2" type="noConversion"/>
  </si>
  <si>
    <t>FACE PLATES</t>
    <phoneticPr fontId="2" type="noConversion"/>
  </si>
  <si>
    <t>10000 pcs</t>
    <phoneticPr fontId="2" type="noConversion"/>
  </si>
  <si>
    <t>T/T before shipment</t>
    <phoneticPr fontId="2" type="noConversion"/>
  </si>
  <si>
    <r>
      <t xml:space="preserve">INSERT MOLD TOOLING (1-PORT/2-PORT)FOR CUSTOMIZED LOGO </t>
    </r>
    <r>
      <rPr>
        <sz val="9"/>
        <color rgb="FFFF0000"/>
        <rFont val="Calibri"/>
        <family val="2"/>
      </rPr>
      <t>US$ 280</t>
    </r>
    <r>
      <rPr>
        <sz val="9"/>
        <color rgb="FF162F56"/>
        <rFont val="Calibri"/>
        <family val="2"/>
      </rPr>
      <t xml:space="preserve">; EX-WORK Term if MOV is below </t>
    </r>
    <r>
      <rPr>
        <sz val="9"/>
        <color rgb="FFFF0000"/>
        <rFont val="Calibri"/>
        <family val="2"/>
      </rPr>
      <t>USD 6000</t>
    </r>
    <phoneticPr fontId="2" type="noConversion"/>
  </si>
  <si>
    <t>KPL45S6EP</t>
    <phoneticPr fontId="2" type="noConversion"/>
  </si>
  <si>
    <t>EZ-P88FZ03MV2S -C6</t>
    <phoneticPr fontId="2" type="noConversion"/>
  </si>
  <si>
    <t>Boot for 3Y connector 02-123 OD 8.0/7.5/7.0mm</t>
    <phoneticPr fontId="2" type="noConversion"/>
  </si>
  <si>
    <t>CAT6A PATCH CORD S/FTP GREY LSZH 3M</t>
    <phoneticPr fontId="2" type="noConversion"/>
  </si>
  <si>
    <t>CAT6A PATCH CORD S/FTP GREY LSZH SLIM 0.3M</t>
    <phoneticPr fontId="2" type="noConversion"/>
  </si>
  <si>
    <t>CAT6A PATCH CORD U/UTP GREY LSZH SLIM 0.3M</t>
    <phoneticPr fontId="2" type="noConversion"/>
  </si>
  <si>
    <t>7X0.12±0.008 OD:3.8±0.3mm</t>
    <phoneticPr fontId="2" type="noConversion"/>
  </si>
  <si>
    <t>CAT6 PATCH CORD U/UTP GREY LSZH SLIM 0.3M</t>
    <phoneticPr fontId="2" type="noConversion"/>
  </si>
  <si>
    <t>7x0.127BC RJ45  OD:3.8±0.3mm</t>
    <phoneticPr fontId="2" type="noConversion"/>
  </si>
  <si>
    <t>6FO OM5 CENTRAL LOOSE TUBE LSZH UNIVERSAL Dca LIME GREEN RAL 6039</t>
    <phoneticPr fontId="2" type="noConversion"/>
  </si>
  <si>
    <t>6FO OM5 TUBE CENTRAL STRUCTURE LIBRE LSZH UNIVERSEL Dca VERT LIME RAL 6039</t>
    <phoneticPr fontId="2" type="noConversion"/>
  </si>
  <si>
    <t>KCU64PGR5</t>
    <phoneticPr fontId="2" type="noConversion"/>
  </si>
  <si>
    <t>KSYT2A245ZHB2BR5</t>
    <phoneticPr fontId="2" type="noConversion"/>
  </si>
  <si>
    <t>KSYT2A2030ZHB2BR5</t>
    <phoneticPr fontId="2" type="noConversion"/>
  </si>
  <si>
    <t>KSONO2X15ZHNAB2BR10</t>
    <phoneticPr fontId="2" type="noConversion"/>
  </si>
  <si>
    <t>KSONO4X15ZHNAB2BR10</t>
    <phoneticPr fontId="2" type="noConversion"/>
  </si>
  <si>
    <t>KSONO7X15ZHNAB2BR10</t>
    <phoneticPr fontId="2" type="noConversion"/>
  </si>
  <si>
    <t>KSONO12X15ZHNAB2BR10</t>
    <phoneticPr fontId="2" type="noConversion"/>
  </si>
  <si>
    <t>KSONO24X15ZHNAB2BR10</t>
    <phoneticPr fontId="2" type="noConversion"/>
  </si>
  <si>
    <t>INSTRUMENTATION CABLE HSLCH-OZ 2X1.5 NON ARMORED LSZH BROWN B2CA 1000M DRUM</t>
    <phoneticPr fontId="2" type="noConversion"/>
  </si>
  <si>
    <t>INSTRUMENTATION CABLE HSLCH-OZ 7X1.5 NON ARMORED LSZH BROWN B2CA 1000M DRUM</t>
    <phoneticPr fontId="2" type="noConversion"/>
  </si>
  <si>
    <t>INSTRUMENTATION CABLE HSLCH-OZ 12X1.5 NON ARMORED LSZH BROWN B2CA 1000M DRUM</t>
    <phoneticPr fontId="2" type="noConversion"/>
  </si>
  <si>
    <t>INSTRUMENTATION CABLE HSLCH-OZ 24X1.5 NON ARMORED LSZH BROWN B2CA 1000M DRUM</t>
    <phoneticPr fontId="2" type="noConversion"/>
  </si>
  <si>
    <t>CÂBLE INSTRUMENTATION HP4X1.5 LSZH NON ARME MARRON B2CA 1000M TOURET</t>
    <phoneticPr fontId="2" type="noConversion"/>
  </si>
  <si>
    <t>CÂBLE INSTRUMENTATION HSLCH-OZ 4X1.5 NON ARME LSZH MARRON B2CA 1000M TOURET</t>
    <phoneticPr fontId="2" type="noConversion"/>
  </si>
  <si>
    <t>CÂBLE INSTRUMENTATION HSLCH-OZ 7X1.5 NON ARME LSZH MARRON B2CA 1000M TOURET</t>
    <phoneticPr fontId="2" type="noConversion"/>
  </si>
  <si>
    <t>CÂBLE INSTRUMENTATION HSLCH-OZ 12X1.5 NON ARME LSZH MARRON B2CA 1000M TOURET</t>
    <phoneticPr fontId="2" type="noConversion"/>
  </si>
  <si>
    <t>CÂBLE INSTRUMENTATION HSLCH-OZ 24X1.5 NON ARME LSZH MARRON B2CA 1000M TOURET</t>
    <phoneticPr fontId="2" type="noConversion"/>
  </si>
  <si>
    <t>CÂBLE INSTRUMENTATION HSLCH-OZ 2X1.5 NON ARME LSZH MARRON B2CA 1000M TOURET</t>
    <phoneticPr fontId="2" type="noConversion"/>
  </si>
  <si>
    <t>100 pcs eco bag</t>
    <phoneticPr fontId="2" type="noConversion"/>
  </si>
  <si>
    <t>KCU64PLGRB</t>
    <phoneticPr fontId="2" type="noConversion"/>
  </si>
  <si>
    <t>KWP8686A2PEF8</t>
  </si>
  <si>
    <t>PLAQUE MURALE ANGULE  86X86 2 PORTS 8PCS PAR CARTON ÉCOLOGIQUE</t>
  </si>
  <si>
    <t>KSFP1U24SCDLCQEF</t>
  </si>
  <si>
    <t>19" 1U FIBRE OPTIC PATCH PANEL 245 UNLOADED 24 SCD/LCQ WITH HOLE CUTTING AND ACCESSORIES PER FRIENDLY CARTON</t>
  </si>
  <si>
    <t>KSFP1U24SCSLCDEF</t>
  </si>
  <si>
    <t>19" 1U FIBRE OPTIC PATCH PANEL 245 UNLOADED 24 SCS/LCQ WITH HOLE CUTTING AND ACCESSORIES PER FRIENDLY CARTON</t>
  </si>
  <si>
    <t>KSFP1U24SCSLCDEF2</t>
  </si>
  <si>
    <t>19" 1U FIBRE OPTIC PATCH PANEL 245 UNLOADED STAGGERED 24 SCS/LCQ WITH HOLE CUTTING AND ACCESSORIES PER FRIENDLY CARTON</t>
  </si>
  <si>
    <t>KSFP1U12SCDLCQEF</t>
  </si>
  <si>
    <t>KSFP1U12SCSLCDEF</t>
  </si>
  <si>
    <t>19" 1U FIBRE OPTIC PATCH PANEL 245 UNLOADED 12 SCD/LCQ WITH HOLE CUTTING AND ACCESSORIES PER FRIENDLY CARTON</t>
  </si>
  <si>
    <t>19" 1U FIBRE OPTIC PATCH PANEL 245 UNLOADED 12 SCS/LCQ WITH HOLE CUTTING AND ACCESSORIES PER FRIENDLY CARTON</t>
  </si>
  <si>
    <t>FRONT PLATE</t>
  </si>
  <si>
    <t>KSFP1U06POM3LCEDF</t>
  </si>
  <si>
    <t>KSFP1U12POM3LCEDF</t>
  </si>
  <si>
    <t>KSFP1U24POM3LCEDF</t>
  </si>
  <si>
    <t>KSFP1U48POM3LCEDF</t>
  </si>
  <si>
    <t>OPTICAL PATCH PANEL LOADED</t>
  </si>
  <si>
    <t>KSFP1U24STEF</t>
  </si>
  <si>
    <t>19" 1U FIBRE OPTIC PATCH PANEL 245 UNLOADED 24 ST WITH HOLE CUTTING AND ACCESSORIES PER FRIENDLY CARTON</t>
  </si>
  <si>
    <t xml:space="preserve">TIROIR FIBRE OPTIQUE 19" 1U 245MM VIDE 24 ST AVEC DÉCOUPE ET ACCESSOIRES PAR CARTON </t>
  </si>
  <si>
    <t xml:space="preserve">TIROIR FIBRE OPTIQUE 19" 1U 245MM VIDE 12 SCS/LCD AVEC DÉCOUPE ET ACCESSOIRES PAR CARTON </t>
  </si>
  <si>
    <t xml:space="preserve">TIROIR FIBRE OPTIQUE 19" 1U 245MM VIDE 12 SCD/LCQ AVEC DÉCOUPE ET ACCESSOIRES PAR CARTON </t>
  </si>
  <si>
    <t xml:space="preserve">TIROIR FIBRE OPTIQUE 19" 1U 245MM VIDE 24 SCS/LCD EN QUINCONCE AVEC DÉCOUPE ET ACCESSOIRES PAR CARTON </t>
  </si>
  <si>
    <t xml:space="preserve">TIROIR FIBRE OPTIQUE 19" 1U 245MM VIDE 24 SCS/LCD AVEC DÉCOUPE ET ACCESSOIRES PAR CARTON </t>
  </si>
  <si>
    <t xml:space="preserve">TIROIR FIBRE OPTIQUE 19" 1U 245MM VIDE 24 SCD/LCQ AVEC DÉCOUPE ET ACCESSOIRES PAR CARTON </t>
  </si>
  <si>
    <t>UKN</t>
  </si>
  <si>
    <t>KRS4286SGR</t>
  </si>
  <si>
    <t>NETWORK CABINET "START" 42U 800x600 19 INCH SINGLE GLASS DOORS - REAR PANEL</t>
  </si>
  <si>
    <t>BAIE RESEAU "START" 42U 800x600 19 POUCES PORTE AV VITREE SIMPLE  - PANNEAU AR</t>
  </si>
  <si>
    <t>KRS2788SGR</t>
  </si>
  <si>
    <t>KRS3288SGR</t>
  </si>
  <si>
    <t>KRS4288SGR</t>
  </si>
  <si>
    <t>Porte</t>
  </si>
  <si>
    <t>NETWORK CABINET "START" 27U 800x800 19 INCH SINGLE GLASS DOORS - REAR PANEL</t>
  </si>
  <si>
    <t>NETWORK CABINET "START" 32U 800x800 19 INCH SINGLE GLASS DOORS - REAR PANEL</t>
  </si>
  <si>
    <t>NETWORK CABINET "START" 42U 800x800 19 INCH SINGLE GLASS DOORS - REAR PANEL</t>
  </si>
  <si>
    <t>BAIE RESEAU "START" 27U 800x800 19 POUCES PORTE AV VITREE SIMPLE - PANNEAU AR</t>
  </si>
  <si>
    <t>BAIE RESEAU "START" 32U 800x800 19 POUCES PORTE AV VITREE SIMPLE - PANNEAU AR</t>
  </si>
  <si>
    <t>BAIE RESEAU "START" 42U 800x800 19 POUCES PORTE AV VITREE SIMPLE - PANNEAU AR</t>
  </si>
  <si>
    <t>KRG2488SGR</t>
  </si>
  <si>
    <t>KRG2788SGR</t>
  </si>
  <si>
    <t>KRG3288SGR</t>
  </si>
  <si>
    <t>KRG47810SGR</t>
  </si>
  <si>
    <t>KRG4286SGR</t>
  </si>
  <si>
    <t>KRG4288SGR</t>
  </si>
  <si>
    <t>KRG4788SGR</t>
  </si>
  <si>
    <t>KRG42810SGR</t>
  </si>
  <si>
    <t>KRG42812SGR</t>
  </si>
  <si>
    <t>KRG47812SGR</t>
  </si>
  <si>
    <t>17U</t>
  </si>
  <si>
    <t>800X1000</t>
  </si>
  <si>
    <t>NETWORK CABINET "GRID" 24U 800x800 19 INCH SINGLE FRONT GLASS DOOR - FULL REAR</t>
  </si>
  <si>
    <t>BAIE RESEAU "GRID" 24U 800x800 19 POUCES PORTE AV VITREE SIMPLE - PANNEAU AR</t>
  </si>
  <si>
    <t>NETWORK CABINET "GRID" 27U 800x800 19 INCH SINGLE FRONT GLASS DOOR - FULL REAR</t>
  </si>
  <si>
    <t>BAIE RESEAU "GRID" 27U 800x800 19 POUCES PORTE AV VITREE SIMPLE - PANNEAU AR</t>
  </si>
  <si>
    <t>NETWORK CABINET "GRID" 32U 800x800 19 INCH SINGLE FRONT GLASS DOOR - FULL REAR</t>
  </si>
  <si>
    <t>BAIE RESEAU "GRID" 32U 800x800 19 POUCES PORTE AV VITREE SIMPLE - PANNEAU AR</t>
  </si>
  <si>
    <t>NETWORK CABINET "GRID" 47U 800x1000 19 INCH SINGLE FRONT GLASS DOOR - FULL REAR</t>
  </si>
  <si>
    <t>BAIE RESEAU "GRID" 47U 800x1000 19 POUCES PORTE AV VITREE SIMPLE - PANNEAU AR</t>
  </si>
  <si>
    <t>NETWORK CABINET "GRID" 42U 800x600 19 INCH SINGLE FRONT GLASS DOOR - FULL REAR</t>
  </si>
  <si>
    <t>BAIE RESEAU "GRID" 42U 800x600 19 POUCES PORTE AV VITREE SIMPLE - PANNEAU AR</t>
  </si>
  <si>
    <t>NETWORK CABINET "GRID" 42U 800x800 19 INCH SINGLE FRONT GLASS DOOR - FULL REAR</t>
  </si>
  <si>
    <t>BAIE RESEAU "GRID" 42U 800x800 19 POUCES PORTE AV VITREE SIMPLE - PANNEAU AR</t>
  </si>
  <si>
    <t>NETWORK CABINET "GRID" 47U 800x800 19 INCH SINGLE FRONT GLASS DOOR - FULL REAR</t>
  </si>
  <si>
    <t>BAIE RESEAU "GRID" 47U 800x800 19 POUCES PORTE AV VITREE SIMPLE - PANNEAU AR</t>
  </si>
  <si>
    <t>NETWORK CABINET "GRID" 42U 800x1000 19 INCH SINGLE FRONT GLASS DOOR - FULL REAR</t>
  </si>
  <si>
    <t>BAIE RESEAU "GRID" 42U 800x1000 19 POUCES PORTE AV VITREE SIMPLE - PANNEAU AR</t>
  </si>
  <si>
    <t>NETWORK CABINET "GRID" 42U 800x1200 19 INCH SINGLE FRONT GLASS DOOR - FULL REAR</t>
  </si>
  <si>
    <t>BAIE RESEAU "GRID" 42U 800x1200 19 POUCES PORTE AV VITREE SIMPLE - PANNEAU AR</t>
  </si>
  <si>
    <t>NETWORK CABINET "GRID" 47U 800x1200 19 INCH SINGLE FRONT GLASS DOOR - FULL REAR</t>
  </si>
  <si>
    <t>BAIE RESEAU "GRID" 47U 800x1200 19 POUCES PORTE AV VITREE SIMPLE - PANNEAU AR</t>
  </si>
  <si>
    <t xml:space="preserve">LOADED </t>
  </si>
  <si>
    <t>Grade B</t>
  </si>
  <si>
    <t>19" 1U 245MM FIBER OPTIC PANEL EQUIPPED WITH 24 OS2/G567A2 LC GRADE B PIGTAILS / 12 LCD ADAPTERS / SPOOLING CASSETTE</t>
  </si>
  <si>
    <t>19" 1U 245MM FIBER OPTIC PANEL EQUIPPED WITH 48 OS2/G567A2 LC GRADE B PIGTAILS / 24 LCD ADAPTERS / SPOOLING CASSETTE</t>
  </si>
  <si>
    <t>19" 1U 245MM FIBER OPTIC PANEL EQUIPPED WITH 6 OM3 LC GRADE B PIGTAILS / 3 LCD ADAPTERS / SPOOLING CASSETTE</t>
  </si>
  <si>
    <t>19" 1U 245MM FIBER OPTIC PANEL EQUIPPED WITH 12 OM3 LC GRADE B PIGTAILS / 6 LCD ADAPTERS / SPOOLING CASSETTE</t>
  </si>
  <si>
    <t>19" 1U 245MM FIBER OPTIC PANEL EQUIPPED WITH 24 OM3 LC GRADE B PIGTAILS / 12 LCD ADAPTERS / SPOOLING CASSETTE</t>
  </si>
  <si>
    <t>19" 1U 245MM FIBER OPTIC PANEL EQUIPPED WITH 48 OM3 LC GRADE B PIGTAILS / 24 LCD ADAPTERS / SPOOLING CASSETTE</t>
  </si>
  <si>
    <t>19" 1U 245MM FIBER OPTIC PANEL EQUIPPED WITH 6 OM4 LC GRADE B PIGTAILS / 3 LCD ADAPTERS / SPOOLING CASSETTE</t>
  </si>
  <si>
    <t>19" 1U 245MM FIBER OPTIC PANEL EQUIPPED WITH 12 OM4 LC GRADE B PIGTAILS / 6 LCD ADAPTERS / SPOOLING CASSETTE</t>
  </si>
  <si>
    <t>19" 1U 245MM FIBER OPTIC PANEL EQUIPPED WITH 24 OM4 LC GRADE B PIGTAILS / 12 LCD ADAPTERS / SPOOLING CASSETTE</t>
  </si>
  <si>
    <t>19" 1U 245MM FIBER OPTIC PANEL EQUIPPED WITH 48 OM4 LC GRADE B PIGTAILS / 24 LCD ADAPTERS / SPOOLING CASSETTE</t>
  </si>
  <si>
    <t>19" 1U 245MM FIBER OPTIC PANEL EQUIPPED WITH 6 OS2/G567A2 LC GRADE B PIGTAILS / 3 LCD ADAPTERS / SPOOLING CASSETTE</t>
  </si>
  <si>
    <t>19" 1U 245MM FIBER OPTIC PANEL EQUIPPED WITH 12 OS2/G567A2 LC GRADE B PIGTAILS / 6 LCD ADAPTERS / SPOOLING CASSETTE</t>
  </si>
  <si>
    <t>TIROIR FIBRE OPTIQUE 19" 1U 245MM EQUIPPE DE 6 PIGTAILS OS2/G657A2 LC GRADE B/3 TRAVERSEES LCD/CASSETTE DE LOVAGE</t>
  </si>
  <si>
    <t>TIROIR FIBRE OPTIQUE 19" 1U 245MM EQUIPPE DE 12 PIGTAILS OS2/G657A2 LC GRADE B/6 TRAVERSEES LCD/CASSETTE DE LOVAGE</t>
  </si>
  <si>
    <t>TIROIR FIBRE OPTIQUE 19" 1U 245MM EQUIPPE DE 24 PIGTAILS OS2/G657A2 LC GRADE B/12 TRAVERSEES LCD/CASSETTE DE LOVAGE</t>
  </si>
  <si>
    <t>TIROIR FIBRE OPTIQUE 19" 1U 245MM EQUIPPE DE 48 PIGTAILS OS2/G657A2 LC GRADE B/24 TRAVERSEES LCD/CASSETTE DE LOVAGE</t>
  </si>
  <si>
    <t>TIROIR FIBRE OPTIQUE 19" 1U 245MM EQUIPPE DE 6 PIGTAILS OM3 LC GRADE B /3 TRAVERSEES LCD/CASSETTE DE LOVAGE</t>
  </si>
  <si>
    <t>TIROIR FIBRE OPTIQUE 19" 1U 245MM EQUIPPE DE 12 PIGTAILS OM3 LC GRADE B/6 TRAVERSEES LCD/CASSETTE DE LOVAGE</t>
  </si>
  <si>
    <t>TIROIR FIBRE OPTIQUE 19" 1U 245MM EQUIPPE DE 24 PIGTAILS OM3 LC GRADE B/12 TRAVERSEES LCD/CASSETTE DE LOVAGE</t>
  </si>
  <si>
    <t>TIROIR FIBRE OPTIQUE 19" 1U 245MM EQUIPPE DE 48 PIGTAILS OM3 LC GRADE B/24 TRAVERSEES LCD/CASSETTE DE LOVAGE</t>
  </si>
  <si>
    <t>TIROIR FIBRE OPTIQUE 19" 1U 245MM EQUIPPE DE 6 PIGTAILS OM4 LC GRADE B/3 TRAVERSEES LCD/CASSETTE DE LOVAGE</t>
  </si>
  <si>
    <t>TIROIR FIBRE OPTIQUE 19" 1U 245MM EQUIPPE DE 12 PIGTAILS OM4 LC GRADE B/6 TRAVERSEES LCD/CASSETTE DE LOVAGE</t>
  </si>
  <si>
    <t>TIROIR FIBRE OPTIQUE 19" 1U 245MM EQUIPPE DE 24 PIGTAILS OM4 LC GRADE B/12 TRAVERSEES LCD/CASSETTE DE LOVAGE</t>
  </si>
  <si>
    <t>TIROIR FIBRE OPTIQUE 19" 1U 245MM EQUIPPE DE 48 PIGTAILS OM4 LC GRADE B/24 TRAVERSEES LCD/CASSETTE DE LOVAGE</t>
  </si>
  <si>
    <t>KSFP1U2424SCDSEF</t>
  </si>
  <si>
    <t>KSFP1U2412SCDSEF</t>
  </si>
  <si>
    <t>KSFP1U2412LCDSEF</t>
  </si>
  <si>
    <t>KSFP1U2412SCDMEF</t>
  </si>
  <si>
    <t>KSFP1U2424LCDMEF</t>
  </si>
  <si>
    <t>KSFP1U2412LCDMEF</t>
  </si>
  <si>
    <t>TIROIR FIBRE OPTIQUE 19" 1U 24 SC DUPLEX EQUIPPE DE 24 TRAVERSEES MONOMODE</t>
  </si>
  <si>
    <t>TIROIR FIBRE OPTIQUE 19" 1U 24 SC DUPLEX EQUIPPE DE 12 TRAVERSEES MONOMODE</t>
  </si>
  <si>
    <t>TIROIR FIBRE OPTIQUE 19" 1U 24 LC DUPLEX EQUIPPE DE 24 TRAVERSEES MONOMODE</t>
  </si>
  <si>
    <t>TIROIR FIBRE OPTIQUE 19" 1U 24 LC DUPLEX EQUIPPE DE 12 TRAVERSEES MONOMODE</t>
  </si>
  <si>
    <t>TIROIR FIBRE OPTIQUE 19" 1U 24 SC DUPLEX EQUIPPE DE 24 TRAVERSEES MULTIMODE</t>
  </si>
  <si>
    <t>TIROIR FIBRE OPTIQUE 19" 1U 24 SC DUPLEX EQUIPPE DE 12 TRAVERSEES MULTIMODE</t>
  </si>
  <si>
    <t>TIROIR FIBRE OPTIQUE 19" 1U 24 LC DUPLEX EQUIPPE DE 24 TRAVERSEES MULTIMODE</t>
  </si>
  <si>
    <t>TIROIR FIBRE OPTIQUE 19" 1U 24 LC DUPLEX EQUIPPE DE 12 TRAVERSEES MULTIMODE</t>
  </si>
  <si>
    <t xml:space="preserve">CHASSIS FIBRE OPTIQUE 19" 1U 245MM VIDE SANS PLAQUE AVANT AVEC DÉCOUPE DE TROU ET ACCESSOIRES PAR CARTON </t>
  </si>
  <si>
    <t>CHASSIS FIBRE OPTIQUE 19" 1U 205MM  VIDE SANS PLAQUE AVANT AVEC DÉCOUPE DE TROU ET ACCESSOIRES PAR CARTON</t>
  </si>
  <si>
    <t xml:space="preserve">CHASSIS FIBRE OPTIQUE 19" 1U 245MM VIDE SANS PLAQUE AVANT AVEC DÉCOUPE DE TROU, SYSTEM DE VERROUILLAGE  ET ACCESSOIRES PAR CARTON </t>
  </si>
  <si>
    <t>19" 1U FIBRE OPTIC BASE FRAME 245 UNLOADED WITHOUT FRONT PLATE WITH HOLE CUTTING AND ACCESSORIES PER FRIENDLY CARTON</t>
  </si>
  <si>
    <t>19" 1U FIBRE OPTIC BASE FRAME UNLOADED WITHOUT FRONT PLATE WITH HOLE CUTTING AND ACCESSORIES PER FRIENDLY CARTON</t>
  </si>
  <si>
    <t>19" 1U FIBRE OPTIC BASE FRAME 245 UNLOADED WITHOUT FRONT PLATE WITH HOLE CUTTING WITH LOCKING SYSTEM AND ACCESSORIES PER FRIENDLY CARTON</t>
  </si>
  <si>
    <t>KSFP1U2424LCDSEF2</t>
  </si>
  <si>
    <t>KSFP1U2412LCDSEF2</t>
  </si>
  <si>
    <t>TIROIR FIBRE OPTIQUE 19" 1U 24 LC DUPLEX EN QUINCONCE EQUIPPE DE 24 TRAVERSEES MONOMODE</t>
  </si>
  <si>
    <t>TIROIR FIBRE OPTIQUE 19" 1U 24 LC DUPLEX EN QUINCONCE EQUIPPE DE 12 TRAVERSEES MONOMODE</t>
  </si>
  <si>
    <t>KSFP1U2412LCDMEF2</t>
  </si>
  <si>
    <t>TIROIR FIBRE OPTIQUE 19" 1U 24 LC DUPLEX EN QUINCONCE EQUIPPE DE 12 TRAVERSEES MULTIMODE</t>
  </si>
  <si>
    <t>KRG321010DGR</t>
  </si>
  <si>
    <t>KRG421010DGR</t>
  </si>
  <si>
    <t>KRG471010DGR</t>
  </si>
  <si>
    <t>KRG321010DP2</t>
  </si>
  <si>
    <t>KRG421010DP2</t>
  </si>
  <si>
    <t>KRG471010DP2</t>
  </si>
  <si>
    <t>1000x1000</t>
  </si>
  <si>
    <t>NETWORK CABINET "GRID" 32U 1000x1000 19 INCH DOUBLE FRONT/REAR PERFORATED DOORS</t>
  </si>
  <si>
    <t>NETWORK CABINET "GRID" 42U 1000x1000 19 INCH DOUBLE FRONT/REAR PERFORATED DOORS</t>
  </si>
  <si>
    <t>NETWORK CABINET "GRID" 47U 1000x1000 19 INCH DOUBLE FRONT/REAR PERFORATED DOORS</t>
  </si>
  <si>
    <t>BAIE RESEAU "GRID" 32U 1000x1000 19 POUCES DOUBLE PORTE AV/AR PERFOREES</t>
  </si>
  <si>
    <t>BAIE RESEAU "GRID" 42U 1000x1000 19 POUCES DOUBLE PORTE AV/AR PERFOREES</t>
  </si>
  <si>
    <t>BAIE RESEAU "GRID" 47U 1000x1000 19 POUCES DOUBLE PORTE AV/AR PERFOREES</t>
  </si>
  <si>
    <t>BAIE RESEAU "GRID" 32U 1000x1000 19 POUCES DOUBLE PORTE AV VITREE - PANNEAU AR</t>
  </si>
  <si>
    <t>BAIE RESEAU "GRID" 42U 1000x1000 19 POUCES DOUBLE PORTE AV VITREE - PANNEAU AR</t>
  </si>
  <si>
    <t>NETWORK CABINET "GRID" 32U 1000x1000 19 INCH DOUBLE  FRONT GLASS DOOR - FULL REAR</t>
  </si>
  <si>
    <t>NETWORK CABINET "GRID" 42U 1000x1000 19 INCH DOUBLE  FRONT GLASS DOOR - FULL REAR</t>
  </si>
  <si>
    <t>BAIE RESEAU "GRID" 47U 1000x1000 19 POUCES DOUBLE PORTE AV VITREE - PANNEAU AR</t>
  </si>
  <si>
    <t>NETWORK CABINET "GRID" 47U 1000x1000 19 INCH DOUBLE  FRONT GLASS DOOR - FULL REAR</t>
  </si>
  <si>
    <t>CABLE AWG24 SYT 2 ARMEE LSZH 5 PAIRES MARRON B2CA</t>
  </si>
  <si>
    <t>CABLE AWG24 SYT 2 ARMEE LSZH 10 PAIRES MARRON B2CA</t>
  </si>
  <si>
    <t>CABLE AWG24 SYT 2 ARMEE LSZH 15 PAIRES MARRON B2CA</t>
  </si>
  <si>
    <t>CABLE AWG24 SYT 2 ARMEE LSZH 30 PAIRES MARRON B2CA</t>
  </si>
  <si>
    <t>CABLE AWG24 SYT 2 ARMEE LSZH 56 PAIRES MARRON B2CA</t>
  </si>
  <si>
    <t>CABLE AWG24 SYT 2 ARMEE LSZH 112 PAIRES MARRON B2CA</t>
  </si>
  <si>
    <t>CABLE AWG20 SYT 2 ARMEE LSZH 5 PAIRES MARRON B2CA</t>
  </si>
  <si>
    <t>CABLE AWG20 SYT 2 ARMEE LSZH 10 PAIRES MARRON B2CA</t>
  </si>
  <si>
    <t>CABLE AWG20 SYT 2 ARMEE LSZH 15 PAIRES MARRON B2CA</t>
  </si>
  <si>
    <t>CABLE AWG20 SYT 2 ARMEE LSZH 30 PAIRES MARRON B2CA</t>
  </si>
  <si>
    <t>CABLE AWG20 SYT 2 ARMEE LSZH 56 PAIRES MARRON B2CA</t>
  </si>
  <si>
    <t>CABLE AWG20 SYT 2 ARMEE LSZH 112 PAIRES MARRON B2CA</t>
  </si>
  <si>
    <t>CABLEAWG24 SYT 2 ARMORED LSZH 5 PAIRS BROWN B2CA</t>
  </si>
  <si>
    <t>CABLEAWG24 SYT 2 ARMORED LSZH 10 PAIRS BROWN B2CA</t>
  </si>
  <si>
    <t>CABLEAWG24 SYT 2 ARMORED LSZH 15 PAIRS BROWN B2CA</t>
  </si>
  <si>
    <t>CABLEAWG24 SYT 2 ARMORED LSZH 30 PAIRS BROWN B2CA</t>
  </si>
  <si>
    <t>CABLEAWG24 SYT 2 ARMORED LSZH 56 PAIRS BROWN B2CA</t>
  </si>
  <si>
    <t>CABLEAWG24 SYT 2 ARMORED LSZH 112 PAIRS BROWN B2CA</t>
  </si>
  <si>
    <t>CABLEAWG20 SYT 2 ARMORED LSZH 5 PAIRS BROWN B2CA</t>
  </si>
  <si>
    <t>CABLEAWG20 SYT 2 ARMORED LSZH 10 PAIRS BROWN B2CA</t>
  </si>
  <si>
    <t>CABLEAWG20 SYT 2 ARMORED LSZH 15 PAIRS BROWN B2CA</t>
  </si>
  <si>
    <t>CABLEAWG20 SYT 2 ARMORED LSZH 30 PAIRS BROWN B2CA</t>
  </si>
  <si>
    <t>CABLEAWG20 SYT 2 ARMORED LSZH 56 PAIRS BROWN B2CA</t>
  </si>
  <si>
    <t>CABLEAWG20 SYT 2 ARMORED LSZH 112 PAIRS BROWN B2CA</t>
  </si>
  <si>
    <t>U1701001</t>
  </si>
  <si>
    <t>KSYT2A2430ZHB2BR5</t>
  </si>
  <si>
    <t>U1701002</t>
  </si>
  <si>
    <t>U1701003</t>
  </si>
  <si>
    <t>U0105003</t>
  </si>
  <si>
    <t>U0806009</t>
  </si>
  <si>
    <t xml:space="preserve">12FO OS2 MULTI LOOSE TUBE ARMORDED DOUBLE JACKET LSZH B2ca OUTDOOR PURPLE </t>
  </si>
  <si>
    <t xml:space="preserve">24FO OS2 MULTI LOOSE TUBE ARMORDED DOUBLE JACKET LSZH B2ca OUTDOOR PURPLE </t>
  </si>
  <si>
    <t xml:space="preserve">48FO OS2 MULTI LOOSE TUBE ARMORDED DOUBLE JACKET LSZH B2ca OUTDOOR PURPLE </t>
  </si>
  <si>
    <t xml:space="preserve">12FO OS2 MULTITUBE STRUCTURE LIBRE ARME DOUBLE GAINE LSZH B2ca EXTÉRIEUR MAUVE </t>
  </si>
  <si>
    <t xml:space="preserve">24FO OS2 MULTITUBE STRUCTURE LIBRE ARME DOUBLE GAINE LSZH B2ca EXTÉRIEUR MAUVE </t>
  </si>
  <si>
    <t xml:space="preserve">48FO OS2 MULTITUBE STRUCTURE LIBRE ARME DOUBLE GAINE LSZH B2ca EXTÉRIEUR MAUVE </t>
  </si>
  <si>
    <t>KFO12OS2MTZHAZHB2</t>
  </si>
  <si>
    <t>KFO24OS2MTZHAZHB2</t>
  </si>
  <si>
    <t>U0809002</t>
  </si>
  <si>
    <t>U0809001</t>
  </si>
  <si>
    <t>U0809003</t>
  </si>
  <si>
    <t>INSTRUMENTATION CABLE HSLCH-OZ 4X1.5 NON ARMORED LSZH BROWN B2CA 1000M DRUM</t>
  </si>
  <si>
    <t>KCU64PZHB2GR5</t>
    <phoneticPr fontId="2" type="noConversion"/>
  </si>
  <si>
    <t>CAT6 CABLE U/UTP 4 PAIRS AWG23 TEST UP TO 400MHz LSZH CPR B2CA GREY RAL7035 500M</t>
    <phoneticPr fontId="2" type="noConversion"/>
  </si>
  <si>
    <t>CÂBLE CAT6 U/UTP 4 PAIRES AWG23 TEST A 400MHz LSZH CPR B2CA GRIS RAL7035 500M</t>
    <phoneticPr fontId="2" type="noConversion"/>
  </si>
  <si>
    <t>KCU6A4PLZHCBL5</t>
    <phoneticPr fontId="2" type="noConversion"/>
  </si>
  <si>
    <t>KCU6A4PLZHB2BL5</t>
    <phoneticPr fontId="2" type="noConversion"/>
  </si>
  <si>
    <t>CAT6A CABLE U/UTP 4 PAIRS AWG23 TESTED UP TO 650MHz LSZH CPR CCA BLUE RAL5024 500M NANEXT</t>
    <phoneticPr fontId="2" type="noConversion"/>
  </si>
  <si>
    <t>CAT6A CABLE U/UTP 4 PAIRS AWG23 TESTED UP TO 650MHz LSZH CPR B2CA BLUE RAL5024 500M NANEXT</t>
    <phoneticPr fontId="2" type="noConversion"/>
  </si>
  <si>
    <t>CÂBLE CAT6A U/UTP 4 PAIRES AWG23 TEST A 650MHz LSZH CPR CCA BLEU RAL5024 500M NANEXT</t>
    <phoneticPr fontId="2" type="noConversion"/>
  </si>
  <si>
    <t>CÂBLE CAT6A U/UTP 4 PAIRES AWG23 TEST A 650MHz LSZH CPR B2CA BLEU RAL5024 500M NANEXT</t>
    <phoneticPr fontId="2" type="noConversion"/>
  </si>
  <si>
    <t>B2ca</t>
    <phoneticPr fontId="2" type="noConversion"/>
  </si>
  <si>
    <t>KCU6A4PZHCBL5</t>
    <phoneticPr fontId="2" type="noConversion"/>
  </si>
  <si>
    <t>KCU6A4PZHB2BL5</t>
    <phoneticPr fontId="2" type="noConversion"/>
  </si>
  <si>
    <t xml:space="preserve">CAT6A CABLE U/UTP 4 PAIRS AWG23 TESTED UP TO 650MHz LSZH CPR CCA BLUE RAL5024 500M </t>
    <phoneticPr fontId="2" type="noConversion"/>
  </si>
  <si>
    <t xml:space="preserve">CAT6A CABLE U/UTP 4 PAIRS AWG23 TESTED UP TO 650MHz LSZH CPR B2CA BLUE RAL5024 500M </t>
    <phoneticPr fontId="2" type="noConversion"/>
  </si>
  <si>
    <t xml:space="preserve">CÂBLE CAT6A U/UTP 4 PAIRES AWG23 TEST A 650MHz LSZH CPR CCA BLEU RAL5024 500M </t>
    <phoneticPr fontId="2" type="noConversion"/>
  </si>
  <si>
    <t>CÂBLE CAT6A U/UTP 4 PAIRES AWG23 TEST A 650MHz LSZH CPR B2CA BLEU RAL5024 500M</t>
    <phoneticPr fontId="2" type="noConversion"/>
  </si>
  <si>
    <t>19" 1U FIBRE OPTIC PATCH PANEL 24 SC DUPLEX EQUIPPED WITH 24 SC DUPLEX SINGLEMODE</t>
  </si>
  <si>
    <t>19" 1U FIBRE OPTIC PATCH PANEL 24 SC DUPLEX EQUIPPED WITH 12 SC DUPLEX SINGLEMODE</t>
  </si>
  <si>
    <t>19" 1U FIBRE OPTIC PATCH PANEL 24 LC DUPLEX EQUIPPED WITH 24 LC DUPLEX SINGLEMODE</t>
  </si>
  <si>
    <t>19" 1U FIBRE OPTIC PATCH PANEL 24 LC DUPLEX EQUIPPED WITH 12 LC DUPLEX SINGLEMODE</t>
  </si>
  <si>
    <t>19" 1U FIBRE OPTIC PATCH PANEL 24 LC DUPLEX STAGGERED EQUIPPED WITH 24 LC DUPLEX SINGLEMODE</t>
  </si>
  <si>
    <t>19" 1U FIBRE OPTIC PATCH PANEL 24 LC DUPLEX STAGGERED EQUIPPED WITH 12 LC DUPLEX SINGLEMODE</t>
  </si>
  <si>
    <t>19" 1U FIBRE OPTIC PATCH PANEL 24 SC DUPLEX EQUIPPED WITH 24 SC DUPLEX MULTIMODE</t>
  </si>
  <si>
    <t>19" 1U FIBRE OPTIC PATCH PANEL 24 SC DUPLEX EQUIPPED WITH 12 SC DUPLEX MULTIMODE</t>
  </si>
  <si>
    <t>19" 1U FIBRE OPTIC PATCH PANEL 24 LC DUPLEX EQUIPPED WITH 24 LC DUPLEX MULTIMODE</t>
  </si>
  <si>
    <t>19" 1U FIBRE OPTIC PATCH PANEL 24 LC DUPLEX EQUIPPED WITH 12 LC DUPLEX MULTIMODE</t>
  </si>
  <si>
    <t>KPL45S6AEP</t>
  </si>
  <si>
    <t>U0206008</t>
  </si>
  <si>
    <t>‘4897108882760</t>
    <phoneticPr fontId="2" type="noConversion"/>
  </si>
  <si>
    <t>KPUU6AZHWH2EF</t>
  </si>
  <si>
    <t>U0406015</t>
  </si>
  <si>
    <t>KPUU6AZHWH3EF</t>
  </si>
  <si>
    <t>U0406016</t>
  </si>
  <si>
    <t>U0301012</t>
  </si>
  <si>
    <t>U1503015</t>
  </si>
  <si>
    <t>U1504001</t>
  </si>
  <si>
    <t>U1504002</t>
  </si>
  <si>
    <t>KWP8686A1PEF8</t>
    <phoneticPr fontId="2" type="noConversion"/>
  </si>
  <si>
    <t>KJ6AUHQEF1</t>
    <phoneticPr fontId="2" type="noConversion"/>
  </si>
  <si>
    <t>CAT6A RJ45 KEYSTONE JACK SHIELDED TOOLESS 1PC PER ECO FRIENDLY BAG</t>
    <phoneticPr fontId="2" type="noConversion"/>
  </si>
  <si>
    <t>CAT6A RJ45 KEYSTONE JACK UNSHIELDED TOOLESS INTERTEK CERTIFIED 1PC PER ECO FRIENDLY BAG</t>
    <phoneticPr fontId="2" type="noConversion"/>
  </si>
  <si>
    <t>EMBASE KEYSTONE CAT6A RJ45 BLINDÉ SANS OUTIL 1PC PAR SAC ÉCOLOGIQUE</t>
    <phoneticPr fontId="2" type="noConversion"/>
  </si>
  <si>
    <t>EMBASE KEYSTONE CAT6A RJ45 NON BLINDÉ SANS OUTIL CERTIFIÉ INTERTEK 1PC PAR SAC ÉCOLOGIQUE</t>
    <phoneticPr fontId="2" type="noConversion"/>
  </si>
  <si>
    <t>CAT6A CABLE U/UTP 4 PAIRS AWG23 TESTED UP TO 650MHz LSZH CPR DCA BLUE RAL5024 500M NANEXT</t>
    <phoneticPr fontId="2" type="noConversion"/>
  </si>
  <si>
    <t>KCU64PZHCGR5</t>
  </si>
  <si>
    <t>KCU64PZHDGR5</t>
  </si>
  <si>
    <t>KCU6A4PLZHDBLB</t>
    <phoneticPr fontId="2" type="noConversion"/>
  </si>
  <si>
    <t>305m</t>
    <phoneticPr fontId="2" type="noConversion"/>
  </si>
  <si>
    <t>NETWORK CABINET "START" 42U 800x1000 
19 INCH DOUBLE FRONT/REAR PERFORATED DOORS</t>
    <phoneticPr fontId="2" type="noConversion"/>
  </si>
  <si>
    <t>BAIE RESEAU "START" 42U 800x1000 19 POUCES DOUBLE PORTE AV/AR PERFOREES</t>
    <phoneticPr fontId="44" type="noConversion"/>
  </si>
  <si>
    <t>CAT6 CABLE U/UTP 4 PAIRS AWG24 TEST UP TO 400MHz PVC CPR ECA GREY RAL7035 500M</t>
  </si>
  <si>
    <t>KCSF6A4PZHDBL5</t>
    <phoneticPr fontId="2" type="noConversion"/>
  </si>
  <si>
    <t>KSASCDS20</t>
    <phoneticPr fontId="2" type="noConversion"/>
  </si>
  <si>
    <t>OEFU64PXSDWHT5</t>
  </si>
  <si>
    <t>KPIGOS2A2SC2MEF</t>
    <phoneticPr fontId="2" type="noConversion"/>
  </si>
  <si>
    <t>KPIGOS2A2LC2MEF</t>
    <phoneticPr fontId="2" type="noConversion"/>
  </si>
  <si>
    <t>KPIG12OS2A2SC2MEF</t>
    <phoneticPr fontId="2" type="noConversion"/>
  </si>
  <si>
    <t>KPIG12OS2A2LC2MEF</t>
    <phoneticPr fontId="2" type="noConversion"/>
  </si>
  <si>
    <t>19" 1U FIBRE OPTIC PATCH PANEL 24 LC DUPLEX STAGGERED EQUIPPED WITH 12 LC DUPLEX MULTIMODE</t>
    <phoneticPr fontId="2" type="noConversion"/>
  </si>
  <si>
    <t>U1001024</t>
  </si>
  <si>
    <t>U1001022</t>
  </si>
  <si>
    <t>U1001021</t>
  </si>
  <si>
    <t>KSFP1U24POM4LCEDF</t>
  </si>
  <si>
    <t>U1001025</t>
  </si>
  <si>
    <t>U1001026</t>
  </si>
  <si>
    <t>U1001023</t>
  </si>
  <si>
    <t>U1001020</t>
  </si>
  <si>
    <t>U1001027</t>
  </si>
  <si>
    <t>U1001028</t>
  </si>
  <si>
    <t>U1001029</t>
  </si>
  <si>
    <t>U1001030</t>
  </si>
  <si>
    <t>19" 1U PANEL FRONT PLATE 24 LC DUPLEX/LC DUPLEX EQUIPPED WITH 24 LC DUPLEX SINGLEMODE</t>
    <phoneticPr fontId="2" type="noConversion"/>
  </si>
  <si>
    <t>19" 1U PANEL FRONT PLATE 24 LC DUPLEX/LC DUPLEX EQUIPPED WITH 12 LC DUPLEX SINGLEMODE</t>
    <phoneticPr fontId="2" type="noConversion"/>
  </si>
  <si>
    <t>19" 1U PANEL FRONT PLATE 24 LC DUPLEX/LC DUPLEX EQUIPPED WITH 24 LC DUPLEX MULTIMODE</t>
    <phoneticPr fontId="2" type="noConversion"/>
  </si>
  <si>
    <t>19" 1U PANEL FRONT PLATE 24 LC DUPLEX/LC DUPLEX EQUIPPED WITH 12 LC DUPLEX MULTIMODE</t>
    <phoneticPr fontId="2" type="noConversion"/>
  </si>
  <si>
    <t>KSFP1U2424LCDMEF2</t>
    <phoneticPr fontId="2" type="noConversion"/>
  </si>
  <si>
    <t>TIROIR FIBRE OPTIQUE 19" 1U 24 LC DUPLEX EN QUINCONCE EQUIPPE DE 24 TRAVERSEES MULTIMODE</t>
    <phoneticPr fontId="2" type="noConversion"/>
  </si>
  <si>
    <t>KPL45U6AEP</t>
    <phoneticPr fontId="2" type="noConversion"/>
  </si>
  <si>
    <t>CAT6A RJ45 FIELD PLUG SHIELDED TOOLESS DELTA FORCE CERTIFIED 1PCS PER ECO BAG</t>
    <phoneticPr fontId="2" type="noConversion"/>
  </si>
  <si>
    <t>PLUG RJ45 8P8C SHIELDED CAT6 BIG WIRE INSERT 100PCS PER ECO BAG</t>
  </si>
  <si>
    <t>FICHE PLUG RJ45 8P8C BLINDÉ CAT6 GROS FIL INSERT 100PCS PAR ECO BAG</t>
  </si>
  <si>
    <t>PLUG RJ45 8P8C UNSHIELDED CAT5E WITHOUT INSERT 100PCS PER ECO BAG</t>
  </si>
  <si>
    <t>FICHE PLUG RJ45 8P8C NON BLINDÉ CAT5E SANS INSERT 100PCS PAR ECO BAG</t>
  </si>
  <si>
    <t>PLUG RJ45 8P8C SHIELDED CAT5E WITHOUT INSERT 100PCS PER ECO BAG</t>
  </si>
  <si>
    <t>FICHE PLUG RJ45 8P8C BLINDÉ CAT5E SANS INSER 100PCS PAR ECO BAG</t>
  </si>
  <si>
    <t>PLUG RJ45 8P8C UNSHIELDED CAT6 WITHOUT INSERT 4/4 100PCS PER ECO BAG</t>
  </si>
  <si>
    <t>FICHE PLUG RJ45 8P8C NON BLINDÉ CAT6 SANS INSERT 4/4 100PCS PAR ECO BAG</t>
  </si>
  <si>
    <t>PLUG RJ45 8P8C SHIELDED CAT6 WITHOUT INSERT 4/4 100PCS PER ECO BAG</t>
  </si>
  <si>
    <t>FICHE PLUG RJ45 8P8C BLINDÉ CAT6 SANS INSERT 4/4 100PCS PAR ECO BAG</t>
  </si>
  <si>
    <t>FICHE PLUG RJ45 8P8C BLINDÉ CAT6 AVEC INSERT ET FACILE A PASSER PAR ECO BAG</t>
  </si>
  <si>
    <t>FICHE PLUG RJ45 8P8C BLINDÉ CAT6A AVEC INSERT ET FACILE A PASSER PAR ECO BAG</t>
  </si>
  <si>
    <t>FICHE PLUG RJ45 8P8C NON BLINDÉ CAT6 AVEC INSERT ET FACILE A PASSER PAR ECO BAG</t>
  </si>
  <si>
    <t>FICHE PLUG RJ45 8P8C NON BLINDÉ CAT6A SANS INSERT ET FACILE A PASSER PAR ECO BAG</t>
    <phoneticPr fontId="2" type="noConversion"/>
  </si>
  <si>
    <t>PLUG RJ45 8P8C UNSHIELDED CAT6A WITHOUT INSERT AND EASY PASS THROUGH 100PCS PER ECO BAG</t>
    <phoneticPr fontId="2" type="noConversion"/>
  </si>
  <si>
    <t>PLUG RJ45 8P8C SHIELDED CAT6 WITH INSERT AND EASY PASS THROUGH 100PCS PER ECO BAG</t>
    <phoneticPr fontId="2" type="noConversion"/>
  </si>
  <si>
    <t>PLUG RJ45 8P8C SHIELDED CAT6A WITH INSERT AND EASY PASS THROUGH 100PCS PER ECO BAG</t>
    <phoneticPr fontId="2" type="noConversion"/>
  </si>
  <si>
    <t>PLUG RJ45 8P8C UNSHIELDED CAT6 WITH INSERT AND EASY PASS THROUGH 100PCS PER ECO BAG</t>
    <phoneticPr fontId="2" type="noConversion"/>
  </si>
  <si>
    <t>PLAQUE MURALE ANGULE  86X86 1 PORT 8PCS STYLE UK AVEC VOLET</t>
    <phoneticPr fontId="44" type="noConversion"/>
  </si>
  <si>
    <t>LC/LC OS2/G657A2 DUPLEX GRADE B OPTICAL PATCH CORD 10M ECO FRIENDLY BAG</t>
    <phoneticPr fontId="45" type="noConversion"/>
  </si>
  <si>
    <t>LC/LC OS2/G657A2 DUPLEX GRADE B OPTICAL PATCH CORD 1M ECO FRIENDLY BAG</t>
    <phoneticPr fontId="45" type="noConversion"/>
  </si>
  <si>
    <t>LC/LC OS2/G657A2 DUPLEX GRADE B OPTICAL PATCH CORD 2M ECO FRIENDLY BAG</t>
    <phoneticPr fontId="45" type="noConversion"/>
  </si>
  <si>
    <t>LC/LC OS2/G657A2 DUPLEX GRADE B OPTICAL PATCH CORD 3M ECO FRIENDLY BAG</t>
    <phoneticPr fontId="45" type="noConversion"/>
  </si>
  <si>
    <t>LC/LC OS2/G657A2 DUPLEX GRADE B OPTICAL PATCH CORD 5M ECO FRIENDLY BAG</t>
    <phoneticPr fontId="45" type="noConversion"/>
  </si>
  <si>
    <t>LC/LC OS2/G657A2 DUPLEX GRADE B OPTICAL PATCH CORD 15M ECO FRIENDLY BAG</t>
    <phoneticPr fontId="45" type="noConversion"/>
  </si>
  <si>
    <t>JARRETIERE OPTIQUE DUPLEX LC/LC OS2/G657A2 GRADE B 1M SAC ÉCOLOGIQUE</t>
    <phoneticPr fontId="44" type="noConversion"/>
  </si>
  <si>
    <t>JARRETIERE OPTIQUE DUPLEX LC/LC OS2/G657A2 GRADE B 2M SAC ÉCOLOGIQUE</t>
    <phoneticPr fontId="44" type="noConversion"/>
  </si>
  <si>
    <t>JARRETIERE OPTIQUE DUPLEX LC/LC OS2/G657A2 GRADE B 3M SAC ÉCOLOGIQUE</t>
    <phoneticPr fontId="44" type="noConversion"/>
  </si>
  <si>
    <t>JARRETIERE OPTIQUE DUPLEX LC/LC OS2/G657A2 GRADE B 5M SAC ÉCOLOGIQUE</t>
    <phoneticPr fontId="44" type="noConversion"/>
  </si>
  <si>
    <t>JARRETIERE OPTIQUE DUPLEX LC/LC OS2/G657A2 GRADE B 10M SAC ÉCOLOGIQUE</t>
    <phoneticPr fontId="44" type="noConversion"/>
  </si>
  <si>
    <t>JARRETIERE OPTIQUE DUPLEX LC/LC OS2/G657A2 GRADE B 15M SAC ÉCOLOGIQUE</t>
    <phoneticPr fontId="44" type="noConversion"/>
  </si>
  <si>
    <t>4897108885426</t>
  </si>
  <si>
    <t>4897108885433</t>
  </si>
  <si>
    <t>4897108885440</t>
  </si>
  <si>
    <t>4897108885457</t>
  </si>
  <si>
    <t>4897108885419</t>
  </si>
  <si>
    <t>KCDOS2A2LCLCB1MEF</t>
    <phoneticPr fontId="2" type="noConversion"/>
  </si>
  <si>
    <t>KCDOS2A2LCLCB2MEF</t>
    <phoneticPr fontId="2" type="noConversion"/>
  </si>
  <si>
    <t>KCDOS2A2LCLCB3MEF</t>
    <phoneticPr fontId="2" type="noConversion"/>
  </si>
  <si>
    <t>KCDOS2A2LCLCB5MEF</t>
    <phoneticPr fontId="2" type="noConversion"/>
  </si>
  <si>
    <t>KCDOS2A2LCLCB10MEF</t>
    <phoneticPr fontId="2" type="noConversion"/>
  </si>
  <si>
    <t>KCDOS2A2LCLCB15MEF</t>
    <phoneticPr fontId="2" type="noConversion"/>
  </si>
  <si>
    <t>KFO12OS2MTZHC</t>
  </si>
  <si>
    <t>12FO OS2 MULTI TUBE STRUCTURE LIBRE LSZH UNIVERSEL Cca JAUNE RAL1021</t>
  </si>
  <si>
    <t>KFO48OS2MTZHC</t>
  </si>
  <si>
    <t>Univers</t>
  </si>
  <si>
    <t>OEFU64PXSDWHT1</t>
    <phoneticPr fontId="2" type="noConversion"/>
  </si>
  <si>
    <t>CAT6 CABLE F/UTP 4 PAIRS AWG24 TEST UP TO 400MHz LSZH CPR DCA WHITE RAL9003 100M</t>
  </si>
  <si>
    <t>CÂBLE CAT6 F/UTP 4 PAIRES AWG24 TEST A 400MHz LSZH CPR DCA BLANC RAL9003 100M</t>
  </si>
  <si>
    <t>100m Coil</t>
  </si>
  <si>
    <t>KCUF6A4PZHCBL5</t>
    <phoneticPr fontId="2" type="noConversion"/>
  </si>
  <si>
    <t>CAT6A CABLE F/FTP 4 PAIRS AWG23 TESTED UP TO 650MHz LSZH CPR CCA INDOOR/OUTDOOR BLACK RAL9005 500M</t>
    <phoneticPr fontId="2" type="noConversion"/>
  </si>
  <si>
    <t>KJ6UEF24</t>
  </si>
  <si>
    <t>U1201013</t>
  </si>
  <si>
    <t xml:space="preserve"> </t>
    <phoneticPr fontId="2" type="noConversion"/>
  </si>
  <si>
    <t>KSFP1UFP2424LCDSEF</t>
    <phoneticPr fontId="2" type="noConversion"/>
  </si>
  <si>
    <t>KSFP1U2424LCDSEF</t>
    <phoneticPr fontId="2" type="noConversion"/>
  </si>
  <si>
    <t>KSFP1U245NPCEF</t>
    <phoneticPr fontId="2" type="noConversion"/>
  </si>
  <si>
    <t>P88R5Z50V2SIT ukn-3Y(wire hole 1.5mm)-50u'</t>
    <phoneticPr fontId="2" type="noConversion"/>
  </si>
  <si>
    <t>EZ-P88F5Z03MV2SIT-3Y-15u''</t>
  </si>
  <si>
    <t>OD 7.5</t>
    <phoneticPr fontId="2" type="noConversion"/>
  </si>
  <si>
    <t>PLUG RJ45 8P8C SHIELDED CAT6A WITH INSERT 4/4 100PCS PER ECO BAG</t>
    <phoneticPr fontId="2" type="noConversion"/>
  </si>
  <si>
    <t>FICHE PLUG RJ45 8P8C BLINDÉ CAT6A AVEC INSERT 4/4 100PCS PAR ECO BAG</t>
    <phoneticPr fontId="2" type="noConversion"/>
  </si>
  <si>
    <t>KFO12OM4MTZHAZHC20</t>
  </si>
  <si>
    <t>19" 1U FIBRE OPTIC PATCH PANEL 24 LC DUPLEX STAGGERED EQUIPPED WITH 24 LC DUPLEX MULTIMODE</t>
  </si>
  <si>
    <t>U1001031</t>
  </si>
  <si>
    <t>U1001032</t>
  </si>
  <si>
    <t>U1001033</t>
  </si>
  <si>
    <t>U1001034</t>
  </si>
  <si>
    <t>OEG3TVs4CT40</t>
  </si>
  <si>
    <t>O0101003</t>
  </si>
  <si>
    <t>OEG3TVs4CT5</t>
  </si>
  <si>
    <t>O0101004</t>
  </si>
  <si>
    <t>U0803027</t>
  </si>
  <si>
    <t>KSYT2A2410ZHB2BR5</t>
  </si>
  <si>
    <t>U1701004</t>
  </si>
  <si>
    <t>U1403068</t>
  </si>
  <si>
    <t>U1601002</t>
  </si>
  <si>
    <t>U1601003</t>
  </si>
  <si>
    <t>U1601004</t>
  </si>
  <si>
    <t>U1601005</t>
  </si>
  <si>
    <t>U1601006</t>
  </si>
  <si>
    <t>U1601007</t>
  </si>
  <si>
    <t>KSFS1U800</t>
  </si>
  <si>
    <t>19" FIXED SHELVE 1U DEPTH 800 MM PER BOX</t>
  </si>
  <si>
    <t>ÉTAGÈRE FIXE 19" 1U PROFONDEUR 800 MM PAR BOITE</t>
  </si>
  <si>
    <t>1 pcs</t>
  </si>
  <si>
    <t>MIRSAN</t>
  </si>
  <si>
    <t>KSFS1U1000</t>
  </si>
  <si>
    <t>19" FIXED SHELVE 1U DEPTH 1000 MM PER BOX</t>
  </si>
  <si>
    <t>ÉTAGÈRE FIXE 19" 1U PROFONDEUR 1000 MM PAR BOITE</t>
  </si>
  <si>
    <t>KSC1U800</t>
  </si>
  <si>
    <t>19" SLIDING SHELVE 1U DEPTH 800 MM PER BOX</t>
  </si>
  <si>
    <t>ÉTAGÈRE COULISSANTE 19" 1U PROFONDEUR 800 MM PAR BOITE</t>
  </si>
  <si>
    <t>KSC1U1000</t>
  </si>
  <si>
    <t>19" SLIDING SHELVE 1U DEPTH 1000 MM PER BOX</t>
  </si>
  <si>
    <t>ÉTAGÈRE COULISSANTE 19" 1U PROFONDEUR 1000 MM PAR BOITE</t>
  </si>
  <si>
    <t>KW1/4T</t>
  </si>
  <si>
    <t>1/4 TURN SECURED CAM LOCK CYLINDER, FOR PANELS AND WALL CABINETS</t>
  </si>
  <si>
    <t>BARILLET VERROUILLÉ PAR 1/4 DE TOUR, POUR PANNEAUX ET ARMOIRES</t>
  </si>
  <si>
    <t>KWMTBALAI</t>
  </si>
  <si>
    <t>BRUSH MODULE FOR CABINET ROOF</t>
  </si>
  <si>
    <t xml:space="preserve">MODULE BALAI POUR TOIT DE COFFRETS </t>
  </si>
  <si>
    <t>U1601008</t>
  </si>
  <si>
    <t>U1601009</t>
  </si>
  <si>
    <t>U1201014</t>
  </si>
  <si>
    <t>U1201015</t>
  </si>
  <si>
    <t>U1201016</t>
  </si>
  <si>
    <t>U1201017</t>
  </si>
  <si>
    <t>KCUF6A4PZHCOUT5</t>
  </si>
  <si>
    <t>CAT6A CABLE U/FTP 4 PAIRS AWG23 TESTED UP TO 650MHz LSZH CPR CCA INDOOR/OUTDOOR BLACK RAL9005 500M</t>
  </si>
  <si>
    <t>CÂBLE CAT6A U/FTP 4 PAIRES AWG23 TEST A 650MHz LSZH CPR CCA INTERIEUR/EXETERIEUR NOIR RAL9005 500M</t>
  </si>
  <si>
    <t>U0103026</t>
  </si>
  <si>
    <t>KCDOM3LCLC1MEF</t>
    <phoneticPr fontId="2" type="noConversion"/>
  </si>
  <si>
    <t>KCDOM3LCLC3MEF</t>
    <phoneticPr fontId="2" type="noConversion"/>
  </si>
  <si>
    <t>KCDOM3SCLC1MEF</t>
    <phoneticPr fontId="2" type="noConversion"/>
  </si>
  <si>
    <t>BOOTS FOR RJ45 PLUG 8P8C BIG WIRE INSERT  GREY DIAM 8.5</t>
  </si>
  <si>
    <t>16/12/2025 au 14/01/2026</t>
  </si>
  <si>
    <t>Price copper adjust DDP €</t>
  </si>
  <si>
    <t>Price copper adjust FOB Usd</t>
  </si>
  <si>
    <t>KCU64PLZHDGRB</t>
    <phoneticPr fontId="2" type="noConversion"/>
  </si>
  <si>
    <t>KCFF6A4PZHDBLB</t>
  </si>
  <si>
    <t>CÂBLE CAT6A F/FTP 4 PAIRES AWG23 TEST A 650MHz LSZH CPR DCA BLEU RAL5024 305M</t>
  </si>
  <si>
    <t>CÂBLE CAT6A F/UTP 4 PAIRES AWG23 TEST A 650MHz LSZH CPR DCA BLEU RAL5024 B305M</t>
  </si>
  <si>
    <t>853669 9099</t>
    <phoneticPr fontId="2" type="noConversion"/>
  </si>
  <si>
    <t>8538909999</t>
  </si>
  <si>
    <t>8544492000</t>
  </si>
  <si>
    <t>8536700099</t>
  </si>
  <si>
    <t>8537109800</t>
  </si>
  <si>
    <t>9403903000</t>
  </si>
  <si>
    <t>8544429090</t>
  </si>
  <si>
    <t>8544499900</t>
  </si>
  <si>
    <t>8302200000</t>
  </si>
  <si>
    <t>8301409090</t>
  </si>
  <si>
    <t>KCFF6A4PZHCBLB</t>
    <phoneticPr fontId="2" type="noConversion"/>
  </si>
  <si>
    <t>CAT6A CABLE F/FTP 4 PAIRS AWG23 TESTED UP TO 650MHz LSZH CPR CCA BLUE RAL5024 B305M</t>
    <phoneticPr fontId="2" type="noConversion"/>
  </si>
  <si>
    <t>CÂBLE CAT6A F/FTP 4 PAIRES AWG23 TEST A 650MHz LSZH CPR CCA BLEU RAL5024 305M</t>
    <phoneticPr fontId="2" type="noConversion"/>
  </si>
  <si>
    <t>KPL45BIBOBK</t>
    <phoneticPr fontId="2" type="noConversion"/>
  </si>
  <si>
    <t>BOOTS FOR RJ45 PLUG 8P8C BIG WIRE INSERT  BLACK DIAM 8.5</t>
    <phoneticPr fontId="2" type="noConversion"/>
  </si>
  <si>
    <t>MANCHETTE POUR FICHE RJ45 8P8C INSERT GROS FIL NOIR DIAM 8.5</t>
    <phoneticPr fontId="2" type="noConversion"/>
  </si>
  <si>
    <t>KPSF8ZH10EF</t>
    <phoneticPr fontId="2" type="noConversion"/>
  </si>
  <si>
    <t>CAT8 PATCH CORD S/FTP LIME GREEN LSZH 10M</t>
    <phoneticPr fontId="2" type="noConversion"/>
  </si>
  <si>
    <t>CORDON DE BRASSAGE CAT8 S/FTP VERT CITRON LSZH  10M</t>
    <phoneticPr fontId="2" type="noConversion"/>
  </si>
  <si>
    <t>XELWCSE6U600</t>
    <phoneticPr fontId="2" type="noConversion"/>
  </si>
  <si>
    <t>XELWCSE9U600</t>
    <phoneticPr fontId="2" type="noConversion"/>
  </si>
  <si>
    <t>XELWCSE12U600</t>
    <phoneticPr fontId="2" type="noConversion"/>
  </si>
  <si>
    <t>XELWCSE15U600</t>
    <phoneticPr fontId="2" type="noConversion"/>
  </si>
  <si>
    <t>XELWCSE18U600</t>
    <phoneticPr fontId="2" type="noConversion"/>
  </si>
  <si>
    <t>XELWCSE22U600</t>
    <phoneticPr fontId="2" type="noConversion"/>
  </si>
  <si>
    <t>XELWCSE27U600</t>
    <phoneticPr fontId="2" type="noConversion"/>
  </si>
  <si>
    <t>XELWCSE6U450</t>
    <phoneticPr fontId="2" type="noConversion"/>
  </si>
  <si>
    <t>XELWCSE9U450</t>
    <phoneticPr fontId="2" type="noConversion"/>
  </si>
  <si>
    <t>XELWCSE12U450</t>
    <phoneticPr fontId="2" type="noConversion"/>
  </si>
  <si>
    <t>XELWCSE15U450</t>
    <phoneticPr fontId="2" type="noConversion"/>
  </si>
  <si>
    <t>XELWCSE18U450</t>
    <phoneticPr fontId="2" type="noConversion"/>
  </si>
  <si>
    <t>XELWCSE22U450</t>
    <phoneticPr fontId="2" type="noConversion"/>
  </si>
  <si>
    <t>XELWCSE27U450</t>
    <phoneticPr fontId="2" type="noConversion"/>
  </si>
  <si>
    <t>XELRMKITPSACTR</t>
    <phoneticPr fontId="2" type="noConversion"/>
  </si>
  <si>
    <t>XELRMKITAPLATE</t>
    <phoneticPr fontId="2" type="noConversion"/>
  </si>
  <si>
    <t>KSALCDOM340</t>
  </si>
  <si>
    <t>KSALCDOM440</t>
  </si>
  <si>
    <t>KSASCDOM320</t>
  </si>
  <si>
    <t>KSASCDOM420</t>
  </si>
  <si>
    <t>LC DUPLEX MULTIMODE OM3 AQUA ADAPTOR 40PCS PER ECO FRIENDLY BAG</t>
  </si>
  <si>
    <t>TRAVERSEE MULTIMODE OM3 AQUA LC DUPLEX 40PCS PAR SAC ÉCOLOGIQUE</t>
  </si>
  <si>
    <t>LC DUPLEX MULTIMODE OM4 ERIKA VIOLET ADAPTOR 40PCS PER ECO FRIENDLY BAG</t>
  </si>
  <si>
    <t>TRAVERSEE MULTIMODE OM4 ERIKA VIOLET LC DUPLEX 40PCS PAR SAC ÉCOLOGIQUE</t>
  </si>
  <si>
    <t>SC DUPLEX MULTIMODE OM3 AQUA ADAPTOR 20PCS PER ECO FRIENDLY BAG</t>
  </si>
  <si>
    <t>SC DUPLEX MULTIMODE OM4 ERIKA VIOLET ADAPTOR 20PCS PER ECO FRIENDLY BAG</t>
  </si>
  <si>
    <t>TRAVERSEE SC DUPLEX MULTIMODE OM3 AQUA 20PCS PAR SAC ÉCOLOGIQUE</t>
  </si>
  <si>
    <t>TRAVERSEE SC DUPLEX MULTIMODE OM4 ERIKA VIOLET 20PCS PAR SAC ÉCOLOGIQUE</t>
  </si>
  <si>
    <t>U0601007</t>
  </si>
  <si>
    <t>U0601006</t>
  </si>
  <si>
    <t>U0601008</t>
  </si>
  <si>
    <t>U0601009</t>
  </si>
  <si>
    <t>U0901013</t>
  </si>
  <si>
    <t>U0901014</t>
  </si>
  <si>
    <t>KCDOM3LCLC10MEF</t>
  </si>
  <si>
    <t>U0901015</t>
  </si>
  <si>
    <t>KCDOM3LCLC15MEF</t>
  </si>
  <si>
    <t>U0901016</t>
  </si>
  <si>
    <t>KCDOM3SCLC25MEF</t>
  </si>
  <si>
    <t>SC/LC OM3 DUPLEX OPTICAL PATCH CORD 25M ECO FRIENDLY BAG</t>
  </si>
  <si>
    <t>JARRETIERE OPTIQUE DUPLEX SC/LC OM3 25M SAC ÉCOLOGIQUE</t>
  </si>
  <si>
    <t>KCDOM3LCLC25MEF</t>
  </si>
  <si>
    <t>LC/LC OM3 DUPLEX OPTICAL PATCH CORD 25M ECO FRIENDLY BAG</t>
  </si>
  <si>
    <t>JARRETIERE OPTIQUE DUPLEX LC/LC OM3 25M SAC ÉCOLOGIQUE</t>
  </si>
  <si>
    <t>U0901017</t>
  </si>
  <si>
    <t>U0901018</t>
  </si>
  <si>
    <t>KCDOM4SCLC10MEF</t>
  </si>
  <si>
    <t>U0902013</t>
  </si>
  <si>
    <t>KCDOM4SCLC15MEF</t>
  </si>
  <si>
    <t>U0902014</t>
  </si>
  <si>
    <t>KCDOM4LCLC10MEF</t>
  </si>
  <si>
    <t>U0902015</t>
  </si>
  <si>
    <t>KCDOM4LCLC15MEF</t>
  </si>
  <si>
    <t>U0902016</t>
  </si>
  <si>
    <t>KCDOM4SCLC25MEF</t>
  </si>
  <si>
    <t>SC/LC OM4 DUPLEX OPTICAL PATCH CORD 25M ECO FRIENDLY BAG</t>
  </si>
  <si>
    <t>JARRETIERE OPTIQUE DUPLEX SC/LC OM4 25M SAC ÉCOLOGIQUE</t>
  </si>
  <si>
    <t>KCDOM4LCLC25MEF</t>
  </si>
  <si>
    <t>LC/LC OM4 DUPLEX OPTICAL PATCH CORD 25M ECO FRIENDLY BAG</t>
  </si>
  <si>
    <t>JARRETIERE OPTIQUE DUPLEX LC/LC OM4 25M SAC ÉCOLOGIQUE</t>
  </si>
  <si>
    <t>U0902017</t>
  </si>
  <si>
    <t>U0904018</t>
  </si>
  <si>
    <t>KCDOS2SCLC15MEF</t>
  </si>
  <si>
    <t>U0904019</t>
  </si>
  <si>
    <t>U0904020</t>
  </si>
  <si>
    <t>KCDOS2LCLC15MEF</t>
  </si>
  <si>
    <t>U0904021</t>
  </si>
  <si>
    <t>KCDOS2SCLC25MEF</t>
  </si>
  <si>
    <t>SC/LC OS2 DUPLEX OPTICAL PATCH CORD 25M ECO FRIENDLY BAG</t>
  </si>
  <si>
    <t>JARRETIERE OPTIQUE DUPLEX SC/LC OS2 25M SAC ÉCOLOGIQUE</t>
  </si>
  <si>
    <t>U0904022</t>
  </si>
  <si>
    <t>KCDOS2LCLC25MEF</t>
  </si>
  <si>
    <t>LC/LC OS2 DUPLEX OPTICAL PATCH CORD 25M ECO FRIENDLY BAG</t>
  </si>
  <si>
    <t>JARRETIERE OPTIQUE DUPLEX LC/LC OS2 25M SAC ÉCOLOGIQUE</t>
  </si>
  <si>
    <t>U0904023</t>
  </si>
  <si>
    <t>XELPDUFAL6CBP</t>
    <phoneticPr fontId="2" type="noConversion"/>
  </si>
  <si>
    <t>XELPCSFTP6AZHG05</t>
    <phoneticPr fontId="2" type="noConversion"/>
  </si>
  <si>
    <t>XELBC45F05</t>
    <phoneticPr fontId="2" type="noConversion"/>
  </si>
  <si>
    <t>KCU6A4PLZHDVI5</t>
    <phoneticPr fontId="2" type="noConversion"/>
  </si>
  <si>
    <t>CAT6A CABLE U/UTP 4 PAIRS AWG23 TESTED UP TO 650MHz LSZH CPR DCA PURPLE RAL4003 500M NANEXT</t>
    <phoneticPr fontId="2" type="noConversion"/>
  </si>
  <si>
    <t>CÂBLE CAT6A U/UTP 4 PAIRES AWG23 TEST A 650MHz LSZH CPR DCA VIOLET RAL4003 500M NANEXT</t>
    <phoneticPr fontId="2" type="noConversion"/>
  </si>
  <si>
    <t>KCSF6A8PZHDBL5</t>
    <phoneticPr fontId="2" type="noConversion"/>
  </si>
  <si>
    <t>CAT6A CABLE S/FTP 2x4 PAIRS AWG23 TESTED UP TO 650MHz LSZH CPR DCA BLUE RAL5024 500M</t>
    <phoneticPr fontId="2" type="noConversion"/>
  </si>
  <si>
    <t>CÂBLE CAT6A S/FTP 2x4 PAIRES AWG23 TEST A 650MHz LSZH CPR DCA BLEU RAL5024 500M</t>
    <phoneticPr fontId="2" type="noConversion"/>
  </si>
  <si>
    <t>KTRAY1000MM</t>
    <phoneticPr fontId="2" type="noConversion"/>
  </si>
  <si>
    <t>19" FIXED SHELVE 1U DEPTH 1000 MM ADJUSTABLE PER BOX</t>
    <phoneticPr fontId="2" type="noConversion"/>
  </si>
  <si>
    <t>ÉTAGÈRE FIXE 19" 1U PROFONDEUR 1000 MM AJUSTABLE PAR BOITE</t>
    <phoneticPr fontId="2" type="noConversion"/>
  </si>
  <si>
    <t>KRS42810WDR</t>
    <phoneticPr fontId="2" type="noConversion"/>
  </si>
  <si>
    <t>NETWORK CABINET "START" 42U 800x1000 19 INCH WITHOUT DOOR AND REAR PANEL</t>
    <phoneticPr fontId="2" type="noConversion"/>
  </si>
  <si>
    <t>BAIE RESEAU "START" 42U 800x1000 19 POUCES SANS PORTE AV - SANS PANNEAU AR</t>
    <phoneticPr fontId="2" type="noConversion"/>
  </si>
  <si>
    <t>KRS42810DP2</t>
    <phoneticPr fontId="2" type="noConversion"/>
  </si>
  <si>
    <t>EDF</t>
    <phoneticPr fontId="2" type="noConversion"/>
  </si>
  <si>
    <t>KRH4288EDF</t>
    <phoneticPr fontId="2" type="noConversion"/>
  </si>
  <si>
    <t>CABINET 19’’ EDF 42U 800X800</t>
    <phoneticPr fontId="2" type="noConversion"/>
  </si>
  <si>
    <t>BAIE 19’’ EDF 42U 800X800</t>
  </si>
  <si>
    <t>KFO24OS2CTABLE20</t>
    <phoneticPr fontId="2" type="noConversion"/>
  </si>
  <si>
    <t>24FO OS2 CENTRAL LOOSE TUBE ARMORED PEHD OUTDOOR BLUE RAL5015</t>
    <phoneticPr fontId="2" type="noConversion"/>
  </si>
  <si>
    <t>24FO OS2TUBE CENTRAL STRUCTURE LIBRE ARMÉ  PEHD EXTÉRIEUR BLEU RAL5015</t>
    <phoneticPr fontId="2" type="noConversion"/>
  </si>
  <si>
    <t>KFO24OS2CTAZHBLE20</t>
    <phoneticPr fontId="2" type="noConversion"/>
  </si>
  <si>
    <t>24FO OS2 CENTRAL LOOSE TUBE ARMORDED LSZH Eca INDOOR OUTDOOR BLUE RAL 5012</t>
    <phoneticPr fontId="2" type="noConversion"/>
  </si>
  <si>
    <t>24FO OS2TUBE CENTRAL STRUCTURE LIBRE ARMÉ  LSZH Eca BLEU RAL5015</t>
    <phoneticPr fontId="2" type="noConversion"/>
  </si>
  <si>
    <t>KPUU6ZH15EF</t>
  </si>
  <si>
    <t>KPUU6ZH25EF</t>
  </si>
  <si>
    <t>CAT6 PATCH CORD U/UTP GREY LSZH 15M</t>
  </si>
  <si>
    <t>CAT6 PATCH CORD U/UTP GREY LSZH 25M</t>
  </si>
  <si>
    <t>CORDON DE BRASSAGE CAT6 U/UTP GRIS LSZH 15M</t>
  </si>
  <si>
    <t>CORDON DE BRASSAGE CAT6 U/UTP GRIS LSZH 25M</t>
  </si>
  <si>
    <t>U0404015</t>
  </si>
  <si>
    <t>U0404016</t>
  </si>
  <si>
    <t>KPUU6AZH15EF</t>
  </si>
  <si>
    <t>KPUU6AZH25EF</t>
  </si>
  <si>
    <t>CAT6A PATCH CORD U/UTP GREY LSZH 15M</t>
  </si>
  <si>
    <t>CAT6A PATCH CORD U/UTP GREY LSZH 25M</t>
  </si>
  <si>
    <t>CORDON DE BRASSAGE CAT6A U/UTP GRIS LSZH 15M</t>
  </si>
  <si>
    <t>CORDON DE BRASSAGE CAT6A U/UTP GRIS LSZH 25M</t>
  </si>
  <si>
    <t>U0406019</t>
  </si>
  <si>
    <t>U0406020</t>
  </si>
  <si>
    <t>KSPFK2UHDCEF</t>
  </si>
  <si>
    <t>PANNEAU DE GESTION DE CÂBLES 19'' 2U HAUTE DENSITÉ AVEC TROU DECOUPE ET ACCESSOIRES PAR CARTON ÉCOLOGIQUE</t>
  </si>
  <si>
    <t>19'' CABLE MANAGEMENT HIGH DENSITY 2U WITH HOLE CUTTING AND ACCESSORIES PER ECO FRIENDLY CARTON</t>
  </si>
  <si>
    <t>U1201018</t>
  </si>
  <si>
    <t>ETR10130</t>
    <phoneticPr fontId="2" type="noConversion"/>
  </si>
  <si>
    <t>ETR10230</t>
    <phoneticPr fontId="2" type="noConversion"/>
  </si>
  <si>
    <t>No</t>
    <phoneticPr fontId="2" type="noConversion"/>
  </si>
  <si>
    <t>CAT6A CABLE F/FTP 4 PAIRS AWG23 TESTED UP TO 650MHz LSZH CPR CCA BLUE RAL5024 500M</t>
    <phoneticPr fontId="2" type="noConversion"/>
  </si>
  <si>
    <t>CAT6A CABLE F/FTP 2x4 PAIRS AWG23 TESTED UP TO 650MHz LSZH CPR CCA BLUE RAL5024 500M</t>
    <phoneticPr fontId="2" type="noConversion"/>
  </si>
  <si>
    <t>CÂBLE CAT6A F/FTP 4 PAIRES AWG23 TEST A 650MHz LSZH CPR CCA BLEU RAL5024 500M</t>
    <phoneticPr fontId="2" type="noConversion"/>
  </si>
  <si>
    <t>CÂBLE CAT6A F/FTP 2x4 PAIRES AWG23 TEST A 650MHz LSZH CPR CCA BLEU RAL5024 500M</t>
    <phoneticPr fontId="2" type="noConversion"/>
  </si>
  <si>
    <t>Cca</t>
    <phoneticPr fontId="2" type="noConversion"/>
  </si>
  <si>
    <t>KCASTOR4</t>
    <phoneticPr fontId="2" type="noConversion"/>
  </si>
  <si>
    <t>KFEET4</t>
    <phoneticPr fontId="2" type="noConversion"/>
  </si>
  <si>
    <t>KSFP1UFP48SCSEF</t>
  </si>
  <si>
    <t>19" 1U PANEL FRONT PLATE 48 SC SIMPLEX/LC DUPLEX</t>
  </si>
  <si>
    <t>PLAQUE AVANT TIROIR 19" 1U 48 SC SIMPLEX/LC DUPLEX</t>
  </si>
  <si>
    <t>U1001035</t>
  </si>
  <si>
    <t>KSPFK1UHDCEF</t>
    <phoneticPr fontId="2" type="noConversion"/>
  </si>
  <si>
    <t>19'' CABLE MANAGEMENT HIGH DENSITY WITH HOLE CUTTING AND ACCESSORIES PER ECO FRIENDLY CARTON</t>
    <phoneticPr fontId="2" type="noConversion"/>
  </si>
  <si>
    <t>KCFU5E4PZHDGR5</t>
    <phoneticPr fontId="2" type="noConversion"/>
  </si>
  <si>
    <t>KFO24OS2MT</t>
    <phoneticPr fontId="2" type="noConversion"/>
  </si>
  <si>
    <t>KFO48OS2MTAZHBLE</t>
    <phoneticPr fontId="2" type="noConversion"/>
  </si>
  <si>
    <t xml:space="preserve">48FO OS2 MULTI LOOSE TUBE ARMORDED LSZH Eca INDOOR OUTDOOR BLUE RAL 5012 </t>
    <phoneticPr fontId="2" type="noConversion"/>
  </si>
  <si>
    <t>48FO OS2 MULTITUBE STRUCTURE LIBRE ARME SIMPLE GAINE LSZH Eca INTÉRIEUR EXTÉRIEUR BLEU RAL5012</t>
    <phoneticPr fontId="2" type="noConversion"/>
  </si>
  <si>
    <t>KFO48OS2MT</t>
    <phoneticPr fontId="2" type="noConversion"/>
  </si>
  <si>
    <t>KFO6OM5CTZHD</t>
    <phoneticPr fontId="2" type="noConversion"/>
  </si>
  <si>
    <t>KFO4OM5CTZHCBLACK</t>
    <phoneticPr fontId="2" type="noConversion"/>
  </si>
  <si>
    <t>4FO OM5 CENTRAL LOOSE TUBE LSZH UNIVERSAL Cca black RAL9005</t>
    <phoneticPr fontId="2" type="noConversion"/>
  </si>
  <si>
    <t>4FO OM5 TUBE CENTRAL STRUCTURE LIBRE LSZH UNIVERSEL Cca Noir RAL 9005</t>
    <phoneticPr fontId="2" type="noConversion"/>
  </si>
  <si>
    <t>KPSF6AZHL03EF</t>
    <phoneticPr fontId="2" type="noConversion"/>
  </si>
  <si>
    <t>KPSF6AZHL05EF</t>
    <phoneticPr fontId="2" type="noConversion"/>
  </si>
  <si>
    <t>KPSF6AZHL1EF</t>
    <phoneticPr fontId="2" type="noConversion"/>
  </si>
  <si>
    <t>KPSF6AZHL2EF</t>
    <phoneticPr fontId="2" type="noConversion"/>
  </si>
  <si>
    <t>KPSF6AZHL3EF</t>
    <phoneticPr fontId="2" type="noConversion"/>
  </si>
  <si>
    <t>KPSF6AZHL5EF</t>
    <phoneticPr fontId="2" type="noConversion"/>
  </si>
  <si>
    <t>KPSF6AZHL10EF</t>
    <phoneticPr fontId="2" type="noConversion"/>
  </si>
  <si>
    <t xml:space="preserve">Fiber panel </t>
    <phoneticPr fontId="2" type="noConversion"/>
  </si>
  <si>
    <t xml:space="preserve">1) UKN fiber panel 245mm by default </t>
    <phoneticPr fontId="2" type="noConversion"/>
  </si>
  <si>
    <t>2) UKN fiber panel 205mm only for KOROS, and if need for special market, need advice or double check.</t>
    <phoneticPr fontId="2" type="noConversion"/>
  </si>
  <si>
    <t>Fiber accessories</t>
    <phoneticPr fontId="2" type="noConversion"/>
  </si>
  <si>
    <t xml:space="preserve">Keystone jack </t>
    <phoneticPr fontId="2" type="noConversion"/>
  </si>
  <si>
    <t xml:space="preserve">Copper accessories </t>
    <phoneticPr fontId="2" type="noConversion"/>
  </si>
  <si>
    <t>1) Modified the PCB from UKN keystone jack improved performance and increased the headroom (from order SCSKT2500024)</t>
    <phoneticPr fontId="2" type="noConversion"/>
  </si>
  <si>
    <t>2) From 2026, HQ keep 50um and channel version update to 15um to reduce the cost. ( the prices will update after CNY).</t>
    <phoneticPr fontId="2" type="noConversion"/>
  </si>
  <si>
    <t>Copper panel &amp; management</t>
    <phoneticPr fontId="2" type="noConversion"/>
  </si>
  <si>
    <t>CAT6A CABLE F/FTP 4 PAIRS AWG23 TESTED UP TO 650MHz LSZH CPR DCA BLUE RAL5024 B305M</t>
  </si>
  <si>
    <r>
      <t>3) UKN fiber panel to Saudi, normally purchase "</t>
    </r>
    <r>
      <rPr>
        <b/>
        <sz val="10.5"/>
        <color theme="1"/>
        <rFont val="Aptos"/>
        <family val="2"/>
      </rPr>
      <t>lock</t>
    </r>
    <r>
      <rPr>
        <sz val="10.5"/>
        <color theme="1"/>
        <rFont val="Aptos"/>
        <family val="2"/>
      </rPr>
      <t>" system panel and front plates, if not, need double check</t>
    </r>
    <phoneticPr fontId="2" type="noConversion"/>
  </si>
  <si>
    <t xml:space="preserve">Adaptor </t>
    <phoneticPr fontId="2" type="noConversion"/>
  </si>
  <si>
    <t>UKN standard</t>
    <phoneticPr fontId="2" type="noConversion"/>
  </si>
  <si>
    <t>Saudi customer</t>
    <phoneticPr fontId="2" type="noConversion"/>
  </si>
  <si>
    <t xml:space="preserve">Single mode </t>
  </si>
  <si>
    <t>Multimode OM3</t>
    <phoneticPr fontId="2" type="noConversion"/>
  </si>
  <si>
    <t>Multimode OM4</t>
    <phoneticPr fontId="2" type="noConversion"/>
  </si>
  <si>
    <t xml:space="preserve">AQUA </t>
    <phoneticPr fontId="2" type="noConversion"/>
  </si>
  <si>
    <t>ERIKA VIOLET</t>
    <phoneticPr fontId="2" type="noConversion"/>
  </si>
  <si>
    <t>BLUE</t>
    <phoneticPr fontId="2" type="noConversion"/>
  </si>
  <si>
    <t>BEIGE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</si>
</sst>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&quot;¥&quot;#,##0.00;&quot;¥&quot;\-#,##0.00"/>
    <numFmt numFmtId="165" formatCode="0.0%"/>
    <numFmt numFmtId="166" formatCode="[$¥-804]#,##0.00"/>
    <numFmt numFmtId="167" formatCode="[$¥-804]#,##0"/>
    <numFmt numFmtId="168" formatCode="&quot;$&quot;#,##0.0"/>
    <numFmt numFmtId="169" formatCode="[$€-2]\ #,##0.00"/>
    <numFmt numFmtId="170" formatCode="&quot;$&quot;#,##0.00"/>
    <numFmt numFmtId="171" formatCode="&quot;$&quot;#,##0"/>
    <numFmt numFmtId="172" formatCode="#,##0.00\ &quot;€&quot;"/>
    <numFmt numFmtId="173" formatCode="[$$-C09]#,##0.00"/>
    <numFmt numFmtId="174" formatCode="#,##0\ &quot;€&quot;"/>
    <numFmt numFmtId="175" formatCode="[$¥-804]#,##0.000"/>
    <numFmt numFmtId="176" formatCode="&quot;$&quot;#,##0.000"/>
    <numFmt numFmtId="177" formatCode="0.000_);[Red]\(0.000\)"/>
    <numFmt numFmtId="178" formatCode="\$#,##0.000_);[Red]\(\$#,##0.000\)"/>
    <numFmt numFmtId="179" formatCode="#,##0.00\ [$€-1]"/>
    <numFmt numFmtId="180" formatCode="&quot;¥&quot;#,##0.000_);[Red]\(&quot;¥&quot;#,##0.000\)"/>
    <numFmt numFmtId="181" formatCode="[$$-C09]#,##0.000"/>
    <numFmt numFmtId="182" formatCode="#,##0.000_-\ [$€-1];#,##0.000\-\ [$€-1]"/>
    <numFmt numFmtId="183" formatCode="#,##0.000\ &quot;€&quot;"/>
    <numFmt numFmtId="184" formatCode="[$€-2]\ #,##0.00;[$€-2]\ \-#,##0.00"/>
    <numFmt numFmtId="185" formatCode="[$€-2]\ #,##0;[$€-2]\ \-#,##0"/>
    <numFmt numFmtId="186" formatCode="[$¥-804]#,##0.00;[$¥-804]\-#,##0.00"/>
    <numFmt numFmtId="187" formatCode="\$#,##0.000;\-\$#,##0.000"/>
    <numFmt numFmtId="188" formatCode="0_ 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.5"/>
      <color theme="1"/>
      <name val="Calibri"/>
      <family val="2"/>
    </font>
    <font>
      <b/>
      <sz val="10.5"/>
      <color rgb="FF162F56"/>
      <name val="Calibri"/>
      <family val="2"/>
    </font>
    <font>
      <b/>
      <sz val="10.5"/>
      <color rgb="FF649E5F"/>
      <name val="Calibri"/>
      <family val="2"/>
    </font>
    <font>
      <b/>
      <sz val="10.5"/>
      <color rgb="FF0033CC"/>
      <name val="Calibri"/>
      <family val="2"/>
    </font>
    <font>
      <sz val="10.5"/>
      <color rgb="FF7030A0"/>
      <name val="Calibri"/>
      <family val="2"/>
    </font>
    <font>
      <b/>
      <sz val="10.5"/>
      <color theme="1"/>
      <name val="Calibri"/>
      <family val="2"/>
    </font>
    <font>
      <sz val="10.5"/>
      <color rgb="FF0033CC"/>
      <name val="Calibri"/>
      <family val="2"/>
    </font>
    <font>
      <sz val="10.5"/>
      <color rgb="FF162F56"/>
      <name val="Calibri"/>
      <family val="2"/>
    </font>
    <font>
      <sz val="10.5"/>
      <name val="Calibri"/>
      <family val="2"/>
    </font>
    <font>
      <b/>
      <sz val="10.5"/>
      <name val="Calibri"/>
      <family val="2"/>
    </font>
    <font>
      <b/>
      <sz val="10.5"/>
      <color rgb="FF7030A0"/>
      <name val="Calibri"/>
      <family val="2"/>
    </font>
    <font>
      <sz val="11"/>
      <color rgb="FFFF0000"/>
      <name val="Calibri"/>
      <family val="2"/>
      <scheme val="minor"/>
    </font>
    <font>
      <sz val="10.5"/>
      <color rgb="FF002060"/>
      <name val="Calibri"/>
      <family val="2"/>
    </font>
    <font>
      <sz val="8"/>
      <name val="Calibri"/>
      <family val="2"/>
      <scheme val="minor"/>
    </font>
    <font>
      <sz val="10.5"/>
      <color rgb="FFFF0000"/>
      <name val="Calibri"/>
      <family val="2"/>
    </font>
    <font>
      <b/>
      <sz val="10.5"/>
      <color rgb="FFFF0000"/>
      <name val="Calibri"/>
      <family val="2"/>
    </font>
    <font>
      <sz val="10.5"/>
      <color rgb="FF00B050"/>
      <name val="Calibri"/>
      <family val="2"/>
    </font>
    <font>
      <sz val="10.5"/>
      <color rgb="FFFF33CC"/>
      <name val="Calibri"/>
      <family val="2"/>
    </font>
    <font>
      <b/>
      <sz val="10.5"/>
      <color rgb="FFFF33CC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.5"/>
      <color theme="8"/>
      <name val="Calibri"/>
      <family val="2"/>
    </font>
    <font>
      <b/>
      <sz val="10.5"/>
      <color rgb="FF002060"/>
      <name val="Calibri"/>
      <family val="2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0.5"/>
      <color rgb="FF0000FF"/>
      <name val="Calibri"/>
      <family val="2"/>
    </font>
    <font>
      <sz val="10.5"/>
      <color theme="4" tint="-0.499984740745262"/>
      <name val="Calibri"/>
      <family val="2"/>
    </font>
    <font>
      <sz val="12"/>
      <name val="宋体"/>
      <family val="3"/>
      <charset val="134"/>
    </font>
    <font>
      <b/>
      <sz val="10.5"/>
      <color theme="9"/>
      <name val="Calibri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name val="Arial"/>
      <family val="2"/>
    </font>
    <font>
      <sz val="10.5"/>
      <color rgb="FF000000"/>
      <name val="Aptos"/>
      <family val="2"/>
    </font>
    <font>
      <sz val="10.5"/>
      <color theme="1"/>
      <name val="Aptos"/>
      <family val="2"/>
    </font>
    <font>
      <b/>
      <sz val="11"/>
      <color rgb="FF162F56"/>
      <name val="Calibri"/>
      <family val="2"/>
      <scheme val="minor"/>
    </font>
    <font>
      <b/>
      <sz val="10.5"/>
      <color rgb="FF649E5F"/>
      <name val="Calibri"/>
      <family val="2"/>
    </font>
    <font>
      <sz val="10.5"/>
      <color theme="1"/>
      <name val="Calibri"/>
      <family val="2"/>
    </font>
    <font>
      <sz val="9"/>
      <color rgb="FFFF0000"/>
      <name val="Calibri"/>
      <family val="2"/>
    </font>
    <font>
      <sz val="9"/>
      <color rgb="FF162F56"/>
      <name val="Calibri"/>
      <family val="2"/>
    </font>
    <font>
      <sz val="10.5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  <charset val="134"/>
      <scheme val="minor"/>
    </font>
    <font>
      <b/>
      <sz val="11"/>
      <color rgb="FFEE0000"/>
      <name val="Aptos Narrow"/>
      <family val="2"/>
    </font>
    <font>
      <sz val="10"/>
      <color theme="1"/>
      <name val="Calibri"/>
      <family val="2"/>
    </font>
    <font>
      <b/>
      <sz val="10.5"/>
      <color rgb="FF000000"/>
      <name val="Aptos"/>
      <family val="2"/>
    </font>
    <font>
      <b/>
      <sz val="10.5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2"/>
      <color theme="0"/>
      <name val="Aptos"/>
      <family val="2"/>
    </font>
    <font>
      <sz val="12"/>
      <color theme="1"/>
      <name val="Aptos"/>
      <family val="2"/>
    </font>
    <font>
      <b/>
      <sz val="10.5"/>
      <color rgb="FF0000FF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649E5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600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>
      <alignment vertical="center"/>
    </xf>
    <xf numFmtId="0" fontId="27" fillId="0" borderId="0"/>
    <xf numFmtId="0" fontId="30" fillId="0" borderId="0"/>
    <xf numFmtId="0" fontId="34" fillId="0" borderId="0"/>
  </cellStyleXfs>
  <cellXfs count="58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center" vertical="center" wrapText="1"/>
    </xf>
    <xf numFmtId="168" fontId="11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169" fontId="4" fillId="2" borderId="8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70" fontId="13" fillId="3" borderId="7" xfId="0" applyNumberFormat="1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66" fontId="13" fillId="3" borderId="7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5" fillId="0" borderId="7" xfId="0" applyNumberFormat="1" applyFont="1" applyBorder="1" applyAlignment="1">
      <alignment horizontal="center" vertical="center"/>
    </xf>
    <xf numFmtId="9" fontId="3" fillId="0" borderId="0" xfId="1" applyFont="1" applyAlignment="1">
      <alignment horizontal="center"/>
    </xf>
    <xf numFmtId="170" fontId="3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72" fontId="25" fillId="9" borderId="9" xfId="0" applyNumberFormat="1" applyFont="1" applyFill="1" applyBorder="1" applyAlignment="1">
      <alignment horizontal="center" vertical="center"/>
    </xf>
    <xf numFmtId="174" fontId="25" fillId="9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82" fontId="25" fillId="9" borderId="9" xfId="0" applyNumberFormat="1" applyFont="1" applyFill="1" applyBorder="1" applyAlignment="1">
      <alignment horizontal="center" vertical="center"/>
    </xf>
    <xf numFmtId="175" fontId="3" fillId="0" borderId="0" xfId="0" applyNumberFormat="1" applyFont="1" applyAlignment="1">
      <alignment horizontal="center" vertical="center" wrapText="1"/>
    </xf>
    <xf numFmtId="175" fontId="12" fillId="0" borderId="0" xfId="0" applyNumberFormat="1" applyFont="1" applyAlignment="1">
      <alignment horizontal="center" vertical="center" wrapText="1"/>
    </xf>
    <xf numFmtId="175" fontId="13" fillId="3" borderId="7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29" fillId="0" borderId="9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7" xfId="0" applyFont="1" applyBorder="1" applyAlignment="1">
      <alignment vertical="center"/>
    </xf>
    <xf numFmtId="0" fontId="29" fillId="0" borderId="7" xfId="0" applyFont="1" applyBorder="1" applyAlignment="1">
      <alignment horizontal="left" vertical="center"/>
    </xf>
    <xf numFmtId="0" fontId="29" fillId="0" borderId="7" xfId="0" applyFont="1" applyBorder="1" applyAlignment="1">
      <alignment horizontal="left"/>
    </xf>
    <xf numFmtId="0" fontId="29" fillId="0" borderId="7" xfId="0" applyFont="1" applyBorder="1"/>
    <xf numFmtId="0" fontId="29" fillId="0" borderId="7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74" fontId="25" fillId="0" borderId="9" xfId="0" applyNumberFormat="1" applyFont="1" applyBorder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171" fontId="31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left"/>
    </xf>
    <xf numFmtId="169" fontId="13" fillId="0" borderId="0" xfId="0" applyNumberFormat="1" applyFont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165" fontId="4" fillId="2" borderId="16" xfId="1" applyNumberFormat="1" applyFont="1" applyFill="1" applyBorder="1" applyAlignment="1">
      <alignment horizontal="center" vertical="center" wrapText="1"/>
    </xf>
    <xf numFmtId="169" fontId="4" fillId="2" borderId="16" xfId="0" applyNumberFormat="1" applyFont="1" applyFill="1" applyBorder="1" applyAlignment="1">
      <alignment horizontal="center" vertical="center" wrapText="1"/>
    </xf>
    <xf numFmtId="169" fontId="13" fillId="3" borderId="16" xfId="0" applyNumberFormat="1" applyFont="1" applyFill="1" applyBorder="1" applyAlignment="1">
      <alignment horizontal="center" vertical="center" wrapText="1"/>
    </xf>
    <xf numFmtId="169" fontId="18" fillId="3" borderId="17" xfId="0" applyNumberFormat="1" applyFont="1" applyFill="1" applyBorder="1" applyAlignment="1">
      <alignment horizontal="center" vertical="center" wrapText="1"/>
    </xf>
    <xf numFmtId="169" fontId="18" fillId="4" borderId="18" xfId="0" applyNumberFormat="1" applyFont="1" applyFill="1" applyBorder="1" applyAlignment="1">
      <alignment horizontal="center" vertical="center" wrapText="1"/>
    </xf>
    <xf numFmtId="169" fontId="13" fillId="4" borderId="18" xfId="0" applyNumberFormat="1" applyFont="1" applyFill="1" applyBorder="1" applyAlignment="1">
      <alignment horizontal="center" vertical="center" wrapText="1"/>
    </xf>
    <xf numFmtId="174" fontId="25" fillId="9" borderId="14" xfId="0" applyNumberFormat="1" applyFont="1" applyFill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72" fontId="25" fillId="9" borderId="14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/>
    </xf>
    <xf numFmtId="0" fontId="10" fillId="0" borderId="14" xfId="0" applyFont="1" applyBorder="1"/>
    <xf numFmtId="0" fontId="10" fillId="0" borderId="14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9" fontId="3" fillId="10" borderId="6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83" fontId="3" fillId="0" borderId="0" xfId="0" applyNumberFormat="1" applyFont="1" applyAlignment="1">
      <alignment horizontal="center" vertical="center" wrapText="1"/>
    </xf>
    <xf numFmtId="169" fontId="13" fillId="6" borderId="23" xfId="0" applyNumberFormat="1" applyFont="1" applyFill="1" applyBorder="1" applyAlignment="1">
      <alignment horizontal="center" vertical="center" wrapText="1"/>
    </xf>
    <xf numFmtId="165" fontId="13" fillId="6" borderId="23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36" fillId="0" borderId="0" xfId="0" applyFont="1"/>
    <xf numFmtId="0" fontId="35" fillId="0" borderId="0" xfId="0" applyFont="1" applyAlignment="1">
      <alignment horizontal="right" vertical="center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left"/>
    </xf>
    <xf numFmtId="0" fontId="8" fillId="0" borderId="0" xfId="0" applyFont="1"/>
    <xf numFmtId="0" fontId="4" fillId="2" borderId="16" xfId="0" applyFont="1" applyFill="1" applyBorder="1" applyAlignment="1">
      <alignment vertical="center"/>
    </xf>
    <xf numFmtId="177" fontId="2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1" fontId="5" fillId="5" borderId="0" xfId="0" applyNumberFormat="1" applyFont="1" applyFill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165" fontId="10" fillId="0" borderId="14" xfId="0" applyNumberFormat="1" applyFont="1" applyBorder="1" applyAlignment="1">
      <alignment horizontal="center" vertical="center"/>
    </xf>
    <xf numFmtId="172" fontId="10" fillId="0" borderId="14" xfId="0" applyNumberFormat="1" applyFont="1" applyBorder="1" applyAlignment="1">
      <alignment horizontal="center" vertical="center"/>
    </xf>
    <xf numFmtId="174" fontId="4" fillId="9" borderId="14" xfId="0" applyNumberFormat="1" applyFont="1" applyFill="1" applyBorder="1" applyAlignment="1">
      <alignment horizontal="center" vertical="center"/>
    </xf>
    <xf numFmtId="165" fontId="10" fillId="0" borderId="7" xfId="1" applyNumberFormat="1" applyFont="1" applyFill="1" applyBorder="1" applyAlignment="1">
      <alignment horizontal="center" vertical="center"/>
    </xf>
    <xf numFmtId="172" fontId="4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14" xfId="0" applyFont="1" applyBorder="1" applyAlignment="1">
      <alignment horizontal="center"/>
    </xf>
    <xf numFmtId="0" fontId="4" fillId="0" borderId="14" xfId="0" applyFont="1" applyBorder="1"/>
    <xf numFmtId="173" fontId="10" fillId="0" borderId="14" xfId="0" applyNumberFormat="1" applyFont="1" applyBorder="1" applyAlignment="1">
      <alignment horizontal="center" vertical="center"/>
    </xf>
    <xf numFmtId="174" fontId="4" fillId="0" borderId="14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73" fontId="10" fillId="0" borderId="9" xfId="0" applyNumberFormat="1" applyFont="1" applyBorder="1" applyAlignment="1">
      <alignment horizontal="center" vertical="center"/>
    </xf>
    <xf numFmtId="174" fontId="10" fillId="0" borderId="9" xfId="0" applyNumberFormat="1" applyFont="1" applyBorder="1" applyAlignment="1">
      <alignment horizontal="center" vertical="center"/>
    </xf>
    <xf numFmtId="165" fontId="10" fillId="0" borderId="9" xfId="1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166" fontId="10" fillId="0" borderId="7" xfId="0" applyNumberFormat="1" applyFont="1" applyBorder="1" applyAlignment="1">
      <alignment horizontal="center" vertical="center"/>
    </xf>
    <xf numFmtId="170" fontId="4" fillId="0" borderId="7" xfId="0" applyNumberFormat="1" applyFont="1" applyBorder="1" applyAlignment="1">
      <alignment horizontal="center" vertical="center" wrapText="1"/>
    </xf>
    <xf numFmtId="165" fontId="10" fillId="0" borderId="19" xfId="0" applyNumberFormat="1" applyFont="1" applyBorder="1" applyAlignment="1">
      <alignment horizontal="center" vertical="center"/>
    </xf>
    <xf numFmtId="173" fontId="10" fillId="0" borderId="13" xfId="0" applyNumberFormat="1" applyFont="1" applyBorder="1" applyAlignment="1">
      <alignment horizontal="center" vertical="center"/>
    </xf>
    <xf numFmtId="174" fontId="10" fillId="0" borderId="13" xfId="0" applyNumberFormat="1" applyFont="1" applyBorder="1" applyAlignment="1">
      <alignment horizontal="center" vertical="center"/>
    </xf>
    <xf numFmtId="165" fontId="10" fillId="0" borderId="13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4" fontId="10" fillId="0" borderId="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73" fontId="10" fillId="0" borderId="7" xfId="0" applyNumberFormat="1" applyFont="1" applyBorder="1" applyAlignment="1">
      <alignment horizontal="center" vertical="center"/>
    </xf>
    <xf numFmtId="174" fontId="10" fillId="0" borderId="14" xfId="0" applyNumberFormat="1" applyFont="1" applyBorder="1" applyAlignment="1">
      <alignment horizontal="center" vertical="center"/>
    </xf>
    <xf numFmtId="170" fontId="10" fillId="0" borderId="7" xfId="0" applyNumberFormat="1" applyFont="1" applyBorder="1" applyAlignment="1">
      <alignment horizontal="center" vertical="center" wrapText="1"/>
    </xf>
    <xf numFmtId="172" fontId="10" fillId="0" borderId="7" xfId="0" applyNumberFormat="1" applyFont="1" applyBorder="1" applyAlignment="1">
      <alignment horizontal="center" vertical="center"/>
    </xf>
    <xf numFmtId="184" fontId="4" fillId="0" borderId="7" xfId="0" applyNumberFormat="1" applyFont="1" applyBorder="1" applyAlignment="1">
      <alignment horizontal="center" vertical="center" wrapText="1"/>
    </xf>
    <xf numFmtId="165" fontId="10" fillId="0" borderId="14" xfId="1" applyNumberFormat="1" applyFont="1" applyFill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5" fontId="10" fillId="0" borderId="23" xfId="1" applyNumberFormat="1" applyFont="1" applyFill="1" applyBorder="1" applyAlignment="1">
      <alignment horizontal="center" vertical="center"/>
    </xf>
    <xf numFmtId="173" fontId="10" fillId="0" borderId="23" xfId="0" applyNumberFormat="1" applyFont="1" applyBorder="1" applyAlignment="1">
      <alignment horizontal="center" vertical="center"/>
    </xf>
    <xf numFmtId="174" fontId="10" fillId="0" borderId="23" xfId="0" applyNumberFormat="1" applyFont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172" fontId="4" fillId="9" borderId="14" xfId="0" applyNumberFormat="1" applyFont="1" applyFill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4" xfId="0" applyFont="1" applyBorder="1" applyAlignment="1">
      <alignment vertical="center"/>
    </xf>
    <xf numFmtId="0" fontId="10" fillId="0" borderId="14" xfId="0" quotePrefix="1" applyFont="1" applyBorder="1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2" fontId="4" fillId="0" borderId="14" xfId="0" applyNumberFormat="1" applyFont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4" fillId="0" borderId="0" xfId="0" applyFont="1" applyAlignment="1">
      <alignment vertical="center"/>
    </xf>
    <xf numFmtId="175" fontId="10" fillId="0" borderId="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182" fontId="4" fillId="9" borderId="14" xfId="0" applyNumberFormat="1" applyFont="1" applyFill="1" applyBorder="1" applyAlignment="1">
      <alignment horizontal="center" vertical="center"/>
    </xf>
    <xf numFmtId="182" fontId="4" fillId="0" borderId="14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182" fontId="10" fillId="0" borderId="7" xfId="0" applyNumberFormat="1" applyFont="1" applyBorder="1" applyAlignment="1">
      <alignment horizontal="center" vertical="center"/>
    </xf>
    <xf numFmtId="180" fontId="10" fillId="0" borderId="7" xfId="0" applyNumberFormat="1" applyFont="1" applyBorder="1" applyAlignment="1">
      <alignment horizontal="center" vertical="center"/>
    </xf>
    <xf numFmtId="175" fontId="10" fillId="0" borderId="7" xfId="0" applyNumberFormat="1" applyFont="1" applyBorder="1" applyAlignment="1">
      <alignment horizontal="center" vertical="center"/>
    </xf>
    <xf numFmtId="175" fontId="4" fillId="0" borderId="7" xfId="0" applyNumberFormat="1" applyFont="1" applyBorder="1" applyAlignment="1">
      <alignment horizontal="center" vertical="center" wrapText="1"/>
    </xf>
    <xf numFmtId="176" fontId="10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80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5" fontId="4" fillId="0" borderId="7" xfId="0" applyNumberFormat="1" applyFont="1" applyBorder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186" fontId="10" fillId="0" borderId="0" xfId="0" applyNumberFormat="1" applyFont="1" applyAlignment="1">
      <alignment horizontal="center" vertical="center"/>
    </xf>
    <xf numFmtId="186" fontId="10" fillId="0" borderId="0" xfId="0" applyNumberFormat="1" applyFont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166" fontId="4" fillId="0" borderId="7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center" vertical="center"/>
    </xf>
    <xf numFmtId="165" fontId="10" fillId="0" borderId="0" xfId="1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164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85" fontId="4" fillId="0" borderId="0" xfId="0" applyNumberFormat="1" applyFont="1" applyAlignment="1">
      <alignment horizontal="center" vertical="center"/>
    </xf>
    <xf numFmtId="174" fontId="4" fillId="10" borderId="14" xfId="0" applyNumberFormat="1" applyFont="1" applyFill="1" applyBorder="1" applyAlignment="1">
      <alignment horizontal="center" vertical="center"/>
    </xf>
    <xf numFmtId="0" fontId="10" fillId="0" borderId="14" xfId="1" applyNumberFormat="1" applyFont="1" applyFill="1" applyBorder="1" applyAlignment="1">
      <alignment horizontal="center" vertical="center"/>
    </xf>
    <xf numFmtId="170" fontId="10" fillId="0" borderId="7" xfId="0" applyNumberFormat="1" applyFont="1" applyBorder="1" applyAlignment="1">
      <alignment horizontal="center" vertical="center"/>
    </xf>
    <xf numFmtId="179" fontId="10" fillId="0" borderId="7" xfId="0" applyNumberFormat="1" applyFont="1" applyBorder="1" applyAlignment="1">
      <alignment horizontal="center" vertical="center"/>
    </xf>
    <xf numFmtId="170" fontId="4" fillId="0" borderId="7" xfId="0" applyNumberFormat="1" applyFont="1" applyBorder="1" applyAlignment="1">
      <alignment horizontal="center"/>
    </xf>
    <xf numFmtId="177" fontId="10" fillId="0" borderId="7" xfId="0" applyNumberFormat="1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9" fontId="10" fillId="0" borderId="14" xfId="1" applyFont="1" applyFill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9" fontId="10" fillId="0" borderId="7" xfId="1" applyFont="1" applyFill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0" fontId="10" fillId="0" borderId="7" xfId="1" applyNumberFormat="1" applyFont="1" applyFill="1" applyBorder="1" applyAlignment="1">
      <alignment horizontal="center" vertical="center"/>
    </xf>
    <xf numFmtId="172" fontId="10" fillId="9" borderId="14" xfId="0" applyNumberFormat="1" applyFont="1" applyFill="1" applyBorder="1" applyAlignment="1">
      <alignment horizontal="center" vertical="center"/>
    </xf>
    <xf numFmtId="165" fontId="10" fillId="11" borderId="14" xfId="0" applyNumberFormat="1" applyFont="1" applyFill="1" applyBorder="1" applyAlignment="1">
      <alignment horizontal="center" vertical="center"/>
    </xf>
    <xf numFmtId="9" fontId="10" fillId="11" borderId="14" xfId="1" applyFont="1" applyFill="1" applyBorder="1" applyAlignment="1">
      <alignment horizontal="center" vertical="center"/>
    </xf>
    <xf numFmtId="165" fontId="10" fillId="6" borderId="14" xfId="0" applyNumberFormat="1" applyFont="1" applyFill="1" applyBorder="1" applyAlignment="1">
      <alignment horizontal="center" vertical="center"/>
    </xf>
    <xf numFmtId="165" fontId="10" fillId="6" borderId="22" xfId="0" applyNumberFormat="1" applyFont="1" applyFill="1" applyBorder="1" applyAlignment="1">
      <alignment horizontal="center" vertical="center"/>
    </xf>
    <xf numFmtId="9" fontId="10" fillId="6" borderId="14" xfId="1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9" fontId="10" fillId="6" borderId="14" xfId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170" fontId="4" fillId="0" borderId="7" xfId="0" applyNumberFormat="1" applyFont="1" applyBorder="1" applyAlignment="1">
      <alignment horizontal="left" vertical="center" wrapText="1"/>
    </xf>
    <xf numFmtId="172" fontId="10" fillId="0" borderId="13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vertical="center"/>
    </xf>
    <xf numFmtId="185" fontId="4" fillId="0" borderId="7" xfId="0" applyNumberFormat="1" applyFont="1" applyBorder="1" applyAlignment="1">
      <alignment horizontal="center" vertical="center" wrapText="1"/>
    </xf>
    <xf numFmtId="184" fontId="10" fillId="0" borderId="7" xfId="0" applyNumberFormat="1" applyFont="1" applyBorder="1" applyAlignment="1">
      <alignment horizontal="center"/>
    </xf>
    <xf numFmtId="0" fontId="10" fillId="0" borderId="7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left" wrapText="1"/>
    </xf>
    <xf numFmtId="4" fontId="10" fillId="0" borderId="14" xfId="0" applyNumberFormat="1" applyFont="1" applyBorder="1" applyAlignment="1">
      <alignment horizontal="left" vertical="center"/>
    </xf>
    <xf numFmtId="0" fontId="10" fillId="0" borderId="1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37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2" borderId="1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/>
    </xf>
    <xf numFmtId="0" fontId="4" fillId="0" borderId="7" xfId="0" applyFont="1" applyBorder="1"/>
    <xf numFmtId="0" fontId="10" fillId="0" borderId="7" xfId="0" applyFont="1" applyBorder="1"/>
    <xf numFmtId="172" fontId="4" fillId="9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3" fontId="10" fillId="6" borderId="7" xfId="0" applyNumberFormat="1" applyFont="1" applyFill="1" applyBorder="1" applyAlignment="1">
      <alignment horizontal="center" vertical="center"/>
    </xf>
    <xf numFmtId="173" fontId="10" fillId="0" borderId="19" xfId="0" applyNumberFormat="1" applyFont="1" applyBorder="1" applyAlignment="1">
      <alignment horizontal="center" vertical="center"/>
    </xf>
    <xf numFmtId="172" fontId="4" fillId="9" borderId="19" xfId="0" applyNumberFormat="1" applyFont="1" applyFill="1" applyBorder="1" applyAlignment="1">
      <alignment horizontal="center" vertical="center"/>
    </xf>
    <xf numFmtId="165" fontId="10" fillId="11" borderId="19" xfId="0" applyNumberFormat="1" applyFont="1" applyFill="1" applyBorder="1" applyAlignment="1">
      <alignment horizontal="center" vertical="center"/>
    </xf>
    <xf numFmtId="9" fontId="10" fillId="6" borderId="19" xfId="1" applyFont="1" applyFill="1" applyBorder="1" applyAlignment="1">
      <alignment horizontal="center"/>
    </xf>
    <xf numFmtId="3" fontId="10" fillId="6" borderId="19" xfId="0" applyNumberFormat="1" applyFont="1" applyFill="1" applyBorder="1" applyAlignment="1">
      <alignment horizontal="center" vertical="center"/>
    </xf>
    <xf numFmtId="9" fontId="10" fillId="0" borderId="19" xfId="1" applyFont="1" applyFill="1" applyBorder="1" applyAlignment="1">
      <alignment horizontal="center" vertical="center"/>
    </xf>
    <xf numFmtId="170" fontId="10" fillId="0" borderId="13" xfId="0" applyNumberFormat="1" applyFont="1" applyBorder="1" applyAlignment="1">
      <alignment horizontal="center" vertical="center"/>
    </xf>
    <xf numFmtId="179" fontId="10" fillId="0" borderId="13" xfId="0" applyNumberFormat="1" applyFont="1" applyBorder="1" applyAlignment="1">
      <alignment horizontal="center" vertical="center"/>
    </xf>
    <xf numFmtId="9" fontId="10" fillId="0" borderId="13" xfId="1" applyFont="1" applyFill="1" applyBorder="1" applyAlignment="1">
      <alignment horizontal="center" vertical="center"/>
    </xf>
    <xf numFmtId="177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6" fontId="10" fillId="0" borderId="13" xfId="0" applyNumberFormat="1" applyFont="1" applyBorder="1" applyAlignment="1">
      <alignment horizontal="center" vertical="center" wrapText="1"/>
    </xf>
    <xf numFmtId="175" fontId="10" fillId="0" borderId="13" xfId="0" applyNumberFormat="1" applyFont="1" applyBorder="1" applyAlignment="1">
      <alignment horizontal="center" vertical="center" wrapText="1"/>
    </xf>
    <xf numFmtId="172" fontId="4" fillId="0" borderId="13" xfId="0" applyNumberFormat="1" applyFont="1" applyBorder="1" applyAlignment="1">
      <alignment horizontal="center" vertical="center"/>
    </xf>
    <xf numFmtId="0" fontId="10" fillId="0" borderId="0" xfId="0" applyFont="1"/>
    <xf numFmtId="9" fontId="10" fillId="0" borderId="0" xfId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center" wrapText="1"/>
    </xf>
    <xf numFmtId="175" fontId="10" fillId="0" borderId="0" xfId="0" applyNumberFormat="1" applyFont="1" applyAlignment="1">
      <alignment horizontal="center" vertical="center" wrapText="1"/>
    </xf>
    <xf numFmtId="172" fontId="4" fillId="0" borderId="0" xfId="0" applyNumberFormat="1" applyFont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165" fontId="10" fillId="11" borderId="7" xfId="0" applyNumberFormat="1" applyFont="1" applyFill="1" applyBorder="1" applyAlignment="1">
      <alignment horizontal="center" vertical="center"/>
    </xf>
    <xf numFmtId="9" fontId="10" fillId="6" borderId="7" xfId="1" applyFont="1" applyFill="1" applyBorder="1" applyAlignment="1">
      <alignment horizontal="center"/>
    </xf>
    <xf numFmtId="173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174" fontId="10" fillId="0" borderId="0" xfId="0" applyNumberFormat="1" applyFont="1" applyAlignment="1">
      <alignment horizontal="center" vertical="center"/>
    </xf>
    <xf numFmtId="0" fontId="4" fillId="12" borderId="14" xfId="0" applyFont="1" applyFill="1" applyBorder="1"/>
    <xf numFmtId="0" fontId="4" fillId="12" borderId="14" xfId="0" applyFont="1" applyFill="1" applyBorder="1" applyAlignment="1">
      <alignment horizontal="left"/>
    </xf>
    <xf numFmtId="167" fontId="38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top" wrapText="1"/>
    </xf>
    <xf numFmtId="174" fontId="4" fillId="9" borderId="7" xfId="0" applyNumberFormat="1" applyFont="1" applyFill="1" applyBorder="1" applyAlignment="1">
      <alignment horizontal="center" vertical="center"/>
    </xf>
    <xf numFmtId="182" fontId="4" fillId="9" borderId="7" xfId="0" applyNumberFormat="1" applyFont="1" applyFill="1" applyBorder="1" applyAlignment="1">
      <alignment horizontal="center" vertical="center"/>
    </xf>
    <xf numFmtId="169" fontId="38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74" fontId="4" fillId="0" borderId="7" xfId="0" applyNumberFormat="1" applyFont="1" applyBorder="1" applyAlignment="1">
      <alignment horizontal="center" vertical="center"/>
    </xf>
    <xf numFmtId="182" fontId="4" fillId="0" borderId="7" xfId="0" applyNumberFormat="1" applyFont="1" applyBorder="1" applyAlignment="1">
      <alignment horizontal="center" vertical="center"/>
    </xf>
    <xf numFmtId="0" fontId="10" fillId="13" borderId="14" xfId="0" applyFont="1" applyFill="1" applyBorder="1" applyAlignment="1">
      <alignment vertical="center"/>
    </xf>
    <xf numFmtId="0" fontId="10" fillId="13" borderId="14" xfId="0" applyFont="1" applyFill="1" applyBorder="1" applyAlignment="1">
      <alignment horizontal="left" vertical="center"/>
    </xf>
    <xf numFmtId="0" fontId="10" fillId="13" borderId="14" xfId="0" applyFont="1" applyFill="1" applyBorder="1" applyAlignment="1">
      <alignment horizontal="center" vertical="center"/>
    </xf>
    <xf numFmtId="0" fontId="4" fillId="13" borderId="14" xfId="0" applyFont="1" applyFill="1" applyBorder="1"/>
    <xf numFmtId="0" fontId="10" fillId="13" borderId="14" xfId="0" applyFont="1" applyFill="1" applyBorder="1"/>
    <xf numFmtId="0" fontId="10" fillId="13" borderId="14" xfId="0" quotePrefix="1" applyFont="1" applyFill="1" applyBorder="1" applyAlignment="1">
      <alignment horizontal="center" vertical="center"/>
    </xf>
    <xf numFmtId="3" fontId="10" fillId="13" borderId="14" xfId="0" applyNumberFormat="1" applyFont="1" applyFill="1" applyBorder="1" applyAlignment="1">
      <alignment horizontal="center" vertical="center"/>
    </xf>
    <xf numFmtId="173" fontId="10" fillId="13" borderId="14" xfId="0" applyNumberFormat="1" applyFont="1" applyFill="1" applyBorder="1" applyAlignment="1">
      <alignment horizontal="center" vertical="center"/>
    </xf>
    <xf numFmtId="172" fontId="4" fillId="13" borderId="14" xfId="0" applyNumberFormat="1" applyFont="1" applyFill="1" applyBorder="1" applyAlignment="1">
      <alignment horizontal="center" vertical="center"/>
    </xf>
    <xf numFmtId="165" fontId="10" fillId="13" borderId="14" xfId="0" applyNumberFormat="1" applyFont="1" applyFill="1" applyBorder="1" applyAlignment="1">
      <alignment horizontal="center" vertical="center"/>
    </xf>
    <xf numFmtId="174" fontId="10" fillId="13" borderId="7" xfId="0" applyNumberFormat="1" applyFont="1" applyFill="1" applyBorder="1" applyAlignment="1">
      <alignment horizontal="center" vertical="center"/>
    </xf>
    <xf numFmtId="173" fontId="10" fillId="13" borderId="7" xfId="0" applyNumberFormat="1" applyFont="1" applyFill="1" applyBorder="1" applyAlignment="1">
      <alignment horizontal="center" vertical="center"/>
    </xf>
    <xf numFmtId="172" fontId="10" fillId="13" borderId="7" xfId="0" applyNumberFormat="1" applyFont="1" applyFill="1" applyBorder="1" applyAlignment="1">
      <alignment horizontal="center" vertical="center"/>
    </xf>
    <xf numFmtId="165" fontId="10" fillId="13" borderId="7" xfId="1" applyNumberFormat="1" applyFont="1" applyFill="1" applyBorder="1" applyAlignment="1">
      <alignment horizontal="center" vertical="center"/>
    </xf>
    <xf numFmtId="165" fontId="10" fillId="13" borderId="0" xfId="0" applyNumberFormat="1" applyFont="1" applyFill="1" applyAlignment="1">
      <alignment vertical="center"/>
    </xf>
    <xf numFmtId="0" fontId="4" fillId="13" borderId="0" xfId="0" applyFont="1" applyFill="1" applyAlignment="1">
      <alignment horizontal="center" vertical="center"/>
    </xf>
    <xf numFmtId="166" fontId="10" fillId="13" borderId="7" xfId="0" applyNumberFormat="1" applyFont="1" applyFill="1" applyBorder="1" applyAlignment="1">
      <alignment horizontal="center" vertical="center"/>
    </xf>
    <xf numFmtId="166" fontId="4" fillId="13" borderId="7" xfId="0" applyNumberFormat="1" applyFont="1" applyFill="1" applyBorder="1" applyAlignment="1">
      <alignment horizontal="center" vertical="center"/>
    </xf>
    <xf numFmtId="170" fontId="4" fillId="13" borderId="7" xfId="0" applyNumberFormat="1" applyFont="1" applyFill="1" applyBorder="1" applyAlignment="1">
      <alignment horizontal="center" vertical="center" wrapText="1"/>
    </xf>
    <xf numFmtId="172" fontId="4" fillId="13" borderId="7" xfId="0" applyNumberFormat="1" applyFont="1" applyFill="1" applyBorder="1" applyAlignment="1">
      <alignment horizontal="center" vertical="center"/>
    </xf>
    <xf numFmtId="166" fontId="4" fillId="13" borderId="0" xfId="0" applyNumberFormat="1" applyFont="1" applyFill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0" xfId="0" applyFont="1" applyFill="1" applyAlignment="1">
      <alignment vertical="center"/>
    </xf>
    <xf numFmtId="0" fontId="10" fillId="14" borderId="14" xfId="0" applyFont="1" applyFill="1" applyBorder="1" applyAlignment="1">
      <alignment vertical="center"/>
    </xf>
    <xf numFmtId="0" fontId="10" fillId="14" borderId="14" xfId="0" applyFont="1" applyFill="1" applyBorder="1" applyAlignment="1">
      <alignment horizontal="center" vertical="center"/>
    </xf>
    <xf numFmtId="165" fontId="10" fillId="14" borderId="14" xfId="1" applyNumberFormat="1" applyFont="1" applyFill="1" applyBorder="1" applyAlignment="1">
      <alignment horizontal="center" vertical="center"/>
    </xf>
    <xf numFmtId="3" fontId="10" fillId="14" borderId="14" xfId="0" applyNumberFormat="1" applyFont="1" applyFill="1" applyBorder="1" applyAlignment="1">
      <alignment horizontal="center" vertical="center"/>
    </xf>
    <xf numFmtId="173" fontId="10" fillId="14" borderId="14" xfId="0" applyNumberFormat="1" applyFont="1" applyFill="1" applyBorder="1" applyAlignment="1">
      <alignment horizontal="center" vertical="center"/>
    </xf>
    <xf numFmtId="174" fontId="4" fillId="14" borderId="14" xfId="0" applyNumberFormat="1" applyFont="1" applyFill="1" applyBorder="1" applyAlignment="1">
      <alignment horizontal="center" vertical="center"/>
    </xf>
    <xf numFmtId="165" fontId="10" fillId="14" borderId="14" xfId="0" applyNumberFormat="1" applyFont="1" applyFill="1" applyBorder="1" applyAlignment="1">
      <alignment horizontal="center" vertical="center"/>
    </xf>
    <xf numFmtId="174" fontId="10" fillId="14" borderId="7" xfId="0" applyNumberFormat="1" applyFont="1" applyFill="1" applyBorder="1" applyAlignment="1">
      <alignment horizontal="center" vertical="center"/>
    </xf>
    <xf numFmtId="173" fontId="10" fillId="14" borderId="7" xfId="0" applyNumberFormat="1" applyFont="1" applyFill="1" applyBorder="1" applyAlignment="1">
      <alignment horizontal="center" vertical="center"/>
    </xf>
    <xf numFmtId="165" fontId="10" fillId="14" borderId="7" xfId="1" applyNumberFormat="1" applyFont="1" applyFill="1" applyBorder="1" applyAlignment="1">
      <alignment horizontal="center" vertical="center"/>
    </xf>
    <xf numFmtId="188" fontId="10" fillId="0" borderId="14" xfId="0" applyNumberFormat="1" applyFont="1" applyBorder="1" applyAlignment="1">
      <alignment horizontal="center" vertical="center"/>
    </xf>
    <xf numFmtId="0" fontId="4" fillId="14" borderId="14" xfId="0" applyFont="1" applyFill="1" applyBorder="1"/>
    <xf numFmtId="172" fontId="4" fillId="14" borderId="14" xfId="0" applyNumberFormat="1" applyFont="1" applyFill="1" applyBorder="1" applyAlignment="1">
      <alignment horizontal="center" vertical="center"/>
    </xf>
    <xf numFmtId="184" fontId="10" fillId="0" borderId="7" xfId="0" applyNumberFormat="1" applyFont="1" applyBorder="1" applyAlignment="1">
      <alignment horizontal="center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7" xfId="1" applyNumberFormat="1" applyFont="1" applyBorder="1" applyAlignment="1">
      <alignment horizontal="center" vertical="center"/>
    </xf>
    <xf numFmtId="172" fontId="10" fillId="10" borderId="7" xfId="0" applyNumberFormat="1" applyFont="1" applyFill="1" applyBorder="1" applyAlignment="1">
      <alignment horizontal="center" vertical="center"/>
    </xf>
    <xf numFmtId="184" fontId="10" fillId="10" borderId="7" xfId="0" applyNumberFormat="1" applyFont="1" applyFill="1" applyBorder="1" applyAlignment="1">
      <alignment horizontal="center" vertical="center" wrapText="1"/>
    </xf>
    <xf numFmtId="184" fontId="10" fillId="10" borderId="7" xfId="0" applyNumberFormat="1" applyFont="1" applyFill="1" applyBorder="1" applyAlignment="1">
      <alignment horizontal="center"/>
    </xf>
    <xf numFmtId="0" fontId="8" fillId="7" borderId="11" xfId="0" applyFont="1" applyFill="1" applyBorder="1" applyAlignment="1">
      <alignment vertical="center"/>
    </xf>
    <xf numFmtId="0" fontId="8" fillId="7" borderId="10" xfId="0" applyFont="1" applyFill="1" applyBorder="1" applyAlignment="1">
      <alignment vertical="center"/>
    </xf>
    <xf numFmtId="0" fontId="8" fillId="7" borderId="12" xfId="0" applyFont="1" applyFill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0" fillId="15" borderId="14" xfId="0" applyFont="1" applyFill="1" applyBorder="1" applyAlignment="1">
      <alignment vertical="center"/>
    </xf>
    <xf numFmtId="0" fontId="10" fillId="15" borderId="14" xfId="0" applyFont="1" applyFill="1" applyBorder="1" applyAlignment="1">
      <alignment horizontal="left" vertical="center"/>
    </xf>
    <xf numFmtId="0" fontId="10" fillId="15" borderId="14" xfId="0" applyFont="1" applyFill="1" applyBorder="1" applyAlignment="1">
      <alignment horizontal="center" vertical="center"/>
    </xf>
    <xf numFmtId="165" fontId="10" fillId="15" borderId="14" xfId="1" applyNumberFormat="1" applyFont="1" applyFill="1" applyBorder="1" applyAlignment="1">
      <alignment horizontal="center" vertical="center"/>
    </xf>
    <xf numFmtId="3" fontId="10" fillId="15" borderId="14" xfId="0" applyNumberFormat="1" applyFont="1" applyFill="1" applyBorder="1" applyAlignment="1">
      <alignment horizontal="center" vertical="center"/>
    </xf>
    <xf numFmtId="173" fontId="10" fillId="15" borderId="14" xfId="0" applyNumberFormat="1" applyFont="1" applyFill="1" applyBorder="1" applyAlignment="1">
      <alignment horizontal="center" vertical="center"/>
    </xf>
    <xf numFmtId="172" fontId="4" fillId="15" borderId="14" xfId="0" applyNumberFormat="1" applyFont="1" applyFill="1" applyBorder="1" applyAlignment="1">
      <alignment horizontal="center" vertical="center"/>
    </xf>
    <xf numFmtId="165" fontId="10" fillId="15" borderId="14" xfId="0" applyNumberFormat="1" applyFont="1" applyFill="1" applyBorder="1" applyAlignment="1">
      <alignment horizontal="center" vertical="center"/>
    </xf>
    <xf numFmtId="172" fontId="10" fillId="15" borderId="14" xfId="0" applyNumberFormat="1" applyFont="1" applyFill="1" applyBorder="1" applyAlignment="1">
      <alignment horizontal="center" vertical="center"/>
    </xf>
    <xf numFmtId="173" fontId="10" fillId="15" borderId="7" xfId="0" applyNumberFormat="1" applyFont="1" applyFill="1" applyBorder="1" applyAlignment="1">
      <alignment horizontal="center" vertical="center"/>
    </xf>
    <xf numFmtId="172" fontId="10" fillId="15" borderId="7" xfId="0" applyNumberFormat="1" applyFont="1" applyFill="1" applyBorder="1" applyAlignment="1">
      <alignment horizontal="center" vertical="center"/>
    </xf>
    <xf numFmtId="165" fontId="10" fillId="15" borderId="7" xfId="1" applyNumberFormat="1" applyFont="1" applyFill="1" applyBorder="1" applyAlignment="1">
      <alignment horizontal="center" vertical="center"/>
    </xf>
    <xf numFmtId="165" fontId="10" fillId="15" borderId="0" xfId="0" applyNumberFormat="1" applyFont="1" applyFill="1" applyAlignment="1">
      <alignment vertical="center"/>
    </xf>
    <xf numFmtId="172" fontId="4" fillId="15" borderId="7" xfId="0" applyNumberFormat="1" applyFont="1" applyFill="1" applyBorder="1" applyAlignment="1">
      <alignment horizontal="center" vertical="center"/>
    </xf>
    <xf numFmtId="0" fontId="10" fillId="15" borderId="0" xfId="0" applyFont="1" applyFill="1" applyAlignment="1">
      <alignment vertical="center"/>
    </xf>
    <xf numFmtId="0" fontId="10" fillId="15" borderId="14" xfId="0" applyFont="1" applyFill="1" applyBorder="1"/>
    <xf numFmtId="0" fontId="10" fillId="15" borderId="14" xfId="0" applyFont="1" applyFill="1" applyBorder="1" applyAlignment="1">
      <alignment horizontal="left"/>
    </xf>
    <xf numFmtId="0" fontId="4" fillId="15" borderId="14" xfId="0" applyFont="1" applyFill="1" applyBorder="1"/>
    <xf numFmtId="0" fontId="10" fillId="15" borderId="14" xfId="0" applyFont="1" applyFill="1" applyBorder="1" applyAlignment="1">
      <alignment horizontal="center"/>
    </xf>
    <xf numFmtId="9" fontId="10" fillId="15" borderId="14" xfId="1" applyFont="1" applyFill="1" applyBorder="1" applyAlignment="1">
      <alignment horizontal="center"/>
    </xf>
    <xf numFmtId="174" fontId="10" fillId="15" borderId="7" xfId="0" applyNumberFormat="1" applyFont="1" applyFill="1" applyBorder="1" applyAlignment="1">
      <alignment horizontal="center" vertical="center"/>
    </xf>
    <xf numFmtId="9" fontId="10" fillId="15" borderId="14" xfId="1" applyFont="1" applyFill="1" applyBorder="1" applyAlignment="1">
      <alignment horizontal="center" vertical="center"/>
    </xf>
    <xf numFmtId="179" fontId="10" fillId="15" borderId="7" xfId="0" applyNumberFormat="1" applyFont="1" applyFill="1" applyBorder="1" applyAlignment="1">
      <alignment horizontal="center" vertical="center"/>
    </xf>
    <xf numFmtId="9" fontId="10" fillId="15" borderId="7" xfId="1" applyFont="1" applyFill="1" applyBorder="1" applyAlignment="1">
      <alignment horizontal="center" vertical="center"/>
    </xf>
    <xf numFmtId="0" fontId="10" fillId="15" borderId="0" xfId="0" applyFont="1" applyFill="1" applyAlignment="1">
      <alignment horizontal="center"/>
    </xf>
    <xf numFmtId="177" fontId="10" fillId="15" borderId="7" xfId="0" applyNumberFormat="1" applyFont="1" applyFill="1" applyBorder="1" applyAlignment="1">
      <alignment horizontal="center"/>
    </xf>
    <xf numFmtId="0" fontId="10" fillId="15" borderId="7" xfId="0" applyFont="1" applyFill="1" applyBorder="1" applyAlignment="1">
      <alignment horizontal="center"/>
    </xf>
    <xf numFmtId="166" fontId="10" fillId="15" borderId="7" xfId="0" applyNumberFormat="1" applyFont="1" applyFill="1" applyBorder="1" applyAlignment="1">
      <alignment horizontal="center" vertical="center" wrapText="1"/>
    </xf>
    <xf numFmtId="175" fontId="10" fillId="15" borderId="7" xfId="0" applyNumberFormat="1" applyFont="1" applyFill="1" applyBorder="1" applyAlignment="1">
      <alignment horizontal="center" vertical="center" wrapText="1"/>
    </xf>
    <xf numFmtId="170" fontId="4" fillId="15" borderId="7" xfId="0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left"/>
    </xf>
    <xf numFmtId="0" fontId="10" fillId="15" borderId="0" xfId="0" applyFont="1" applyFill="1" applyAlignment="1">
      <alignment horizontal="center" vertical="center"/>
    </xf>
    <xf numFmtId="0" fontId="42" fillId="16" borderId="7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left" vertical="center"/>
    </xf>
    <xf numFmtId="0" fontId="10" fillId="14" borderId="14" xfId="0" applyFont="1" applyFill="1" applyBorder="1" applyAlignment="1">
      <alignment horizontal="left"/>
    </xf>
    <xf numFmtId="0" fontId="10" fillId="14" borderId="14" xfId="0" applyFont="1" applyFill="1" applyBorder="1" applyAlignment="1">
      <alignment horizontal="center"/>
    </xf>
    <xf numFmtId="0" fontId="10" fillId="14" borderId="14" xfId="0" applyFont="1" applyFill="1" applyBorder="1"/>
    <xf numFmtId="172" fontId="10" fillId="14" borderId="14" xfId="0" applyNumberFormat="1" applyFont="1" applyFill="1" applyBorder="1" applyAlignment="1">
      <alignment horizontal="center" vertical="center"/>
    </xf>
    <xf numFmtId="165" fontId="10" fillId="14" borderId="0" xfId="0" applyNumberFormat="1" applyFont="1" applyFill="1" applyAlignment="1">
      <alignment vertical="center"/>
    </xf>
    <xf numFmtId="0" fontId="4" fillId="14" borderId="0" xfId="0" applyFont="1" applyFill="1" applyAlignment="1">
      <alignment horizontal="center" vertical="center"/>
    </xf>
    <xf numFmtId="166" fontId="10" fillId="14" borderId="7" xfId="0" applyNumberFormat="1" applyFont="1" applyFill="1" applyBorder="1" applyAlignment="1">
      <alignment horizontal="center" vertical="center"/>
    </xf>
    <xf numFmtId="172" fontId="4" fillId="14" borderId="7" xfId="0" applyNumberFormat="1" applyFont="1" applyFill="1" applyBorder="1" applyAlignment="1">
      <alignment horizontal="center" vertical="center"/>
    </xf>
    <xf numFmtId="0" fontId="10" fillId="14" borderId="0" xfId="0" applyFont="1" applyFill="1" applyAlignment="1">
      <alignment horizontal="left"/>
    </xf>
    <xf numFmtId="0" fontId="10" fillId="14" borderId="7" xfId="0" applyFont="1" applyFill="1" applyBorder="1" applyAlignment="1">
      <alignment horizontal="center" vertical="center"/>
    </xf>
    <xf numFmtId="0" fontId="10" fillId="14" borderId="0" xfId="0" applyFont="1" applyFill="1" applyAlignment="1">
      <alignment vertical="center"/>
    </xf>
    <xf numFmtId="165" fontId="10" fillId="14" borderId="22" xfId="0" applyNumberFormat="1" applyFont="1" applyFill="1" applyBorder="1" applyAlignment="1">
      <alignment horizontal="center" vertical="center"/>
    </xf>
    <xf numFmtId="165" fontId="10" fillId="14" borderId="7" xfId="0" applyNumberFormat="1" applyFont="1" applyFill="1" applyBorder="1" applyAlignment="1">
      <alignment horizontal="center" vertical="center"/>
    </xf>
    <xf numFmtId="170" fontId="4" fillId="14" borderId="7" xfId="0" applyNumberFormat="1" applyFont="1" applyFill="1" applyBorder="1" applyAlignment="1">
      <alignment horizontal="center" vertical="center" wrapText="1"/>
    </xf>
    <xf numFmtId="0" fontId="17" fillId="14" borderId="14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left" vertical="center"/>
    </xf>
    <xf numFmtId="166" fontId="3" fillId="0" borderId="0" xfId="0" applyNumberFormat="1" applyFont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vertical="center"/>
    </xf>
    <xf numFmtId="0" fontId="10" fillId="10" borderId="14" xfId="0" applyFont="1" applyFill="1" applyBorder="1"/>
    <xf numFmtId="0" fontId="10" fillId="10" borderId="14" xfId="0" applyFont="1" applyFill="1" applyBorder="1" applyAlignment="1">
      <alignment horizontal="left"/>
    </xf>
    <xf numFmtId="0" fontId="10" fillId="10" borderId="14" xfId="0" applyFont="1" applyFill="1" applyBorder="1" applyAlignment="1">
      <alignment horizontal="center" vertical="center"/>
    </xf>
    <xf numFmtId="0" fontId="4" fillId="10" borderId="14" xfId="0" applyFont="1" applyFill="1" applyBorder="1"/>
    <xf numFmtId="0" fontId="10" fillId="10" borderId="14" xfId="0" applyFont="1" applyFill="1" applyBorder="1" applyAlignment="1">
      <alignment horizontal="center"/>
    </xf>
    <xf numFmtId="165" fontId="10" fillId="10" borderId="14" xfId="1" applyNumberFormat="1" applyFont="1" applyFill="1" applyBorder="1" applyAlignment="1">
      <alignment horizontal="center" vertical="center"/>
    </xf>
    <xf numFmtId="173" fontId="10" fillId="10" borderId="14" xfId="0" applyNumberFormat="1" applyFont="1" applyFill="1" applyBorder="1" applyAlignment="1">
      <alignment horizontal="center" vertical="center"/>
    </xf>
    <xf numFmtId="172" fontId="4" fillId="10" borderId="14" xfId="0" applyNumberFormat="1" applyFont="1" applyFill="1" applyBorder="1" applyAlignment="1">
      <alignment horizontal="center" vertical="center"/>
    </xf>
    <xf numFmtId="165" fontId="10" fillId="10" borderId="14" xfId="0" applyNumberFormat="1" applyFont="1" applyFill="1" applyBorder="1" applyAlignment="1">
      <alignment horizontal="center" vertical="center"/>
    </xf>
    <xf numFmtId="9" fontId="10" fillId="10" borderId="14" xfId="1" applyFont="1" applyFill="1" applyBorder="1" applyAlignment="1">
      <alignment horizontal="center"/>
    </xf>
    <xf numFmtId="3" fontId="10" fillId="10" borderId="14" xfId="0" applyNumberFormat="1" applyFont="1" applyFill="1" applyBorder="1" applyAlignment="1">
      <alignment horizontal="center" vertical="center"/>
    </xf>
    <xf numFmtId="174" fontId="10" fillId="10" borderId="7" xfId="0" applyNumberFormat="1" applyFont="1" applyFill="1" applyBorder="1" applyAlignment="1">
      <alignment horizontal="center" vertical="center"/>
    </xf>
    <xf numFmtId="9" fontId="10" fillId="10" borderId="14" xfId="1" applyFont="1" applyFill="1" applyBorder="1" applyAlignment="1">
      <alignment horizontal="center" vertical="center"/>
    </xf>
    <xf numFmtId="173" fontId="10" fillId="10" borderId="7" xfId="0" applyNumberFormat="1" applyFont="1" applyFill="1" applyBorder="1" applyAlignment="1">
      <alignment horizontal="center" vertical="center"/>
    </xf>
    <xf numFmtId="179" fontId="10" fillId="10" borderId="7" xfId="0" applyNumberFormat="1" applyFont="1" applyFill="1" applyBorder="1" applyAlignment="1">
      <alignment horizontal="center" vertical="center"/>
    </xf>
    <xf numFmtId="9" fontId="10" fillId="10" borderId="7" xfId="1" applyFont="1" applyFill="1" applyBorder="1" applyAlignment="1">
      <alignment horizontal="center" vertical="center"/>
    </xf>
    <xf numFmtId="0" fontId="10" fillId="10" borderId="0" xfId="0" applyFont="1" applyFill="1" applyAlignment="1">
      <alignment vertical="center"/>
    </xf>
    <xf numFmtId="0" fontId="10" fillId="10" borderId="0" xfId="0" applyFont="1" applyFill="1" applyAlignment="1">
      <alignment horizontal="center"/>
    </xf>
    <xf numFmtId="177" fontId="10" fillId="10" borderId="7" xfId="0" applyNumberFormat="1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166" fontId="10" fillId="10" borderId="7" xfId="0" applyNumberFormat="1" applyFont="1" applyFill="1" applyBorder="1" applyAlignment="1">
      <alignment horizontal="center" vertical="center" wrapText="1"/>
    </xf>
    <xf numFmtId="175" fontId="10" fillId="10" borderId="7" xfId="0" applyNumberFormat="1" applyFont="1" applyFill="1" applyBorder="1" applyAlignment="1">
      <alignment horizontal="center" vertical="center" wrapText="1"/>
    </xf>
    <xf numFmtId="170" fontId="4" fillId="10" borderId="7" xfId="0" applyNumberFormat="1" applyFont="1" applyFill="1" applyBorder="1" applyAlignment="1">
      <alignment horizontal="center"/>
    </xf>
    <xf numFmtId="172" fontId="4" fillId="10" borderId="7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/>
    </xf>
    <xf numFmtId="0" fontId="10" fillId="10" borderId="0" xfId="0" applyFont="1" applyFill="1" applyAlignment="1">
      <alignment horizontal="center" vertical="center"/>
    </xf>
    <xf numFmtId="0" fontId="43" fillId="10" borderId="0" xfId="0" applyFont="1" applyFill="1" applyAlignment="1">
      <alignment vertical="center"/>
    </xf>
    <xf numFmtId="0" fontId="29" fillId="10" borderId="7" xfId="0" applyFont="1" applyFill="1" applyBorder="1" applyAlignment="1">
      <alignment horizontal="left" vertical="center"/>
    </xf>
    <xf numFmtId="0" fontId="4" fillId="14" borderId="7" xfId="0" applyFont="1" applyFill="1" applyBorder="1" applyAlignment="1">
      <alignment vertical="center"/>
    </xf>
    <xf numFmtId="0" fontId="4" fillId="14" borderId="14" xfId="0" applyFont="1" applyFill="1" applyBorder="1" applyAlignment="1">
      <alignment horizontal="left" vertical="center"/>
    </xf>
    <xf numFmtId="172" fontId="10" fillId="17" borderId="24" xfId="0" applyNumberFormat="1" applyFont="1" applyFill="1" applyBorder="1" applyAlignment="1">
      <alignment horizontal="center" vertical="center"/>
    </xf>
    <xf numFmtId="165" fontId="10" fillId="17" borderId="14" xfId="1" applyNumberFormat="1" applyFont="1" applyFill="1" applyBorder="1" applyAlignment="1">
      <alignment horizontal="center" vertical="center"/>
    </xf>
    <xf numFmtId="3" fontId="10" fillId="17" borderId="14" xfId="0" applyNumberFormat="1" applyFont="1" applyFill="1" applyBorder="1" applyAlignment="1">
      <alignment horizontal="center" vertical="center"/>
    </xf>
    <xf numFmtId="173" fontId="10" fillId="17" borderId="14" xfId="0" applyNumberFormat="1" applyFont="1" applyFill="1" applyBorder="1" applyAlignment="1">
      <alignment horizontal="center" vertical="center"/>
    </xf>
    <xf numFmtId="182" fontId="4" fillId="17" borderId="14" xfId="0" applyNumberFormat="1" applyFont="1" applyFill="1" applyBorder="1" applyAlignment="1">
      <alignment horizontal="center" vertical="center"/>
    </xf>
    <xf numFmtId="165" fontId="10" fillId="17" borderId="14" xfId="0" applyNumberFormat="1" applyFont="1" applyFill="1" applyBorder="1" applyAlignment="1">
      <alignment horizontal="center" vertical="center"/>
    </xf>
    <xf numFmtId="174" fontId="10" fillId="17" borderId="7" xfId="0" applyNumberFormat="1" applyFont="1" applyFill="1" applyBorder="1" applyAlignment="1">
      <alignment horizontal="center" vertical="center"/>
    </xf>
    <xf numFmtId="181" fontId="10" fillId="17" borderId="7" xfId="0" applyNumberFormat="1" applyFont="1" applyFill="1" applyBorder="1" applyAlignment="1">
      <alignment horizontal="center" vertical="center"/>
    </xf>
    <xf numFmtId="182" fontId="10" fillId="17" borderId="7" xfId="0" applyNumberFormat="1" applyFont="1" applyFill="1" applyBorder="1" applyAlignment="1">
      <alignment horizontal="center" vertical="center"/>
    </xf>
    <xf numFmtId="165" fontId="10" fillId="17" borderId="7" xfId="1" applyNumberFormat="1" applyFont="1" applyFill="1" applyBorder="1" applyAlignment="1">
      <alignment horizontal="center" vertical="center"/>
    </xf>
    <xf numFmtId="165" fontId="10" fillId="17" borderId="0" xfId="0" applyNumberFormat="1" applyFont="1" applyFill="1" applyAlignment="1">
      <alignment vertical="center"/>
    </xf>
    <xf numFmtId="0" fontId="10" fillId="17" borderId="7" xfId="0" applyFont="1" applyFill="1" applyBorder="1" applyAlignment="1">
      <alignment horizontal="center" vertical="center"/>
    </xf>
    <xf numFmtId="0" fontId="10" fillId="17" borderId="7" xfId="0" quotePrefix="1" applyFont="1" applyFill="1" applyBorder="1" applyAlignment="1">
      <alignment horizontal="center" vertical="center"/>
    </xf>
    <xf numFmtId="172" fontId="10" fillId="17" borderId="14" xfId="0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80" fontId="10" fillId="0" borderId="7" xfId="0" applyNumberFormat="1" applyFont="1" applyBorder="1" applyAlignment="1">
      <alignment horizontal="center" vertical="center" wrapText="1"/>
    </xf>
    <xf numFmtId="187" fontId="4" fillId="0" borderId="7" xfId="0" applyNumberFormat="1" applyFont="1" applyBorder="1" applyAlignment="1">
      <alignment horizontal="center" vertical="center" wrapText="1"/>
    </xf>
    <xf numFmtId="180" fontId="10" fillId="0" borderId="7" xfId="0" applyNumberFormat="1" applyFont="1" applyBorder="1" applyAlignment="1">
      <alignment horizontal="center"/>
    </xf>
    <xf numFmtId="0" fontId="3" fillId="15" borderId="14" xfId="0" applyFont="1" applyFill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1" fillId="0" borderId="7" xfId="0" applyFont="1" applyBorder="1" applyAlignment="1">
      <alignment vertical="center"/>
    </xf>
    <xf numFmtId="0" fontId="4" fillId="2" borderId="15" xfId="0" applyFont="1" applyFill="1" applyBorder="1" applyAlignment="1">
      <alignment vertical="center" wrapText="1"/>
    </xf>
    <xf numFmtId="0" fontId="42" fillId="0" borderId="7" xfId="0" applyFont="1" applyBorder="1" applyAlignment="1">
      <alignment horizontal="center" vertical="center"/>
    </xf>
    <xf numFmtId="171" fontId="5" fillId="5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/>
    </xf>
    <xf numFmtId="10" fontId="13" fillId="0" borderId="0" xfId="0" applyNumberFormat="1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/>
    </xf>
    <xf numFmtId="0" fontId="17" fillId="0" borderId="14" xfId="0" applyFont="1" applyBorder="1" applyAlignment="1">
      <alignment horizontal="left"/>
    </xf>
    <xf numFmtId="176" fontId="4" fillId="0" borderId="7" xfId="0" applyNumberFormat="1" applyFont="1" applyBorder="1" applyAlignment="1">
      <alignment horizontal="center" vertical="center" wrapText="1"/>
    </xf>
    <xf numFmtId="0" fontId="35" fillId="0" borderId="25" xfId="0" applyFont="1" applyBorder="1" applyAlignment="1">
      <alignment vertical="center"/>
    </xf>
    <xf numFmtId="0" fontId="46" fillId="0" borderId="0" xfId="0" applyFont="1"/>
    <xf numFmtId="0" fontId="18" fillId="0" borderId="1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69" fontId="4" fillId="18" borderId="16" xfId="0" applyNumberFormat="1" applyFont="1" applyFill="1" applyBorder="1" applyAlignment="1">
      <alignment horizontal="center" vertical="center" wrapText="1"/>
    </xf>
    <xf numFmtId="165" fontId="47" fillId="0" borderId="0" xfId="1" applyNumberFormat="1" applyFont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172" fontId="10" fillId="0" borderId="22" xfId="0" applyNumberFormat="1" applyFont="1" applyBorder="1" applyAlignment="1">
      <alignment horizontal="center" vertical="center"/>
    </xf>
    <xf numFmtId="165" fontId="10" fillId="0" borderId="24" xfId="1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165" fontId="10" fillId="13" borderId="24" xfId="1" applyNumberFormat="1" applyFont="1" applyFill="1" applyBorder="1" applyAlignment="1">
      <alignment horizontal="center" vertical="center"/>
    </xf>
    <xf numFmtId="0" fontId="17" fillId="15" borderId="14" xfId="0" applyFont="1" applyFill="1" applyBorder="1" applyAlignment="1">
      <alignment horizontal="center" vertical="center"/>
    </xf>
    <xf numFmtId="165" fontId="17" fillId="15" borderId="14" xfId="1" applyNumberFormat="1" applyFont="1" applyFill="1" applyBorder="1" applyAlignment="1">
      <alignment horizontal="center" vertical="center"/>
    </xf>
    <xf numFmtId="3" fontId="17" fillId="15" borderId="14" xfId="0" applyNumberFormat="1" applyFont="1" applyFill="1" applyBorder="1" applyAlignment="1">
      <alignment horizontal="center" vertical="center"/>
    </xf>
    <xf numFmtId="173" fontId="17" fillId="15" borderId="14" xfId="0" applyNumberFormat="1" applyFont="1" applyFill="1" applyBorder="1" applyAlignment="1">
      <alignment horizontal="center" vertical="center"/>
    </xf>
    <xf numFmtId="172" fontId="18" fillId="15" borderId="14" xfId="0" applyNumberFormat="1" applyFont="1" applyFill="1" applyBorder="1" applyAlignment="1">
      <alignment horizontal="center" vertical="center"/>
    </xf>
    <xf numFmtId="165" fontId="17" fillId="15" borderId="14" xfId="0" applyNumberFormat="1" applyFont="1" applyFill="1" applyBorder="1" applyAlignment="1">
      <alignment horizontal="center" vertical="center"/>
    </xf>
    <xf numFmtId="172" fontId="17" fillId="15" borderId="14" xfId="0" applyNumberFormat="1" applyFont="1" applyFill="1" applyBorder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3" fontId="17" fillId="15" borderId="7" xfId="0" applyNumberFormat="1" applyFont="1" applyFill="1" applyBorder="1" applyAlignment="1">
      <alignment horizontal="center" vertical="center"/>
    </xf>
    <xf numFmtId="172" fontId="17" fillId="15" borderId="7" xfId="0" applyNumberFormat="1" applyFont="1" applyFill="1" applyBorder="1" applyAlignment="1">
      <alignment horizontal="center" vertical="center"/>
    </xf>
    <xf numFmtId="165" fontId="17" fillId="15" borderId="7" xfId="1" applyNumberFormat="1" applyFont="1" applyFill="1" applyBorder="1" applyAlignment="1">
      <alignment horizontal="center" vertical="center"/>
    </xf>
    <xf numFmtId="165" fontId="17" fillId="15" borderId="0" xfId="0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170" fontId="18" fillId="0" borderId="7" xfId="0" applyNumberFormat="1" applyFont="1" applyBorder="1" applyAlignment="1">
      <alignment horizontal="center" vertical="center" wrapText="1"/>
    </xf>
    <xf numFmtId="172" fontId="18" fillId="0" borderId="7" xfId="0" applyNumberFormat="1" applyFont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2" fontId="18" fillId="0" borderId="14" xfId="0" applyNumberFormat="1" applyFont="1" applyBorder="1" applyAlignment="1">
      <alignment horizontal="center" vertical="center"/>
    </xf>
    <xf numFmtId="165" fontId="17" fillId="0" borderId="14" xfId="1" applyNumberFormat="1" applyFont="1" applyFill="1" applyBorder="1" applyAlignment="1">
      <alignment horizontal="center" vertical="center"/>
    </xf>
    <xf numFmtId="3" fontId="17" fillId="0" borderId="14" xfId="0" applyNumberFormat="1" applyFont="1" applyBorder="1" applyAlignment="1">
      <alignment horizontal="center" vertical="center"/>
    </xf>
    <xf numFmtId="173" fontId="17" fillId="0" borderId="14" xfId="0" applyNumberFormat="1" applyFont="1" applyBorder="1" applyAlignment="1">
      <alignment horizontal="center" vertical="center"/>
    </xf>
    <xf numFmtId="172" fontId="18" fillId="9" borderId="14" xfId="0" applyNumberFormat="1" applyFont="1" applyFill="1" applyBorder="1" applyAlignment="1">
      <alignment horizontal="center" vertical="center"/>
    </xf>
    <xf numFmtId="165" fontId="17" fillId="11" borderId="14" xfId="0" applyNumberFormat="1" applyFont="1" applyFill="1" applyBorder="1" applyAlignment="1">
      <alignment horizontal="center" vertical="center"/>
    </xf>
    <xf numFmtId="165" fontId="17" fillId="6" borderId="14" xfId="0" applyNumberFormat="1" applyFont="1" applyFill="1" applyBorder="1" applyAlignment="1">
      <alignment horizontal="center" vertical="center"/>
    </xf>
    <xf numFmtId="174" fontId="17" fillId="0" borderId="7" xfId="0" applyNumberFormat="1" applyFont="1" applyBorder="1" applyAlignment="1">
      <alignment horizontal="center" vertical="center"/>
    </xf>
    <xf numFmtId="165" fontId="17" fillId="0" borderId="14" xfId="0" applyNumberFormat="1" applyFont="1" applyBorder="1" applyAlignment="1">
      <alignment horizontal="center" vertical="center"/>
    </xf>
    <xf numFmtId="173" fontId="17" fillId="0" borderId="7" xfId="0" applyNumberFormat="1" applyFont="1" applyBorder="1" applyAlignment="1">
      <alignment horizontal="center" vertical="center"/>
    </xf>
    <xf numFmtId="172" fontId="17" fillId="0" borderId="7" xfId="0" applyNumberFormat="1" applyFont="1" applyBorder="1" applyAlignment="1">
      <alignment horizontal="center" vertical="center"/>
    </xf>
    <xf numFmtId="165" fontId="17" fillId="0" borderId="7" xfId="1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6" fontId="17" fillId="0" borderId="7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1" fillId="0" borderId="14" xfId="0" applyFont="1" applyBorder="1" applyAlignment="1">
      <alignment horizontal="center" vertical="center"/>
    </xf>
    <xf numFmtId="165" fontId="11" fillId="0" borderId="14" xfId="1" applyNumberFormat="1" applyFont="1" applyFill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173" fontId="11" fillId="0" borderId="14" xfId="0" applyNumberFormat="1" applyFont="1" applyBorder="1" applyAlignment="1">
      <alignment horizontal="center" vertical="center"/>
    </xf>
    <xf numFmtId="172" fontId="11" fillId="9" borderId="14" xfId="0" applyNumberFormat="1" applyFont="1" applyFill="1" applyBorder="1" applyAlignment="1">
      <alignment horizontal="center" vertical="center"/>
    </xf>
    <xf numFmtId="165" fontId="11" fillId="11" borderId="14" xfId="0" applyNumberFormat="1" applyFont="1" applyFill="1" applyBorder="1" applyAlignment="1">
      <alignment horizontal="center" vertical="center"/>
    </xf>
    <xf numFmtId="165" fontId="11" fillId="6" borderId="14" xfId="0" applyNumberFormat="1" applyFont="1" applyFill="1" applyBorder="1" applyAlignment="1">
      <alignment horizontal="center" vertical="center"/>
    </xf>
    <xf numFmtId="174" fontId="11" fillId="0" borderId="7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73" fontId="11" fillId="0" borderId="7" xfId="0" applyNumberFormat="1" applyFont="1" applyBorder="1" applyAlignment="1">
      <alignment horizontal="center" vertical="center"/>
    </xf>
    <xf numFmtId="172" fontId="11" fillId="0" borderId="7" xfId="0" applyNumberFormat="1" applyFont="1" applyBorder="1" applyAlignment="1">
      <alignment horizontal="center" vertical="center"/>
    </xf>
    <xf numFmtId="165" fontId="11" fillId="0" borderId="7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170" fontId="11" fillId="0" borderId="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0" fillId="19" borderId="14" xfId="0" applyFont="1" applyFill="1" applyBorder="1" applyAlignment="1">
      <alignment vertical="center"/>
    </xf>
    <xf numFmtId="0" fontId="10" fillId="19" borderId="14" xfId="0" applyFont="1" applyFill="1" applyBorder="1" applyAlignment="1">
      <alignment horizontal="left" vertical="center"/>
    </xf>
    <xf numFmtId="0" fontId="10" fillId="19" borderId="14" xfId="0" applyFont="1" applyFill="1" applyBorder="1" applyAlignment="1">
      <alignment horizontal="left"/>
    </xf>
    <xf numFmtId="0" fontId="10" fillId="19" borderId="14" xfId="0" applyFont="1" applyFill="1" applyBorder="1" applyAlignment="1">
      <alignment horizontal="center"/>
    </xf>
    <xf numFmtId="0" fontId="4" fillId="19" borderId="14" xfId="0" applyFont="1" applyFill="1" applyBorder="1"/>
    <xf numFmtId="0" fontId="10" fillId="19" borderId="14" xfId="0" applyFont="1" applyFill="1" applyBorder="1"/>
    <xf numFmtId="0" fontId="10" fillId="19" borderId="14" xfId="0" applyFont="1" applyFill="1" applyBorder="1" applyAlignment="1">
      <alignment horizontal="center" vertical="center"/>
    </xf>
    <xf numFmtId="172" fontId="10" fillId="19" borderId="14" xfId="0" applyNumberFormat="1" applyFont="1" applyFill="1" applyBorder="1" applyAlignment="1">
      <alignment horizontal="center" vertical="center"/>
    </xf>
    <xf numFmtId="165" fontId="10" fillId="19" borderId="14" xfId="1" applyNumberFormat="1" applyFont="1" applyFill="1" applyBorder="1" applyAlignment="1">
      <alignment horizontal="center" vertical="center"/>
    </xf>
    <xf numFmtId="3" fontId="10" fillId="19" borderId="14" xfId="0" applyNumberFormat="1" applyFont="1" applyFill="1" applyBorder="1" applyAlignment="1">
      <alignment horizontal="center" vertical="center"/>
    </xf>
    <xf numFmtId="173" fontId="10" fillId="19" borderId="14" xfId="0" applyNumberFormat="1" applyFont="1" applyFill="1" applyBorder="1" applyAlignment="1">
      <alignment horizontal="center" vertical="center"/>
    </xf>
    <xf numFmtId="174" fontId="4" fillId="19" borderId="14" xfId="0" applyNumberFormat="1" applyFont="1" applyFill="1" applyBorder="1" applyAlignment="1">
      <alignment horizontal="center" vertical="center"/>
    </xf>
    <xf numFmtId="165" fontId="10" fillId="19" borderId="14" xfId="0" applyNumberFormat="1" applyFont="1" applyFill="1" applyBorder="1" applyAlignment="1">
      <alignment horizontal="center" vertical="center"/>
    </xf>
    <xf numFmtId="165" fontId="10" fillId="19" borderId="22" xfId="0" applyNumberFormat="1" applyFont="1" applyFill="1" applyBorder="1" applyAlignment="1">
      <alignment horizontal="center" vertical="center"/>
    </xf>
    <xf numFmtId="174" fontId="10" fillId="19" borderId="7" xfId="0" applyNumberFormat="1" applyFont="1" applyFill="1" applyBorder="1" applyAlignment="1">
      <alignment horizontal="center" vertical="center"/>
    </xf>
    <xf numFmtId="165" fontId="10" fillId="19" borderId="7" xfId="0" applyNumberFormat="1" applyFont="1" applyFill="1" applyBorder="1" applyAlignment="1">
      <alignment horizontal="center" vertical="center"/>
    </xf>
    <xf numFmtId="10" fontId="10" fillId="19" borderId="0" xfId="0" applyNumberFormat="1" applyFont="1" applyFill="1" applyAlignment="1">
      <alignment horizontal="center" vertical="center"/>
    </xf>
    <xf numFmtId="173" fontId="10" fillId="19" borderId="7" xfId="0" applyNumberFormat="1" applyFont="1" applyFill="1" applyBorder="1" applyAlignment="1">
      <alignment horizontal="center" vertical="center"/>
    </xf>
    <xf numFmtId="165" fontId="10" fillId="19" borderId="7" xfId="1" applyNumberFormat="1" applyFont="1" applyFill="1" applyBorder="1" applyAlignment="1">
      <alignment horizontal="center" vertical="center"/>
    </xf>
    <xf numFmtId="165" fontId="10" fillId="19" borderId="0" xfId="0" applyNumberFormat="1" applyFont="1" applyFill="1" applyAlignment="1">
      <alignment vertical="center"/>
    </xf>
    <xf numFmtId="0" fontId="4" fillId="19" borderId="0" xfId="0" applyFont="1" applyFill="1" applyAlignment="1">
      <alignment horizontal="center" vertical="center"/>
    </xf>
    <xf numFmtId="166" fontId="10" fillId="19" borderId="7" xfId="0" applyNumberFormat="1" applyFont="1" applyFill="1" applyBorder="1" applyAlignment="1">
      <alignment horizontal="center" vertical="center"/>
    </xf>
    <xf numFmtId="170" fontId="4" fillId="19" borderId="7" xfId="0" applyNumberFormat="1" applyFont="1" applyFill="1" applyBorder="1" applyAlignment="1">
      <alignment horizontal="center" vertical="center" wrapText="1"/>
    </xf>
    <xf numFmtId="172" fontId="4" fillId="19" borderId="7" xfId="0" applyNumberFormat="1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/>
    </xf>
    <xf numFmtId="0" fontId="10" fillId="19" borderId="7" xfId="0" applyFont="1" applyFill="1" applyBorder="1" applyAlignment="1">
      <alignment horizontal="center" vertical="center"/>
    </xf>
    <xf numFmtId="0" fontId="10" fillId="19" borderId="0" xfId="0" applyFont="1" applyFill="1" applyAlignment="1">
      <alignment vertical="center"/>
    </xf>
    <xf numFmtId="0" fontId="4" fillId="19" borderId="14" xfId="0" applyFont="1" applyFill="1" applyBorder="1" applyAlignment="1">
      <alignment horizontal="left" vertical="center"/>
    </xf>
    <xf numFmtId="0" fontId="17" fillId="19" borderId="14" xfId="0" applyFont="1" applyFill="1" applyBorder="1" applyAlignment="1">
      <alignment horizontal="left"/>
    </xf>
    <xf numFmtId="172" fontId="4" fillId="19" borderId="14" xfId="0" applyNumberFormat="1" applyFont="1" applyFill="1" applyBorder="1" applyAlignment="1">
      <alignment horizontal="center" vertical="center"/>
    </xf>
    <xf numFmtId="172" fontId="10" fillId="19" borderId="7" xfId="0" applyNumberFormat="1" applyFont="1" applyFill="1" applyBorder="1" applyAlignment="1">
      <alignment horizontal="center" vertical="center"/>
    </xf>
    <xf numFmtId="166" fontId="10" fillId="19" borderId="7" xfId="0" applyNumberFormat="1" applyFont="1" applyFill="1" applyBorder="1" applyAlignment="1">
      <alignment horizontal="center" vertical="center" wrapText="1"/>
    </xf>
    <xf numFmtId="175" fontId="10" fillId="19" borderId="7" xfId="0" applyNumberFormat="1" applyFont="1" applyFill="1" applyBorder="1" applyAlignment="1">
      <alignment horizontal="center" vertical="center" wrapText="1"/>
    </xf>
    <xf numFmtId="176" fontId="4" fillId="19" borderId="7" xfId="0" applyNumberFormat="1" applyFont="1" applyFill="1" applyBorder="1" applyAlignment="1">
      <alignment horizontal="center" vertical="center" wrapText="1"/>
    </xf>
    <xf numFmtId="0" fontId="10" fillId="19" borderId="0" xfId="0" applyFont="1" applyFill="1" applyAlignment="1">
      <alignment horizontal="left"/>
    </xf>
    <xf numFmtId="0" fontId="18" fillId="0" borderId="14" xfId="0" applyFont="1" applyBorder="1" applyAlignment="1">
      <alignment horizontal="left" vertical="center"/>
    </xf>
    <xf numFmtId="0" fontId="10" fillId="19" borderId="14" xfId="0" quotePrefix="1" applyFont="1" applyFill="1" applyBorder="1" applyAlignment="1">
      <alignment horizontal="center" vertical="center"/>
    </xf>
    <xf numFmtId="182" fontId="4" fillId="19" borderId="14" xfId="0" applyNumberFormat="1" applyFont="1" applyFill="1" applyBorder="1" applyAlignment="1">
      <alignment horizontal="center" vertical="center"/>
    </xf>
    <xf numFmtId="181" fontId="10" fillId="19" borderId="7" xfId="0" applyNumberFormat="1" applyFont="1" applyFill="1" applyBorder="1" applyAlignment="1">
      <alignment horizontal="center" vertical="center"/>
    </xf>
    <xf numFmtId="182" fontId="10" fillId="19" borderId="7" xfId="0" applyNumberFormat="1" applyFont="1" applyFill="1" applyBorder="1" applyAlignment="1">
      <alignment horizontal="center" vertical="center"/>
    </xf>
    <xf numFmtId="180" fontId="10" fillId="19" borderId="7" xfId="0" applyNumberFormat="1" applyFont="1" applyFill="1" applyBorder="1" applyAlignment="1">
      <alignment horizontal="center" vertical="center"/>
    </xf>
    <xf numFmtId="176" fontId="10" fillId="19" borderId="7" xfId="0" applyNumberFormat="1" applyFont="1" applyFill="1" applyBorder="1" applyAlignment="1">
      <alignment horizontal="center" vertical="center"/>
    </xf>
    <xf numFmtId="175" fontId="10" fillId="19" borderId="7" xfId="0" applyNumberFormat="1" applyFont="1" applyFill="1" applyBorder="1" applyAlignment="1">
      <alignment horizontal="center" vertical="center"/>
    </xf>
    <xf numFmtId="175" fontId="4" fillId="19" borderId="7" xfId="0" applyNumberFormat="1" applyFont="1" applyFill="1" applyBorder="1" applyAlignment="1">
      <alignment horizontal="center" vertical="center" wrapText="1"/>
    </xf>
    <xf numFmtId="0" fontId="17" fillId="19" borderId="14" xfId="0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172" fontId="4" fillId="9" borderId="0" xfId="0" applyNumberFormat="1" applyFont="1" applyFill="1" applyAlignment="1">
      <alignment horizontal="center" vertical="center"/>
    </xf>
    <xf numFmtId="165" fontId="10" fillId="11" borderId="0" xfId="0" applyNumberFormat="1" applyFont="1" applyFill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172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 wrapText="1"/>
    </xf>
    <xf numFmtId="9" fontId="10" fillId="0" borderId="14" xfId="1" applyFont="1" applyBorder="1" applyAlignment="1">
      <alignment horizontal="center" vertical="center"/>
    </xf>
    <xf numFmtId="9" fontId="10" fillId="0" borderId="7" xfId="1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9" fillId="0" borderId="0" xfId="0" applyFont="1"/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3" fillId="0" borderId="0" xfId="0" applyFont="1"/>
    <xf numFmtId="0" fontId="52" fillId="20" borderId="0" xfId="0" applyFont="1" applyFill="1"/>
    <xf numFmtId="0" fontId="52" fillId="21" borderId="0" xfId="0" applyFont="1" applyFill="1" applyAlignment="1">
      <alignment horizontal="left"/>
    </xf>
    <xf numFmtId="172" fontId="3" fillId="0" borderId="0" xfId="0" applyNumberFormat="1" applyFont="1" applyAlignment="1">
      <alignment horizontal="center" vertical="center" wrapText="1"/>
    </xf>
    <xf numFmtId="0" fontId="49" fillId="0" borderId="7" xfId="0" applyFont="1" applyBorder="1"/>
    <xf numFmtId="0" fontId="36" fillId="0" borderId="7" xfId="0" applyFont="1" applyBorder="1"/>
    <xf numFmtId="0" fontId="36" fillId="0" borderId="7" xfId="0" applyFont="1" applyBorder="1" applyAlignment="1">
      <alignment horizontal="left"/>
    </xf>
    <xf numFmtId="0" fontId="54" fillId="0" borderId="7" xfId="0" applyFont="1" applyBorder="1"/>
    <xf numFmtId="0" fontId="10" fillId="0" borderId="14" xfId="0" applyFont="1" applyBorder="1" applyAlignment="1">
      <alignment horizontal="center" vertical="center"/>
    </xf>
    <xf numFmtId="166" fontId="13" fillId="3" borderId="7" xfId="0" applyNumberFormat="1" applyFont="1" applyFill="1" applyBorder="1" applyAlignment="1">
      <alignment horizontal="center" vertical="center" wrapText="1"/>
    </xf>
    <xf numFmtId="175" fontId="13" fillId="3" borderId="7" xfId="0" applyNumberFormat="1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5">
    <cellStyle name="Normal" xfId="0" builtinId="0"/>
    <cellStyle name="Normal 2" xfId="2" xr:uid="{A74D6F92-9E41-49E1-94CB-AC74BB370151}"/>
    <cellStyle name="Normal 7" xfId="4" xr:uid="{116E1270-7CC0-4772-A3A1-5C758C734DA0}"/>
    <cellStyle name="Pourcentage" xfId="1" builtinId="5"/>
    <cellStyle name="常规 9" xfId="3" xr:uid="{A64FA873-BF22-416A-AD21-DF409C6F3DCE}"/>
  </cellStyles>
  <dxfs count="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00FF"/>
      <color rgb="FFD60093"/>
      <color rgb="FFFF9933"/>
      <color rgb="FFFF0066"/>
      <color rgb="FFFFCCFF"/>
      <color rgb="FFFFFFCC"/>
      <color rgb="FF162F56"/>
      <color rgb="FFCCFFFF"/>
      <color rgb="FF0000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221228</xdr:colOff>
      <xdr:row>0</xdr:row>
      <xdr:rowOff>188406</xdr:rowOff>
    </xdr:from>
    <xdr:to>
      <xdr:col>3</xdr:col>
      <xdr:colOff>1274084</xdr:colOff>
      <xdr:row>4</xdr:row>
      <xdr:rowOff>121019</xdr:rowOff>
    </xdr:to>
    <xdr:pic>
      <xdr:nvPicPr>
        <xdr:cNvPr id="3" name="Image 9">
          <a:extLst>
            <a:ext uri="{FF2B5EF4-FFF2-40B4-BE49-F238E27FC236}">
              <a16:creationId xmlns:a16="http://schemas.microsoft.com/office/drawing/2014/main" id="{666A70DC-B31F-4E56-AF31-22B4B1BD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382" y="188406"/>
          <a:ext cx="1046506" cy="6653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2141009</xdr:colOff>
      <xdr:row>14</xdr:row>
      <xdr:rowOff>139277</xdr:rowOff>
    </xdr:from>
    <xdr:to>
      <xdr:col>4</xdr:col>
      <xdr:colOff>1234918</xdr:colOff>
      <xdr:row>28</xdr:row>
      <xdr:rowOff>72601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A57245-2B8A-971D-88B1-549EA9649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809" y="2755477"/>
          <a:ext cx="5367709" cy="25410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104246</xdr:colOff>
      <xdr:row>0</xdr:row>
      <xdr:rowOff>153459</xdr:rowOff>
    </xdr:from>
    <xdr:to>
      <xdr:col>0</xdr:col>
      <xdr:colOff>1268736</xdr:colOff>
      <xdr:row>4</xdr:row>
      <xdr:rowOff>122581</xdr:rowOff>
    </xdr:to>
    <xdr:pic>
      <xdr:nvPicPr>
        <xdr:cNvPr id="2" name="Image 9">
          <a:extLst>
            <a:ext uri="{FF2B5EF4-FFF2-40B4-BE49-F238E27FC236}">
              <a16:creationId xmlns:a16="http://schemas.microsoft.com/office/drawing/2014/main" id="{7C658C6B-B299-43DF-BF69-833D0087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546" y="153459"/>
          <a:ext cx="1164490" cy="6832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104246</xdr:colOff>
      <xdr:row>0</xdr:row>
      <xdr:rowOff>153459</xdr:rowOff>
    </xdr:from>
    <xdr:to>
      <xdr:col>0</xdr:col>
      <xdr:colOff>1277162</xdr:colOff>
      <xdr:row>4</xdr:row>
      <xdr:rowOff>142509</xdr:rowOff>
    </xdr:to>
    <xdr:pic>
      <xdr:nvPicPr>
        <xdr:cNvPr id="2" name="Image 9">
          <a:extLst>
            <a:ext uri="{FF2B5EF4-FFF2-40B4-BE49-F238E27FC236}">
              <a16:creationId xmlns:a16="http://schemas.microsoft.com/office/drawing/2014/main" id="{00A3F814-8C3B-49C9-BD65-2281F703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696" y="153459"/>
          <a:ext cx="1172916" cy="716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60631</xdr:rowOff>
    </xdr:from>
    <xdr:to>
      <xdr:col>8</xdr:col>
      <xdr:colOff>511199</xdr:colOff>
      <xdr:row>5</xdr:row>
      <xdr:rowOff>95312</xdr:rowOff>
    </xdr:to>
    <xdr:pic>
      <xdr:nvPicPr>
        <xdr:cNvPr id="2" name="Image 9">
          <a:extLst>
            <a:ext uri="{FF2B5EF4-FFF2-40B4-BE49-F238E27FC236}">
              <a16:creationId xmlns:a16="http://schemas.microsoft.com/office/drawing/2014/main" id="{F9FC2499-7942-413B-BE59-1BD996A6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9777" y="251131"/>
          <a:ext cx="1127523" cy="7518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201100</xdr:colOff>
      <xdr:row>1</xdr:row>
      <xdr:rowOff>15808</xdr:rowOff>
    </xdr:from>
    <xdr:to>
      <xdr:col>1</xdr:col>
      <xdr:colOff>645064</xdr:colOff>
      <xdr:row>4</xdr:row>
      <xdr:rowOff>175211</xdr:rowOff>
    </xdr:to>
    <xdr:pic>
      <xdr:nvPicPr>
        <xdr:cNvPr id="2" name="Image 9">
          <a:extLst>
            <a:ext uri="{FF2B5EF4-FFF2-40B4-BE49-F238E27FC236}">
              <a16:creationId xmlns:a16="http://schemas.microsoft.com/office/drawing/2014/main" id="{C84A1276-D4E5-41AE-92A3-742F514A3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00" y="206308"/>
          <a:ext cx="1129764" cy="755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425218</xdr:colOff>
      <xdr:row>0</xdr:row>
      <xdr:rowOff>60631</xdr:rowOff>
    </xdr:from>
    <xdr:to>
      <xdr:col>1</xdr:col>
      <xdr:colOff>1552741</xdr:colOff>
      <xdr:row>4</xdr:row>
      <xdr:rowOff>72901</xdr:rowOff>
    </xdr:to>
    <xdr:pic>
      <xdr:nvPicPr>
        <xdr:cNvPr id="2" name="Image 9">
          <a:extLst>
            <a:ext uri="{FF2B5EF4-FFF2-40B4-BE49-F238E27FC236}">
              <a16:creationId xmlns:a16="http://schemas.microsoft.com/office/drawing/2014/main" id="{012944A3-CD24-435B-BFA7-1644E046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77" y="60631"/>
          <a:ext cx="1127523" cy="7518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meagroup.sharepoint.com/sites/SYSKERN/Shared%20Documents/General/UKN%20PRODUCTS%20DATABASE%20&amp;%20PRICELIST/Packing%20details/ODOO%20ITEMS%20BASE%20250725.xlsx" TargetMode="External"/><Relationship Id="rId1" Type="http://schemas.openxmlformats.org/officeDocument/2006/relationships/externalLinkPath" Target="/sites/SYSKERN/Shared%20Documents/General/Packing%20details/ODOO%20ITEMS%20BASE%202507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meagroup.sharepoint.com/sites/SYSKERN/Shared%20Documents/General/UKN%20PRODUCTS%20DATABASE%20&amp;%20PRICELIST/2025/UKN_RANGE_PRICES_SEPTEMBER%202025%20-%20Q3&amp;Q4_v4.xlsx" TargetMode="External"/><Relationship Id="rId1" Type="http://schemas.openxmlformats.org/officeDocument/2006/relationships/externalLinkPath" Target="2025/UKN_RANGE_PRICES_SEPTEMBER%202025%20-%20Q3&amp;Q4_v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YMEA%20-%20UNIKKERN\BUSINESS\ELENDIL\UKN_RANGE_PRICES_MARCH%202024_v4.xlsx" TargetMode="External"/><Relationship Id="rId1" Type="http://schemas.openxmlformats.org/officeDocument/2006/relationships/externalLinkPath" Target="file:///D:\WORK\SYMEA%20-%20UNIKKERN\BUSINESS\ELENDIL\UKN_RANGE_PRICES_MARCH%202024_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2513\Desktop\BASE_210126_UPDATED.xlsx" TargetMode="External"/><Relationship Id="rId1" Type="http://schemas.openxmlformats.org/officeDocument/2006/relationships/externalLinkPath" Target="file:///C:\Users\22513\Desktop\BASE_210126_UPDATE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meagroup.sharepoint.com/sites/EGS-China/Shared%20Documents/SYMEA%20UKN/TDS/@%20SYSKERN%20UNIKKERN/UKN%20all%20items%20list%20-%20GTIN%20code%20&amp;%20packing%20details.xlsx" TargetMode="External"/><Relationship Id="rId1" Type="http://schemas.openxmlformats.org/officeDocument/2006/relationships/externalLinkPath" Target="/sites/EGS-China/Shared%20Documents/SYMEA%20UKN/TDS/@%20SYSKERN%20UNIKKERN/UKN%20all%20items%20list%20-%20GTIN%20code%20&amp;%20packing%20detail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2513\Desktop\MIRSAN_PRICES_LIST_2025.xlsx" TargetMode="External"/><Relationship Id="rId1" Type="http://schemas.openxmlformats.org/officeDocument/2006/relationships/externalLinkPath" Target="file:///C:\Users\22513\Desktop\MIRSAN_PRICES_LIST_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meagroup.sharepoint.com/sites/SYSKERN/Shared%20Documents/General/ACHATS/3.0%20MIRSAN/MIRSAN_PRICES_LIST_2025.xlsx" TargetMode="External"/><Relationship Id="rId1" Type="http://schemas.openxmlformats.org/officeDocument/2006/relationships/externalLinkPath" Target="/sites/SYSKERN/Shared%20Documents/General/ACHATS/3.0%20MIRSAN/MIRSAN_PRICES_LIST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A1" t="str">
            <v>Nom</v>
          </cell>
          <cell r="B1" t="str">
            <v>Item code</v>
          </cell>
        </row>
        <row r="2">
          <cell r="A2" t="str">
            <v>CR6ASSTPOH0,3GS</v>
          </cell>
          <cell r="B2"/>
        </row>
        <row r="3">
          <cell r="A3" t="str">
            <v>CR6ASSTPOH1GS</v>
          </cell>
          <cell r="B3"/>
        </row>
        <row r="4">
          <cell r="A4" t="str">
            <v>CR6ASSTPOH2GS</v>
          </cell>
          <cell r="B4"/>
        </row>
        <row r="5">
          <cell r="A5" t="str">
            <v>CR6ASSTPOH3GS</v>
          </cell>
          <cell r="B5"/>
        </row>
        <row r="6">
          <cell r="A6" t="str">
            <v>CR6ASSTPOH5GS</v>
          </cell>
          <cell r="B6"/>
        </row>
        <row r="7">
          <cell r="A7" t="str">
            <v>ELLCCFRHP4X15T10</v>
          </cell>
          <cell r="B7" t="str">
            <v>Z0401001</v>
          </cell>
        </row>
        <row r="8">
          <cell r="A8" t="str">
            <v>ELLCCFRHSLOZ1225T10</v>
          </cell>
          <cell r="B8" t="str">
            <v>Z0401002</v>
          </cell>
        </row>
        <row r="9">
          <cell r="A9" t="str">
            <v>ELLCCFRHSLOZ215T10</v>
          </cell>
          <cell r="B9" t="str">
            <v>Z0401003</v>
          </cell>
        </row>
        <row r="10">
          <cell r="A10" t="str">
            <v>ELLCCFRHSLOZ415T10</v>
          </cell>
          <cell r="B10" t="str">
            <v>Z0401004</v>
          </cell>
        </row>
        <row r="11">
          <cell r="A11" t="str">
            <v>ELLCCFRHSLOZ46T15</v>
          </cell>
          <cell r="B11" t="str">
            <v>Z0401005</v>
          </cell>
        </row>
        <row r="12">
          <cell r="A12" t="str">
            <v>ELLCCFRHSLOZ725T10</v>
          </cell>
          <cell r="B12" t="str">
            <v>Z0401006</v>
          </cell>
        </row>
        <row r="13">
          <cell r="A13" t="str">
            <v>ELLEGFA19P2088T500</v>
          </cell>
          <cell r="B13" t="str">
            <v>Z0401007</v>
          </cell>
        </row>
        <row r="14">
          <cell r="A14" t="str">
            <v>ELLEGFA1Q4088T500</v>
          </cell>
          <cell r="B14" t="str">
            <v>Z0401008</v>
          </cell>
        </row>
        <row r="15">
          <cell r="A15" t="str">
            <v>ELLU1000RVFV12G2.5T1000</v>
          </cell>
          <cell r="B15" t="str">
            <v>Z0402001</v>
          </cell>
        </row>
        <row r="16">
          <cell r="A16" t="str">
            <v>K19SK1</v>
          </cell>
          <cell r="B16" t="str">
            <v>U1301004</v>
          </cell>
        </row>
        <row r="17">
          <cell r="A17" t="str">
            <v>KCDOM3LCLC1MEF</v>
          </cell>
          <cell r="B17" t="str">
            <v>U0901001</v>
          </cell>
        </row>
        <row r="18">
          <cell r="A18"/>
          <cell r="B18"/>
        </row>
        <row r="19">
          <cell r="A19"/>
          <cell r="B19"/>
        </row>
        <row r="20">
          <cell r="A20"/>
          <cell r="B20"/>
        </row>
        <row r="21">
          <cell r="A21" t="str">
            <v>KCDOM3LCLC2MEF</v>
          </cell>
          <cell r="B21" t="str">
            <v>U0901002</v>
          </cell>
        </row>
        <row r="22">
          <cell r="A22" t="str">
            <v>KCDOM3LCLC3MEF</v>
          </cell>
          <cell r="B22" t="str">
            <v>U0901003</v>
          </cell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 t="str">
            <v>KCDOM3LCLC5MEF</v>
          </cell>
          <cell r="B26" t="str">
            <v>U0901004</v>
          </cell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 t="str">
            <v>KCDOM3SCLC1MEF</v>
          </cell>
          <cell r="B30" t="str">
            <v>U0901005</v>
          </cell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 t="str">
            <v>KCDOM3SCLC2MEF</v>
          </cell>
          <cell r="B34" t="str">
            <v>U0901006</v>
          </cell>
        </row>
        <row r="35">
          <cell r="A35" t="str">
            <v>KCDOM3SCLC3MEF</v>
          </cell>
          <cell r="B35" t="str">
            <v>U0901007</v>
          </cell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 t="str">
            <v>KCDOM3SCLC5MEF</v>
          </cell>
          <cell r="B39" t="str">
            <v>U0901008</v>
          </cell>
        </row>
        <row r="40">
          <cell r="A40" t="str">
            <v>KCDOM3SCSC1MEF</v>
          </cell>
          <cell r="B40" t="str">
            <v>U0901009</v>
          </cell>
        </row>
        <row r="41">
          <cell r="A41" t="str">
            <v>KCDOM3SCSC2MEF</v>
          </cell>
          <cell r="B41" t="str">
            <v>U0901010</v>
          </cell>
        </row>
        <row r="42">
          <cell r="A42" t="str">
            <v>KCDOM3SCSC3MEF</v>
          </cell>
          <cell r="B42" t="str">
            <v>U0901011</v>
          </cell>
        </row>
        <row r="43">
          <cell r="A43" t="str">
            <v>KCDOM3SCSC5MEF</v>
          </cell>
          <cell r="B43" t="str">
            <v>U0901012</v>
          </cell>
        </row>
        <row r="44">
          <cell r="A44" t="str">
            <v>KCDOM4LCLC1MEF</v>
          </cell>
          <cell r="B44" t="str">
            <v>U0902001</v>
          </cell>
        </row>
        <row r="45">
          <cell r="A45"/>
          <cell r="B45"/>
        </row>
        <row r="46">
          <cell r="A46"/>
          <cell r="B46"/>
        </row>
        <row r="47">
          <cell r="A47"/>
          <cell r="B47"/>
        </row>
        <row r="48">
          <cell r="A48" t="str">
            <v>KCDOM4LCLC2MEF</v>
          </cell>
          <cell r="B48" t="str">
            <v>U0902002</v>
          </cell>
        </row>
        <row r="49">
          <cell r="A49"/>
          <cell r="B49"/>
        </row>
        <row r="50">
          <cell r="A50"/>
          <cell r="B50"/>
        </row>
        <row r="51">
          <cell r="A51"/>
          <cell r="B51"/>
        </row>
        <row r="52">
          <cell r="A52" t="str">
            <v>KCDOM4LCLC3MEF</v>
          </cell>
          <cell r="B52" t="str">
            <v>U0902003</v>
          </cell>
        </row>
        <row r="53">
          <cell r="A53"/>
          <cell r="B53"/>
        </row>
        <row r="54">
          <cell r="A54"/>
          <cell r="B54"/>
        </row>
        <row r="55">
          <cell r="A55"/>
          <cell r="B55"/>
        </row>
        <row r="56">
          <cell r="A56" t="str">
            <v>KCDOM4LCLC5MEF</v>
          </cell>
          <cell r="B56" t="str">
            <v>U0902004</v>
          </cell>
        </row>
        <row r="57">
          <cell r="A57"/>
          <cell r="B57"/>
        </row>
        <row r="58">
          <cell r="A58"/>
          <cell r="B58"/>
        </row>
        <row r="59">
          <cell r="A59"/>
          <cell r="B59"/>
        </row>
        <row r="60">
          <cell r="A60" t="str">
            <v>KCDOM4SCLC1MEF</v>
          </cell>
          <cell r="B60" t="str">
            <v>U0902005</v>
          </cell>
        </row>
        <row r="61">
          <cell r="A61" t="str">
            <v>KCDOM4SCLC2MEF</v>
          </cell>
          <cell r="B61" t="str">
            <v>U0902006</v>
          </cell>
        </row>
        <row r="62">
          <cell r="A62" t="str">
            <v>KCDOM4SCLC3MEF</v>
          </cell>
          <cell r="B62" t="str">
            <v>U0902007</v>
          </cell>
        </row>
        <row r="63">
          <cell r="A63" t="str">
            <v>KCDOM4SCLC5MEF</v>
          </cell>
          <cell r="B63" t="str">
            <v>U0902008</v>
          </cell>
        </row>
        <row r="64">
          <cell r="A64" t="str">
            <v>KCDOM4SCSC1MEF</v>
          </cell>
          <cell r="B64" t="str">
            <v>U0902009</v>
          </cell>
        </row>
        <row r="65">
          <cell r="A65" t="str">
            <v>KCDOM4SCSC2MEF</v>
          </cell>
          <cell r="B65" t="str">
            <v>U0902010</v>
          </cell>
        </row>
        <row r="66">
          <cell r="A66" t="str">
            <v>KCDOM4SCSC3MEF</v>
          </cell>
          <cell r="B66" t="str">
            <v>U0902011</v>
          </cell>
        </row>
        <row r="67">
          <cell r="A67" t="str">
            <v>KCDOM4SCSC5MEF</v>
          </cell>
          <cell r="B67" t="str">
            <v>U0902012</v>
          </cell>
        </row>
        <row r="68">
          <cell r="A68" t="str">
            <v>KCDOM5LCLC1MEF</v>
          </cell>
          <cell r="B68" t="str">
            <v>U0903001</v>
          </cell>
        </row>
        <row r="69">
          <cell r="A69" t="str">
            <v>KCDOM5LCLC2MEF</v>
          </cell>
          <cell r="B69" t="str">
            <v>U0903002</v>
          </cell>
        </row>
        <row r="70">
          <cell r="A70" t="str">
            <v>KCDOM5LCLC3MEF</v>
          </cell>
          <cell r="B70" t="str">
            <v>U0903003</v>
          </cell>
        </row>
        <row r="71">
          <cell r="A71" t="str">
            <v>KCDOM5LCLC5MEF</v>
          </cell>
          <cell r="B71" t="str">
            <v>U0903004</v>
          </cell>
        </row>
        <row r="72">
          <cell r="A72" t="str">
            <v>KCDOM5SCLC1MEF</v>
          </cell>
          <cell r="B72" t="str">
            <v>U0903005</v>
          </cell>
        </row>
        <row r="73">
          <cell r="A73" t="str">
            <v>KCDOM5SCLC2MEF</v>
          </cell>
          <cell r="B73" t="str">
            <v>U0903006</v>
          </cell>
        </row>
        <row r="74">
          <cell r="A74" t="str">
            <v>KCDOM5SCLC3MEF</v>
          </cell>
          <cell r="B74" t="str">
            <v>U0903007</v>
          </cell>
        </row>
        <row r="75">
          <cell r="A75" t="str">
            <v>KCDOM5SCLC5MEF</v>
          </cell>
          <cell r="B75" t="str">
            <v>U0903008</v>
          </cell>
        </row>
        <row r="76">
          <cell r="A76" t="str">
            <v>KCDOM5SCSC1MEF</v>
          </cell>
          <cell r="B76" t="str">
            <v>U0903009</v>
          </cell>
        </row>
        <row r="77">
          <cell r="A77" t="str">
            <v>KCDOM5SCSC2MEF</v>
          </cell>
          <cell r="B77" t="str">
            <v>U0903010</v>
          </cell>
        </row>
        <row r="78">
          <cell r="A78" t="str">
            <v>KCDOM5SCSC3MEF</v>
          </cell>
          <cell r="B78" t="str">
            <v>U0903011</v>
          </cell>
        </row>
        <row r="79">
          <cell r="A79" t="str">
            <v>KCDOM5SCSC5MEF</v>
          </cell>
          <cell r="B79" t="str">
            <v>U0903012</v>
          </cell>
        </row>
        <row r="80">
          <cell r="A80" t="str">
            <v>KCDOS2LCLC1MEF</v>
          </cell>
          <cell r="B80" t="str">
            <v>U0904001</v>
          </cell>
        </row>
        <row r="81">
          <cell r="A81"/>
          <cell r="B81"/>
        </row>
        <row r="82">
          <cell r="A82"/>
          <cell r="B82"/>
        </row>
        <row r="83">
          <cell r="A83"/>
          <cell r="B83"/>
        </row>
        <row r="84">
          <cell r="A84" t="str">
            <v>KCDOS2LCLC2MEF</v>
          </cell>
          <cell r="B84" t="str">
            <v>U0904002</v>
          </cell>
        </row>
        <row r="85">
          <cell r="A85" t="str">
            <v>KCDOS2LCLC3MEF</v>
          </cell>
          <cell r="B85" t="str">
            <v>U0904003</v>
          </cell>
        </row>
        <row r="86">
          <cell r="A86"/>
          <cell r="B86"/>
        </row>
        <row r="87">
          <cell r="A87"/>
          <cell r="B87"/>
        </row>
        <row r="88">
          <cell r="A88"/>
          <cell r="B88"/>
        </row>
        <row r="89">
          <cell r="A89" t="str">
            <v>KCDOS2LCLC5MEF</v>
          </cell>
          <cell r="B89" t="str">
            <v>U0904004</v>
          </cell>
        </row>
        <row r="90">
          <cell r="A90"/>
          <cell r="B90"/>
        </row>
        <row r="91">
          <cell r="A91"/>
          <cell r="B91"/>
        </row>
        <row r="92">
          <cell r="A92"/>
          <cell r="B92"/>
        </row>
        <row r="93">
          <cell r="A93" t="str">
            <v>KCDOS2SCLC1MEF</v>
          </cell>
          <cell r="B93" t="str">
            <v>U0904005</v>
          </cell>
        </row>
        <row r="94">
          <cell r="A94"/>
          <cell r="B94"/>
        </row>
        <row r="95">
          <cell r="A95"/>
          <cell r="B95"/>
        </row>
        <row r="96">
          <cell r="A96"/>
          <cell r="B96"/>
        </row>
        <row r="97">
          <cell r="A97" t="str">
            <v>KCDOS2SCLC2MEF</v>
          </cell>
          <cell r="B97" t="str">
            <v>U0904006</v>
          </cell>
        </row>
        <row r="98">
          <cell r="A98" t="str">
            <v>KCDOS2SCLC3MEF</v>
          </cell>
          <cell r="B98" t="str">
            <v>U0904007</v>
          </cell>
        </row>
        <row r="99">
          <cell r="A99" t="str">
            <v>KCDOS2SCLC5MEF</v>
          </cell>
          <cell r="B99" t="str">
            <v>U0904008</v>
          </cell>
        </row>
        <row r="100">
          <cell r="A100" t="str">
            <v>KCDOS2SCSC1MEF</v>
          </cell>
          <cell r="B100" t="str">
            <v>U0904009</v>
          </cell>
        </row>
        <row r="101">
          <cell r="A101" t="str">
            <v>KCDOS2SCSC2MEF</v>
          </cell>
          <cell r="B101" t="str">
            <v>U0904010</v>
          </cell>
        </row>
        <row r="102">
          <cell r="A102" t="str">
            <v>KCDOS2SCSC3MEF</v>
          </cell>
          <cell r="B102" t="str">
            <v>U0904011</v>
          </cell>
        </row>
        <row r="103">
          <cell r="A103" t="str">
            <v>KCDOS2SCSC5MEF</v>
          </cell>
          <cell r="B103" t="str">
            <v>U0904012</v>
          </cell>
        </row>
        <row r="104">
          <cell r="A104" t="str">
            <v>KCFF6A4PZHB2BL5</v>
          </cell>
          <cell r="B104" t="str">
            <v>U0103002</v>
          </cell>
        </row>
        <row r="105">
          <cell r="A105"/>
          <cell r="B105"/>
        </row>
        <row r="106">
          <cell r="A106" t="str">
            <v>KCFF6A4PZHCBL5</v>
          </cell>
          <cell r="B106" t="str">
            <v>U0103003</v>
          </cell>
        </row>
        <row r="107">
          <cell r="A107"/>
          <cell r="B107"/>
        </row>
        <row r="108">
          <cell r="A108" t="str">
            <v>KCFF6A4PZHCBLB</v>
          </cell>
          <cell r="B108" t="str">
            <v>U0103019</v>
          </cell>
        </row>
        <row r="109">
          <cell r="A109" t="str">
            <v>KCFF6A4PZHCOUT5</v>
          </cell>
          <cell r="B109" t="str">
            <v>U0103004</v>
          </cell>
        </row>
        <row r="110">
          <cell r="A110" t="str">
            <v>KCFF6A4PZHDBL5</v>
          </cell>
          <cell r="B110" t="str">
            <v>U0103001</v>
          </cell>
        </row>
        <row r="111">
          <cell r="A111"/>
          <cell r="B111"/>
        </row>
        <row r="112">
          <cell r="A112" t="str">
            <v>KCFF6A4PZHDBL5ST</v>
          </cell>
          <cell r="B112" t="str">
            <v>U0103005</v>
          </cell>
        </row>
        <row r="113">
          <cell r="A113" t="str">
            <v>KCFF6A4PZHDBLB</v>
          </cell>
          <cell r="B113" t="str">
            <v>U0103006</v>
          </cell>
        </row>
        <row r="114">
          <cell r="A114"/>
          <cell r="B114"/>
        </row>
        <row r="115">
          <cell r="A115" t="str">
            <v>KCFF6A4PZHDGR5</v>
          </cell>
          <cell r="B115" t="str">
            <v>U0103016</v>
          </cell>
        </row>
        <row r="116">
          <cell r="A116"/>
          <cell r="B116"/>
        </row>
        <row r="117">
          <cell r="A117" t="str">
            <v>KCFF6A8PZHCBL5</v>
          </cell>
          <cell r="B117" t="str">
            <v>U0103020</v>
          </cell>
        </row>
        <row r="118">
          <cell r="A118"/>
          <cell r="B118"/>
        </row>
        <row r="119">
          <cell r="A119" t="str">
            <v>KCFF6A8PZHDBL5</v>
          </cell>
          <cell r="B119" t="str">
            <v>U0103007</v>
          </cell>
        </row>
        <row r="120">
          <cell r="A120"/>
          <cell r="B120"/>
        </row>
        <row r="121">
          <cell r="A121" t="str">
            <v>KCFF6A8PZHDGR5</v>
          </cell>
          <cell r="B121" t="str">
            <v>U0103017</v>
          </cell>
        </row>
        <row r="122">
          <cell r="A122"/>
          <cell r="B122"/>
        </row>
        <row r="123">
          <cell r="A123" t="str">
            <v>KCFU5E4PDGR5</v>
          </cell>
          <cell r="B123" t="str">
            <v>U0101001</v>
          </cell>
        </row>
        <row r="124">
          <cell r="A124" t="str">
            <v>KCFU5E4PZHDGR5</v>
          </cell>
          <cell r="B124" t="str">
            <v>U0101002</v>
          </cell>
        </row>
        <row r="125">
          <cell r="A125" t="str">
            <v>KCFU64PZHDGR5</v>
          </cell>
          <cell r="B125" t="str">
            <v>U0102001</v>
          </cell>
        </row>
        <row r="126">
          <cell r="A126"/>
          <cell r="B126"/>
        </row>
        <row r="127">
          <cell r="A127" t="str">
            <v>KCFU64PZHDGRB</v>
          </cell>
          <cell r="B127" t="str">
            <v>U0102002</v>
          </cell>
        </row>
        <row r="128">
          <cell r="A128" t="str">
            <v>KCFU68PZHDGR5</v>
          </cell>
          <cell r="B128" t="str">
            <v>U0102003</v>
          </cell>
        </row>
        <row r="129">
          <cell r="A129"/>
          <cell r="B129"/>
        </row>
        <row r="130">
          <cell r="A130" t="str">
            <v>KCFU6A4PZHDWH5</v>
          </cell>
          <cell r="B130" t="str">
            <v>U0103018</v>
          </cell>
        </row>
        <row r="131">
          <cell r="A131"/>
          <cell r="B131"/>
        </row>
        <row r="132">
          <cell r="A132" t="str">
            <v>KCSF6A4PZHCBL5</v>
          </cell>
          <cell r="B132" t="str">
            <v>U0103008</v>
          </cell>
        </row>
        <row r="133">
          <cell r="A133" t="str">
            <v>KCSF6A4PZHDBL5</v>
          </cell>
          <cell r="B133" t="str">
            <v>U0103009</v>
          </cell>
        </row>
        <row r="134">
          <cell r="A134"/>
          <cell r="B134"/>
        </row>
        <row r="135">
          <cell r="A135" t="str">
            <v>KCSF6A4PZHMCB2R</v>
          </cell>
          <cell r="B135" t="str">
            <v>U0103022</v>
          </cell>
        </row>
        <row r="136">
          <cell r="A136" t="str">
            <v>KCSF6A8PZHCBL5</v>
          </cell>
          <cell r="B136" t="str">
            <v>U0103021</v>
          </cell>
        </row>
        <row r="137">
          <cell r="A137" t="str">
            <v>KCSF6A8PZHDBL5</v>
          </cell>
          <cell r="B137" t="str">
            <v>U0103023</v>
          </cell>
        </row>
        <row r="138">
          <cell r="A138"/>
          <cell r="B138"/>
        </row>
        <row r="139">
          <cell r="A139" t="str">
            <v>KCSF74PEAOUT5</v>
          </cell>
          <cell r="B139" t="str">
            <v>U0104001</v>
          </cell>
        </row>
        <row r="140">
          <cell r="A140" t="str">
            <v>KCSF74PEOUT5</v>
          </cell>
          <cell r="B140" t="str">
            <v>U0104002</v>
          </cell>
        </row>
        <row r="141">
          <cell r="A141" t="str">
            <v>KCSF74PZHB2OR5</v>
          </cell>
          <cell r="B141" t="str">
            <v>U0104003</v>
          </cell>
        </row>
        <row r="142">
          <cell r="A142"/>
          <cell r="B142"/>
        </row>
        <row r="143">
          <cell r="A143" t="str">
            <v>KCSF74PZHCOR5</v>
          </cell>
          <cell r="B143" t="str">
            <v>U0104004</v>
          </cell>
        </row>
        <row r="144">
          <cell r="A144"/>
          <cell r="B144"/>
        </row>
        <row r="145">
          <cell r="A145" t="str">
            <v>KCSF74PZHDOR5</v>
          </cell>
          <cell r="B145" t="str">
            <v>U0104006</v>
          </cell>
        </row>
        <row r="146">
          <cell r="A146"/>
          <cell r="B146"/>
        </row>
        <row r="147">
          <cell r="A147" t="str">
            <v>KCSF78PZHCOR5</v>
          </cell>
          <cell r="B147" t="str">
            <v>U0104007</v>
          </cell>
        </row>
        <row r="148">
          <cell r="A148"/>
          <cell r="B148"/>
        </row>
        <row r="149">
          <cell r="A149" t="str">
            <v>KCSF78PZHDOR5</v>
          </cell>
          <cell r="B149" t="str">
            <v>U0104008</v>
          </cell>
        </row>
        <row r="150">
          <cell r="A150"/>
          <cell r="B150"/>
        </row>
        <row r="151">
          <cell r="A151" t="str">
            <v>KCSF7A4PBZHCYE5</v>
          </cell>
          <cell r="B151" t="str">
            <v>U0105001</v>
          </cell>
        </row>
        <row r="152">
          <cell r="A152" t="str">
            <v>KCSF7A4PZHCYE5</v>
          </cell>
          <cell r="B152" t="str">
            <v>U0105002</v>
          </cell>
        </row>
        <row r="153">
          <cell r="A153" t="str">
            <v>KCSF84PZHB2LI5</v>
          </cell>
          <cell r="B153" t="str">
            <v>U0106001</v>
          </cell>
        </row>
        <row r="154">
          <cell r="A154" t="str">
            <v>KCSFU5E4PZHDGR5</v>
          </cell>
          <cell r="B154" t="str">
            <v>U0101003</v>
          </cell>
        </row>
        <row r="155">
          <cell r="A155" t="str">
            <v>KCU5E4PZHDGR5</v>
          </cell>
          <cell r="B155" t="str">
            <v>U0101004</v>
          </cell>
        </row>
        <row r="156">
          <cell r="A156" t="str">
            <v>KCU64PEOUT5</v>
          </cell>
          <cell r="B156" t="str">
            <v>U0102004</v>
          </cell>
        </row>
        <row r="157">
          <cell r="A157" t="str">
            <v>KCU64PLGRB</v>
          </cell>
          <cell r="B157" t="str">
            <v>U0102005</v>
          </cell>
        </row>
        <row r="158">
          <cell r="A158"/>
          <cell r="B158"/>
        </row>
        <row r="159">
          <cell r="A159" t="str">
            <v>KCU64PLZHDGR5</v>
          </cell>
          <cell r="B159" t="str">
            <v>U0102006</v>
          </cell>
        </row>
        <row r="160">
          <cell r="A160"/>
          <cell r="B160"/>
        </row>
        <row r="161">
          <cell r="A161" t="str">
            <v>KCU64PLZHDGRB</v>
          </cell>
          <cell r="B161" t="str">
            <v>U0102007</v>
          </cell>
        </row>
        <row r="162">
          <cell r="A162"/>
          <cell r="B162"/>
        </row>
        <row r="163">
          <cell r="A163" t="str">
            <v>KCU64PZHDGR5</v>
          </cell>
          <cell r="B163" t="str">
            <v>U0102008</v>
          </cell>
        </row>
        <row r="164">
          <cell r="A164" t="str">
            <v>KCU64PZHDGRB</v>
          </cell>
          <cell r="B164" t="str">
            <v>U0102009</v>
          </cell>
        </row>
        <row r="165">
          <cell r="A165" t="str">
            <v>KCU6A4PLZHDBL5</v>
          </cell>
          <cell r="B165" t="str">
            <v>U0103010</v>
          </cell>
        </row>
        <row r="166">
          <cell r="A166"/>
          <cell r="B166"/>
        </row>
        <row r="167">
          <cell r="A167" t="str">
            <v>KCU6A4PZHDBL5</v>
          </cell>
          <cell r="B167" t="str">
            <v>U0103011</v>
          </cell>
        </row>
        <row r="168">
          <cell r="A168" t="str">
            <v>KCUF6A4PZHB2BL5</v>
          </cell>
          <cell r="B168" t="str">
            <v>U0103012</v>
          </cell>
        </row>
        <row r="169">
          <cell r="A169"/>
          <cell r="B169"/>
        </row>
        <row r="170">
          <cell r="A170" t="str">
            <v>KCUF6A4PZHCBL5</v>
          </cell>
          <cell r="B170" t="str">
            <v>U0103013</v>
          </cell>
        </row>
        <row r="171">
          <cell r="A171"/>
          <cell r="B171"/>
        </row>
        <row r="172">
          <cell r="A172" t="str">
            <v>KCUF6A4PZHDBL5</v>
          </cell>
          <cell r="B172" t="str">
            <v>U0103014</v>
          </cell>
        </row>
        <row r="173">
          <cell r="A173"/>
          <cell r="B173"/>
        </row>
        <row r="174">
          <cell r="A174" t="str">
            <v>KCUF6A8PZHDBL5</v>
          </cell>
          <cell r="B174" t="str">
            <v>U0103015</v>
          </cell>
        </row>
        <row r="175">
          <cell r="A175"/>
          <cell r="B175"/>
        </row>
        <row r="176">
          <cell r="A176" t="str">
            <v>KFO12OM3CT</v>
          </cell>
          <cell r="B176" t="str">
            <v>U0802001</v>
          </cell>
        </row>
        <row r="177">
          <cell r="A177" t="str">
            <v>KFO12OM3CTA</v>
          </cell>
          <cell r="B177" t="str">
            <v>U0801001</v>
          </cell>
        </row>
        <row r="178">
          <cell r="A178" t="str">
            <v>KFO12OM3CTZHC</v>
          </cell>
          <cell r="B178" t="str">
            <v>U0803019</v>
          </cell>
        </row>
        <row r="179">
          <cell r="A179" t="str">
            <v>KFO12OM3CTZHD20</v>
          </cell>
          <cell r="B179" t="str">
            <v>U0803001</v>
          </cell>
        </row>
        <row r="180">
          <cell r="A180" t="str">
            <v>KFO12OM3TBZHC</v>
          </cell>
          <cell r="B180" t="str">
            <v>U0807001</v>
          </cell>
        </row>
        <row r="181">
          <cell r="A181" t="str">
            <v>KFO12OM4CTZHD20</v>
          </cell>
          <cell r="B181" t="str">
            <v>U0803002</v>
          </cell>
        </row>
        <row r="182">
          <cell r="A182" t="str">
            <v>KFO12OM4TBZHC</v>
          </cell>
          <cell r="B182" t="str">
            <v>U0807002</v>
          </cell>
        </row>
        <row r="183">
          <cell r="A183" t="str">
            <v>KFO12OM5CTZHD</v>
          </cell>
          <cell r="B183" t="str">
            <v>U0803003</v>
          </cell>
        </row>
        <row r="184">
          <cell r="A184" t="str">
            <v>KFO12OM5TBZHC</v>
          </cell>
          <cell r="B184" t="str">
            <v>U0807003</v>
          </cell>
        </row>
        <row r="185">
          <cell r="A185" t="str">
            <v>KFO12OS2CT</v>
          </cell>
          <cell r="B185" t="str">
            <v>U0802002</v>
          </cell>
        </row>
        <row r="186">
          <cell r="A186" t="str">
            <v>KFO12OS2CTA20</v>
          </cell>
          <cell r="B186" t="str">
            <v>U0801002</v>
          </cell>
        </row>
        <row r="187">
          <cell r="A187" t="str">
            <v>KFO12OS2CTZHC</v>
          </cell>
          <cell r="B187" t="str">
            <v>U0803020</v>
          </cell>
        </row>
        <row r="188">
          <cell r="A188" t="str">
            <v>KFO12OS2CTZHD20</v>
          </cell>
          <cell r="B188" t="str">
            <v>U0803004</v>
          </cell>
        </row>
        <row r="189">
          <cell r="A189" t="str">
            <v>KFO12OS2TBZHC</v>
          </cell>
          <cell r="B189" t="str">
            <v>U0807004</v>
          </cell>
        </row>
        <row r="190">
          <cell r="A190" t="str">
            <v>KFO24OM3CT</v>
          </cell>
          <cell r="B190" t="str">
            <v>U0802003</v>
          </cell>
        </row>
        <row r="191">
          <cell r="A191" t="str">
            <v>KFO24OM3CTA</v>
          </cell>
          <cell r="B191" t="str">
            <v>U0801003</v>
          </cell>
        </row>
        <row r="192">
          <cell r="A192" t="str">
            <v>KFO24OM3CTZHC</v>
          </cell>
          <cell r="B192" t="str">
            <v>U0803021</v>
          </cell>
        </row>
        <row r="193">
          <cell r="A193" t="str">
            <v>KFO24OM3CTZHD</v>
          </cell>
          <cell r="B193" t="str">
            <v>U0803005</v>
          </cell>
        </row>
        <row r="194">
          <cell r="A194" t="str">
            <v>KFO24OM3TBZHC</v>
          </cell>
          <cell r="B194" t="str">
            <v>U0807005</v>
          </cell>
        </row>
        <row r="195">
          <cell r="A195" t="str">
            <v>KFO24OM4CTZHD20</v>
          </cell>
          <cell r="B195" t="str">
            <v>U0803006</v>
          </cell>
        </row>
        <row r="196">
          <cell r="A196" t="str">
            <v>KFO24OM4TBZHC</v>
          </cell>
          <cell r="B196" t="str">
            <v>U0807006</v>
          </cell>
        </row>
        <row r="197">
          <cell r="A197" t="str">
            <v>KFO24OM5CTZHD</v>
          </cell>
          <cell r="B197" t="str">
            <v>U0803007</v>
          </cell>
        </row>
        <row r="198">
          <cell r="A198" t="str">
            <v>KFO24OM5TBZHC</v>
          </cell>
          <cell r="B198" t="str">
            <v>U0807007</v>
          </cell>
        </row>
        <row r="199">
          <cell r="A199" t="str">
            <v>KFO24OS2CT</v>
          </cell>
          <cell r="B199" t="str">
            <v>U0802004</v>
          </cell>
        </row>
        <row r="200">
          <cell r="A200" t="str">
            <v>KFO24OS2CTA20</v>
          </cell>
          <cell r="B200" t="str">
            <v>U0801004</v>
          </cell>
        </row>
        <row r="201">
          <cell r="A201" t="str">
            <v>KFO24OS2CTABLE20</v>
          </cell>
          <cell r="B201" t="str">
            <v>U0801009</v>
          </cell>
        </row>
        <row r="202">
          <cell r="A202" t="str">
            <v>KFO24OS2CTAZHBLE20</v>
          </cell>
          <cell r="B202" t="str">
            <v>U0808003</v>
          </cell>
        </row>
        <row r="203">
          <cell r="A203" t="str">
            <v>KFO24OS2CTZHC</v>
          </cell>
          <cell r="B203" t="str">
            <v>U0803022</v>
          </cell>
        </row>
        <row r="204">
          <cell r="A204" t="str">
            <v>KFO24OS2CTZHD20</v>
          </cell>
          <cell r="B204" t="str">
            <v>U0803008</v>
          </cell>
        </row>
        <row r="205">
          <cell r="A205" t="str">
            <v>KFO24OS2MTBLE15</v>
          </cell>
          <cell r="B205" t="str">
            <v>U0805009</v>
          </cell>
        </row>
        <row r="206">
          <cell r="A206" t="str">
            <v>KFO24OS2MTBLE25</v>
          </cell>
          <cell r="B206" t="str">
            <v>U0805010</v>
          </cell>
        </row>
        <row r="207">
          <cell r="A207" t="str">
            <v>KFO24OS2TBZHC</v>
          </cell>
          <cell r="B207" t="str">
            <v>U0807008</v>
          </cell>
        </row>
        <row r="208">
          <cell r="A208" t="str">
            <v>KFO48OM3MT</v>
          </cell>
          <cell r="B208" t="str">
            <v>U0805001</v>
          </cell>
        </row>
        <row r="209">
          <cell r="A209" t="str">
            <v>KFO48OM3MTA</v>
          </cell>
          <cell r="B209" t="str">
            <v>U0804001</v>
          </cell>
        </row>
        <row r="210">
          <cell r="A210" t="str">
            <v>KFO48OM3MTZHD</v>
          </cell>
          <cell r="B210" t="str">
            <v>U0806001</v>
          </cell>
        </row>
        <row r="211">
          <cell r="A211" t="str">
            <v>KFO48OM4MT</v>
          </cell>
          <cell r="B211" t="str">
            <v>U0805002</v>
          </cell>
        </row>
        <row r="212">
          <cell r="A212" t="str">
            <v>KFO48OM4MTA</v>
          </cell>
          <cell r="B212" t="str">
            <v>U0804002</v>
          </cell>
        </row>
        <row r="213">
          <cell r="A213" t="str">
            <v>KFO48OM4MTZHD</v>
          </cell>
          <cell r="B213" t="str">
            <v>U0806002</v>
          </cell>
        </row>
        <row r="214">
          <cell r="A214" t="str">
            <v>KFO48OM5MTZHD</v>
          </cell>
          <cell r="B214" t="str">
            <v>U0806003</v>
          </cell>
        </row>
        <row r="215">
          <cell r="A215" t="str">
            <v>KFO48OS2MT</v>
          </cell>
          <cell r="B215" t="str">
            <v>U0805003</v>
          </cell>
        </row>
        <row r="216">
          <cell r="A216" t="str">
            <v>KFO48OS2MTA</v>
          </cell>
          <cell r="B216" t="str">
            <v>U0804003</v>
          </cell>
        </row>
        <row r="217">
          <cell r="A217" t="str">
            <v>KFO48OS2MTAZHBLE30</v>
          </cell>
          <cell r="B217" t="str">
            <v>U0808001</v>
          </cell>
        </row>
        <row r="218">
          <cell r="A218" t="str">
            <v>KFO48OS2MTAZHBLE40</v>
          </cell>
          <cell r="B218" t="str">
            <v>U0808002</v>
          </cell>
        </row>
        <row r="219">
          <cell r="A219" t="str">
            <v>KFO48OS2MTBLE20</v>
          </cell>
          <cell r="B219" t="str">
            <v>U0805007</v>
          </cell>
        </row>
        <row r="220">
          <cell r="A220" t="str">
            <v>KFO48OS2MTBLE25</v>
          </cell>
          <cell r="B220" t="str">
            <v>U0805008</v>
          </cell>
        </row>
        <row r="221">
          <cell r="A221" t="str">
            <v>KFO48OS2MTZHD</v>
          </cell>
          <cell r="B221" t="str">
            <v>U0806004</v>
          </cell>
        </row>
        <row r="222">
          <cell r="A222" t="str">
            <v>KFO6OM3CT</v>
          </cell>
          <cell r="B222" t="str">
            <v>U0802005</v>
          </cell>
        </row>
        <row r="223">
          <cell r="A223" t="str">
            <v>KFO6OM3CTA</v>
          </cell>
          <cell r="B223" t="str">
            <v>U0801005</v>
          </cell>
        </row>
        <row r="224">
          <cell r="A224" t="str">
            <v>KFO6OM3CTZHD</v>
          </cell>
          <cell r="B224" t="str">
            <v>U0803009</v>
          </cell>
        </row>
        <row r="225">
          <cell r="A225" t="str">
            <v>KFO6OM3CTZHD20</v>
          </cell>
          <cell r="B225" t="str">
            <v>U0803010</v>
          </cell>
        </row>
        <row r="226">
          <cell r="A226" t="str">
            <v>KFO6OM3TBZHC</v>
          </cell>
          <cell r="B226" t="str">
            <v>U0807009</v>
          </cell>
        </row>
        <row r="227">
          <cell r="A227" t="str">
            <v>KFO6OM4CTZHD</v>
          </cell>
          <cell r="B227" t="str">
            <v>U0803011</v>
          </cell>
        </row>
        <row r="228">
          <cell r="A228" t="str">
            <v>KFO6OM4TBZHC</v>
          </cell>
          <cell r="B228" t="str">
            <v>U0807010</v>
          </cell>
        </row>
        <row r="229">
          <cell r="A229" t="str">
            <v>KFO6OM5CTZHD</v>
          </cell>
          <cell r="B229" t="str">
            <v>U0803012</v>
          </cell>
        </row>
        <row r="230">
          <cell r="A230" t="str">
            <v>KFO6OM5TBZHC</v>
          </cell>
          <cell r="B230" t="str">
            <v>U0807011</v>
          </cell>
        </row>
        <row r="231">
          <cell r="A231" t="str">
            <v>KFO6OS2CT</v>
          </cell>
          <cell r="B231" t="str">
            <v>U0802006</v>
          </cell>
        </row>
        <row r="232">
          <cell r="A232" t="str">
            <v>KFO6OS2CTA</v>
          </cell>
          <cell r="B232" t="str">
            <v>U0801006</v>
          </cell>
        </row>
        <row r="233">
          <cell r="A233" t="str">
            <v>KFO6OS2CTRZHD20</v>
          </cell>
          <cell r="B233" t="str">
            <v>U0803013</v>
          </cell>
        </row>
        <row r="234">
          <cell r="A234" t="str">
            <v>KFO6OS2CTZHC</v>
          </cell>
          <cell r="B234" t="str">
            <v>U0803023</v>
          </cell>
        </row>
        <row r="235">
          <cell r="A235" t="str">
            <v>KFO6OS2CTZHD20</v>
          </cell>
          <cell r="B235" t="str">
            <v>U0803014</v>
          </cell>
        </row>
        <row r="236">
          <cell r="A236" t="str">
            <v>KFO6OS2TBZHC</v>
          </cell>
          <cell r="B236" t="str">
            <v>U0807012</v>
          </cell>
        </row>
        <row r="237">
          <cell r="A237" t="str">
            <v>KFO8OM3CT</v>
          </cell>
          <cell r="B237" t="str">
            <v>U0802007</v>
          </cell>
        </row>
        <row r="238">
          <cell r="A238" t="str">
            <v>KFO8OM3CTA</v>
          </cell>
          <cell r="B238" t="str">
            <v>U0801007</v>
          </cell>
        </row>
        <row r="239">
          <cell r="A239" t="str">
            <v>KFO8OM3CTZHD</v>
          </cell>
          <cell r="B239" t="str">
            <v>U0803015</v>
          </cell>
        </row>
        <row r="240">
          <cell r="A240" t="str">
            <v>KFO8OM3TBZHC</v>
          </cell>
          <cell r="B240" t="str">
            <v>U0807013</v>
          </cell>
        </row>
        <row r="241">
          <cell r="A241" t="str">
            <v>KFO8OM4CTZHD20</v>
          </cell>
          <cell r="B241" t="str">
            <v>U0803016</v>
          </cell>
        </row>
        <row r="242">
          <cell r="A242" t="str">
            <v>KFO8OM4TBZHC</v>
          </cell>
          <cell r="B242" t="str">
            <v>U0807014</v>
          </cell>
        </row>
        <row r="243">
          <cell r="A243" t="str">
            <v>KFO8OM5CTZHD</v>
          </cell>
          <cell r="B243" t="str">
            <v>U0803017</v>
          </cell>
        </row>
        <row r="244">
          <cell r="A244" t="str">
            <v>KFO8OM5TBZHC</v>
          </cell>
          <cell r="B244" t="str">
            <v>U0807015</v>
          </cell>
        </row>
        <row r="245">
          <cell r="A245" t="str">
            <v>KFO8OS2CT</v>
          </cell>
          <cell r="B245" t="str">
            <v>U0802008</v>
          </cell>
        </row>
        <row r="246">
          <cell r="A246" t="str">
            <v>KFO8OS2CTA</v>
          </cell>
          <cell r="B246" t="str">
            <v>U0801008</v>
          </cell>
        </row>
        <row r="247">
          <cell r="A247" t="str">
            <v>KFO8OS2CTZHD20</v>
          </cell>
          <cell r="B247" t="str">
            <v>U0803018</v>
          </cell>
        </row>
        <row r="248">
          <cell r="A248" t="str">
            <v>KFO8OS2TBZHC</v>
          </cell>
          <cell r="B248" t="str">
            <v>U0807016</v>
          </cell>
        </row>
        <row r="249">
          <cell r="A249" t="str">
            <v>KFO96OM3MT</v>
          </cell>
          <cell r="B249" t="str">
            <v>U0805004</v>
          </cell>
        </row>
        <row r="250">
          <cell r="A250" t="str">
            <v>KFO96OM3MTA</v>
          </cell>
          <cell r="B250" t="str">
            <v>U0804004</v>
          </cell>
        </row>
        <row r="251">
          <cell r="A251" t="str">
            <v>KFO96OM3MTZHD</v>
          </cell>
          <cell r="B251" t="str">
            <v>U0806005</v>
          </cell>
        </row>
        <row r="252">
          <cell r="A252" t="str">
            <v>KFO96OM4MT</v>
          </cell>
          <cell r="B252" t="str">
            <v>U0805005</v>
          </cell>
        </row>
        <row r="253">
          <cell r="A253" t="str">
            <v>KFO96OM4MTA</v>
          </cell>
          <cell r="B253" t="str">
            <v>U0804005</v>
          </cell>
        </row>
        <row r="254">
          <cell r="A254" t="str">
            <v>KFO96OM4MTZHD</v>
          </cell>
          <cell r="B254" t="str">
            <v>U0806006</v>
          </cell>
        </row>
        <row r="255">
          <cell r="A255" t="str">
            <v>KFO96OM5MTZHD</v>
          </cell>
          <cell r="B255" t="str">
            <v>U0806007</v>
          </cell>
        </row>
        <row r="256">
          <cell r="A256" t="str">
            <v>KFO96OS2MT</v>
          </cell>
          <cell r="B256" t="str">
            <v>U0805006</v>
          </cell>
        </row>
        <row r="257">
          <cell r="A257" t="str">
            <v>KFO96OS2MTA</v>
          </cell>
          <cell r="B257" t="str">
            <v>U0804006</v>
          </cell>
        </row>
        <row r="258">
          <cell r="A258" t="str">
            <v>KFO96OS2MTZHD</v>
          </cell>
          <cell r="B258" t="str">
            <v>U0806008</v>
          </cell>
        </row>
        <row r="259">
          <cell r="A259" t="str">
            <v>KFP225451PEF8</v>
          </cell>
          <cell r="B259" t="str">
            <v>U0301001</v>
          </cell>
        </row>
        <row r="260">
          <cell r="A260" t="str">
            <v>KFP45451PABEF8</v>
          </cell>
          <cell r="B260" t="str">
            <v>U0301002</v>
          </cell>
        </row>
        <row r="261">
          <cell r="A261"/>
          <cell r="B261"/>
        </row>
        <row r="262">
          <cell r="A262"/>
          <cell r="B262"/>
        </row>
        <row r="263">
          <cell r="A263"/>
          <cell r="B263"/>
        </row>
        <row r="264">
          <cell r="A264" t="str">
            <v>KFP45451PANGEF8</v>
          </cell>
          <cell r="B264" t="str">
            <v>U0301003</v>
          </cell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 t="str">
            <v>KFP45451PEF8</v>
          </cell>
          <cell r="B268" t="str">
            <v>U0301004</v>
          </cell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 t="str">
            <v>KFP45452PABEF8</v>
          </cell>
          <cell r="B272" t="str">
            <v>U0301005</v>
          </cell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 t="str">
            <v>KFP45452PANGEF8</v>
          </cell>
          <cell r="B276" t="str">
            <v>U0301006</v>
          </cell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 t="str">
            <v>KFP45452PEF8</v>
          </cell>
          <cell r="B280" t="str">
            <v>U0301007</v>
          </cell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 t="str">
            <v>KJ5EFSEF24</v>
          </cell>
          <cell r="B284" t="str">
            <v>U0201001</v>
          </cell>
        </row>
        <row r="285">
          <cell r="A285" t="str">
            <v>KJ5EU180DEF24</v>
          </cell>
          <cell r="B285" t="str">
            <v>U0201002</v>
          </cell>
        </row>
        <row r="286">
          <cell r="A286" t="str">
            <v>KJ6ADSBL</v>
          </cell>
          <cell r="B286" t="str">
            <v>U0203001</v>
          </cell>
        </row>
        <row r="287">
          <cell r="A287" t="str">
            <v>KJ6ADSGE</v>
          </cell>
          <cell r="B287" t="str">
            <v>U0203002</v>
          </cell>
        </row>
        <row r="288">
          <cell r="A288" t="str">
            <v>KJ6ADSOR</v>
          </cell>
          <cell r="B288" t="str">
            <v>U0203003</v>
          </cell>
        </row>
        <row r="289">
          <cell r="A289" t="str">
            <v>KJ6ADSRD</v>
          </cell>
          <cell r="B289" t="str">
            <v>U0203004</v>
          </cell>
        </row>
        <row r="290">
          <cell r="A290" t="str">
            <v>KJ6AFSEF1</v>
          </cell>
          <cell r="B290" t="str">
            <v>U0203005</v>
          </cell>
        </row>
        <row r="291">
          <cell r="A291"/>
          <cell r="B291"/>
        </row>
        <row r="292">
          <cell r="A292"/>
          <cell r="B292"/>
        </row>
        <row r="293">
          <cell r="A293" t="str">
            <v>KJ6AFSEF24</v>
          </cell>
          <cell r="B293" t="str">
            <v>U0203006</v>
          </cell>
        </row>
        <row r="294">
          <cell r="A294"/>
          <cell r="B294"/>
        </row>
        <row r="295">
          <cell r="A295"/>
          <cell r="B295"/>
        </row>
        <row r="296">
          <cell r="A296" t="str">
            <v>KJ6AFSEF8</v>
          </cell>
          <cell r="B296" t="str">
            <v>U0203007</v>
          </cell>
        </row>
        <row r="297">
          <cell r="A297"/>
          <cell r="B297"/>
        </row>
        <row r="298">
          <cell r="A298"/>
          <cell r="B298"/>
        </row>
        <row r="299">
          <cell r="A299" t="str">
            <v>KJ6AFSHQEF1</v>
          </cell>
          <cell r="B299" t="str">
            <v>U0203008</v>
          </cell>
        </row>
        <row r="300">
          <cell r="A300"/>
          <cell r="B300"/>
        </row>
        <row r="301">
          <cell r="A301"/>
          <cell r="B301"/>
        </row>
        <row r="302">
          <cell r="A302" t="str">
            <v>KJ6AFSHQEF24</v>
          </cell>
          <cell r="B302" t="str">
            <v>U0203009</v>
          </cell>
        </row>
        <row r="303">
          <cell r="A303"/>
          <cell r="B303"/>
        </row>
        <row r="304">
          <cell r="A304"/>
          <cell r="B304"/>
        </row>
        <row r="305">
          <cell r="A305" t="str">
            <v>KJ6AFSHQEF8</v>
          </cell>
          <cell r="B305" t="str">
            <v>U0203010</v>
          </cell>
        </row>
        <row r="306">
          <cell r="A306"/>
          <cell r="B306"/>
        </row>
        <row r="307">
          <cell r="A307"/>
          <cell r="B307"/>
        </row>
        <row r="308">
          <cell r="A308" t="str">
            <v>KJ6AUEF24</v>
          </cell>
          <cell r="B308" t="str">
            <v>U0203011</v>
          </cell>
        </row>
        <row r="309">
          <cell r="A309"/>
          <cell r="B309"/>
        </row>
        <row r="310">
          <cell r="A310"/>
          <cell r="B310"/>
        </row>
        <row r="311">
          <cell r="A311" t="str">
            <v>KJ6AUHQEF24</v>
          </cell>
          <cell r="B311" t="str">
            <v>U0203012</v>
          </cell>
        </row>
        <row r="312">
          <cell r="A312"/>
          <cell r="B312"/>
        </row>
        <row r="313">
          <cell r="A313"/>
          <cell r="B313"/>
        </row>
        <row r="314">
          <cell r="A314" t="str">
            <v>KJ6FSEF1</v>
          </cell>
          <cell r="B314" t="str">
            <v>U0202001</v>
          </cell>
        </row>
        <row r="315">
          <cell r="A315"/>
          <cell r="B315"/>
        </row>
        <row r="316">
          <cell r="A316"/>
          <cell r="B316"/>
        </row>
        <row r="317">
          <cell r="A317" t="str">
            <v>KJ6FSEF24</v>
          </cell>
          <cell r="B317" t="str">
            <v>U0202002</v>
          </cell>
        </row>
        <row r="318">
          <cell r="A318"/>
          <cell r="B318"/>
        </row>
        <row r="319">
          <cell r="A319"/>
          <cell r="B319"/>
        </row>
        <row r="320">
          <cell r="A320" t="str">
            <v>KJ6FSEF8</v>
          </cell>
          <cell r="B320" t="str">
            <v>U0202003</v>
          </cell>
        </row>
        <row r="321">
          <cell r="A321"/>
          <cell r="B321"/>
        </row>
        <row r="322">
          <cell r="A322"/>
          <cell r="B322"/>
        </row>
        <row r="323">
          <cell r="A323" t="str">
            <v>KJ6FSHQEF24</v>
          </cell>
          <cell r="B323" t="str">
            <v>U0202004</v>
          </cell>
        </row>
        <row r="324">
          <cell r="A324"/>
          <cell r="B324"/>
        </row>
        <row r="325">
          <cell r="A325"/>
          <cell r="B325"/>
        </row>
        <row r="326">
          <cell r="A326" t="str">
            <v>KJ6FSHQEF8</v>
          </cell>
          <cell r="B326" t="str">
            <v>U0202005</v>
          </cell>
        </row>
        <row r="327">
          <cell r="A327"/>
          <cell r="B327"/>
        </row>
        <row r="328">
          <cell r="A328"/>
          <cell r="B328"/>
        </row>
        <row r="329">
          <cell r="A329" t="str">
            <v>KJ6U180DEF24</v>
          </cell>
          <cell r="B329" t="str">
            <v>U0202006</v>
          </cell>
        </row>
        <row r="330">
          <cell r="A330"/>
          <cell r="B330"/>
        </row>
        <row r="331">
          <cell r="A331"/>
          <cell r="B331"/>
        </row>
        <row r="332">
          <cell r="A332" t="str">
            <v>KJ6U90DEF24</v>
          </cell>
          <cell r="B332" t="str">
            <v>U0202007</v>
          </cell>
        </row>
        <row r="333">
          <cell r="A333"/>
          <cell r="B333"/>
        </row>
        <row r="334">
          <cell r="A334"/>
          <cell r="B334"/>
        </row>
        <row r="335">
          <cell r="A335" t="str">
            <v>KJ6UEF24</v>
          </cell>
          <cell r="B335" t="str">
            <v>U0202008</v>
          </cell>
        </row>
        <row r="336">
          <cell r="A336"/>
          <cell r="B336"/>
        </row>
        <row r="337">
          <cell r="A337"/>
          <cell r="B337"/>
        </row>
        <row r="338">
          <cell r="A338" t="str">
            <v>KJ6UHQEF24</v>
          </cell>
          <cell r="B338" t="str">
            <v>U0202009</v>
          </cell>
        </row>
        <row r="339">
          <cell r="A339"/>
          <cell r="B339"/>
        </row>
        <row r="340">
          <cell r="A340"/>
          <cell r="B340"/>
        </row>
        <row r="341">
          <cell r="A341" t="str">
            <v>KJ8FSHQEF24</v>
          </cell>
          <cell r="B341" t="str">
            <v>U0204001</v>
          </cell>
        </row>
        <row r="342">
          <cell r="A342" t="str">
            <v>KJPP1U245EUEF</v>
          </cell>
          <cell r="B342" t="str">
            <v>U0501001</v>
          </cell>
        </row>
        <row r="343">
          <cell r="A343" t="str">
            <v>KJPP1U246SHQEF</v>
          </cell>
          <cell r="B343" t="str">
            <v>U0501002</v>
          </cell>
        </row>
        <row r="344">
          <cell r="A344" t="str">
            <v>KJPP1U246UEF</v>
          </cell>
          <cell r="B344" t="str">
            <v>U0501003</v>
          </cell>
        </row>
        <row r="345">
          <cell r="A345" t="str">
            <v>KJPP1U25UEF</v>
          </cell>
          <cell r="B345" t="str">
            <v>U0501004</v>
          </cell>
        </row>
        <row r="346">
          <cell r="A346" t="str">
            <v>KJPP1U50UEF</v>
          </cell>
          <cell r="B346" t="str">
            <v>U0501005</v>
          </cell>
        </row>
        <row r="347">
          <cell r="A347" t="str">
            <v>KJPP1U60UEF</v>
          </cell>
          <cell r="B347" t="str">
            <v>U0501006</v>
          </cell>
        </row>
        <row r="348">
          <cell r="A348" t="str">
            <v>KJPP1UBCANEF</v>
          </cell>
          <cell r="B348" t="str">
            <v>U0501007</v>
          </cell>
        </row>
        <row r="349">
          <cell r="A349"/>
          <cell r="B349"/>
        </row>
        <row r="350">
          <cell r="A350"/>
          <cell r="B350"/>
        </row>
        <row r="351">
          <cell r="A351" t="str">
            <v>KJPP1UBCEF</v>
          </cell>
          <cell r="B351" t="str">
            <v>U0501008</v>
          </cell>
        </row>
        <row r="352">
          <cell r="A352"/>
          <cell r="B352"/>
        </row>
        <row r="353">
          <cell r="A353"/>
          <cell r="B353"/>
        </row>
        <row r="354">
          <cell r="A354" t="str">
            <v>KJPP1UBCTEF</v>
          </cell>
          <cell r="B354" t="str">
            <v>U0501009</v>
          </cell>
        </row>
        <row r="355">
          <cell r="A355"/>
          <cell r="B355"/>
        </row>
        <row r="356">
          <cell r="A356"/>
          <cell r="B356"/>
        </row>
        <row r="357">
          <cell r="A357" t="str">
            <v>KJPP1UBEF</v>
          </cell>
          <cell r="B357" t="str">
            <v>U0501010</v>
          </cell>
        </row>
        <row r="358">
          <cell r="A358"/>
          <cell r="B358"/>
        </row>
        <row r="359">
          <cell r="A359"/>
          <cell r="B359"/>
        </row>
        <row r="360">
          <cell r="A360" t="str">
            <v>KJPP1UBMCTEF</v>
          </cell>
          <cell r="B360" t="str">
            <v>U0501011</v>
          </cell>
        </row>
        <row r="361">
          <cell r="A361"/>
          <cell r="B361"/>
        </row>
        <row r="362">
          <cell r="A362"/>
          <cell r="B362"/>
        </row>
        <row r="363">
          <cell r="A363" t="str">
            <v>KJPP1UCE</v>
          </cell>
          <cell r="B363" t="str">
            <v>U0501012</v>
          </cell>
        </row>
        <row r="364">
          <cell r="A364" t="str">
            <v>KJPP1UEF</v>
          </cell>
          <cell r="B364" t="str">
            <v>U0501013</v>
          </cell>
        </row>
        <row r="365">
          <cell r="A365"/>
          <cell r="B365"/>
        </row>
        <row r="366">
          <cell r="A366"/>
          <cell r="B366"/>
        </row>
        <row r="367">
          <cell r="A367" t="str">
            <v>KJPP1UUEF</v>
          </cell>
          <cell r="B367" t="str">
            <v>U0501014</v>
          </cell>
        </row>
        <row r="368">
          <cell r="A368"/>
          <cell r="B368"/>
        </row>
        <row r="369">
          <cell r="A369"/>
          <cell r="B369"/>
        </row>
        <row r="370">
          <cell r="A370" t="str">
            <v>KJPP2UBMCTEF</v>
          </cell>
          <cell r="B370" t="str">
            <v>U0501015</v>
          </cell>
        </row>
        <row r="371">
          <cell r="A371"/>
          <cell r="B371"/>
        </row>
        <row r="372">
          <cell r="A372"/>
          <cell r="B372"/>
        </row>
        <row r="373">
          <cell r="A373" t="str">
            <v>KJPPGC45</v>
          </cell>
          <cell r="B373" t="str">
            <v>U0501016</v>
          </cell>
        </row>
        <row r="374">
          <cell r="A374" t="str">
            <v>KN-AR2V3240T400</v>
          </cell>
          <cell r="B374" t="str">
            <v>Z0402002</v>
          </cell>
        </row>
        <row r="375">
          <cell r="A375" t="str">
            <v>KN-R2V3G10T500</v>
          </cell>
          <cell r="B375" t="str">
            <v>Z0402003</v>
          </cell>
        </row>
        <row r="376">
          <cell r="A376" t="str">
            <v>KN-R2V3G15T500</v>
          </cell>
          <cell r="B376" t="str">
            <v>Z0402004</v>
          </cell>
        </row>
        <row r="377">
          <cell r="A377" t="str">
            <v>KN-R2V3G16T500</v>
          </cell>
          <cell r="B377" t="str">
            <v>Z0402005</v>
          </cell>
        </row>
        <row r="378">
          <cell r="A378" t="str">
            <v>KN-R2V3G25T500</v>
          </cell>
          <cell r="B378" t="str">
            <v>Z0402006</v>
          </cell>
        </row>
        <row r="379">
          <cell r="A379" t="str">
            <v>KN-R2V3G4T500</v>
          </cell>
          <cell r="B379" t="str">
            <v>Z0402007</v>
          </cell>
        </row>
        <row r="380">
          <cell r="A380" t="str">
            <v>KN-R2V3G6T500</v>
          </cell>
          <cell r="B380" t="str">
            <v>Z0402008</v>
          </cell>
        </row>
        <row r="381">
          <cell r="A381" t="str">
            <v>KN-R2V4G10T500</v>
          </cell>
          <cell r="B381" t="str">
            <v>Z0402009</v>
          </cell>
        </row>
        <row r="382">
          <cell r="A382" t="str">
            <v>KN-R2V4G15T500</v>
          </cell>
          <cell r="B382" t="str">
            <v>Z0402010</v>
          </cell>
        </row>
        <row r="383">
          <cell r="A383" t="str">
            <v>KN-R2V4G16T500</v>
          </cell>
          <cell r="B383" t="str">
            <v>Z0402011</v>
          </cell>
        </row>
        <row r="384">
          <cell r="A384" t="str">
            <v>KN-R2V4G25T500</v>
          </cell>
          <cell r="B384" t="str">
            <v>Z0402012</v>
          </cell>
        </row>
        <row r="385">
          <cell r="A385" t="str">
            <v>KN-R2V4G5T500</v>
          </cell>
          <cell r="B385" t="str">
            <v>Z0402013</v>
          </cell>
        </row>
        <row r="386">
          <cell r="A386" t="str">
            <v>KN-R2V4G6T500</v>
          </cell>
          <cell r="B386" t="str">
            <v>Z0402014</v>
          </cell>
        </row>
        <row r="387">
          <cell r="A387" t="str">
            <v>KN-R2V5G10T500</v>
          </cell>
          <cell r="B387" t="str">
            <v>Z0402015</v>
          </cell>
        </row>
        <row r="388">
          <cell r="A388" t="str">
            <v>KN-R2V5G15T500</v>
          </cell>
          <cell r="B388" t="str">
            <v>Z0402016</v>
          </cell>
        </row>
        <row r="389">
          <cell r="A389" t="str">
            <v>KN-R2V5G16T500</v>
          </cell>
          <cell r="B389" t="str">
            <v>Z0402017</v>
          </cell>
        </row>
        <row r="390">
          <cell r="A390" t="str">
            <v>KN-R2V5G25T500</v>
          </cell>
          <cell r="B390" t="str">
            <v>Z0402018</v>
          </cell>
        </row>
        <row r="391">
          <cell r="A391" t="str">
            <v>KN-R2V5G4T500</v>
          </cell>
          <cell r="B391" t="str">
            <v>Z0402019</v>
          </cell>
        </row>
        <row r="392">
          <cell r="A392" t="str">
            <v>KN-R2V5G6T500</v>
          </cell>
          <cell r="B392" t="str">
            <v>Z0402020</v>
          </cell>
        </row>
        <row r="393">
          <cell r="A393" t="str">
            <v>KPDU6PCCB</v>
          </cell>
          <cell r="B393" t="str">
            <v>U1301001</v>
          </cell>
        </row>
        <row r="394">
          <cell r="A394" t="str">
            <v>KPDU8PC90</v>
          </cell>
          <cell r="B394" t="str">
            <v>U1301002</v>
          </cell>
        </row>
        <row r="395">
          <cell r="A395"/>
          <cell r="B395"/>
        </row>
        <row r="396">
          <cell r="A396"/>
          <cell r="B396"/>
        </row>
        <row r="397">
          <cell r="A397" t="str">
            <v>KPDU8PCSW90</v>
          </cell>
          <cell r="B397" t="str">
            <v>U1301003</v>
          </cell>
        </row>
        <row r="398">
          <cell r="A398"/>
          <cell r="B398"/>
        </row>
        <row r="399">
          <cell r="A399"/>
          <cell r="B399"/>
        </row>
        <row r="400">
          <cell r="A400" t="str">
            <v>KPFU5EZH03EF</v>
          </cell>
          <cell r="B400" t="str">
            <v>U0401001</v>
          </cell>
        </row>
        <row r="401">
          <cell r="A401" t="str">
            <v>KPFU5EZH05EF</v>
          </cell>
          <cell r="B401" t="str">
            <v>U0401002</v>
          </cell>
        </row>
        <row r="402">
          <cell r="A402" t="str">
            <v>KPFU5EZH10EF</v>
          </cell>
          <cell r="B402" t="str">
            <v>U0401003</v>
          </cell>
        </row>
        <row r="403">
          <cell r="A403" t="str">
            <v>KPFU5EZH1EF</v>
          </cell>
          <cell r="B403" t="str">
            <v>U0401004</v>
          </cell>
        </row>
        <row r="404">
          <cell r="A404" t="str">
            <v>KPFU5EZH2EF</v>
          </cell>
          <cell r="B404" t="str">
            <v>U0401005</v>
          </cell>
        </row>
        <row r="405">
          <cell r="A405" t="str">
            <v>KPFU5EZH3EF</v>
          </cell>
          <cell r="B405" t="str">
            <v>U0401006</v>
          </cell>
        </row>
        <row r="406">
          <cell r="A406" t="str">
            <v>KPFU5EZH5EF</v>
          </cell>
          <cell r="B406" t="str">
            <v>U0401007</v>
          </cell>
        </row>
        <row r="407">
          <cell r="A407" t="str">
            <v>KPFU603EF</v>
          </cell>
          <cell r="B407" t="str">
            <v>U0403001</v>
          </cell>
        </row>
        <row r="408">
          <cell r="A408"/>
          <cell r="B408"/>
        </row>
        <row r="409">
          <cell r="A409"/>
          <cell r="B409"/>
        </row>
        <row r="410">
          <cell r="A410"/>
          <cell r="B410"/>
        </row>
        <row r="411">
          <cell r="A411" t="str">
            <v>KPFU605EF</v>
          </cell>
          <cell r="B411" t="str">
            <v>U0403002</v>
          </cell>
        </row>
        <row r="412">
          <cell r="A412"/>
          <cell r="B412"/>
        </row>
        <row r="413">
          <cell r="A413"/>
          <cell r="B413"/>
        </row>
        <row r="414">
          <cell r="A414"/>
          <cell r="B414"/>
        </row>
        <row r="415">
          <cell r="A415" t="str">
            <v>KPFU610EF</v>
          </cell>
          <cell r="B415" t="str">
            <v>U0403003</v>
          </cell>
        </row>
        <row r="416">
          <cell r="A416"/>
          <cell r="B416"/>
        </row>
        <row r="417">
          <cell r="A417"/>
          <cell r="B417"/>
        </row>
        <row r="418">
          <cell r="A418"/>
          <cell r="B418"/>
        </row>
        <row r="419">
          <cell r="A419" t="str">
            <v>KPFU61EF</v>
          </cell>
          <cell r="B419" t="str">
            <v>U0403004</v>
          </cell>
        </row>
        <row r="420">
          <cell r="A420"/>
          <cell r="B420"/>
        </row>
        <row r="421">
          <cell r="A421"/>
          <cell r="B421"/>
        </row>
        <row r="422">
          <cell r="A422"/>
          <cell r="B422"/>
        </row>
        <row r="423">
          <cell r="A423" t="str">
            <v>KPFU62EF</v>
          </cell>
          <cell r="B423" t="str">
            <v>U0403005</v>
          </cell>
        </row>
        <row r="424">
          <cell r="A424"/>
          <cell r="B424"/>
        </row>
        <row r="425">
          <cell r="A425"/>
          <cell r="B425"/>
        </row>
        <row r="426">
          <cell r="A426"/>
          <cell r="B426"/>
        </row>
        <row r="427">
          <cell r="A427" t="str">
            <v>KPFU63EF</v>
          </cell>
          <cell r="B427" t="str">
            <v>U0403006</v>
          </cell>
        </row>
        <row r="428">
          <cell r="A428"/>
          <cell r="B428"/>
        </row>
        <row r="429">
          <cell r="A429"/>
          <cell r="B429"/>
        </row>
        <row r="430">
          <cell r="A430"/>
          <cell r="B430"/>
        </row>
        <row r="431">
          <cell r="A431" t="str">
            <v>KPFU65EF</v>
          </cell>
          <cell r="B431" t="str">
            <v>U0403007</v>
          </cell>
        </row>
        <row r="432">
          <cell r="A432"/>
          <cell r="B432"/>
        </row>
        <row r="433">
          <cell r="A433"/>
          <cell r="B433"/>
        </row>
        <row r="434">
          <cell r="A434"/>
          <cell r="B434"/>
        </row>
        <row r="435">
          <cell r="A435" t="str">
            <v>KPFU6ZH03EF</v>
          </cell>
          <cell r="B435" t="str">
            <v>U0403008</v>
          </cell>
        </row>
        <row r="436">
          <cell r="A436" t="str">
            <v>KPFU6ZH05EF</v>
          </cell>
          <cell r="B436" t="str">
            <v>U0403009</v>
          </cell>
        </row>
        <row r="437">
          <cell r="A437" t="str">
            <v>KPFU6ZH10EF</v>
          </cell>
          <cell r="B437" t="str">
            <v>U0403010</v>
          </cell>
        </row>
        <row r="438">
          <cell r="A438" t="str">
            <v>KPFU6ZH1EF</v>
          </cell>
          <cell r="B438" t="str">
            <v>U0403011</v>
          </cell>
        </row>
        <row r="439">
          <cell r="A439" t="str">
            <v>KPFU6ZH2EF</v>
          </cell>
          <cell r="B439" t="str">
            <v>U0403012</v>
          </cell>
        </row>
        <row r="440">
          <cell r="A440" t="str">
            <v>KPFU6ZH3EF</v>
          </cell>
          <cell r="B440" t="str">
            <v>U0403013</v>
          </cell>
        </row>
        <row r="441">
          <cell r="A441" t="str">
            <v>KPFU6ZH5EF</v>
          </cell>
          <cell r="B441" t="str">
            <v>U0403014</v>
          </cell>
        </row>
        <row r="442">
          <cell r="A442" t="str">
            <v>KPIGOM3LC2MEF</v>
          </cell>
          <cell r="B442" t="str">
            <v>U1101001</v>
          </cell>
        </row>
        <row r="443">
          <cell r="A443" t="str">
            <v>KPIGOM3SC2MEF</v>
          </cell>
          <cell r="B443" t="str">
            <v>U1101002</v>
          </cell>
        </row>
        <row r="444">
          <cell r="A444" t="str">
            <v>KPIGOM4LC2MEF</v>
          </cell>
          <cell r="B444" t="str">
            <v>U1102001</v>
          </cell>
        </row>
        <row r="445">
          <cell r="A445" t="str">
            <v>KPIGOM4SC2MEF</v>
          </cell>
          <cell r="B445" t="str">
            <v>U1102002</v>
          </cell>
        </row>
        <row r="446">
          <cell r="A446" t="str">
            <v>KPIGOM5LC2MEF</v>
          </cell>
          <cell r="B446" t="str">
            <v>U1103001</v>
          </cell>
        </row>
        <row r="447">
          <cell r="A447" t="str">
            <v>KPIGOM5SC2MEF</v>
          </cell>
          <cell r="B447" t="str">
            <v>U1103002</v>
          </cell>
        </row>
        <row r="448">
          <cell r="A448" t="str">
            <v>KPIGOS2LC2MEF</v>
          </cell>
          <cell r="B448" t="str">
            <v>U1104001</v>
          </cell>
        </row>
        <row r="449">
          <cell r="A449"/>
          <cell r="B449"/>
        </row>
        <row r="450">
          <cell r="A450"/>
          <cell r="B450"/>
        </row>
        <row r="451">
          <cell r="A451"/>
          <cell r="B451"/>
        </row>
        <row r="452">
          <cell r="A452" t="str">
            <v>KPIGOS2SC2MEF</v>
          </cell>
          <cell r="B452" t="str">
            <v>U1104002</v>
          </cell>
        </row>
        <row r="453">
          <cell r="A453"/>
          <cell r="B453"/>
        </row>
        <row r="454">
          <cell r="A454"/>
          <cell r="B454"/>
        </row>
        <row r="455">
          <cell r="A455"/>
          <cell r="B455"/>
        </row>
        <row r="456">
          <cell r="A456" t="str">
            <v>KPL45BIBOGR</v>
          </cell>
          <cell r="B456" t="str">
            <v>U0206001</v>
          </cell>
        </row>
        <row r="457">
          <cell r="A457" t="str">
            <v>KPL45BITOOL</v>
          </cell>
          <cell r="B457" t="str">
            <v>U0206002</v>
          </cell>
        </row>
        <row r="458">
          <cell r="A458" t="str">
            <v>KPL45S6</v>
          </cell>
          <cell r="B458" t="str">
            <v>U0206003</v>
          </cell>
        </row>
        <row r="459">
          <cell r="A459" t="str">
            <v>KPL45S6A</v>
          </cell>
          <cell r="B459" t="str">
            <v>U0206004</v>
          </cell>
        </row>
        <row r="460">
          <cell r="A460" t="str">
            <v>KPL45S6BI</v>
          </cell>
          <cell r="B460" t="str">
            <v>U0206005</v>
          </cell>
        </row>
        <row r="461">
          <cell r="A461" t="str">
            <v>KPL45U5E</v>
          </cell>
          <cell r="B461" t="str">
            <v>U0206006</v>
          </cell>
        </row>
        <row r="462">
          <cell r="A462" t="str">
            <v>KPL45U6</v>
          </cell>
          <cell r="B462" t="str">
            <v>U0206007</v>
          </cell>
        </row>
        <row r="463">
          <cell r="A463" t="str">
            <v>KPL6AFSEF8</v>
          </cell>
          <cell r="B463" t="str">
            <v>U0205001</v>
          </cell>
        </row>
        <row r="464">
          <cell r="A464" t="str">
            <v>KPL6AFSHQEF8</v>
          </cell>
          <cell r="B464" t="str">
            <v>U0205002</v>
          </cell>
        </row>
        <row r="465">
          <cell r="A465" t="str">
            <v>KPLFF6AFSEF8</v>
          </cell>
          <cell r="B465" t="str">
            <v>U0205003</v>
          </cell>
        </row>
        <row r="466">
          <cell r="A466" t="str">
            <v>KPSF6AZH03EF</v>
          </cell>
          <cell r="B466" t="str">
            <v>U0405001</v>
          </cell>
        </row>
        <row r="467">
          <cell r="A467"/>
          <cell r="B467"/>
        </row>
        <row r="468">
          <cell r="A468"/>
          <cell r="B468"/>
        </row>
        <row r="469">
          <cell r="A469"/>
          <cell r="B469"/>
        </row>
        <row r="470">
          <cell r="A470" t="str">
            <v>KPSF6AZH05EF</v>
          </cell>
          <cell r="B470" t="str">
            <v>U0405002</v>
          </cell>
        </row>
        <row r="471">
          <cell r="A471"/>
          <cell r="B471"/>
        </row>
        <row r="472">
          <cell r="A472"/>
          <cell r="B472"/>
        </row>
        <row r="473">
          <cell r="A473"/>
          <cell r="B473"/>
        </row>
        <row r="474">
          <cell r="A474" t="str">
            <v>KPSF6AZH10EF</v>
          </cell>
          <cell r="B474" t="str">
            <v>U0405003</v>
          </cell>
        </row>
        <row r="475">
          <cell r="A475"/>
          <cell r="B475"/>
        </row>
        <row r="476">
          <cell r="A476"/>
          <cell r="B476"/>
        </row>
        <row r="477">
          <cell r="A477"/>
          <cell r="B477"/>
        </row>
        <row r="478">
          <cell r="A478" t="str">
            <v>KPSF6AZH15EF</v>
          </cell>
          <cell r="B478" t="str">
            <v>U0405004</v>
          </cell>
        </row>
        <row r="479">
          <cell r="A479"/>
          <cell r="B479"/>
        </row>
        <row r="480">
          <cell r="A480"/>
          <cell r="B480"/>
        </row>
        <row r="481">
          <cell r="A481"/>
          <cell r="B481"/>
        </row>
        <row r="482">
          <cell r="A482" t="str">
            <v>KPSF6AZH1EF</v>
          </cell>
          <cell r="B482" t="str">
            <v>U0405005</v>
          </cell>
        </row>
        <row r="483">
          <cell r="A483"/>
          <cell r="B483"/>
        </row>
        <row r="484">
          <cell r="A484"/>
          <cell r="B484"/>
        </row>
        <row r="485">
          <cell r="A485"/>
          <cell r="B485"/>
        </row>
        <row r="486">
          <cell r="A486" t="str">
            <v>KPSF6AZH20EF</v>
          </cell>
          <cell r="B486" t="str">
            <v>U0405006</v>
          </cell>
        </row>
        <row r="487">
          <cell r="A487"/>
          <cell r="B487"/>
        </row>
        <row r="488">
          <cell r="A488"/>
          <cell r="B488"/>
        </row>
        <row r="489">
          <cell r="A489"/>
          <cell r="B489"/>
        </row>
        <row r="490">
          <cell r="A490" t="str">
            <v>KPSF6AZH2EF</v>
          </cell>
          <cell r="B490" t="str">
            <v>U0405007</v>
          </cell>
        </row>
        <row r="491">
          <cell r="A491"/>
          <cell r="B491"/>
        </row>
        <row r="492">
          <cell r="A492"/>
          <cell r="B492"/>
        </row>
        <row r="493">
          <cell r="A493"/>
          <cell r="B493"/>
        </row>
        <row r="494">
          <cell r="A494" t="str">
            <v>KPSF6AZH3EF</v>
          </cell>
          <cell r="B494" t="str">
            <v>U0405008</v>
          </cell>
        </row>
        <row r="495">
          <cell r="A495"/>
          <cell r="B495"/>
        </row>
        <row r="496">
          <cell r="A496"/>
          <cell r="B496"/>
        </row>
        <row r="497">
          <cell r="A497"/>
          <cell r="B497"/>
        </row>
        <row r="498">
          <cell r="A498" t="str">
            <v>KPSF6AZH5EF</v>
          </cell>
          <cell r="B498" t="str">
            <v>U0405009</v>
          </cell>
        </row>
        <row r="499">
          <cell r="A499"/>
          <cell r="B499"/>
        </row>
        <row r="500">
          <cell r="A500"/>
          <cell r="B500"/>
        </row>
        <row r="501">
          <cell r="A501"/>
          <cell r="B501"/>
        </row>
        <row r="502">
          <cell r="A502" t="str">
            <v>KPSF6AZHL03EF</v>
          </cell>
          <cell r="B502" t="str">
            <v>U0405010</v>
          </cell>
        </row>
        <row r="503">
          <cell r="A503" t="str">
            <v>KPSF6AZHL05EF</v>
          </cell>
          <cell r="B503" t="str">
            <v>U0405011</v>
          </cell>
        </row>
        <row r="504">
          <cell r="A504" t="str">
            <v>KPSF6AZHL10EF</v>
          </cell>
          <cell r="B504" t="str">
            <v>U0405012</v>
          </cell>
        </row>
        <row r="505">
          <cell r="A505" t="str">
            <v>KPSF6AZHL1EF</v>
          </cell>
          <cell r="B505" t="str">
            <v>U0405013</v>
          </cell>
        </row>
        <row r="506">
          <cell r="A506" t="str">
            <v>KPSF6AZHL2EF</v>
          </cell>
          <cell r="B506" t="str">
            <v>U0405014</v>
          </cell>
        </row>
        <row r="507">
          <cell r="A507" t="str">
            <v>KPSF6AZHL3EF</v>
          </cell>
          <cell r="B507" t="str">
            <v>U0405015</v>
          </cell>
        </row>
        <row r="508">
          <cell r="A508" t="str">
            <v>KPSF6AZHL5EF</v>
          </cell>
          <cell r="B508" t="str">
            <v>U0405016</v>
          </cell>
        </row>
        <row r="509">
          <cell r="A509" t="str">
            <v>KPSF8ZH03EF</v>
          </cell>
          <cell r="B509" t="str">
            <v>U0407001</v>
          </cell>
        </row>
        <row r="510">
          <cell r="A510" t="str">
            <v>KPSF8ZH05EF</v>
          </cell>
          <cell r="B510" t="str">
            <v>U0407002</v>
          </cell>
        </row>
        <row r="511">
          <cell r="A511" t="str">
            <v>KPSF8ZH10EF</v>
          </cell>
          <cell r="B511" t="str">
            <v>U0407003</v>
          </cell>
        </row>
        <row r="512">
          <cell r="A512" t="str">
            <v>KPSF8ZH1EF</v>
          </cell>
          <cell r="B512" t="str">
            <v>U0407004</v>
          </cell>
        </row>
        <row r="513">
          <cell r="A513" t="str">
            <v>KPSF8ZH2EF</v>
          </cell>
          <cell r="B513" t="str">
            <v>U0407005</v>
          </cell>
        </row>
        <row r="514">
          <cell r="A514" t="str">
            <v>KPSF8ZH3EF</v>
          </cell>
          <cell r="B514" t="str">
            <v>U0407006</v>
          </cell>
        </row>
        <row r="515">
          <cell r="A515" t="str">
            <v>KPSF8ZH5EF</v>
          </cell>
          <cell r="B515" t="str">
            <v>U0407007</v>
          </cell>
        </row>
        <row r="516">
          <cell r="A516" t="str">
            <v>KPSLF6AZHSL03EF</v>
          </cell>
          <cell r="B516" t="str">
            <v>U0405017</v>
          </cell>
        </row>
        <row r="517">
          <cell r="A517" t="str">
            <v>KPSLF6AZHSL05EF</v>
          </cell>
          <cell r="B517" t="str">
            <v>U0405018</v>
          </cell>
        </row>
        <row r="518">
          <cell r="A518" t="str">
            <v>KPSLF6AZHSL10EF</v>
          </cell>
          <cell r="B518" t="str">
            <v>U0405019</v>
          </cell>
        </row>
        <row r="519">
          <cell r="A519" t="str">
            <v>KPSLF6AZHSL1EF</v>
          </cell>
          <cell r="B519" t="str">
            <v>U0405020</v>
          </cell>
        </row>
        <row r="520">
          <cell r="A520" t="str">
            <v>KPSLF6AZHSL2EF</v>
          </cell>
          <cell r="B520" t="str">
            <v>U0405021</v>
          </cell>
        </row>
        <row r="521">
          <cell r="A521" t="str">
            <v>KPSLF6AZHSL3EF</v>
          </cell>
          <cell r="B521" t="str">
            <v>U0405022</v>
          </cell>
        </row>
        <row r="522">
          <cell r="A522" t="str">
            <v>KPSLF6AZHSL5EF</v>
          </cell>
          <cell r="B522" t="str">
            <v>U0405023</v>
          </cell>
        </row>
        <row r="523">
          <cell r="A523" t="str">
            <v>KPUU5EZH03EF</v>
          </cell>
          <cell r="B523" t="str">
            <v>U0402001</v>
          </cell>
        </row>
        <row r="524">
          <cell r="A524" t="str">
            <v>KPUU5EZH05EF</v>
          </cell>
          <cell r="B524" t="str">
            <v>U0402002</v>
          </cell>
        </row>
        <row r="525">
          <cell r="A525" t="str">
            <v>KPUU5EZH10EF</v>
          </cell>
          <cell r="B525" t="str">
            <v>U0402003</v>
          </cell>
        </row>
        <row r="526">
          <cell r="A526" t="str">
            <v>KPUU5EZH1EF</v>
          </cell>
          <cell r="B526" t="str">
            <v>U0402004</v>
          </cell>
        </row>
        <row r="527">
          <cell r="A527" t="str">
            <v>KPUU5EZH2EF</v>
          </cell>
          <cell r="B527" t="str">
            <v>U0402005</v>
          </cell>
        </row>
        <row r="528">
          <cell r="A528" t="str">
            <v>KPUU5EZH3EF</v>
          </cell>
          <cell r="B528" t="str">
            <v>U0402006</v>
          </cell>
        </row>
        <row r="529">
          <cell r="A529" t="str">
            <v>KPUU5EZH5EF</v>
          </cell>
          <cell r="B529" t="str">
            <v>U0402007</v>
          </cell>
        </row>
        <row r="530">
          <cell r="A530" t="str">
            <v>KPUU6AZH03EF</v>
          </cell>
          <cell r="B530" t="str">
            <v>U0406001</v>
          </cell>
        </row>
        <row r="531">
          <cell r="A531" t="str">
            <v>KPUU6AZH05EF</v>
          </cell>
          <cell r="B531" t="str">
            <v>U0406002</v>
          </cell>
        </row>
        <row r="532">
          <cell r="A532"/>
          <cell r="B532"/>
        </row>
        <row r="533">
          <cell r="A533"/>
          <cell r="B533"/>
        </row>
        <row r="534">
          <cell r="A534"/>
          <cell r="B534"/>
        </row>
        <row r="535">
          <cell r="A535" t="str">
            <v>KPUU6AZH10EF</v>
          </cell>
          <cell r="B535" t="str">
            <v>U0406003</v>
          </cell>
        </row>
        <row r="536">
          <cell r="A536" t="str">
            <v>KPUU6AZH1EF</v>
          </cell>
          <cell r="B536" t="str">
            <v>U0406004</v>
          </cell>
        </row>
        <row r="537">
          <cell r="A537"/>
          <cell r="B537"/>
        </row>
        <row r="538">
          <cell r="A538"/>
          <cell r="B538"/>
        </row>
        <row r="539">
          <cell r="A539"/>
          <cell r="B539"/>
        </row>
        <row r="540">
          <cell r="A540" t="str">
            <v>KPUU6AZH2EF</v>
          </cell>
          <cell r="B540" t="str">
            <v>U0406005</v>
          </cell>
        </row>
        <row r="541">
          <cell r="A541" t="str">
            <v>KPUU6AZH3EF</v>
          </cell>
          <cell r="B541" t="str">
            <v>U0406006</v>
          </cell>
        </row>
        <row r="542">
          <cell r="A542"/>
          <cell r="B542"/>
        </row>
        <row r="543">
          <cell r="A543"/>
          <cell r="B543"/>
        </row>
        <row r="544">
          <cell r="A544"/>
          <cell r="B544"/>
        </row>
        <row r="545">
          <cell r="A545" t="str">
            <v>KPUU6AZH5EF</v>
          </cell>
          <cell r="B545" t="str">
            <v>U0406007</v>
          </cell>
        </row>
        <row r="546">
          <cell r="A546" t="str">
            <v>KPUU6AZHSL03EF</v>
          </cell>
          <cell r="B546" t="str">
            <v>U0406008</v>
          </cell>
        </row>
        <row r="547">
          <cell r="A547" t="str">
            <v>KPUU6AZHSL05EF</v>
          </cell>
          <cell r="B547" t="str">
            <v>U0406009</v>
          </cell>
        </row>
        <row r="548">
          <cell r="A548" t="str">
            <v>KPUU6AZHSL10EF</v>
          </cell>
          <cell r="B548" t="str">
            <v>U0406010</v>
          </cell>
        </row>
        <row r="549">
          <cell r="A549" t="str">
            <v>KPUU6AZHSL1EF</v>
          </cell>
          <cell r="B549" t="str">
            <v>U0406011</v>
          </cell>
        </row>
        <row r="550">
          <cell r="A550" t="str">
            <v>KPUU6AZHSL2EF</v>
          </cell>
          <cell r="B550" t="str">
            <v>U0406012</v>
          </cell>
        </row>
        <row r="551">
          <cell r="A551" t="str">
            <v>KPUU6AZHSL3EF</v>
          </cell>
          <cell r="B551" t="str">
            <v>U0406013</v>
          </cell>
        </row>
        <row r="552">
          <cell r="A552" t="str">
            <v>KPUU6AZHSL5EF</v>
          </cell>
          <cell r="B552" t="str">
            <v>U0406014</v>
          </cell>
        </row>
        <row r="553">
          <cell r="A553" t="str">
            <v>KPUU6ZH03EF</v>
          </cell>
          <cell r="B553" t="str">
            <v>U0404001</v>
          </cell>
        </row>
        <row r="554">
          <cell r="A554"/>
          <cell r="B554"/>
        </row>
        <row r="555">
          <cell r="A555"/>
          <cell r="B555"/>
        </row>
        <row r="556">
          <cell r="A556"/>
          <cell r="B556"/>
        </row>
        <row r="557">
          <cell r="A557" t="str">
            <v>KPUU6ZH05EF</v>
          </cell>
          <cell r="B557" t="str">
            <v>U0404002</v>
          </cell>
        </row>
        <row r="558">
          <cell r="A558"/>
          <cell r="B558"/>
        </row>
        <row r="559">
          <cell r="A559"/>
          <cell r="B559"/>
        </row>
        <row r="560">
          <cell r="A560"/>
          <cell r="B560"/>
        </row>
        <row r="561">
          <cell r="A561" t="str">
            <v>KPUU6ZH10EF</v>
          </cell>
          <cell r="B561" t="str">
            <v>U0404003</v>
          </cell>
        </row>
        <row r="562">
          <cell r="A562"/>
          <cell r="B562"/>
        </row>
        <row r="563">
          <cell r="A563"/>
          <cell r="B563"/>
        </row>
        <row r="564">
          <cell r="A564"/>
          <cell r="B564"/>
        </row>
        <row r="565">
          <cell r="A565" t="str">
            <v>KPUU6ZH1EF</v>
          </cell>
          <cell r="B565" t="str">
            <v>U0404004</v>
          </cell>
        </row>
        <row r="566">
          <cell r="A566"/>
          <cell r="B566"/>
        </row>
        <row r="567">
          <cell r="A567"/>
          <cell r="B567"/>
        </row>
        <row r="568">
          <cell r="A568"/>
          <cell r="B568"/>
        </row>
        <row r="569">
          <cell r="A569" t="str">
            <v>KPUU6ZH2EF</v>
          </cell>
          <cell r="B569" t="str">
            <v>U0404005</v>
          </cell>
        </row>
        <row r="570">
          <cell r="A570"/>
          <cell r="B570"/>
        </row>
        <row r="571">
          <cell r="A571"/>
          <cell r="B571"/>
        </row>
        <row r="572">
          <cell r="A572"/>
          <cell r="B572"/>
        </row>
        <row r="573">
          <cell r="A573" t="str">
            <v>KPUU6ZH3EF</v>
          </cell>
          <cell r="B573" t="str">
            <v>U0404006</v>
          </cell>
        </row>
        <row r="574">
          <cell r="A574"/>
          <cell r="B574"/>
        </row>
        <row r="575">
          <cell r="A575"/>
          <cell r="B575"/>
        </row>
        <row r="576">
          <cell r="A576"/>
          <cell r="B576"/>
        </row>
        <row r="577">
          <cell r="A577" t="str">
            <v>KPUU6ZH5EF</v>
          </cell>
          <cell r="B577" t="str">
            <v>U0404007</v>
          </cell>
        </row>
        <row r="578">
          <cell r="A578"/>
          <cell r="B578"/>
        </row>
        <row r="579">
          <cell r="A579"/>
          <cell r="B579"/>
        </row>
        <row r="580">
          <cell r="A580"/>
          <cell r="B580"/>
        </row>
        <row r="581">
          <cell r="A581" t="str">
            <v>KPUU6ZHSL03EF</v>
          </cell>
          <cell r="B581" t="str">
            <v>U0404008</v>
          </cell>
        </row>
        <row r="582">
          <cell r="A582" t="str">
            <v>KPUU6ZHSL05EF</v>
          </cell>
          <cell r="B582" t="str">
            <v>U0404009</v>
          </cell>
        </row>
        <row r="583">
          <cell r="A583" t="str">
            <v>KPUU6ZHSL10EF</v>
          </cell>
          <cell r="B583" t="str">
            <v>U0404010</v>
          </cell>
        </row>
        <row r="584">
          <cell r="A584" t="str">
            <v>KPUU6ZHSL1EF</v>
          </cell>
          <cell r="B584" t="str">
            <v>U0404011</v>
          </cell>
        </row>
        <row r="585">
          <cell r="A585" t="str">
            <v>KPUU6ZHSL2EF</v>
          </cell>
          <cell r="B585" t="str">
            <v>U0404012</v>
          </cell>
        </row>
        <row r="586">
          <cell r="A586" t="str">
            <v>KPUU6ZHSL3EF</v>
          </cell>
          <cell r="B586" t="str">
            <v>U0404013</v>
          </cell>
        </row>
        <row r="587">
          <cell r="A587" t="str">
            <v>KPUU6ZHSL5EF</v>
          </cell>
          <cell r="B587" t="str">
            <v>U0404014</v>
          </cell>
        </row>
        <row r="588">
          <cell r="A588" t="str">
            <v>KRG2266SG2</v>
          </cell>
          <cell r="B588" t="str">
            <v>U1403010</v>
          </cell>
        </row>
        <row r="589">
          <cell r="A589" t="str">
            <v>KRG2266SGR</v>
          </cell>
          <cell r="B589" t="str">
            <v>U1403001</v>
          </cell>
        </row>
        <row r="590">
          <cell r="A590" t="str">
            <v>KRG2266SP2</v>
          </cell>
          <cell r="B590" t="str">
            <v>U1403042</v>
          </cell>
        </row>
        <row r="591">
          <cell r="A591" t="str">
            <v>KRG2266SPR</v>
          </cell>
          <cell r="B591" t="str">
            <v>U1403032</v>
          </cell>
        </row>
        <row r="592">
          <cell r="A592" t="str">
            <v>KRG2268SG2</v>
          </cell>
          <cell r="B592" t="str">
            <v>U1403015</v>
          </cell>
        </row>
        <row r="593">
          <cell r="A593" t="str">
            <v>KRG2268SGR</v>
          </cell>
          <cell r="B593" t="str">
            <v>U1403006</v>
          </cell>
        </row>
        <row r="594">
          <cell r="A594" t="str">
            <v>KRG2268SP2</v>
          </cell>
          <cell r="B594" t="str">
            <v>U1403047</v>
          </cell>
        </row>
        <row r="595">
          <cell r="A595" t="str">
            <v>KRG2268SPR</v>
          </cell>
          <cell r="B595" t="str">
            <v>U1403037</v>
          </cell>
        </row>
        <row r="596">
          <cell r="A596" t="str">
            <v>KRG2466SG2</v>
          </cell>
          <cell r="B596" t="str">
            <v>U1403011</v>
          </cell>
        </row>
        <row r="597">
          <cell r="A597" t="str">
            <v>KRG2466SGR</v>
          </cell>
          <cell r="B597" t="str">
            <v>U1403002</v>
          </cell>
        </row>
        <row r="598">
          <cell r="A598" t="str">
            <v>KRG2466SP2</v>
          </cell>
          <cell r="B598" t="str">
            <v>U1403043</v>
          </cell>
        </row>
        <row r="599">
          <cell r="A599" t="str">
            <v>KRG2466SPR</v>
          </cell>
          <cell r="B599" t="str">
            <v>U1403033</v>
          </cell>
        </row>
        <row r="600">
          <cell r="A600" t="str">
            <v>KRG2766SG2</v>
          </cell>
          <cell r="B600" t="str">
            <v>U1403012</v>
          </cell>
        </row>
        <row r="601">
          <cell r="A601" t="str">
            <v>KRG2766SGR</v>
          </cell>
          <cell r="B601" t="str">
            <v>U1403003</v>
          </cell>
        </row>
        <row r="602">
          <cell r="A602" t="str">
            <v>KRG2766SP2</v>
          </cell>
          <cell r="B602" t="str">
            <v>U1403044</v>
          </cell>
        </row>
        <row r="603">
          <cell r="A603" t="str">
            <v>KRG2766SPR</v>
          </cell>
          <cell r="B603" t="str">
            <v>U1403034</v>
          </cell>
        </row>
        <row r="604">
          <cell r="A604" t="str">
            <v>KRG2768SG2</v>
          </cell>
          <cell r="B604" t="str">
            <v>U1403016</v>
          </cell>
        </row>
        <row r="605">
          <cell r="A605" t="str">
            <v>KRG2768SGR</v>
          </cell>
          <cell r="B605" t="str">
            <v>U1403007</v>
          </cell>
        </row>
        <row r="606">
          <cell r="A606" t="str">
            <v>KRG2768SP2</v>
          </cell>
          <cell r="B606" t="str">
            <v>U1403048</v>
          </cell>
        </row>
        <row r="607">
          <cell r="A607" t="str">
            <v>KRG2768SPR</v>
          </cell>
          <cell r="B607" t="str">
            <v>U1403038</v>
          </cell>
        </row>
        <row r="608">
          <cell r="A608" t="str">
            <v>KRG3266SG2</v>
          </cell>
          <cell r="B608" t="str">
            <v>U1403013</v>
          </cell>
        </row>
        <row r="609">
          <cell r="A609" t="str">
            <v>KRG3266SGR</v>
          </cell>
          <cell r="B609" t="str">
            <v>U1403004</v>
          </cell>
        </row>
        <row r="610">
          <cell r="A610" t="str">
            <v>KRG3266SP2</v>
          </cell>
          <cell r="B610" t="str">
            <v>U1403045</v>
          </cell>
        </row>
        <row r="611">
          <cell r="A611" t="str">
            <v>KRG3266SPR</v>
          </cell>
          <cell r="B611" t="str">
            <v>U1403035</v>
          </cell>
        </row>
        <row r="612">
          <cell r="A612" t="str">
            <v>KRG3288DG2</v>
          </cell>
          <cell r="B612" t="str">
            <v>U1403026</v>
          </cell>
        </row>
        <row r="613">
          <cell r="A613" t="str">
            <v>KRG3288DGR</v>
          </cell>
          <cell r="B613" t="str">
            <v>U1403020</v>
          </cell>
        </row>
        <row r="614">
          <cell r="A614" t="str">
            <v>KRG3288DP2</v>
          </cell>
          <cell r="B614" t="str">
            <v>U1403061</v>
          </cell>
        </row>
        <row r="615">
          <cell r="A615" t="str">
            <v>KRG3288DPR</v>
          </cell>
          <cell r="B615" t="str">
            <v>U1403053</v>
          </cell>
        </row>
        <row r="616">
          <cell r="A616" t="str">
            <v>KRG42610SG2</v>
          </cell>
          <cell r="B616" t="str">
            <v>U1403018</v>
          </cell>
        </row>
        <row r="617">
          <cell r="A617" t="str">
            <v>KRG42610SGR</v>
          </cell>
          <cell r="B617" t="str">
            <v>U1403009</v>
          </cell>
        </row>
        <row r="618">
          <cell r="A618" t="str">
            <v>KRG42610SP2</v>
          </cell>
          <cell r="B618" t="str">
            <v>U1403051</v>
          </cell>
        </row>
        <row r="619">
          <cell r="A619" t="str">
            <v>KRG42610SPR</v>
          </cell>
          <cell r="B619" t="str">
            <v>U1403041</v>
          </cell>
        </row>
        <row r="620">
          <cell r="A620" t="str">
            <v>KRG4266EDF</v>
          </cell>
          <cell r="B620" t="str">
            <v>U1405004</v>
          </cell>
        </row>
        <row r="621">
          <cell r="A621" t="str">
            <v>KRG4266EDFP</v>
          </cell>
          <cell r="B621" t="str">
            <v>U1405005</v>
          </cell>
        </row>
        <row r="622">
          <cell r="A622" t="str">
            <v>KRG4266SG2</v>
          </cell>
          <cell r="B622" t="str">
            <v>U1403014</v>
          </cell>
        </row>
        <row r="623">
          <cell r="A623" t="str">
            <v>KRG4266SGR</v>
          </cell>
          <cell r="B623" t="str">
            <v>U1403005</v>
          </cell>
        </row>
        <row r="624">
          <cell r="A624" t="str">
            <v>KRG4266SP2</v>
          </cell>
          <cell r="B624" t="str">
            <v>U1403046</v>
          </cell>
        </row>
        <row r="625">
          <cell r="A625" t="str">
            <v>KRG4266SPR</v>
          </cell>
          <cell r="B625" t="str">
            <v>U1403036</v>
          </cell>
        </row>
        <row r="626">
          <cell r="A626" t="str">
            <v>KRG4268EDF</v>
          </cell>
          <cell r="B626" t="str">
            <v>U1405006</v>
          </cell>
        </row>
        <row r="627">
          <cell r="A627" t="str">
            <v>KRG4268EDFP</v>
          </cell>
          <cell r="B627" t="str">
            <v>U1405007</v>
          </cell>
        </row>
        <row r="628">
          <cell r="A628" t="str">
            <v>KRG4268SG2</v>
          </cell>
          <cell r="B628" t="str">
            <v>U1403017</v>
          </cell>
        </row>
        <row r="629">
          <cell r="A629" t="str">
            <v>KRG4268SGR</v>
          </cell>
          <cell r="B629" t="str">
            <v>U1403008</v>
          </cell>
        </row>
        <row r="630">
          <cell r="A630" t="str">
            <v>KRG4268SP2</v>
          </cell>
          <cell r="B630" t="str">
            <v>U1403049</v>
          </cell>
        </row>
        <row r="631">
          <cell r="A631" t="str">
            <v>KRG4268SPR</v>
          </cell>
          <cell r="B631" t="str">
            <v>U1403039</v>
          </cell>
        </row>
        <row r="632">
          <cell r="A632" t="str">
            <v>KRG42810DG2</v>
          </cell>
          <cell r="B632" t="str">
            <v>U1403029</v>
          </cell>
        </row>
        <row r="633">
          <cell r="A633" t="str">
            <v>KRG42810DGR</v>
          </cell>
          <cell r="B633" t="str">
            <v>U1403023</v>
          </cell>
        </row>
        <row r="634">
          <cell r="A634" t="str">
            <v>KRG42810DP2</v>
          </cell>
          <cell r="B634" t="str">
            <v>U1403064</v>
          </cell>
        </row>
        <row r="635">
          <cell r="A635" t="str">
            <v>KRG42810DPR</v>
          </cell>
          <cell r="B635" t="str">
            <v>U1403056</v>
          </cell>
        </row>
        <row r="636">
          <cell r="A636" t="str">
            <v>KRG42810EDF</v>
          </cell>
          <cell r="B636" t="str">
            <v>U1405008</v>
          </cell>
        </row>
        <row r="637">
          <cell r="A637" t="str">
            <v>KRG42810EDFP</v>
          </cell>
          <cell r="B637" t="str">
            <v>U1405009</v>
          </cell>
        </row>
        <row r="638">
          <cell r="A638" t="str">
            <v>KRG42812DG2</v>
          </cell>
          <cell r="B638" t="str">
            <v>U1403030</v>
          </cell>
        </row>
        <row r="639">
          <cell r="A639" t="str">
            <v>KRG42812DGR</v>
          </cell>
          <cell r="B639" t="str">
            <v>U1403024</v>
          </cell>
        </row>
        <row r="640">
          <cell r="A640" t="str">
            <v>KRG42812DP2</v>
          </cell>
          <cell r="B640" t="str">
            <v>U1403066</v>
          </cell>
        </row>
        <row r="641">
          <cell r="A641" t="str">
            <v>KRG42812DPR</v>
          </cell>
          <cell r="B641" t="str">
            <v>U1403058</v>
          </cell>
        </row>
        <row r="642">
          <cell r="A642" t="str">
            <v>KRG4286DGR</v>
          </cell>
          <cell r="B642" t="str">
            <v>U1403019</v>
          </cell>
        </row>
        <row r="643">
          <cell r="A643" t="str">
            <v>KRG4286DP2</v>
          </cell>
          <cell r="B643" t="str">
            <v>U1403060</v>
          </cell>
        </row>
        <row r="644">
          <cell r="A644" t="str">
            <v>KRG4286DPR</v>
          </cell>
          <cell r="B644" t="str">
            <v>U1403052</v>
          </cell>
        </row>
        <row r="645">
          <cell r="A645" t="str">
            <v>KRG4288DG2</v>
          </cell>
          <cell r="B645" t="str">
            <v>U1403027</v>
          </cell>
        </row>
        <row r="646">
          <cell r="A646" t="str">
            <v>KRG4288DGR</v>
          </cell>
          <cell r="B646" t="str">
            <v>U1403021</v>
          </cell>
        </row>
        <row r="647">
          <cell r="A647" t="str">
            <v>KRG4288DP2</v>
          </cell>
          <cell r="B647" t="str">
            <v>U1403062</v>
          </cell>
        </row>
        <row r="648">
          <cell r="A648" t="str">
            <v>KRG4288DPR</v>
          </cell>
          <cell r="B648" t="str">
            <v>U1403054</v>
          </cell>
        </row>
        <row r="649">
          <cell r="A649" t="str">
            <v>KRG4288EDF</v>
          </cell>
          <cell r="B649" t="str">
            <v>U1405002</v>
          </cell>
        </row>
        <row r="650">
          <cell r="A650" t="str">
            <v>KRG4288EDFP</v>
          </cell>
          <cell r="B650" t="str">
            <v>U1405003</v>
          </cell>
        </row>
        <row r="651">
          <cell r="A651" t="str">
            <v>KRG4768SP2</v>
          </cell>
          <cell r="B651" t="str">
            <v>U1403050</v>
          </cell>
        </row>
        <row r="652">
          <cell r="A652" t="str">
            <v>KRG4768SPR</v>
          </cell>
          <cell r="B652" t="str">
            <v>U1403040</v>
          </cell>
        </row>
        <row r="653">
          <cell r="A653" t="str">
            <v>KRG47810DP2</v>
          </cell>
          <cell r="B653" t="str">
            <v>U1403065</v>
          </cell>
        </row>
        <row r="654">
          <cell r="A654" t="str">
            <v>KRG47810DPR</v>
          </cell>
          <cell r="B654" t="str">
            <v>U1403057</v>
          </cell>
        </row>
        <row r="655">
          <cell r="A655" t="str">
            <v>KRG47810EDF</v>
          </cell>
          <cell r="B655" t="str">
            <v>U1405012</v>
          </cell>
        </row>
        <row r="656">
          <cell r="A656" t="str">
            <v>KRG47810EDFP</v>
          </cell>
          <cell r="B656" t="str">
            <v>U1405013</v>
          </cell>
        </row>
        <row r="657">
          <cell r="A657" t="str">
            <v>KRG47812DG2</v>
          </cell>
          <cell r="B657" t="str">
            <v>U1403031</v>
          </cell>
        </row>
        <row r="658">
          <cell r="A658" t="str">
            <v>KRG47812DGR</v>
          </cell>
          <cell r="B658" t="str">
            <v>U1403025</v>
          </cell>
        </row>
        <row r="659">
          <cell r="A659" t="str">
            <v>KRG47812DP2</v>
          </cell>
          <cell r="B659" t="str">
            <v>U1403067</v>
          </cell>
        </row>
        <row r="660">
          <cell r="A660" t="str">
            <v>KRG47812DPR</v>
          </cell>
          <cell r="B660" t="str">
            <v>U1403059</v>
          </cell>
        </row>
        <row r="661">
          <cell r="A661" t="str">
            <v>KRG4788DG2</v>
          </cell>
          <cell r="B661" t="str">
            <v>U1403028</v>
          </cell>
        </row>
        <row r="662">
          <cell r="A662" t="str">
            <v>KRG4788DGR</v>
          </cell>
          <cell r="B662" t="str">
            <v>U1403022</v>
          </cell>
        </row>
        <row r="663">
          <cell r="A663" t="str">
            <v>KRG4788DP2</v>
          </cell>
          <cell r="B663" t="str">
            <v>U1403063</v>
          </cell>
        </row>
        <row r="664">
          <cell r="A664" t="str">
            <v>KRG4788DPR</v>
          </cell>
          <cell r="B664" t="str">
            <v>U1403055</v>
          </cell>
        </row>
        <row r="665">
          <cell r="A665" t="str">
            <v>KRG4788EDF</v>
          </cell>
          <cell r="B665" t="str">
            <v>U1405010</v>
          </cell>
        </row>
        <row r="666">
          <cell r="A666" t="str">
            <v>KRG4788EDFP</v>
          </cell>
          <cell r="B666" t="str">
            <v>U1405011</v>
          </cell>
        </row>
        <row r="667">
          <cell r="A667" t="str">
            <v>KRH4288EDF</v>
          </cell>
          <cell r="B667" t="str">
            <v>U1405001</v>
          </cell>
        </row>
        <row r="668">
          <cell r="A668" t="str">
            <v>KRS2266SGR</v>
          </cell>
          <cell r="B668" t="str">
            <v>U1402001</v>
          </cell>
        </row>
        <row r="669">
          <cell r="A669" t="str">
            <v>KRS2268SGR</v>
          </cell>
          <cell r="B669" t="str">
            <v>U1402007</v>
          </cell>
        </row>
        <row r="670">
          <cell r="A670" t="str">
            <v>KRS2466SGR</v>
          </cell>
          <cell r="B670" t="str">
            <v>U1402002</v>
          </cell>
        </row>
        <row r="671">
          <cell r="A671" t="str">
            <v>KRS2468SGR</v>
          </cell>
          <cell r="B671" t="str">
            <v>U1402008</v>
          </cell>
        </row>
        <row r="672">
          <cell r="A672" t="str">
            <v>KRS2766SGR</v>
          </cell>
          <cell r="B672" t="str">
            <v>U1402003</v>
          </cell>
        </row>
        <row r="673">
          <cell r="A673" t="str">
            <v>KRS2768SGR</v>
          </cell>
          <cell r="B673" t="str">
            <v>U1402009</v>
          </cell>
        </row>
        <row r="674">
          <cell r="A674" t="str">
            <v>KRS2788DGR</v>
          </cell>
          <cell r="B674" t="str">
            <v>U1402016</v>
          </cell>
        </row>
        <row r="675">
          <cell r="A675" t="str">
            <v>KRS3266SGR</v>
          </cell>
          <cell r="B675" t="str">
            <v>U1402004</v>
          </cell>
        </row>
        <row r="676">
          <cell r="A676" t="str">
            <v>KRS3268SGR</v>
          </cell>
          <cell r="B676" t="str">
            <v>U1402010</v>
          </cell>
        </row>
        <row r="677">
          <cell r="A677" t="str">
            <v>KRS3288DGR</v>
          </cell>
          <cell r="B677" t="str">
            <v>U1402017</v>
          </cell>
        </row>
        <row r="678">
          <cell r="A678" t="str">
            <v>KRS42610SGR</v>
          </cell>
          <cell r="B678" t="str">
            <v>U1402013</v>
          </cell>
        </row>
        <row r="679">
          <cell r="A679" t="str">
            <v>KRS4266SGR</v>
          </cell>
          <cell r="B679" t="str">
            <v>U1402005</v>
          </cell>
        </row>
        <row r="680">
          <cell r="A680" t="str">
            <v>KRS4266WDR</v>
          </cell>
          <cell r="B680" t="str">
            <v>U1402006</v>
          </cell>
        </row>
        <row r="681">
          <cell r="A681" t="str">
            <v>KRS4268SGR</v>
          </cell>
          <cell r="B681" t="str">
            <v>U1402011</v>
          </cell>
        </row>
        <row r="682">
          <cell r="A682" t="str">
            <v>KRS4268WDR</v>
          </cell>
          <cell r="B682" t="str">
            <v>U1402012</v>
          </cell>
        </row>
        <row r="683">
          <cell r="A683" t="str">
            <v>KRS42810DGR</v>
          </cell>
          <cell r="B683" t="str">
            <v>U1402020</v>
          </cell>
        </row>
        <row r="684">
          <cell r="A684" t="str">
            <v>KRS42810WDR</v>
          </cell>
          <cell r="B684" t="str">
            <v>U1402021</v>
          </cell>
        </row>
        <row r="685">
          <cell r="A685" t="str">
            <v>KRS4286DGR</v>
          </cell>
          <cell r="B685" t="str">
            <v>U1402014</v>
          </cell>
        </row>
        <row r="686">
          <cell r="A686" t="str">
            <v>KRS4286WDR</v>
          </cell>
          <cell r="B686" t="str">
            <v>U1402015</v>
          </cell>
        </row>
        <row r="687">
          <cell r="A687" t="str">
            <v>KRS4288DGR</v>
          </cell>
          <cell r="B687" t="str">
            <v>U1402018</v>
          </cell>
        </row>
        <row r="688">
          <cell r="A688" t="str">
            <v>KRS4288WDR</v>
          </cell>
          <cell r="B688" t="str">
            <v>U1402019</v>
          </cell>
        </row>
        <row r="689">
          <cell r="A689" t="str">
            <v>KRSBGALCDM40</v>
          </cell>
          <cell r="B689" t="str">
            <v>U0601005</v>
          </cell>
        </row>
        <row r="690">
          <cell r="A690" t="str">
            <v>KSALCDM40</v>
          </cell>
          <cell r="B690" t="str">
            <v>U0601001</v>
          </cell>
        </row>
        <row r="691">
          <cell r="A691"/>
          <cell r="B691"/>
        </row>
        <row r="692">
          <cell r="A692"/>
          <cell r="B692"/>
        </row>
        <row r="693">
          <cell r="A693"/>
          <cell r="B693"/>
        </row>
        <row r="694">
          <cell r="A694" t="str">
            <v>KSALCDS40</v>
          </cell>
          <cell r="B694" t="str">
            <v>U0601002</v>
          </cell>
        </row>
        <row r="695">
          <cell r="A695"/>
          <cell r="B695"/>
        </row>
        <row r="696">
          <cell r="A696"/>
          <cell r="B696"/>
        </row>
        <row r="697">
          <cell r="A697"/>
          <cell r="B697"/>
        </row>
        <row r="698">
          <cell r="A698" t="str">
            <v>KSASCDM20</v>
          </cell>
          <cell r="B698" t="str">
            <v>U0601003</v>
          </cell>
        </row>
        <row r="699">
          <cell r="A699"/>
          <cell r="B699"/>
        </row>
        <row r="700">
          <cell r="A700"/>
          <cell r="B700"/>
        </row>
        <row r="701">
          <cell r="A701"/>
          <cell r="B701"/>
        </row>
        <row r="702">
          <cell r="A702" t="str">
            <v>KSASCDS20</v>
          </cell>
          <cell r="B702" t="str">
            <v>U0601004</v>
          </cell>
        </row>
        <row r="703">
          <cell r="A703"/>
          <cell r="B703"/>
        </row>
        <row r="704">
          <cell r="A704"/>
          <cell r="B704"/>
        </row>
        <row r="705">
          <cell r="A705"/>
          <cell r="B705"/>
        </row>
        <row r="706">
          <cell r="A706" t="str">
            <v>KSB868636EF</v>
          </cell>
          <cell r="B706" t="str">
            <v>U0301008</v>
          </cell>
        </row>
        <row r="707">
          <cell r="A707" t="str">
            <v>KSB868645EF</v>
          </cell>
          <cell r="B707" t="str">
            <v>U0301009</v>
          </cell>
        </row>
        <row r="708">
          <cell r="A708" t="str">
            <v>KSBRUSHCEF</v>
          </cell>
          <cell r="B708" t="str">
            <v>U1201001</v>
          </cell>
        </row>
        <row r="709">
          <cell r="A709"/>
          <cell r="B709"/>
        </row>
        <row r="710">
          <cell r="A710"/>
          <cell r="B710"/>
        </row>
        <row r="711">
          <cell r="A711" t="str">
            <v>KSBRUSHEF</v>
          </cell>
          <cell r="B711" t="str">
            <v>U1201002</v>
          </cell>
        </row>
        <row r="712">
          <cell r="A712" t="str">
            <v>KSET24FO</v>
          </cell>
          <cell r="B712" t="str">
            <v>U0701002</v>
          </cell>
        </row>
        <row r="713">
          <cell r="A713"/>
          <cell r="B713"/>
        </row>
        <row r="714">
          <cell r="A714"/>
          <cell r="B714"/>
        </row>
        <row r="715">
          <cell r="A715" t="str">
            <v>KSFP1U205NPCEF</v>
          </cell>
          <cell r="B715" t="str">
            <v>U1001001</v>
          </cell>
        </row>
        <row r="716">
          <cell r="A716"/>
          <cell r="B716"/>
        </row>
        <row r="717">
          <cell r="A717"/>
          <cell r="B717"/>
        </row>
        <row r="718">
          <cell r="A718" t="str">
            <v>KSFP1U245NPCEF</v>
          </cell>
          <cell r="B718" t="str">
            <v>U1001002</v>
          </cell>
        </row>
        <row r="719">
          <cell r="A719"/>
          <cell r="B719"/>
        </row>
        <row r="720">
          <cell r="A720"/>
          <cell r="B720"/>
        </row>
        <row r="721">
          <cell r="A721" t="str">
            <v>KSFP1U245NPLCEF</v>
          </cell>
          <cell r="B721" t="str">
            <v>U1001003</v>
          </cell>
        </row>
        <row r="722">
          <cell r="A722"/>
          <cell r="B722"/>
        </row>
        <row r="723">
          <cell r="A723"/>
          <cell r="B723"/>
        </row>
        <row r="724">
          <cell r="A724" t="str">
            <v>KSFP1UFP12SCDEF</v>
          </cell>
          <cell r="B724" t="str">
            <v>U1001004</v>
          </cell>
        </row>
        <row r="725">
          <cell r="A725"/>
          <cell r="B725"/>
        </row>
        <row r="726">
          <cell r="A726"/>
          <cell r="B726"/>
        </row>
        <row r="727">
          <cell r="A727" t="str">
            <v>KSFP1UFP12SCSEF</v>
          </cell>
          <cell r="B727" t="str">
            <v>U1001005</v>
          </cell>
        </row>
        <row r="728">
          <cell r="A728"/>
          <cell r="B728"/>
        </row>
        <row r="729">
          <cell r="A729"/>
          <cell r="B729"/>
        </row>
        <row r="730">
          <cell r="A730" t="str">
            <v>KSFP1UFP12SCSLEF</v>
          </cell>
          <cell r="B730" t="str">
            <v>U1001006</v>
          </cell>
        </row>
        <row r="731">
          <cell r="A731"/>
          <cell r="B731"/>
        </row>
        <row r="732">
          <cell r="A732"/>
          <cell r="B732"/>
        </row>
        <row r="733">
          <cell r="A733" t="str">
            <v>KSFP1UFP2412LCDMEF</v>
          </cell>
          <cell r="B733" t="str">
            <v>U1001007</v>
          </cell>
        </row>
        <row r="734">
          <cell r="A734"/>
          <cell r="B734"/>
        </row>
        <row r="735">
          <cell r="A735"/>
          <cell r="B735"/>
        </row>
        <row r="736">
          <cell r="A736" t="str">
            <v>KSFP1UFP2412LCDSEF</v>
          </cell>
          <cell r="B736" t="str">
            <v>U1001008</v>
          </cell>
        </row>
        <row r="737">
          <cell r="A737"/>
          <cell r="B737"/>
        </row>
        <row r="738">
          <cell r="A738"/>
          <cell r="B738"/>
        </row>
        <row r="739">
          <cell r="A739" t="str">
            <v>KSFP1UFP2412SCDMEF</v>
          </cell>
          <cell r="B739" t="str">
            <v>U1001009</v>
          </cell>
        </row>
        <row r="740">
          <cell r="A740"/>
          <cell r="B740"/>
        </row>
        <row r="741">
          <cell r="A741"/>
          <cell r="B741"/>
        </row>
        <row r="742">
          <cell r="A742" t="str">
            <v>KSFP1UFP2412SCDSEF</v>
          </cell>
          <cell r="B742" t="str">
            <v>U1001010</v>
          </cell>
        </row>
        <row r="743">
          <cell r="A743"/>
          <cell r="B743"/>
        </row>
        <row r="744">
          <cell r="A744"/>
          <cell r="B744"/>
        </row>
        <row r="745">
          <cell r="A745" t="str">
            <v>KSFP1UFP2424LCDMEF</v>
          </cell>
          <cell r="B745" t="str">
            <v>U1001011</v>
          </cell>
        </row>
        <row r="746">
          <cell r="A746"/>
          <cell r="B746"/>
        </row>
        <row r="747">
          <cell r="A747"/>
          <cell r="B747"/>
        </row>
        <row r="748">
          <cell r="A748" t="str">
            <v>KSFP1UFP2424LCDSEF</v>
          </cell>
          <cell r="B748" t="str">
            <v>U1001012</v>
          </cell>
        </row>
        <row r="749">
          <cell r="A749"/>
          <cell r="B749"/>
        </row>
        <row r="750">
          <cell r="A750"/>
          <cell r="B750"/>
        </row>
        <row r="751">
          <cell r="A751" t="str">
            <v>KSFP1UFP2424SCDMEF</v>
          </cell>
          <cell r="B751" t="str">
            <v>U1001013</v>
          </cell>
        </row>
        <row r="752">
          <cell r="A752"/>
          <cell r="B752"/>
        </row>
        <row r="753">
          <cell r="A753"/>
          <cell r="B753"/>
        </row>
        <row r="754">
          <cell r="A754" t="str">
            <v>KSFP1UFP2424SCDSEF</v>
          </cell>
          <cell r="B754" t="str">
            <v>U1001014</v>
          </cell>
        </row>
        <row r="755">
          <cell r="A755"/>
          <cell r="B755"/>
        </row>
        <row r="756">
          <cell r="A756"/>
          <cell r="B756"/>
        </row>
        <row r="757">
          <cell r="A757" t="str">
            <v>KSFP1UFP24SCDEF</v>
          </cell>
          <cell r="B757" t="str">
            <v>U1001015</v>
          </cell>
        </row>
        <row r="758">
          <cell r="A758"/>
          <cell r="B758"/>
        </row>
        <row r="759">
          <cell r="A759"/>
          <cell r="B759"/>
        </row>
        <row r="760">
          <cell r="A760" t="str">
            <v>KSFP1UFP24SCSEF</v>
          </cell>
          <cell r="B760" t="str">
            <v>U1001016</v>
          </cell>
        </row>
        <row r="761">
          <cell r="A761"/>
          <cell r="B761"/>
        </row>
        <row r="762">
          <cell r="A762"/>
          <cell r="B762"/>
        </row>
        <row r="763">
          <cell r="A763" t="str">
            <v>KSFP1UFP24SCSLEF</v>
          </cell>
          <cell r="B763" t="str">
            <v>U1001017</v>
          </cell>
        </row>
        <row r="764">
          <cell r="A764"/>
          <cell r="B764"/>
        </row>
        <row r="765">
          <cell r="A765"/>
          <cell r="B765"/>
        </row>
        <row r="766">
          <cell r="A766" t="str">
            <v>KSFP1UFP24STEF</v>
          </cell>
          <cell r="B766" t="str">
            <v>U1001018</v>
          </cell>
        </row>
        <row r="767">
          <cell r="A767" t="str">
            <v>KSFP1UFP3LGXEF</v>
          </cell>
          <cell r="B767" t="str">
            <v>U1001019</v>
          </cell>
        </row>
        <row r="768">
          <cell r="A768" t="str">
            <v>KSFS1U250</v>
          </cell>
          <cell r="B768" t="str">
            <v>U1201003</v>
          </cell>
        </row>
        <row r="769">
          <cell r="A769"/>
          <cell r="B769"/>
        </row>
        <row r="770">
          <cell r="A770"/>
          <cell r="B770"/>
        </row>
        <row r="771">
          <cell r="A771" t="str">
            <v>KSFS2U250</v>
          </cell>
          <cell r="B771" t="str">
            <v>U1201004</v>
          </cell>
        </row>
        <row r="772">
          <cell r="A772" t="str">
            <v>KSOB1UC</v>
          </cell>
          <cell r="B772" t="str">
            <v>U1201005</v>
          </cell>
        </row>
        <row r="773">
          <cell r="A773" t="str">
            <v>KSONO12X15ZHB2BR10</v>
          </cell>
          <cell r="B773" t="str">
            <v>Z0403009</v>
          </cell>
        </row>
        <row r="774">
          <cell r="A774" t="str">
            <v>KSONO12X15ZHNAB2BR10</v>
          </cell>
          <cell r="B774" t="str">
            <v>Z0403004</v>
          </cell>
        </row>
        <row r="775">
          <cell r="A775" t="str">
            <v>KSONO24X15ZHB2BR10</v>
          </cell>
          <cell r="B775" t="str">
            <v>Z0403010</v>
          </cell>
        </row>
        <row r="776">
          <cell r="A776" t="str">
            <v>KSONO24X15ZHNAB2BR10</v>
          </cell>
          <cell r="B776" t="str">
            <v>Z0403005</v>
          </cell>
        </row>
        <row r="777">
          <cell r="A777" t="str">
            <v>KSONO2X15ZHB2BR10</v>
          </cell>
          <cell r="B777" t="str">
            <v>Z0403006</v>
          </cell>
        </row>
        <row r="778">
          <cell r="A778" t="str">
            <v>KSONO2X15ZHNAB2BR10</v>
          </cell>
          <cell r="B778" t="str">
            <v>Z0403001</v>
          </cell>
        </row>
        <row r="779">
          <cell r="A779" t="str">
            <v>KSONO4X15ZHB2BR10</v>
          </cell>
          <cell r="B779" t="str">
            <v>Z0403007</v>
          </cell>
        </row>
        <row r="780">
          <cell r="A780" t="str">
            <v>KSONO4X15ZHNAB2BR10</v>
          </cell>
          <cell r="B780" t="str">
            <v>Z0403002</v>
          </cell>
        </row>
        <row r="781">
          <cell r="A781" t="str">
            <v>KSONO7X15ZHB2BR10</v>
          </cell>
          <cell r="B781" t="str">
            <v>Z0403008</v>
          </cell>
        </row>
        <row r="782">
          <cell r="A782" t="str">
            <v>KSONO7X15ZHNAB2BR10</v>
          </cell>
          <cell r="B782" t="str">
            <v>Z0403003</v>
          </cell>
        </row>
        <row r="783">
          <cell r="A783" t="str">
            <v>KSPFK1U4RCEF</v>
          </cell>
          <cell r="B783" t="str">
            <v>U1201006</v>
          </cell>
        </row>
        <row r="784">
          <cell r="A784"/>
          <cell r="B784"/>
        </row>
        <row r="785">
          <cell r="A785"/>
          <cell r="B785"/>
        </row>
        <row r="786">
          <cell r="A786" t="str">
            <v>KSPFK1U4RCFEF</v>
          </cell>
          <cell r="B786" t="str">
            <v>U1201007</v>
          </cell>
        </row>
        <row r="787">
          <cell r="A787"/>
          <cell r="B787"/>
        </row>
        <row r="788">
          <cell r="A788"/>
          <cell r="B788"/>
        </row>
        <row r="789">
          <cell r="A789" t="str">
            <v>KSPFK1U4REF</v>
          </cell>
          <cell r="B789" t="str">
            <v>U1201008</v>
          </cell>
        </row>
        <row r="790">
          <cell r="A790" t="str">
            <v>KSPFK1U5RCFEF</v>
          </cell>
          <cell r="B790" t="str">
            <v>U1201009</v>
          </cell>
        </row>
        <row r="791">
          <cell r="A791" t="str">
            <v>KSPFK1UAIHDCEF</v>
          </cell>
          <cell r="B791" t="str">
            <v>U1201010</v>
          </cell>
        </row>
        <row r="792">
          <cell r="A792" t="str">
            <v>KSPFK1UHDCEF</v>
          </cell>
          <cell r="B792" t="str">
            <v>U1201011</v>
          </cell>
        </row>
        <row r="793">
          <cell r="A793" t="str">
            <v>KSPLICE60MM</v>
          </cell>
          <cell r="B793" t="str">
            <v>U0701001</v>
          </cell>
        </row>
        <row r="794">
          <cell r="A794"/>
          <cell r="B794"/>
        </row>
        <row r="795">
          <cell r="A795"/>
          <cell r="B795"/>
        </row>
        <row r="796">
          <cell r="A796" t="str">
            <v>KWG09600FD</v>
          </cell>
          <cell r="B796" t="str">
            <v>U1503001</v>
          </cell>
        </row>
        <row r="797">
          <cell r="A797" t="str">
            <v>KWG12600</v>
          </cell>
          <cell r="B797" t="str">
            <v>U1503002</v>
          </cell>
        </row>
        <row r="798">
          <cell r="A798" t="str">
            <v>KWG12600FD</v>
          </cell>
          <cell r="B798" t="str">
            <v>U1503003</v>
          </cell>
        </row>
        <row r="799">
          <cell r="A799" t="str">
            <v>KWG12600PED</v>
          </cell>
          <cell r="B799" t="str">
            <v>U1503004</v>
          </cell>
        </row>
        <row r="800">
          <cell r="A800" t="str">
            <v>KWG22450</v>
          </cell>
          <cell r="B800" t="str">
            <v>U1503007</v>
          </cell>
        </row>
        <row r="801">
          <cell r="A801" t="str">
            <v>KWG22450FD</v>
          </cell>
          <cell r="B801" t="str">
            <v>U1503008</v>
          </cell>
        </row>
        <row r="802">
          <cell r="A802" t="str">
            <v>KWG22450PED</v>
          </cell>
          <cell r="B802" t="str">
            <v>U1503009</v>
          </cell>
        </row>
        <row r="803">
          <cell r="A803" t="str">
            <v>KWG22600</v>
          </cell>
          <cell r="B803" t="str">
            <v>U1503010</v>
          </cell>
        </row>
        <row r="804">
          <cell r="A804" t="str">
            <v>KWG226000PED</v>
          </cell>
          <cell r="B804" t="str">
            <v>U1503012</v>
          </cell>
        </row>
        <row r="805">
          <cell r="A805" t="str">
            <v>KWG22600FD</v>
          </cell>
          <cell r="B805" t="str">
            <v>U1503011</v>
          </cell>
        </row>
        <row r="806">
          <cell r="A806" t="str">
            <v>KWGDOOR12FD</v>
          </cell>
          <cell r="B806" t="str">
            <v>U1503006</v>
          </cell>
        </row>
        <row r="807">
          <cell r="A807" t="str">
            <v>KWGDOOR12PED</v>
          </cell>
          <cell r="B807" t="str">
            <v>U1503005</v>
          </cell>
        </row>
        <row r="808">
          <cell r="A808" t="str">
            <v>KWGDOOR22FD</v>
          </cell>
          <cell r="B808" t="str">
            <v>U1503013</v>
          </cell>
        </row>
        <row r="809">
          <cell r="A809" t="str">
            <v>KWGDOOR22PED</v>
          </cell>
          <cell r="B809" t="str">
            <v>U1503014</v>
          </cell>
        </row>
        <row r="810">
          <cell r="A810" t="str">
            <v>KWP86861PEF8</v>
          </cell>
          <cell r="B810" t="str">
            <v>U0301010</v>
          </cell>
        </row>
        <row r="811">
          <cell r="A811"/>
          <cell r="B811"/>
        </row>
        <row r="812">
          <cell r="A812"/>
          <cell r="B812"/>
        </row>
        <row r="813">
          <cell r="A813"/>
          <cell r="B813"/>
        </row>
        <row r="814">
          <cell r="A814" t="str">
            <v>KWP86862PEF8</v>
          </cell>
          <cell r="B814" t="str">
            <v>U0301011</v>
          </cell>
        </row>
        <row r="815">
          <cell r="A815"/>
          <cell r="B815"/>
        </row>
        <row r="816">
          <cell r="A816"/>
          <cell r="B816"/>
        </row>
        <row r="817">
          <cell r="A817"/>
          <cell r="B817"/>
        </row>
        <row r="818">
          <cell r="A818" t="str">
            <v>KX310100</v>
          </cell>
          <cell r="B818" t="str">
            <v>Z0603003</v>
          </cell>
        </row>
        <row r="819">
          <cell r="A819" t="str">
            <v>OEG3TVs4DT40</v>
          </cell>
          <cell r="B819" t="str">
            <v>O0101001</v>
          </cell>
        </row>
        <row r="820">
          <cell r="A820"/>
          <cell r="B820"/>
        </row>
        <row r="821">
          <cell r="A821" t="str">
            <v>OEG3TVs4DT5</v>
          </cell>
          <cell r="B821" t="str">
            <v>O0101002</v>
          </cell>
        </row>
        <row r="822">
          <cell r="A822"/>
          <cell r="B822"/>
        </row>
        <row r="823">
          <cell r="A823" t="str">
            <v>OEG3TVs4DT5</v>
          </cell>
          <cell r="B823" t="str">
            <v>O0101003</v>
          </cell>
        </row>
        <row r="824">
          <cell r="A824" t="str">
            <v>TRANSPORT</v>
          </cell>
          <cell r="B824"/>
        </row>
        <row r="825">
          <cell r="A825" t="str">
            <v>Transportation Fee</v>
          </cell>
          <cell r="B825"/>
        </row>
        <row r="826">
          <cell r="A826" t="str">
            <v>XELBC45F05</v>
          </cell>
          <cell r="B826" t="str">
            <v>Z0301001</v>
          </cell>
        </row>
        <row r="827">
          <cell r="A827" t="str">
            <v>XELFF6A4PDT5</v>
          </cell>
          <cell r="B827" t="str">
            <v>Z0603001</v>
          </cell>
        </row>
        <row r="828">
          <cell r="A828" t="str">
            <v>XELFF6A8PDT5</v>
          </cell>
          <cell r="B828" t="str">
            <v>Z0603002</v>
          </cell>
        </row>
        <row r="829">
          <cell r="A829" t="str">
            <v>XELPCFUTP6G015</v>
          </cell>
          <cell r="B829" t="str">
            <v>Z0101006</v>
          </cell>
        </row>
        <row r="830">
          <cell r="A830" t="str">
            <v>XELPCFUTP6G03</v>
          </cell>
          <cell r="B830" t="str">
            <v>Z0101010</v>
          </cell>
        </row>
        <row r="831">
          <cell r="A831" t="str">
            <v>XELPCFUTP6G05</v>
          </cell>
          <cell r="B831" t="str">
            <v>Z0101009</v>
          </cell>
        </row>
        <row r="832">
          <cell r="A832" t="str">
            <v>XELPCFUTP6G1</v>
          </cell>
          <cell r="B832" t="str">
            <v>Z0101008</v>
          </cell>
        </row>
        <row r="833">
          <cell r="A833" t="str">
            <v>XELPCFUTP6G10</v>
          </cell>
          <cell r="B833" t="str">
            <v>Z0101007</v>
          </cell>
        </row>
        <row r="834">
          <cell r="A834" t="str">
            <v>XELPCFUTP6G15</v>
          </cell>
          <cell r="B834" t="str">
            <v>Z0101011</v>
          </cell>
        </row>
        <row r="835">
          <cell r="A835" t="str">
            <v>XELPCFUTP6G2</v>
          </cell>
          <cell r="B835" t="str">
            <v>Z0101012</v>
          </cell>
        </row>
        <row r="836">
          <cell r="A836" t="str">
            <v>XELPCFUTP6G20</v>
          </cell>
          <cell r="B836" t="str">
            <v>Z0101005</v>
          </cell>
        </row>
        <row r="837">
          <cell r="A837" t="str">
            <v>XELPCFUTP6G25</v>
          </cell>
          <cell r="B837" t="str">
            <v>Z0101004</v>
          </cell>
        </row>
        <row r="838">
          <cell r="A838" t="str">
            <v>XELPCFUTP6G3</v>
          </cell>
          <cell r="B838" t="str">
            <v>Z0101003</v>
          </cell>
        </row>
        <row r="839">
          <cell r="A839" t="str">
            <v>XELPCFUTP6G30</v>
          </cell>
          <cell r="B839" t="str">
            <v>Z0101002</v>
          </cell>
        </row>
        <row r="840">
          <cell r="A840" t="str">
            <v>XELPCFUTP6G5</v>
          </cell>
          <cell r="B840" t="str">
            <v>Z0101001</v>
          </cell>
        </row>
        <row r="841">
          <cell r="A841" t="str">
            <v>XELPCSFTP6AZHG015</v>
          </cell>
          <cell r="B841" t="str">
            <v>Z0102017</v>
          </cell>
        </row>
        <row r="842">
          <cell r="A842" t="str">
            <v>XELPCSFTP6AZHG03</v>
          </cell>
          <cell r="B842" t="str">
            <v>Z0102016</v>
          </cell>
        </row>
        <row r="843">
          <cell r="A843" t="str">
            <v>XELPCSFTP6AZHG05</v>
          </cell>
          <cell r="B843" t="str">
            <v>Z0102015</v>
          </cell>
        </row>
        <row r="844">
          <cell r="A844" t="str">
            <v>XELPCSFTP6AZHG1</v>
          </cell>
          <cell r="B844" t="str">
            <v>Z0102014</v>
          </cell>
        </row>
        <row r="845">
          <cell r="A845" t="str">
            <v>XELPCSFTP6AZHG10</v>
          </cell>
          <cell r="B845" t="str">
            <v>Z0102013</v>
          </cell>
        </row>
        <row r="846">
          <cell r="A846" t="str">
            <v>XELPCSFTP6AZHG15</v>
          </cell>
          <cell r="B846" t="str">
            <v>Z0102012</v>
          </cell>
        </row>
        <row r="847">
          <cell r="A847" t="str">
            <v>XELPCSFTP6AZHG2</v>
          </cell>
          <cell r="B847" t="str">
            <v>Z0102011</v>
          </cell>
        </row>
        <row r="848">
          <cell r="A848" t="str">
            <v>XELPCSFTP6AZHG20</v>
          </cell>
          <cell r="B848" t="str">
            <v>Z0102010</v>
          </cell>
        </row>
        <row r="849">
          <cell r="A849" t="str">
            <v>XELPCSFTP6AZHG25</v>
          </cell>
          <cell r="B849" t="str">
            <v>Z0102009</v>
          </cell>
        </row>
        <row r="850">
          <cell r="A850" t="str">
            <v>XELPCSFTP6AZHG3</v>
          </cell>
          <cell r="B850" t="str">
            <v>Z0102008</v>
          </cell>
        </row>
        <row r="851">
          <cell r="A851" t="str">
            <v>XELPCSFTP6AZHG30</v>
          </cell>
          <cell r="B851" t="str">
            <v>Z0102007</v>
          </cell>
        </row>
        <row r="852">
          <cell r="A852" t="str">
            <v>XELPCSFTP6AZHG4</v>
          </cell>
          <cell r="B852" t="str">
            <v>Z0102006</v>
          </cell>
        </row>
        <row r="853">
          <cell r="A853" t="str">
            <v>XELPCSFTP6AZHG5</v>
          </cell>
          <cell r="B853" t="str">
            <v>Z0102005</v>
          </cell>
        </row>
        <row r="854">
          <cell r="A854" t="str">
            <v>XELPCSFTP6AZHG50</v>
          </cell>
          <cell r="B854" t="str">
            <v>Z0102004</v>
          </cell>
        </row>
        <row r="855">
          <cell r="A855" t="str">
            <v>XELPCSFTP6AZHG6</v>
          </cell>
          <cell r="B855" t="str">
            <v>Z0102003</v>
          </cell>
        </row>
        <row r="856">
          <cell r="A856" t="str">
            <v>XELPCSFTP6AZHG8</v>
          </cell>
          <cell r="B856" t="str">
            <v>Z0102002</v>
          </cell>
        </row>
        <row r="857">
          <cell r="A857" t="str">
            <v>XELPCSFTPA6ZHG05</v>
          </cell>
          <cell r="B857" t="str">
            <v>Z0102001</v>
          </cell>
        </row>
        <row r="858">
          <cell r="A858" t="str">
            <v>XELRMKITAPLATE</v>
          </cell>
          <cell r="B858" t="str">
            <v>Z0501001</v>
          </cell>
        </row>
        <row r="859">
          <cell r="A859" t="str">
            <v>XELRMKITPSACTR</v>
          </cell>
          <cell r="B859" t="str">
            <v>Z0501002</v>
          </cell>
        </row>
        <row r="860">
          <cell r="A860" t="str">
            <v>XELWCSE12U450</v>
          </cell>
          <cell r="B860" t="str">
            <v>Z0201001</v>
          </cell>
        </row>
        <row r="861">
          <cell r="A861" t="str">
            <v>XELWCSE12U600</v>
          </cell>
          <cell r="B861" t="str">
            <v>Z0201002</v>
          </cell>
        </row>
        <row r="862">
          <cell r="A862" t="str">
            <v>XELWCSE15U450</v>
          </cell>
          <cell r="B862" t="str">
            <v>Z0201003</v>
          </cell>
        </row>
        <row r="863">
          <cell r="A863" t="str">
            <v>XELWCSE15U600</v>
          </cell>
          <cell r="B863" t="str">
            <v>Z0201004</v>
          </cell>
        </row>
        <row r="864">
          <cell r="A864" t="str">
            <v>XELWCSE18U450</v>
          </cell>
          <cell r="B864" t="str">
            <v>Z0201005</v>
          </cell>
        </row>
        <row r="865">
          <cell r="A865" t="str">
            <v>XELWCSE18U600</v>
          </cell>
          <cell r="B865" t="str">
            <v>Z0201006</v>
          </cell>
        </row>
        <row r="866">
          <cell r="A866" t="str">
            <v>XELWCSE22U450</v>
          </cell>
          <cell r="B866" t="str">
            <v>Z0201007</v>
          </cell>
        </row>
        <row r="867">
          <cell r="A867" t="str">
            <v>XELWCSE22U600</v>
          </cell>
          <cell r="B867" t="str">
            <v>Z0201008</v>
          </cell>
        </row>
        <row r="868">
          <cell r="A868" t="str">
            <v>XELWCSE27U450</v>
          </cell>
          <cell r="B868" t="str">
            <v>Z0201009</v>
          </cell>
        </row>
        <row r="869">
          <cell r="A869" t="str">
            <v>XELWCSE27U600</v>
          </cell>
          <cell r="B869" t="str">
            <v>Z0201010</v>
          </cell>
        </row>
        <row r="870">
          <cell r="A870" t="str">
            <v>XELWCSE6U450</v>
          </cell>
          <cell r="B870" t="str">
            <v>Z0201011</v>
          </cell>
        </row>
        <row r="871">
          <cell r="A871" t="str">
            <v>XELWCSE6U600</v>
          </cell>
          <cell r="B871" t="str">
            <v>Z0201012</v>
          </cell>
        </row>
        <row r="872">
          <cell r="A872" t="str">
            <v>XELWCSE9U450</v>
          </cell>
          <cell r="B872" t="str">
            <v>Z0201013</v>
          </cell>
        </row>
        <row r="873">
          <cell r="A873" t="str">
            <v>XELWCSE9U600</v>
          </cell>
          <cell r="B873" t="str">
            <v>Z0201014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 &amp; SC Sept 2025"/>
      <sheetName val="Info."/>
      <sheetName val="SC FRANCE Q1 2025"/>
      <sheetName val="SC FRANCE Q1 2025 v2"/>
      <sheetName val="ARBORESCENCE FRANCAISE"/>
      <sheetName val="SC FRANCE Q3&amp;Q4 2025 v1"/>
      <sheetName val="SC FRANCE Q3&amp;Q4 2025 v2"/>
    </sheetNames>
    <sheetDataSet>
      <sheetData sheetId="0">
        <row r="14">
          <cell r="I14" t="str">
            <v>KCU5E4PGR5</v>
          </cell>
          <cell r="J14" t="str">
            <v/>
          </cell>
          <cell r="K14" t="str">
            <v>CAT5E CABLE U/UTP 4 PAIRS AWG24 TEST UP TO 200MHz PVC CPR ECA WHITE RAL7035 500M</v>
          </cell>
          <cell r="L14" t="str">
            <v>CÂBLE CAT5E U/UTP 4 PAIRES AWG24 TEST A 200MHz PVC CPR ECA BLANC RAL7035 500M</v>
          </cell>
          <cell r="M14" t="str">
            <v>Eca</v>
          </cell>
          <cell r="N14" t="str">
            <v>China</v>
          </cell>
          <cell r="O14">
            <v>13.9</v>
          </cell>
          <cell r="P14" t="str">
            <v>500m drum</v>
          </cell>
          <cell r="Q14" t="str">
            <v>30 km</v>
          </cell>
          <cell r="R14">
            <v>12</v>
          </cell>
          <cell r="S14" t="e">
            <v>#N/A</v>
          </cell>
          <cell r="T14" t="str">
            <v>854449 1100</v>
          </cell>
          <cell r="U14">
            <v>0</v>
          </cell>
          <cell r="V14">
            <v>45</v>
          </cell>
          <cell r="W14">
            <v>45</v>
          </cell>
          <cell r="X14">
            <v>55</v>
          </cell>
          <cell r="Y14" t="str">
            <v>T/T 60 days</v>
          </cell>
          <cell r="Z14">
            <v>243.38377814223944</v>
          </cell>
          <cell r="AA14">
            <v>216.89521150661687</v>
          </cell>
          <cell r="AB14">
            <v>0.09</v>
          </cell>
          <cell r="AC14">
            <v>0.09</v>
          </cell>
          <cell r="AD14">
            <v>0.22</v>
          </cell>
          <cell r="AE14" t="str">
            <v>C</v>
          </cell>
          <cell r="AF14">
            <v>216.89521150661687</v>
          </cell>
          <cell r="AG14">
            <v>0.21999999999999997</v>
          </cell>
          <cell r="AH14" t="e">
            <v>#N/A</v>
          </cell>
          <cell r="AI14">
            <v>203.26557295395821</v>
          </cell>
          <cell r="AJ14">
            <v>185.9101812913859</v>
          </cell>
          <cell r="AK14">
            <v>0.1648351648351648</v>
          </cell>
          <cell r="AL14">
            <v>0.14285714285714279</v>
          </cell>
          <cell r="AM14"/>
          <cell r="AN14" t="str">
            <v>ZD</v>
          </cell>
          <cell r="AO14">
            <v>13.06</v>
          </cell>
          <cell r="AP14">
            <v>1170.3</v>
          </cell>
          <cell r="AQ14"/>
          <cell r="AR14">
            <v>5</v>
          </cell>
          <cell r="AS14">
            <v>1300.8999999999999</v>
          </cell>
          <cell r="AT14">
            <v>1305.8999999999999</v>
          </cell>
          <cell r="AU14">
            <v>184.97167138810198</v>
          </cell>
          <cell r="AV14">
            <v>169.17826497516117</v>
          </cell>
          <cell r="AW14"/>
          <cell r="AX14" t="str">
            <v>854449 1100</v>
          </cell>
          <cell r="AZ14">
            <v>722.98403835538966</v>
          </cell>
          <cell r="BA14">
            <v>433.79042301323381</v>
          </cell>
          <cell r="BB14">
            <v>361.49201917769483</v>
          </cell>
          <cell r="BC14">
            <v>289.19361534215585</v>
          </cell>
          <cell r="BE14">
            <v>119.59521150661688</v>
          </cell>
          <cell r="BF14">
            <v>216.89521150661687</v>
          </cell>
          <cell r="BG14">
            <v>237.7452115066169</v>
          </cell>
          <cell r="BH14">
            <v>258.59521150661686</v>
          </cell>
          <cell r="BK14">
            <v>128.36127814223943</v>
          </cell>
        </row>
        <row r="15">
          <cell r="I15" t="str">
            <v>KCU5E4PZHDGR5</v>
          </cell>
          <cell r="J15" t="str">
            <v>U0101004</v>
          </cell>
          <cell r="K15" t="str">
            <v>CAT5E CABLE U/UTP 4 PAIRS AWG24 TEST UP TO 200MHz LSZH CPR DCA GREY RAL7035 500M</v>
          </cell>
          <cell r="L15" t="str">
            <v>CÂBLE CAT5E U/UTP 4 PAIRES AWG24 TEST A 200MHz LSZH CPR DCA GRIS RAL7035 500M</v>
          </cell>
          <cell r="M15" t="str">
            <v>Dca</v>
          </cell>
          <cell r="N15" t="str">
            <v>China</v>
          </cell>
          <cell r="O15">
            <v>13.9</v>
          </cell>
          <cell r="P15" t="str">
            <v>500m drum</v>
          </cell>
          <cell r="Q15" t="str">
            <v>30 km</v>
          </cell>
          <cell r="R15">
            <v>12</v>
          </cell>
          <cell r="S15" t="e">
            <v>#N/A</v>
          </cell>
          <cell r="T15" t="str">
            <v>854449 1100</v>
          </cell>
          <cell r="U15">
            <v>0</v>
          </cell>
          <cell r="V15">
            <v>45</v>
          </cell>
          <cell r="W15">
            <v>45</v>
          </cell>
          <cell r="X15">
            <v>55</v>
          </cell>
          <cell r="Y15" t="str">
            <v>T/T 60 days</v>
          </cell>
          <cell r="Z15">
            <v>256.97639282341828</v>
          </cell>
          <cell r="AA15">
            <v>228.47614675425982</v>
          </cell>
          <cell r="AB15">
            <v>0.09</v>
          </cell>
          <cell r="AC15">
            <v>0.09</v>
          </cell>
          <cell r="AD15">
            <v>0.23</v>
          </cell>
          <cell r="AE15" t="str">
            <v>C</v>
          </cell>
          <cell r="AF15">
            <v>228.47614675425982</v>
          </cell>
          <cell r="AG15">
            <v>0.22999999999999998</v>
          </cell>
          <cell r="AH15" t="e">
            <v>#N/A</v>
          </cell>
          <cell r="AI15">
            <v>211.79373034897111</v>
          </cell>
          <cell r="AJ15">
            <v>193.32597033052755</v>
          </cell>
          <cell r="AK15">
            <v>0.17582417582417587</v>
          </cell>
          <cell r="AL15">
            <v>0.15384615384615374</v>
          </cell>
          <cell r="AM15"/>
          <cell r="AN15" t="str">
            <v>ZD</v>
          </cell>
          <cell r="AO15">
            <v>13.06</v>
          </cell>
          <cell r="AP15">
            <v>1225.0899999999999</v>
          </cell>
          <cell r="AQ15"/>
          <cell r="AR15">
            <v>5</v>
          </cell>
          <cell r="AS15">
            <v>1355.6899999999998</v>
          </cell>
          <cell r="AT15">
            <v>1360.6899999999998</v>
          </cell>
          <cell r="AU15">
            <v>192.73229461756372</v>
          </cell>
          <cell r="AV15">
            <v>175.92663300078007</v>
          </cell>
          <cell r="AW15"/>
          <cell r="AX15" t="str">
            <v>854449 1100</v>
          </cell>
          <cell r="AZ15">
            <v>761.5871558475327</v>
          </cell>
          <cell r="BA15">
            <v>456.95229350851963</v>
          </cell>
          <cell r="BB15">
            <v>380.79357792376635</v>
          </cell>
          <cell r="BC15">
            <v>304.63486233901307</v>
          </cell>
          <cell r="BE15">
            <v>131.17614675425983</v>
          </cell>
          <cell r="BF15">
            <v>228.47614675425984</v>
          </cell>
          <cell r="BG15">
            <v>249.32614675425984</v>
          </cell>
          <cell r="BH15">
            <v>270.17614675425983</v>
          </cell>
          <cell r="BK15">
            <v>141.95389282341827</v>
          </cell>
        </row>
        <row r="16">
          <cell r="I16" t="str">
            <v>KCFU5E4PGR5</v>
          </cell>
          <cell r="J16" t="str">
            <v/>
          </cell>
          <cell r="K16" t="str">
            <v>CAT5E CABLE F/UTP 4 PAIRS AWG24 TEST UP TO 200MHz PVC CPR ECA GREY RAL7035 500M</v>
          </cell>
          <cell r="L16" t="str">
            <v>CÂBLE CAT5E F/UTP 4 PAIRES AWG24 TEST A 200MHz PVC CPR ECA GRIS RAL7035 500M</v>
          </cell>
          <cell r="M16" t="str">
            <v>Eca</v>
          </cell>
          <cell r="N16" t="str">
            <v>China</v>
          </cell>
          <cell r="O16">
            <v>15.5</v>
          </cell>
          <cell r="P16" t="str">
            <v>500m drum</v>
          </cell>
          <cell r="Q16" t="str">
            <v>30 km</v>
          </cell>
          <cell r="R16">
            <v>15</v>
          </cell>
          <cell r="S16" t="e">
            <v>#N/A</v>
          </cell>
          <cell r="T16" t="str">
            <v>854449 1100</v>
          </cell>
          <cell r="U16">
            <v>0</v>
          </cell>
          <cell r="V16">
            <v>45</v>
          </cell>
          <cell r="W16">
            <v>45</v>
          </cell>
          <cell r="X16">
            <v>55</v>
          </cell>
          <cell r="Y16" t="str">
            <v>T/T 60 days</v>
          </cell>
          <cell r="Z16">
            <v>332.69044200395825</v>
          </cell>
          <cell r="AA16">
            <v>290.47036444006517</v>
          </cell>
          <cell r="AB16">
            <v>0.09</v>
          </cell>
          <cell r="AC16">
            <v>0.09</v>
          </cell>
          <cell r="AD16">
            <v>0.25</v>
          </cell>
          <cell r="AE16" t="str">
            <v>C</v>
          </cell>
          <cell r="AF16">
            <v>290.47036444006517</v>
          </cell>
          <cell r="AG16">
            <v>0.25</v>
          </cell>
          <cell r="AH16" t="e">
            <v>#N/A</v>
          </cell>
          <cell r="AI16">
            <v>266.88354138779067</v>
          </cell>
          <cell r="AJ16">
            <v>239.39865201104271</v>
          </cell>
          <cell r="AK16">
            <v>0.19780219780219788</v>
          </cell>
          <cell r="AL16">
            <v>0.17582417582417587</v>
          </cell>
          <cell r="AM16"/>
          <cell r="AN16" t="str">
            <v>ZD</v>
          </cell>
          <cell r="AO16">
            <v>16.12</v>
          </cell>
          <cell r="AP16">
            <v>1548.42</v>
          </cell>
          <cell r="AQ16"/>
          <cell r="AR16">
            <v>5</v>
          </cell>
          <cell r="AS16">
            <v>1709.6200000000001</v>
          </cell>
          <cell r="AT16">
            <v>1714.6200000000001</v>
          </cell>
          <cell r="AU16">
            <v>242.86402266288954</v>
          </cell>
          <cell r="AV16">
            <v>217.85277333004888</v>
          </cell>
          <cell r="AW16"/>
          <cell r="AX16" t="str">
            <v>854449 1100</v>
          </cell>
          <cell r="AZ16">
            <v>968.23454813355056</v>
          </cell>
          <cell r="BA16">
            <v>580.94072888013034</v>
          </cell>
          <cell r="BB16">
            <v>484.11727406677528</v>
          </cell>
          <cell r="BC16">
            <v>387.29381925342022</v>
          </cell>
          <cell r="BE16">
            <v>181.97036444006517</v>
          </cell>
          <cell r="BF16">
            <v>290.47036444006517</v>
          </cell>
          <cell r="BG16">
            <v>313.72036444006517</v>
          </cell>
          <cell r="BH16">
            <v>336.97036444006517</v>
          </cell>
          <cell r="BK16">
            <v>204.42794200395824</v>
          </cell>
        </row>
        <row r="17">
          <cell r="I17" t="str">
            <v>KCFU5E4PZHDGR5</v>
          </cell>
          <cell r="J17" t="str">
            <v>U0101002</v>
          </cell>
          <cell r="K17" t="str">
            <v>CAT5E CABLE F/UTP 4 PAIRS AWG24 TEST UP TO 200MHz LSZH CPR DCA GREY RAL7035 500M</v>
          </cell>
          <cell r="L17" t="str">
            <v>CÂBLE CAT5E F/UTP 4 PAIRES AWG24 TEST A 200MHz LSZH CPR DCA GRIS RAL7035 500M</v>
          </cell>
          <cell r="M17" t="str">
            <v>Dca</v>
          </cell>
          <cell r="N17" t="str">
            <v>China</v>
          </cell>
          <cell r="O17">
            <v>15.5</v>
          </cell>
          <cell r="P17" t="str">
            <v>500m drum</v>
          </cell>
          <cell r="Q17" t="str">
            <v>30 km</v>
          </cell>
          <cell r="R17">
            <v>15</v>
          </cell>
          <cell r="S17" t="e">
            <v>#N/A</v>
          </cell>
          <cell r="T17" t="str">
            <v>854449 1100</v>
          </cell>
          <cell r="U17">
            <v>0</v>
          </cell>
          <cell r="V17">
            <v>45</v>
          </cell>
          <cell r="W17">
            <v>45</v>
          </cell>
          <cell r="X17">
            <v>55</v>
          </cell>
          <cell r="Y17" t="str">
            <v>T/T 60 days</v>
          </cell>
          <cell r="Z17">
            <v>345.86518685241958</v>
          </cell>
          <cell r="AA17">
            <v>301.62116297847302</v>
          </cell>
          <cell r="AB17">
            <v>0.09</v>
          </cell>
          <cell r="AC17">
            <v>0.09</v>
          </cell>
          <cell r="AD17">
            <v>0.25</v>
          </cell>
          <cell r="AE17" t="str">
            <v>C</v>
          </cell>
          <cell r="AF17">
            <v>301.62116297847302</v>
          </cell>
          <cell r="AG17">
            <v>0.25</v>
          </cell>
          <cell r="AH17" t="e">
            <v>#N/A</v>
          </cell>
          <cell r="AI17">
            <v>277.45229274974315</v>
          </cell>
          <cell r="AJ17">
            <v>248.58887058665357</v>
          </cell>
          <cell r="AK17">
            <v>0.19780219780219788</v>
          </cell>
          <cell r="AL17">
            <v>0.17582417582417587</v>
          </cell>
          <cell r="AM17"/>
          <cell r="AN17" t="str">
            <v>ZD</v>
          </cell>
          <cell r="AO17">
            <v>16.12</v>
          </cell>
          <cell r="AP17">
            <v>1616.32</v>
          </cell>
          <cell r="AQ17"/>
          <cell r="AR17">
            <v>5</v>
          </cell>
          <cell r="AS17">
            <v>1777.52</v>
          </cell>
          <cell r="AT17">
            <v>1782.52</v>
          </cell>
          <cell r="AU17">
            <v>252.48158640226629</v>
          </cell>
          <cell r="AV17">
            <v>226.21587223385475</v>
          </cell>
          <cell r="AW17"/>
          <cell r="AX17" t="str">
            <v>854449 1100</v>
          </cell>
          <cell r="AZ17">
            <v>1005.4038765949101</v>
          </cell>
          <cell r="BA17">
            <v>603.24232595694605</v>
          </cell>
          <cell r="BB17">
            <v>502.70193829745506</v>
          </cell>
          <cell r="BC17">
            <v>402.16155063796407</v>
          </cell>
          <cell r="BE17">
            <v>193.12116297847302</v>
          </cell>
          <cell r="BF17">
            <v>301.62116297847302</v>
          </cell>
          <cell r="BG17">
            <v>324.87116297847302</v>
          </cell>
          <cell r="BH17">
            <v>348.12116297847302</v>
          </cell>
          <cell r="BK17">
            <v>217.60268685241957</v>
          </cell>
        </row>
        <row r="18">
          <cell r="I18" t="str">
            <v>KCSFU5E4PZHDGR5</v>
          </cell>
          <cell r="J18" t="str">
            <v>U0101003</v>
          </cell>
          <cell r="K18" t="str">
            <v>CAT5E CABLE SF/UTP 4 PAIRS AWG24 TEST UP TO 200MHz LSZH CPR DCA GREY RAL7035 500M</v>
          </cell>
          <cell r="L18" t="str">
            <v>CÂBLE CAT5E F/UTP 4 PAIRES AWG24 TEST A 200MHz LSZH CPR DCA GRIS RAL7035 500M</v>
          </cell>
          <cell r="M18" t="str">
            <v>Dca</v>
          </cell>
          <cell r="N18" t="str">
            <v>China</v>
          </cell>
          <cell r="O18">
            <v>15.5</v>
          </cell>
          <cell r="P18" t="str">
            <v>500m drum</v>
          </cell>
          <cell r="Q18" t="str">
            <v>30 km</v>
          </cell>
          <cell r="R18">
            <v>15.5</v>
          </cell>
          <cell r="S18" t="e">
            <v>#N/A</v>
          </cell>
          <cell r="T18" t="str">
            <v>854449 1100</v>
          </cell>
          <cell r="U18">
            <v>0</v>
          </cell>
          <cell r="V18">
            <v>45</v>
          </cell>
          <cell r="W18">
            <v>45</v>
          </cell>
          <cell r="X18">
            <v>55</v>
          </cell>
          <cell r="Y18" t="str">
            <v>T/T 60 days</v>
          </cell>
          <cell r="Z18">
            <v>616.75378047320748</v>
          </cell>
          <cell r="AA18">
            <v>530.452101220592</v>
          </cell>
          <cell r="AB18">
            <v>0.09</v>
          </cell>
          <cell r="AC18">
            <v>0.09</v>
          </cell>
          <cell r="AD18">
            <v>0.27</v>
          </cell>
          <cell r="AE18" t="str">
            <v>C</v>
          </cell>
          <cell r="AF18">
            <v>530.452101220592</v>
          </cell>
          <cell r="AG18">
            <v>0.27</v>
          </cell>
          <cell r="AH18" t="e">
            <v>#N/A</v>
          </cell>
          <cell r="AI18">
            <v>481.2034990505245</v>
          </cell>
          <cell r="AJ18">
            <v>425.52750977036504</v>
          </cell>
          <cell r="AK18">
            <v>0.21978021978021978</v>
          </cell>
          <cell r="AL18">
            <v>0.19780219780219777</v>
          </cell>
          <cell r="AM18"/>
          <cell r="AN18" t="str">
            <v>ZD</v>
          </cell>
          <cell r="AO18">
            <v>27.38</v>
          </cell>
          <cell r="AP18">
            <v>2812.74</v>
          </cell>
          <cell r="AQ18"/>
          <cell r="AR18">
            <v>5</v>
          </cell>
          <cell r="AS18">
            <v>3086.54</v>
          </cell>
          <cell r="AT18">
            <v>3091.54</v>
          </cell>
          <cell r="AU18">
            <v>437.89518413597733</v>
          </cell>
          <cell r="AV18">
            <v>387.23003389103218</v>
          </cell>
          <cell r="AW18"/>
          <cell r="AX18" t="str">
            <v>854449 1100</v>
          </cell>
          <cell r="AZ18">
            <v>1768.1736707353068</v>
          </cell>
          <cell r="BA18">
            <v>1060.904202441184</v>
          </cell>
          <cell r="BB18">
            <v>884.08683536765341</v>
          </cell>
          <cell r="BC18">
            <v>707.26946829412282</v>
          </cell>
          <cell r="BE18">
            <v>421.952101220592</v>
          </cell>
          <cell r="BF18">
            <v>530.452101220592</v>
          </cell>
          <cell r="BG18">
            <v>553.702101220592</v>
          </cell>
          <cell r="BH18">
            <v>576.952101220592</v>
          </cell>
          <cell r="BK18">
            <v>488.49128047320744</v>
          </cell>
        </row>
        <row r="19">
          <cell r="I19" t="str">
            <v>KCU64PLGR5</v>
          </cell>
          <cell r="J19" t="str">
            <v/>
          </cell>
          <cell r="K19" t="str">
            <v>CAT6 CABLE U/UTP 4 PAIRS AWG24 TEST UP TO 400MHz PVC CPR ECA GREY RAL7035 500M</v>
          </cell>
          <cell r="L19" t="str">
            <v>CÂBLE CAT6 U/UTP 4 PAIRES AWG24 TEST A 400MHz LSZH CPR ECA GRIS RAL7035 500M</v>
          </cell>
          <cell r="M19" t="str">
            <v>Eca</v>
          </cell>
          <cell r="N19" t="str">
            <v>China</v>
          </cell>
          <cell r="O19">
            <v>15.12</v>
          </cell>
          <cell r="P19" t="str">
            <v>500m drum</v>
          </cell>
          <cell r="Q19" t="str">
            <v>30 km</v>
          </cell>
          <cell r="R19">
            <v>12</v>
          </cell>
          <cell r="S19"/>
          <cell r="T19" t="str">
            <v>854449 1100</v>
          </cell>
          <cell r="U19">
            <v>0</v>
          </cell>
          <cell r="V19">
            <v>45</v>
          </cell>
          <cell r="W19">
            <v>45</v>
          </cell>
          <cell r="X19">
            <v>55</v>
          </cell>
          <cell r="Y19" t="str">
            <v>T/T 60 days</v>
          </cell>
          <cell r="Z19">
            <v>295.24921522088658</v>
          </cell>
          <cell r="AA19">
            <v>260.94708535101768</v>
          </cell>
          <cell r="AB19">
            <v>0.09</v>
          </cell>
          <cell r="AC19">
            <v>0.09</v>
          </cell>
          <cell r="AD19">
            <v>0.24</v>
          </cell>
          <cell r="AE19" t="str">
            <v>C</v>
          </cell>
          <cell r="AF19">
            <v>260.94708535101768</v>
          </cell>
          <cell r="AG19">
            <v>0.24</v>
          </cell>
          <cell r="AH19" t="e">
            <v>#N/A</v>
          </cell>
          <cell r="AI19">
            <v>240.0927684213803</v>
          </cell>
          <cell r="AJ19">
            <v>217.93382952392685</v>
          </cell>
          <cell r="AK19">
            <v>0.18681318681318682</v>
          </cell>
          <cell r="AL19">
            <v>0.1648351648351648</v>
          </cell>
          <cell r="AM19"/>
          <cell r="AN19" t="str">
            <v>HT</v>
          </cell>
          <cell r="AO19">
            <v>14.34</v>
          </cell>
          <cell r="AP19">
            <v>1394.1</v>
          </cell>
          <cell r="AQ19"/>
          <cell r="AR19">
            <v>5</v>
          </cell>
          <cell r="AS19">
            <v>1537.5</v>
          </cell>
          <cell r="AT19">
            <v>1542.5</v>
          </cell>
          <cell r="AU19">
            <v>218.48441926345609</v>
          </cell>
          <cell r="AV19">
            <v>198.31978486677343</v>
          </cell>
          <cell r="AW19" t="str">
            <v>ACM type 0.51+/0.005; 5.3+/-0.3</v>
          </cell>
          <cell r="AX19" t="str">
            <v>854449 1100</v>
          </cell>
          <cell r="AZ19">
            <v>869.82361783672559</v>
          </cell>
          <cell r="BA19">
            <v>521.89417070203535</v>
          </cell>
          <cell r="BB19">
            <v>434.91180891836279</v>
          </cell>
          <cell r="BC19">
            <v>347.92944713469024</v>
          </cell>
          <cell r="BE19">
            <v>155.1070853510177</v>
          </cell>
          <cell r="BF19">
            <v>260.94708535101768</v>
          </cell>
          <cell r="BG19">
            <v>283.62708535101768</v>
          </cell>
          <cell r="BH19">
            <v>306.30708535101769</v>
          </cell>
          <cell r="BK19">
            <v>170.13121522088659</v>
          </cell>
        </row>
        <row r="20">
          <cell r="I20" t="str">
            <v>KCU64PLGRB</v>
          </cell>
          <cell r="J20" t="str">
            <v>U0102005</v>
          </cell>
          <cell r="K20" t="str">
            <v>CAT6 CABLE U/UTP 4 PAIRS AWG24 TEST UP TO 400MHz PVC CPR ECA GREY RAL7035 B305M</v>
          </cell>
          <cell r="L20" t="str">
            <v>CÂBLE CAT6 U/UTP 4 PAIRES AWG24 TEST A 400MHz LSZH CPR ECA GRIS RAL7035 B305M</v>
          </cell>
          <cell r="M20" t="str">
            <v>Eca</v>
          </cell>
          <cell r="N20" t="str">
            <v>China</v>
          </cell>
          <cell r="O20">
            <v>15.12</v>
          </cell>
          <cell r="P20" t="str">
            <v>305m Reelex box</v>
          </cell>
          <cell r="Q20" t="str">
            <v>30 km</v>
          </cell>
          <cell r="R20">
            <v>9.15</v>
          </cell>
          <cell r="S20"/>
          <cell r="T20" t="str">
            <v>854449 1100</v>
          </cell>
          <cell r="U20">
            <v>0</v>
          </cell>
          <cell r="V20">
            <v>45</v>
          </cell>
          <cell r="W20">
            <v>45</v>
          </cell>
          <cell r="X20">
            <v>55</v>
          </cell>
          <cell r="Y20" t="str">
            <v>T/T 60 days</v>
          </cell>
          <cell r="Z20">
            <v>302.46694995278568</v>
          </cell>
          <cell r="AA20">
            <v>270.67509985538737</v>
          </cell>
          <cell r="AB20">
            <v>0.09</v>
          </cell>
          <cell r="AC20">
            <v>0.09</v>
          </cell>
          <cell r="AD20">
            <v>0.26</v>
          </cell>
          <cell r="AE20" t="str">
            <v>C</v>
          </cell>
          <cell r="AF20">
            <v>270.67509985538737</v>
          </cell>
          <cell r="AG20">
            <v>0.26</v>
          </cell>
          <cell r="AH20" t="e">
            <v>#N/A</v>
          </cell>
          <cell r="AI20">
            <v>239.31450985275347</v>
          </cell>
          <cell r="AJ20">
            <v>220.10942186042487</v>
          </cell>
          <cell r="AK20">
            <v>0.20879120879120894</v>
          </cell>
          <cell r="AL20">
            <v>0.18681318681318693</v>
          </cell>
          <cell r="AM20"/>
          <cell r="AN20" t="str">
            <v>HT</v>
          </cell>
          <cell r="AO20">
            <v>14.34</v>
          </cell>
          <cell r="AP20">
            <v>1394.1</v>
          </cell>
          <cell r="AQ20"/>
          <cell r="AR20">
            <v>0</v>
          </cell>
          <cell r="AS20">
            <v>1537.5</v>
          </cell>
          <cell r="AT20">
            <v>1537.5</v>
          </cell>
          <cell r="AU20">
            <v>217.77620396600568</v>
          </cell>
          <cell r="AV20">
            <v>200.29957389298664</v>
          </cell>
          <cell r="AW20" t="str">
            <v>ACM type 0.51+/0.005; 5.3+/-0.3</v>
          </cell>
          <cell r="AX20" t="str">
            <v>854449 1100</v>
          </cell>
          <cell r="AZ20">
            <v>902.25033285129132</v>
          </cell>
          <cell r="BA20">
            <v>541.35019971077475</v>
          </cell>
          <cell r="BB20">
            <v>451.12516642564566</v>
          </cell>
          <cell r="BC20">
            <v>360.90013314051657</v>
          </cell>
          <cell r="BE20">
            <v>164.8350998553874</v>
          </cell>
          <cell r="BF20">
            <v>270.67509985538737</v>
          </cell>
          <cell r="BG20">
            <v>293.35509985538738</v>
          </cell>
          <cell r="BH20">
            <v>316.03509985538739</v>
          </cell>
          <cell r="BK20">
            <v>177.34894995278569</v>
          </cell>
        </row>
        <row r="21">
          <cell r="I21" t="str">
            <v>KCU64PGR5</v>
          </cell>
          <cell r="J21" t="str">
            <v/>
          </cell>
          <cell r="K21" t="str">
            <v>CAT6 CABLE U/UTP 4 PAIRS AWG23 TEST UP TO 400MHz PVC CPR ECA GREY RAL7035 500M</v>
          </cell>
          <cell r="L21" t="str">
            <v>CÂBLE CAT6 U/UTP 4 PAIRES AWG23 TEST A 400MHz LSZH CPR ECA GRIS RAL7035 500M</v>
          </cell>
          <cell r="M21" t="str">
            <v>Eca</v>
          </cell>
          <cell r="N21" t="str">
            <v>Turkey</v>
          </cell>
          <cell r="O21">
            <v>17</v>
          </cell>
          <cell r="P21" t="str">
            <v>500m drum</v>
          </cell>
          <cell r="Q21" t="str">
            <v>30 km</v>
          </cell>
          <cell r="R21">
            <v>12</v>
          </cell>
          <cell r="S21"/>
          <cell r="T21" t="str">
            <v>854449 2000</v>
          </cell>
          <cell r="U21">
            <v>0</v>
          </cell>
          <cell r="V21">
            <v>60</v>
          </cell>
          <cell r="W21">
            <v>14</v>
          </cell>
          <cell r="X21">
            <v>14</v>
          </cell>
          <cell r="Y21" t="str">
            <v>T/T 30 days</v>
          </cell>
          <cell r="Z21">
            <v>341.35365853658533</v>
          </cell>
          <cell r="AA21">
            <v>296.23188405797106</v>
          </cell>
          <cell r="AB21">
            <v>7.0000000000000007E-2</v>
          </cell>
          <cell r="AC21">
            <v>7.0000000000000007E-2</v>
          </cell>
          <cell r="AD21">
            <v>0.16</v>
          </cell>
          <cell r="AE21" t="str">
            <v>C</v>
          </cell>
          <cell r="AF21">
            <v>296.23188405797106</v>
          </cell>
          <cell r="AG21">
            <v>0.16000000000000014</v>
          </cell>
          <cell r="AH21" t="e">
            <v>#N/A</v>
          </cell>
          <cell r="AI21">
            <v>300.97849462365593</v>
          </cell>
          <cell r="AJ21">
            <v>267.56428237494157</v>
          </cell>
          <cell r="AK21">
            <v>0.11827956989247301</v>
          </cell>
          <cell r="AL21">
            <v>9.6774193548387233E-2</v>
          </cell>
          <cell r="AM21"/>
          <cell r="AN21" t="str">
            <v>KK</v>
          </cell>
          <cell r="AO21"/>
          <cell r="AP21"/>
          <cell r="AQ21">
            <v>124.4</v>
          </cell>
          <cell r="AR21"/>
          <cell r="AS21"/>
          <cell r="AT21"/>
          <cell r="AU21">
            <v>243.4</v>
          </cell>
          <cell r="AV21">
            <v>248.83478260869566</v>
          </cell>
          <cell r="AW21"/>
          <cell r="AX21"/>
          <cell r="AZ21">
            <v>987.43961352657027</v>
          </cell>
          <cell r="BA21">
            <v>592.46376811594212</v>
          </cell>
          <cell r="BB21">
            <v>493.71980676328513</v>
          </cell>
          <cell r="BC21">
            <v>394.97584541062815</v>
          </cell>
          <cell r="BE21">
            <v>177.23188405797106</v>
          </cell>
          <cell r="BF21">
            <v>296.23188405797106</v>
          </cell>
          <cell r="BG21">
            <v>321.73188405797106</v>
          </cell>
          <cell r="BH21">
            <v>347.23188405797106</v>
          </cell>
          <cell r="BK21">
            <v>200.67865853658532</v>
          </cell>
        </row>
        <row r="22">
          <cell r="I22" t="str">
            <v>KCU64PLZHDGR5</v>
          </cell>
          <cell r="J22" t="str">
            <v>U0102006</v>
          </cell>
          <cell r="K22" t="str">
            <v>CAT6 CABLE U/UTP 4 PAIRS AWG24 TEST UP TO 400MHz LSZH CPR DCA GREY RAL7035 500M</v>
          </cell>
          <cell r="L22" t="str">
            <v>CÂBLE CAT6 U/UTP 4 PAIRES AWG24 TEST A 400MHz LSZH CPR DCA GRIS RAL7035 500M</v>
          </cell>
          <cell r="M22" t="str">
            <v>Dca</v>
          </cell>
          <cell r="N22" t="str">
            <v>China</v>
          </cell>
          <cell r="O22">
            <v>15.12</v>
          </cell>
          <cell r="P22" t="str">
            <v>500m drum</v>
          </cell>
          <cell r="Q22" t="str">
            <v>30 km</v>
          </cell>
          <cell r="R22">
            <v>12</v>
          </cell>
          <cell r="S22" t="str">
            <v>4897108882319</v>
          </cell>
          <cell r="T22" t="str">
            <v>854449 1100</v>
          </cell>
          <cell r="U22">
            <v>0</v>
          </cell>
          <cell r="V22">
            <v>45</v>
          </cell>
          <cell r="W22">
            <v>45</v>
          </cell>
          <cell r="X22">
            <v>55</v>
          </cell>
          <cell r="Y22" t="str">
            <v>T/T 60 days</v>
          </cell>
          <cell r="Z22">
            <v>309.61795719231981</v>
          </cell>
          <cell r="AA22">
            <v>273.21769977885265</v>
          </cell>
          <cell r="AB22">
            <v>0.09</v>
          </cell>
          <cell r="AC22">
            <v>0.09</v>
          </cell>
          <cell r="AD22">
            <v>0.26</v>
          </cell>
          <cell r="AE22" t="str">
            <v>C</v>
          </cell>
          <cell r="AF22">
            <v>273.21769977885265</v>
          </cell>
          <cell r="AG22">
            <v>0.26</v>
          </cell>
          <cell r="AH22" t="e">
            <v>#N/A</v>
          </cell>
          <cell r="AI22">
            <v>244.97244964667058</v>
          </cell>
          <cell r="AJ22">
            <v>222.17703058939665</v>
          </cell>
          <cell r="AK22">
            <v>0.20879120879120894</v>
          </cell>
          <cell r="AL22">
            <v>0.18681318681318682</v>
          </cell>
          <cell r="AM22"/>
          <cell r="AN22" t="str">
            <v>HT</v>
          </cell>
          <cell r="AO22">
            <v>14.63</v>
          </cell>
          <cell r="AP22">
            <v>1422.55</v>
          </cell>
          <cell r="AQ22"/>
          <cell r="AR22">
            <v>5</v>
          </cell>
          <cell r="AS22">
            <v>1568.85</v>
          </cell>
          <cell r="AT22">
            <v>1573.85</v>
          </cell>
          <cell r="AU22">
            <v>222.92492917847025</v>
          </cell>
          <cell r="AV22">
            <v>202.18109783635097</v>
          </cell>
          <cell r="AW22" t="str">
            <v>ACM type 0.51+/0.005; 5.3+/-0.3</v>
          </cell>
          <cell r="AX22" t="str">
            <v>854449 1100</v>
          </cell>
          <cell r="AZ22">
            <v>910.72566592950886</v>
          </cell>
          <cell r="BA22">
            <v>546.4353995577053</v>
          </cell>
          <cell r="BB22">
            <v>455.36283296475443</v>
          </cell>
          <cell r="BC22">
            <v>364.29026637180357</v>
          </cell>
          <cell r="BE22">
            <v>167.37769977885267</v>
          </cell>
          <cell r="BF22">
            <v>273.21769977885265</v>
          </cell>
          <cell r="BG22">
            <v>295.89769977885265</v>
          </cell>
          <cell r="BH22">
            <v>318.57769977885266</v>
          </cell>
          <cell r="BK22">
            <v>184.49995719231981</v>
          </cell>
        </row>
        <row r="23">
          <cell r="I23" t="str">
            <v>KCU64PLZHDGRB</v>
          </cell>
          <cell r="J23" t="str">
            <v>U0102007</v>
          </cell>
          <cell r="K23" t="str">
            <v>CAT6 CABLE U/UTP 4 PAIRS AWG24 TEST UP TO 400MHz LSZH CPR DCA GREY RAL7035 B305M</v>
          </cell>
          <cell r="L23" t="str">
            <v>CÂBLE CAT6 U/UTP 4 PAIRES AWG24 TEST A 400MHz LSZH CPR DCA GRIS RAL7035 B305M</v>
          </cell>
          <cell r="M23" t="str">
            <v>Dca</v>
          </cell>
          <cell r="N23" t="str">
            <v>China</v>
          </cell>
          <cell r="O23">
            <v>15.12</v>
          </cell>
          <cell r="P23" t="str">
            <v>305m Reelex box</v>
          </cell>
          <cell r="Q23" t="str">
            <v>30 km</v>
          </cell>
          <cell r="R23">
            <v>9.15</v>
          </cell>
          <cell r="S23" t="str">
            <v>4897108882326</v>
          </cell>
          <cell r="T23" t="str">
            <v>854449 1100</v>
          </cell>
          <cell r="U23">
            <v>0</v>
          </cell>
          <cell r="V23">
            <v>45</v>
          </cell>
          <cell r="W23">
            <v>45</v>
          </cell>
          <cell r="X23">
            <v>55</v>
          </cell>
          <cell r="Y23" t="str">
            <v>T/T 60 days</v>
          </cell>
          <cell r="Z23">
            <v>317.45244840145693</v>
          </cell>
          <cell r="AA23">
            <v>283.55678730911694</v>
          </cell>
          <cell r="AB23">
            <v>0.09</v>
          </cell>
          <cell r="AC23">
            <v>0.09</v>
          </cell>
          <cell r="AD23">
            <v>0.28000000000000003</v>
          </cell>
          <cell r="AE23" t="str">
            <v>C</v>
          </cell>
          <cell r="AF23">
            <v>283.55678730911694</v>
          </cell>
          <cell r="AG23">
            <v>0.28000000000000003</v>
          </cell>
          <cell r="AH23" t="e">
            <v>#N/A</v>
          </cell>
          <cell r="AI23">
            <v>244.19419107804379</v>
          </cell>
          <cell r="AJ23">
            <v>224.35262292589471</v>
          </cell>
          <cell r="AK23">
            <v>0.23076923076923084</v>
          </cell>
          <cell r="AL23">
            <v>0.20879120879120883</v>
          </cell>
          <cell r="AM23"/>
          <cell r="AN23" t="str">
            <v>HT</v>
          </cell>
          <cell r="AO23">
            <v>14.63</v>
          </cell>
          <cell r="AP23">
            <v>1422.55</v>
          </cell>
          <cell r="AQ23"/>
          <cell r="AR23">
            <v>0</v>
          </cell>
          <cell r="AS23">
            <v>1568.85</v>
          </cell>
          <cell r="AT23">
            <v>1568.85</v>
          </cell>
          <cell r="AU23">
            <v>222.21671388101984</v>
          </cell>
          <cell r="AV23">
            <v>204.16088686256418</v>
          </cell>
          <cell r="AW23" t="str">
            <v>ACM type 0.51+/0.005; 5.3+/-0.3</v>
          </cell>
          <cell r="AX23" t="str">
            <v>854449 1100</v>
          </cell>
          <cell r="AZ23">
            <v>945.18929103038988</v>
          </cell>
          <cell r="BA23">
            <v>567.11357461823388</v>
          </cell>
          <cell r="BB23">
            <v>472.59464551519494</v>
          </cell>
          <cell r="BC23">
            <v>378.075716412156</v>
          </cell>
          <cell r="BE23">
            <v>177.71678730911697</v>
          </cell>
          <cell r="BF23">
            <v>283.55678730911694</v>
          </cell>
          <cell r="BG23">
            <v>306.23678730911695</v>
          </cell>
          <cell r="BH23">
            <v>328.91678730911696</v>
          </cell>
          <cell r="BK23">
            <v>192.33444840145694</v>
          </cell>
        </row>
        <row r="24">
          <cell r="I24" t="str">
            <v>KCU64PZHDGR5</v>
          </cell>
          <cell r="J24" t="str">
            <v>U0102008</v>
          </cell>
          <cell r="K24" t="str">
            <v>CAT6 CABLE U/UTP 4 PAIRS AWG23 TEST UP TO 400MHz LSZH CPR DCA GREY RAL7035 500M</v>
          </cell>
          <cell r="L24" t="str">
            <v>CÂBLE CAT6 U/UTP 4 PAIRES AWG23 TEST A 400MHz LSZH CPR DCA GRIS RAL7035 500M</v>
          </cell>
          <cell r="M24" t="str">
            <v>Dca</v>
          </cell>
          <cell r="N24" t="str">
            <v>Turkey</v>
          </cell>
          <cell r="O24">
            <v>17</v>
          </cell>
          <cell r="P24" t="str">
            <v>500m drum</v>
          </cell>
          <cell r="Q24" t="str">
            <v>30 km</v>
          </cell>
          <cell r="R24">
            <v>12</v>
          </cell>
          <cell r="S24"/>
          <cell r="T24" t="str">
            <v>854449 2000</v>
          </cell>
          <cell r="U24">
            <v>0</v>
          </cell>
          <cell r="V24">
            <v>60</v>
          </cell>
          <cell r="W24">
            <v>14</v>
          </cell>
          <cell r="X24">
            <v>14</v>
          </cell>
          <cell r="Y24" t="str">
            <v>T/T 30 days</v>
          </cell>
          <cell r="Z24">
            <v>356.07926829268291</v>
          </cell>
          <cell r="AA24">
            <v>308.73188405797106</v>
          </cell>
          <cell r="AB24">
            <v>7.0000000000000007E-2</v>
          </cell>
          <cell r="AC24">
            <v>7.0000000000000007E-2</v>
          </cell>
          <cell r="AD24">
            <v>0.16</v>
          </cell>
          <cell r="AE24" t="str">
            <v>C</v>
          </cell>
          <cell r="AF24">
            <v>308.73188405797106</v>
          </cell>
          <cell r="AG24">
            <v>0.16000000000000014</v>
          </cell>
          <cell r="AH24" t="e">
            <v>#N/A</v>
          </cell>
          <cell r="AI24">
            <v>313.96236559139788</v>
          </cell>
          <cell r="AJ24">
            <v>278.85460495558675</v>
          </cell>
          <cell r="AK24">
            <v>0.11827956989247301</v>
          </cell>
          <cell r="AL24">
            <v>9.6774193548387122E-2</v>
          </cell>
          <cell r="AM24"/>
          <cell r="AN24" t="str">
            <v>KK</v>
          </cell>
          <cell r="AO24"/>
          <cell r="AP24"/>
          <cell r="AQ24">
            <v>134.9</v>
          </cell>
          <cell r="AR24"/>
          <cell r="AS24"/>
          <cell r="AT24"/>
          <cell r="AU24">
            <v>253.9</v>
          </cell>
          <cell r="AV24">
            <v>259.33478260869566</v>
          </cell>
          <cell r="AW24"/>
          <cell r="AX24"/>
          <cell r="AZ24">
            <v>1029.1062801932369</v>
          </cell>
          <cell r="BA24">
            <v>617.46376811594212</v>
          </cell>
          <cell r="BB24">
            <v>514.55314009661845</v>
          </cell>
          <cell r="BC24">
            <v>411.64251207729478</v>
          </cell>
          <cell r="BE24">
            <v>189.73188405797106</v>
          </cell>
          <cell r="BF24">
            <v>308.73188405797106</v>
          </cell>
          <cell r="BG24">
            <v>334.23188405797106</v>
          </cell>
          <cell r="BH24">
            <v>359.73188405797106</v>
          </cell>
          <cell r="BK24">
            <v>215.4042682926829</v>
          </cell>
        </row>
        <row r="25">
          <cell r="I25" t="str">
            <v>KCU64PZHDGRB</v>
          </cell>
          <cell r="J25" t="str">
            <v>U0102009</v>
          </cell>
          <cell r="K25" t="str">
            <v>CAT6 CABLE U/UTP 4 PAIRS AWG23 TEST UP TO 400MHz LSZH CPR DCA GREY RAL7035 B305M</v>
          </cell>
          <cell r="L25" t="str">
            <v>CÂBLE CAT6 U/UTP 4 PAIRES AWG23 TEST A 400MHz LSZH CPR DCA GRIS RAL7035 B305M</v>
          </cell>
          <cell r="M25" t="str">
            <v>Dca</v>
          </cell>
          <cell r="N25" t="str">
            <v>Turkey</v>
          </cell>
          <cell r="O25">
            <v>17</v>
          </cell>
          <cell r="P25" t="str">
            <v>305m Reelex box</v>
          </cell>
          <cell r="Q25" t="str">
            <v>30 km</v>
          </cell>
          <cell r="R25">
            <v>9.15</v>
          </cell>
          <cell r="S25"/>
          <cell r="T25" t="str">
            <v>854449 2000</v>
          </cell>
          <cell r="U25">
            <v>0</v>
          </cell>
          <cell r="V25">
            <v>60</v>
          </cell>
          <cell r="W25">
            <v>14</v>
          </cell>
          <cell r="X25">
            <v>14</v>
          </cell>
          <cell r="Y25" t="str">
            <v>T/T 30 days</v>
          </cell>
          <cell r="Z25">
            <v>370.94512195121951</v>
          </cell>
          <cell r="AA25">
            <v>323.36617112989177</v>
          </cell>
          <cell r="AB25">
            <v>7.0000000000000007E-2</v>
          </cell>
          <cell r="AC25">
            <v>7.0000000000000007E-2</v>
          </cell>
          <cell r="AD25">
            <v>0.16</v>
          </cell>
          <cell r="AE25" t="str">
            <v>C</v>
          </cell>
          <cell r="AF25">
            <v>323.36617112989177</v>
          </cell>
          <cell r="AG25">
            <v>0.16000000000000003</v>
          </cell>
          <cell r="AH25" t="e">
            <v>#N/A</v>
          </cell>
          <cell r="AI25">
            <v>327.06989247311827</v>
          </cell>
          <cell r="AJ25">
            <v>292.07267069796677</v>
          </cell>
          <cell r="AK25">
            <v>0.11827956989247312</v>
          </cell>
          <cell r="AL25">
            <v>9.6774193548387011E-2</v>
          </cell>
          <cell r="AM25"/>
          <cell r="AN25" t="str">
            <v>KK</v>
          </cell>
          <cell r="AO25"/>
          <cell r="AP25"/>
          <cell r="AQ25">
            <v>145.5</v>
          </cell>
          <cell r="AR25"/>
          <cell r="AS25"/>
          <cell r="AT25"/>
          <cell r="AU25">
            <v>264.5</v>
          </cell>
          <cell r="AV25">
            <v>271.62758374910908</v>
          </cell>
          <cell r="AW25"/>
          <cell r="AX25"/>
          <cell r="AZ25">
            <v>1077.8872370996394</v>
          </cell>
          <cell r="BA25">
            <v>646.73234225978365</v>
          </cell>
          <cell r="BB25">
            <v>538.94361854981969</v>
          </cell>
          <cell r="BC25">
            <v>431.15489483985579</v>
          </cell>
          <cell r="BE25">
            <v>204.36617112989177</v>
          </cell>
          <cell r="BF25">
            <v>323.36617112989177</v>
          </cell>
          <cell r="BG25">
            <v>348.86617112989177</v>
          </cell>
          <cell r="BH25">
            <v>374.36617112989177</v>
          </cell>
          <cell r="BK25">
            <v>230.27012195121949</v>
          </cell>
        </row>
        <row r="26">
          <cell r="I26" t="str">
            <v>KCU64PZHCGR5</v>
          </cell>
          <cell r="J26" t="str">
            <v/>
          </cell>
          <cell r="K26" t="str">
            <v>CAT6 CABLE U/UTP 4 PAIRS AWG23 TEST UP TO 400MHz LSZH CPR CCA GREY RAL7035 500M</v>
          </cell>
          <cell r="L26" t="str">
            <v>CÂBLE CAT6 U/UTP 4 PAIRES AWG23 TEST A 400MHz LSZH CPR CCA GRIS RAL7035 500M</v>
          </cell>
          <cell r="M26" t="str">
            <v>Cca</v>
          </cell>
          <cell r="N26" t="str">
            <v>Turkey</v>
          </cell>
          <cell r="O26">
            <v>17</v>
          </cell>
          <cell r="P26" t="str">
            <v>500m drum</v>
          </cell>
          <cell r="Q26" t="str">
            <v>30 km</v>
          </cell>
          <cell r="R26">
            <v>12</v>
          </cell>
          <cell r="S26"/>
          <cell r="T26" t="str">
            <v>854449 2000</v>
          </cell>
          <cell r="U26">
            <v>0</v>
          </cell>
          <cell r="V26">
            <v>60</v>
          </cell>
          <cell r="W26">
            <v>14</v>
          </cell>
          <cell r="X26">
            <v>14</v>
          </cell>
          <cell r="Y26" t="str">
            <v>T/T 30 days</v>
          </cell>
          <cell r="Z26">
            <v>366.59756097560972</v>
          </cell>
          <cell r="AA26">
            <v>317.66045548654239</v>
          </cell>
          <cell r="AB26">
            <v>7.0000000000000007E-2</v>
          </cell>
          <cell r="AC26">
            <v>7.0000000000000007E-2</v>
          </cell>
          <cell r="AD26">
            <v>0.16</v>
          </cell>
          <cell r="AE26" t="str">
            <v>C</v>
          </cell>
          <cell r="AF26">
            <v>317.66045548654239</v>
          </cell>
          <cell r="AG26">
            <v>0.16000000000000003</v>
          </cell>
          <cell r="AH26" t="e">
            <v>#N/A</v>
          </cell>
          <cell r="AI26">
            <v>323.2365591397849</v>
          </cell>
          <cell r="AJ26">
            <v>286.91912108461895</v>
          </cell>
          <cell r="AK26">
            <v>0.11827956989247312</v>
          </cell>
          <cell r="AL26">
            <v>9.6774193548387011E-2</v>
          </cell>
          <cell r="AM26"/>
          <cell r="AN26" t="str">
            <v>KK</v>
          </cell>
          <cell r="AO26"/>
          <cell r="AP26"/>
          <cell r="AQ26">
            <v>142.4</v>
          </cell>
          <cell r="AR26"/>
          <cell r="AS26"/>
          <cell r="AT26"/>
          <cell r="AU26">
            <v>261.39999999999998</v>
          </cell>
          <cell r="AV26">
            <v>266.8347826086956</v>
          </cell>
          <cell r="AW26"/>
          <cell r="AX26"/>
          <cell r="AZ26">
            <v>1058.8681849551413</v>
          </cell>
          <cell r="BA26">
            <v>635.32091097308478</v>
          </cell>
          <cell r="BB26">
            <v>529.43409247757063</v>
          </cell>
          <cell r="BC26">
            <v>423.54727398205654</v>
          </cell>
          <cell r="BE26">
            <v>198.66045548654239</v>
          </cell>
          <cell r="BF26">
            <v>317.66045548654239</v>
          </cell>
          <cell r="BG26">
            <v>343.16045548654239</v>
          </cell>
          <cell r="BH26">
            <v>368.66045548654239</v>
          </cell>
          <cell r="BK26">
            <v>225.92256097560971</v>
          </cell>
        </row>
        <row r="27">
          <cell r="I27" t="str">
            <v>KCFU64PZHDGR5</v>
          </cell>
          <cell r="J27" t="str">
            <v>U0102001</v>
          </cell>
          <cell r="K27" t="str">
            <v>CAT6 CABLE F/UTP 4 PAIRS AWG23 TEST UP TO 400MHz LSZH CPR DCA GREY RAL7035 500M</v>
          </cell>
          <cell r="L27" t="str">
            <v>CÂBLE CAT6 F/UTP 4 PAIRES AWG23 TEST A 400MHz LSZH CPR DCA GRIS RAL7035 500M</v>
          </cell>
          <cell r="M27" t="str">
            <v>Dca</v>
          </cell>
          <cell r="N27" t="str">
            <v>China</v>
          </cell>
          <cell r="O27">
            <v>17.5</v>
          </cell>
          <cell r="P27" t="str">
            <v>500m drum</v>
          </cell>
          <cell r="Q27" t="str">
            <v>30 km</v>
          </cell>
          <cell r="R27">
            <v>9</v>
          </cell>
          <cell r="S27" t="str">
            <v>4897108881749</v>
          </cell>
          <cell r="T27" t="str">
            <v>854449 1100</v>
          </cell>
          <cell r="U27">
            <v>0</v>
          </cell>
          <cell r="V27">
            <v>45</v>
          </cell>
          <cell r="W27">
            <v>45</v>
          </cell>
          <cell r="X27">
            <v>55</v>
          </cell>
          <cell r="Y27" t="str">
            <v>T/T 60 days</v>
          </cell>
          <cell r="Z27">
            <v>404.13307183845427</v>
          </cell>
          <cell r="AA27">
            <v>356.52344979540442</v>
          </cell>
          <cell r="AB27">
            <v>0.09</v>
          </cell>
          <cell r="AC27">
            <v>0.09</v>
          </cell>
          <cell r="AD27">
            <v>0.2</v>
          </cell>
          <cell r="AE27" t="str">
            <v>C</v>
          </cell>
          <cell r="AF27">
            <v>356.52344979540442</v>
          </cell>
          <cell r="AG27">
            <v>0.19999999999999996</v>
          </cell>
          <cell r="AH27">
            <v>353.57</v>
          </cell>
          <cell r="AI27">
            <v>346.39977586153225</v>
          </cell>
          <cell r="AJ27">
            <v>313.42720861134455</v>
          </cell>
          <cell r="AK27">
            <v>0.14285714285714279</v>
          </cell>
          <cell r="AL27">
            <v>0.12087912087912089</v>
          </cell>
          <cell r="AM27"/>
          <cell r="AN27" t="str">
            <v>HT</v>
          </cell>
          <cell r="AO27">
            <v>17.850000000000001</v>
          </cell>
          <cell r="AP27">
            <v>2041.98</v>
          </cell>
          <cell r="AQ27"/>
          <cell r="AR27">
            <v>5</v>
          </cell>
          <cell r="AS27">
            <v>2220.48</v>
          </cell>
          <cell r="AT27">
            <v>2225.48</v>
          </cell>
          <cell r="AU27">
            <v>315.22379603399435</v>
          </cell>
          <cell r="AV27">
            <v>285.21875983632356</v>
          </cell>
          <cell r="AW27"/>
          <cell r="AX27" t="str">
            <v>854449 1100</v>
          </cell>
          <cell r="AZ27">
            <v>1188.4114993180149</v>
          </cell>
          <cell r="BA27">
            <v>713.04689959080895</v>
          </cell>
          <cell r="BB27">
            <v>594.20574965900744</v>
          </cell>
          <cell r="BC27">
            <v>475.36459972720598</v>
          </cell>
          <cell r="BE27">
            <v>234.02344979540442</v>
          </cell>
          <cell r="BF27">
            <v>356.52344979540442</v>
          </cell>
          <cell r="BG27">
            <v>382.77344979540442</v>
          </cell>
          <cell r="BH27">
            <v>409.02344979540442</v>
          </cell>
          <cell r="BK27">
            <v>259.32057183845427</v>
          </cell>
        </row>
        <row r="28">
          <cell r="I28" t="str">
            <v>KCFU68PZHDGR5</v>
          </cell>
          <cell r="J28" t="str">
            <v>U0102003</v>
          </cell>
          <cell r="K28" t="str">
            <v>CAT6 CABLE F/UTP 2x4 PAIRS AWG23 TEST UP TO 400MHz LSZH CPR DCA GREY RAL7035 500M</v>
          </cell>
          <cell r="L28" t="str">
            <v>CÂBLE CAT6 F/UTP 2x4 PAIRES AWG23 TEST A 400MHz LSZH CPR DCA GRIS RAL7035 500M</v>
          </cell>
          <cell r="M28" t="str">
            <v>Dca</v>
          </cell>
          <cell r="N28" t="str">
            <v>China</v>
          </cell>
          <cell r="O28">
            <v>35</v>
          </cell>
          <cell r="P28" t="str">
            <v>500m drum</v>
          </cell>
          <cell r="Q28" t="str">
            <v>30 km</v>
          </cell>
          <cell r="R28">
            <v>4</v>
          </cell>
          <cell r="S28" t="str">
            <v>4897108881756</v>
          </cell>
          <cell r="T28" t="str">
            <v>854449 1100</v>
          </cell>
          <cell r="U28">
            <v>0</v>
          </cell>
          <cell r="V28">
            <v>45</v>
          </cell>
          <cell r="W28">
            <v>45</v>
          </cell>
          <cell r="X28">
            <v>55</v>
          </cell>
          <cell r="Y28" t="str">
            <v>T/T 60 days</v>
          </cell>
          <cell r="Z28">
            <v>824.96862337289781</v>
          </cell>
          <cell r="AA28">
            <v>730.51552599526485</v>
          </cell>
          <cell r="AB28">
            <v>0.09</v>
          </cell>
          <cell r="AC28">
            <v>0.09</v>
          </cell>
          <cell r="AD28">
            <v>0.19</v>
          </cell>
          <cell r="AE28" t="str">
            <v>C</v>
          </cell>
          <cell r="AF28">
            <v>730.51552599526485</v>
          </cell>
          <cell r="AG28">
            <v>0.18999999999999995</v>
          </cell>
          <cell r="AH28">
            <v>724.48</v>
          </cell>
          <cell r="AI28">
            <v>716.1815521588893</v>
          </cell>
          <cell r="AJ28">
            <v>650.23909456721378</v>
          </cell>
          <cell r="AK28">
            <v>0.13186813186813184</v>
          </cell>
          <cell r="AL28">
            <v>0.10989010989010983</v>
          </cell>
          <cell r="AM28"/>
          <cell r="AN28" t="str">
            <v>HT</v>
          </cell>
          <cell r="AO28">
            <v>36.93</v>
          </cell>
          <cell r="AP28">
            <v>4226.88</v>
          </cell>
          <cell r="AQ28"/>
          <cell r="AR28">
            <v>5</v>
          </cell>
          <cell r="AS28">
            <v>4596.18</v>
          </cell>
          <cell r="AT28">
            <v>4601.18</v>
          </cell>
          <cell r="AU28">
            <v>651.72521246458928</v>
          </cell>
          <cell r="AV28">
            <v>591.7175760561646</v>
          </cell>
          <cell r="AW28"/>
          <cell r="AX28" t="str">
            <v>854449 1100</v>
          </cell>
          <cell r="AZ28">
            <v>2435.0517533175498</v>
          </cell>
          <cell r="BA28">
            <v>1461.0310519905299</v>
          </cell>
          <cell r="BB28">
            <v>1217.5258766587749</v>
          </cell>
          <cell r="BC28">
            <v>974.02070132701999</v>
          </cell>
          <cell r="BE28">
            <v>485.51552599526485</v>
          </cell>
          <cell r="BF28">
            <v>730.51552599526485</v>
          </cell>
          <cell r="BG28">
            <v>783.01552599526485</v>
          </cell>
          <cell r="BH28">
            <v>835.51552599526485</v>
          </cell>
          <cell r="BK28">
            <v>535.34362337289781</v>
          </cell>
        </row>
        <row r="29">
          <cell r="I29" t="str">
            <v>KCFU64PZHDGRB</v>
          </cell>
          <cell r="J29" t="str">
            <v>U0102002</v>
          </cell>
          <cell r="K29" t="str">
            <v>CAT6 CABLE F/UTP 4 PAIRS AWG23 TEST UP TO 400MHz LSZH CPR DCA GREY RAL7035 B305M</v>
          </cell>
          <cell r="L29" t="str">
            <v>CÂBLE CAT6 F/UTP 4 PAIRES AWG23 TEST A 400MHz LSZH CPR DCA GRIS RAL7035 B305M</v>
          </cell>
          <cell r="M29" t="str">
            <v>Dca</v>
          </cell>
          <cell r="N29" t="str">
            <v>China</v>
          </cell>
          <cell r="O29">
            <v>17.5</v>
          </cell>
          <cell r="P29" t="str">
            <v>305m Reel in box</v>
          </cell>
          <cell r="Q29" t="str">
            <v>30 km</v>
          </cell>
          <cell r="R29">
            <v>6.8624999999999998</v>
          </cell>
          <cell r="S29" t="str">
            <v>4897108882333</v>
          </cell>
          <cell r="T29" t="str">
            <v>854449 1100</v>
          </cell>
          <cell r="U29">
            <v>0</v>
          </cell>
          <cell r="V29">
            <v>45</v>
          </cell>
          <cell r="W29">
            <v>45</v>
          </cell>
          <cell r="X29">
            <v>55</v>
          </cell>
          <cell r="Y29" t="str">
            <v>T/T 60 days</v>
          </cell>
          <cell r="Z29">
            <v>424.57134337259578</v>
          </cell>
          <cell r="AA29">
            <v>378.40798473921751</v>
          </cell>
          <cell r="AB29">
            <v>0.09</v>
          </cell>
          <cell r="AC29">
            <v>0.09</v>
          </cell>
          <cell r="AD29">
            <v>0.22</v>
          </cell>
          <cell r="AE29" t="str">
            <v>C</v>
          </cell>
          <cell r="AF29">
            <v>378.40798473921751</v>
          </cell>
          <cell r="AG29">
            <v>0.21999999999999997</v>
          </cell>
          <cell r="AH29" t="e">
            <v>#N/A</v>
          </cell>
          <cell r="AI29">
            <v>354.58705600348657</v>
          </cell>
          <cell r="AJ29">
            <v>324.34970120504357</v>
          </cell>
          <cell r="AK29">
            <v>0.16483516483516492</v>
          </cell>
          <cell r="AL29">
            <v>0.1428571428571429</v>
          </cell>
          <cell r="AM29"/>
          <cell r="AN29" t="str">
            <v>HT</v>
          </cell>
          <cell r="AO29">
            <v>17.850000000000001</v>
          </cell>
          <cell r="AP29">
            <v>2099.58</v>
          </cell>
          <cell r="AQ29"/>
          <cell r="AR29">
            <v>0</v>
          </cell>
          <cell r="AS29">
            <v>2278.08</v>
          </cell>
          <cell r="AT29">
            <v>2278.08</v>
          </cell>
          <cell r="AU29">
            <v>322.67422096317279</v>
          </cell>
          <cell r="AV29">
            <v>295.15822809658965</v>
          </cell>
          <cell r="AW29"/>
          <cell r="AX29" t="str">
            <v>854449 1100</v>
          </cell>
          <cell r="AZ29">
            <v>1261.359949130725</v>
          </cell>
          <cell r="BA29">
            <v>756.81596947843502</v>
          </cell>
          <cell r="BB29">
            <v>630.6799745653625</v>
          </cell>
          <cell r="BC29">
            <v>504.54397965229003</v>
          </cell>
          <cell r="BE29">
            <v>255.90798473921751</v>
          </cell>
          <cell r="BF29">
            <v>378.40798473921751</v>
          </cell>
          <cell r="BG29">
            <v>404.65798473921751</v>
          </cell>
          <cell r="BH29">
            <v>430.90798473921751</v>
          </cell>
          <cell r="BK29">
            <v>279.75884337259578</v>
          </cell>
        </row>
        <row r="30">
          <cell r="I30" t="str">
            <v>OEFU64PXSDWHT5</v>
          </cell>
          <cell r="J30" t="str">
            <v/>
          </cell>
          <cell r="K30" t="str">
            <v>CAT6 CABLE F/UTP 4 PAIRS AWG24 TEST UP TO 400MHz LSZH CPR DCA WHITE RAL9003 500M</v>
          </cell>
          <cell r="L30" t="str">
            <v>CÂBLE CAT6 F/UTP 4 PAIRES AWG24 TEST A 400MHz LSZH CPR DCA BLANC RAL9003 500M</v>
          </cell>
          <cell r="M30" t="str">
            <v>Dca</v>
          </cell>
          <cell r="N30" t="str">
            <v>China</v>
          </cell>
          <cell r="O30">
            <v>17.5</v>
          </cell>
          <cell r="P30" t="str">
            <v>500m drum</v>
          </cell>
          <cell r="Q30" t="str">
            <v>30 km</v>
          </cell>
          <cell r="R30">
            <v>9</v>
          </cell>
          <cell r="S30"/>
          <cell r="T30" t="str">
            <v>854449 1100</v>
          </cell>
          <cell r="U30">
            <v>0</v>
          </cell>
          <cell r="V30">
            <v>45</v>
          </cell>
          <cell r="W30">
            <v>45</v>
          </cell>
          <cell r="X30">
            <v>55</v>
          </cell>
          <cell r="Y30" t="str">
            <v>T/T 60 days</v>
          </cell>
          <cell r="Z30">
            <v>357.98828049206412</v>
          </cell>
          <cell r="AA30">
            <v>317.80779424577923</v>
          </cell>
          <cell r="AB30">
            <v>0.09</v>
          </cell>
          <cell r="AC30">
            <v>0.09</v>
          </cell>
          <cell r="AD30">
            <v>0.25</v>
          </cell>
          <cell r="AE30" t="str">
            <v>C</v>
          </cell>
          <cell r="AF30">
            <v>317.80779424577923</v>
          </cell>
          <cell r="AG30">
            <v>0.25</v>
          </cell>
          <cell r="AH30">
            <v>315.2</v>
          </cell>
          <cell r="AI30">
            <v>287.17741182330417</v>
          </cell>
          <cell r="AJ30">
            <v>261.92950075201588</v>
          </cell>
          <cell r="AK30">
            <v>0.19780219780219788</v>
          </cell>
          <cell r="AL30">
            <v>0.17582417582417575</v>
          </cell>
          <cell r="AM30"/>
          <cell r="AN30" t="str">
            <v>AYP</v>
          </cell>
          <cell r="AO30">
            <v>14</v>
          </cell>
          <cell r="AP30">
            <v>1700</v>
          </cell>
          <cell r="AQ30"/>
          <cell r="AR30">
            <v>5</v>
          </cell>
          <cell r="AS30">
            <v>1840</v>
          </cell>
          <cell r="AT30">
            <v>1845</v>
          </cell>
          <cell r="AU30">
            <v>261.33144475920682</v>
          </cell>
          <cell r="AV30">
            <v>238.35584568433444</v>
          </cell>
          <cell r="AW30"/>
          <cell r="AX30" t="str">
            <v>854449 1100</v>
          </cell>
          <cell r="AZ30">
            <v>1059.3593141525976</v>
          </cell>
          <cell r="BA30">
            <v>635.61558849155847</v>
          </cell>
          <cell r="BB30">
            <v>529.67965707629878</v>
          </cell>
          <cell r="BC30">
            <v>423.74372566103904</v>
          </cell>
          <cell r="BE30">
            <v>195.30779424577923</v>
          </cell>
          <cell r="BF30">
            <v>317.80779424577923</v>
          </cell>
          <cell r="BG30">
            <v>344.05779424577923</v>
          </cell>
          <cell r="BH30">
            <v>370.30779424577923</v>
          </cell>
          <cell r="BK30">
            <v>213.17578049206412</v>
          </cell>
        </row>
        <row r="31">
          <cell r="I31" t="str">
            <v>OEFU64PXSDWHTB</v>
          </cell>
          <cell r="J31" t="str">
            <v/>
          </cell>
          <cell r="K31" t="str">
            <v>CAT6 CABLE F/UTP 4 PAIRS AWG24 TEST UP TO 400MHz LSZH CPR DCA WHITE RAL9003 B305M</v>
          </cell>
          <cell r="L31" t="str">
            <v>CÂBLE CAT6 F/UTP 4 PAIRES AWG24 TEST A 400MHz LSZH CPR DCA BLANC RAL9003 B305M</v>
          </cell>
          <cell r="M31" t="str">
            <v>Dca</v>
          </cell>
          <cell r="N31" t="str">
            <v>China</v>
          </cell>
          <cell r="O31">
            <v>17.5</v>
          </cell>
          <cell r="P31" t="str">
            <v>305m Reel in box</v>
          </cell>
          <cell r="Q31" t="str">
            <v>30 km</v>
          </cell>
          <cell r="R31">
            <v>6.8624999999999998</v>
          </cell>
          <cell r="S31"/>
          <cell r="T31" t="str">
            <v>854449 1100</v>
          </cell>
          <cell r="U31">
            <v>0</v>
          </cell>
          <cell r="V31">
            <v>45</v>
          </cell>
          <cell r="W31">
            <v>45</v>
          </cell>
          <cell r="X31">
            <v>55</v>
          </cell>
          <cell r="Y31" t="str">
            <v>T/T 60 days</v>
          </cell>
          <cell r="Z31">
            <v>359.32011331444761</v>
          </cell>
          <cell r="AA31">
            <v>323.2612380956985</v>
          </cell>
          <cell r="AB31">
            <v>0.09</v>
          </cell>
          <cell r="AC31">
            <v>0.09</v>
          </cell>
          <cell r="AD31">
            <v>0.23</v>
          </cell>
          <cell r="AE31" t="str">
            <v>C</v>
          </cell>
          <cell r="AF31">
            <v>323.2612380956985</v>
          </cell>
          <cell r="AG31">
            <v>0.22999999999999998</v>
          </cell>
          <cell r="AH31">
            <v>320.64</v>
          </cell>
          <cell r="AI31">
            <v>296.14295053388543</v>
          </cell>
          <cell r="AJ31">
            <v>273.52873992712949</v>
          </cell>
          <cell r="AK31">
            <v>0.17582417582417575</v>
          </cell>
          <cell r="AL31">
            <v>0.15384615384615385</v>
          </cell>
          <cell r="AM31"/>
          <cell r="AN31" t="str">
            <v>AYP</v>
          </cell>
          <cell r="AO31">
            <v>14</v>
          </cell>
          <cell r="AP31">
            <v>1757.6</v>
          </cell>
          <cell r="AQ31"/>
          <cell r="AR31">
            <v>5</v>
          </cell>
          <cell r="AS31">
            <v>1897.6</v>
          </cell>
          <cell r="AT31">
            <v>1902.6</v>
          </cell>
          <cell r="AU31">
            <v>269.49008498583572</v>
          </cell>
          <cell r="AV31">
            <v>248.91115333368785</v>
          </cell>
          <cell r="AW31"/>
          <cell r="AX31" t="str">
            <v>854449 1100</v>
          </cell>
          <cell r="AZ31">
            <v>1077.537460318995</v>
          </cell>
          <cell r="BA31">
            <v>646.522476191397</v>
          </cell>
          <cell r="BB31">
            <v>538.76873015949752</v>
          </cell>
          <cell r="BC31">
            <v>431.01498412759804</v>
          </cell>
          <cell r="BE31">
            <v>200.7612380956985</v>
          </cell>
          <cell r="BF31">
            <v>323.2612380956985</v>
          </cell>
          <cell r="BG31">
            <v>349.5112380956985</v>
          </cell>
          <cell r="BH31">
            <v>375.7612380956985</v>
          </cell>
          <cell r="BK31">
            <v>214.50761331444761</v>
          </cell>
        </row>
        <row r="32">
          <cell r="I32" t="str">
            <v>KCU64PZHDGR5</v>
          </cell>
          <cell r="J32" t="str">
            <v>U0102008</v>
          </cell>
          <cell r="K32" t="str">
            <v>CAT6 CABLE U/UTP 4 PAIRS AWG23 TEST UP TO 400MHz LSZH CPR DCA GREY RAL7035 500M</v>
          </cell>
          <cell r="L32" t="str">
            <v>CÂBLE CAT6 U/UTP 4 PAIRES AWG23 TEST A 400MHz LSZH CPR DCA GRIS RAL7035 500M</v>
          </cell>
          <cell r="M32" t="str">
            <v>Dca</v>
          </cell>
          <cell r="N32" t="str">
            <v>China</v>
          </cell>
          <cell r="O32">
            <v>15.8</v>
          </cell>
          <cell r="P32" t="str">
            <v>500m drum</v>
          </cell>
          <cell r="Q32" t="str">
            <v>30 km</v>
          </cell>
          <cell r="R32">
            <v>12</v>
          </cell>
          <cell r="S32" t="e">
            <v>#N/A</v>
          </cell>
          <cell r="T32" t="str">
            <v>854449 1100</v>
          </cell>
          <cell r="U32">
            <v>0</v>
          </cell>
          <cell r="V32">
            <v>45</v>
          </cell>
          <cell r="W32">
            <v>45</v>
          </cell>
          <cell r="X32">
            <v>55</v>
          </cell>
          <cell r="Y32" t="str">
            <v>T/T 60 days</v>
          </cell>
          <cell r="Z32">
            <v>321.58333971365136</v>
          </cell>
          <cell r="AA32">
            <v>283.2437124959215</v>
          </cell>
          <cell r="AB32">
            <v>0.09</v>
          </cell>
          <cell r="AC32">
            <v>0.09</v>
          </cell>
          <cell r="AD32">
            <v>0.24</v>
          </cell>
          <cell r="AE32" t="str">
            <v>C</v>
          </cell>
          <cell r="AF32">
            <v>283.2437124959215</v>
          </cell>
          <cell r="AG32">
            <v>0.2400000000000001</v>
          </cell>
          <cell r="AH32" t="e">
            <v>#N/A</v>
          </cell>
          <cell r="AI32">
            <v>261.50733119571646</v>
          </cell>
          <cell r="AJ32">
            <v>236.55518845813222</v>
          </cell>
          <cell r="AK32">
            <v>0.18681318681318693</v>
          </cell>
          <cell r="AL32">
            <v>0.16483516483516492</v>
          </cell>
          <cell r="AM32"/>
          <cell r="AN32" t="str">
            <v>HT</v>
          </cell>
          <cell r="AO32">
            <v>15.24</v>
          </cell>
          <cell r="AP32">
            <v>1522.68</v>
          </cell>
          <cell r="AQ32"/>
          <cell r="AR32">
            <v>5</v>
          </cell>
          <cell r="AS32">
            <v>1675.0800000000002</v>
          </cell>
          <cell r="AT32">
            <v>1680.0800000000002</v>
          </cell>
          <cell r="AU32">
            <v>237.97167138810201</v>
          </cell>
          <cell r="AV32">
            <v>215.26522149690032</v>
          </cell>
          <cell r="AW32"/>
          <cell r="AX32" t="str">
            <v>854449 1100</v>
          </cell>
          <cell r="AZ32">
            <v>944.14570831973833</v>
          </cell>
          <cell r="BA32">
            <v>566.487424991843</v>
          </cell>
          <cell r="BB32">
            <v>472.07285415986917</v>
          </cell>
          <cell r="BC32">
            <v>377.65828332789533</v>
          </cell>
          <cell r="BE32">
            <v>172.64371249592148</v>
          </cell>
          <cell r="BF32">
            <v>283.2437124959215</v>
          </cell>
          <cell r="BG32">
            <v>306.94371249592149</v>
          </cell>
          <cell r="BH32">
            <v>330.64371249592148</v>
          </cell>
          <cell r="BK32">
            <v>190.83833971365135</v>
          </cell>
        </row>
        <row r="33">
          <cell r="I33" t="str">
            <v>KCU64PZHDGRB</v>
          </cell>
          <cell r="J33" t="str">
            <v>U0102009</v>
          </cell>
          <cell r="K33" t="str">
            <v>CAT6 CABLE U/UTP 4 PAIRS AWG23 TEST UP TO 400MHz LSZH CPR DCA GREY RAL7035 B305M</v>
          </cell>
          <cell r="L33" t="str">
            <v>CÂBLE CAT6 U/UTP 4 PAIRES AWG23 TEST A 400MHz LSZH CPR DCA GRIS RAL7035 B305M</v>
          </cell>
          <cell r="M33" t="str">
            <v>Dca</v>
          </cell>
          <cell r="N33" t="str">
            <v>China</v>
          </cell>
          <cell r="O33">
            <v>15.8</v>
          </cell>
          <cell r="P33" t="str">
            <v>305m Reelex box</v>
          </cell>
          <cell r="Q33" t="str">
            <v>30 km</v>
          </cell>
          <cell r="R33">
            <v>6.1</v>
          </cell>
          <cell r="S33" t="e">
            <v>#N/A</v>
          </cell>
          <cell r="T33" t="str">
            <v>854449 1100</v>
          </cell>
          <cell r="U33">
            <v>0</v>
          </cell>
          <cell r="V33">
            <v>45</v>
          </cell>
          <cell r="W33">
            <v>45</v>
          </cell>
          <cell r="X33">
            <v>55</v>
          </cell>
          <cell r="Y33" t="str">
            <v>T/T 60 days</v>
          </cell>
          <cell r="Z33">
            <v>320.62629201439404</v>
          </cell>
          <cell r="AA33">
            <v>293.03880447030326</v>
          </cell>
          <cell r="AB33">
            <v>0.09</v>
          </cell>
          <cell r="AC33">
            <v>0.09</v>
          </cell>
          <cell r="AD33">
            <v>0.24</v>
          </cell>
          <cell r="AE33" t="str">
            <v>C</v>
          </cell>
          <cell r="AF33">
            <v>293.03880447030326</v>
          </cell>
          <cell r="AG33">
            <v>0.24</v>
          </cell>
          <cell r="AH33" t="e">
            <v>#N/A</v>
          </cell>
          <cell r="AI33">
            <v>260.72907262708964</v>
          </cell>
          <cell r="AJ33">
            <v>244.73570483234118</v>
          </cell>
          <cell r="AK33">
            <v>0.18681318681318693</v>
          </cell>
          <cell r="AL33">
            <v>0.1648351648351648</v>
          </cell>
          <cell r="AM33"/>
          <cell r="AN33" t="str">
            <v>HT</v>
          </cell>
          <cell r="AO33">
            <v>15.24</v>
          </cell>
          <cell r="AP33">
            <v>1522.68</v>
          </cell>
          <cell r="AQ33"/>
          <cell r="AR33">
            <v>0</v>
          </cell>
          <cell r="AS33">
            <v>1675.0800000000002</v>
          </cell>
          <cell r="AT33">
            <v>1675.0800000000002</v>
          </cell>
          <cell r="AU33">
            <v>237.2634560906516</v>
          </cell>
          <cell r="AV33">
            <v>222.7094913974305</v>
          </cell>
          <cell r="AW33"/>
          <cell r="AX33" t="str">
            <v>854449 1100</v>
          </cell>
          <cell r="AZ33">
            <v>976.79601490101095</v>
          </cell>
          <cell r="BA33">
            <v>586.07760894060652</v>
          </cell>
          <cell r="BB33">
            <v>488.39800745050547</v>
          </cell>
          <cell r="BC33">
            <v>390.71840596040443</v>
          </cell>
          <cell r="BE33">
            <v>182.43880447030324</v>
          </cell>
          <cell r="BF33">
            <v>293.03880447030326</v>
          </cell>
          <cell r="BG33">
            <v>316.73880447030325</v>
          </cell>
          <cell r="BH33">
            <v>340.43880447030324</v>
          </cell>
          <cell r="BK33">
            <v>189.88129201439403</v>
          </cell>
        </row>
        <row r="34">
          <cell r="I34" t="str">
            <v>KCU64PEOUT5</v>
          </cell>
          <cell r="J34" t="str">
            <v>U0102004</v>
          </cell>
          <cell r="K34" t="str">
            <v>CAT6 CABLE U/UTP 4 PAIRS AWG23 TEST UP TO 400MHz PE OUTDOOR CPR FCA BLACK RAL9005 500M</v>
          </cell>
          <cell r="L34" t="str">
            <v>CÂBLE CAT6 U/UTP 4 PAIRES AWG23 TEST A 400MHz PE EXTERIEUR CPR FCA NOIR RAL9005 500M</v>
          </cell>
          <cell r="M34" t="str">
            <v>Fca</v>
          </cell>
          <cell r="N34" t="str">
            <v>China</v>
          </cell>
          <cell r="O34">
            <v>17.8</v>
          </cell>
          <cell r="P34" t="str">
            <v>500m drum</v>
          </cell>
          <cell r="Q34" t="str">
            <v>30 km</v>
          </cell>
          <cell r="R34">
            <v>12</v>
          </cell>
          <cell r="S34" t="e">
            <v>#N/A</v>
          </cell>
          <cell r="T34" t="str">
            <v>854449 1100</v>
          </cell>
          <cell r="U34">
            <v>0</v>
          </cell>
          <cell r="V34">
            <v>45</v>
          </cell>
          <cell r="W34">
            <v>45</v>
          </cell>
          <cell r="X34">
            <v>55</v>
          </cell>
          <cell r="Y34" t="str">
            <v>T/T 60 days</v>
          </cell>
          <cell r="Z34">
            <v>369.34742717009857</v>
          </cell>
          <cell r="AA34">
            <v>323.93964654984171</v>
          </cell>
          <cell r="AB34">
            <v>0.09</v>
          </cell>
          <cell r="AC34">
            <v>0.09</v>
          </cell>
          <cell r="AD34">
            <v>0.31</v>
          </cell>
          <cell r="AE34" t="str">
            <v>C</v>
          </cell>
          <cell r="AF34">
            <v>323.93964654984171</v>
          </cell>
          <cell r="AG34">
            <v>0.31000000000000016</v>
          </cell>
          <cell r="AH34" t="e">
            <v>#N/A</v>
          </cell>
          <cell r="AI34">
            <v>271.93711670765492</v>
          </cell>
          <cell r="AJ34">
            <v>245.62456716416565</v>
          </cell>
          <cell r="AK34">
            <v>0.26373626373626391</v>
          </cell>
          <cell r="AL34">
            <v>0.2417582417582419</v>
          </cell>
          <cell r="AM34"/>
          <cell r="AN34" t="str">
            <v>HT</v>
          </cell>
          <cell r="AO34">
            <v>15.85</v>
          </cell>
          <cell r="AP34">
            <v>1583.5871999999999</v>
          </cell>
          <cell r="AQ34"/>
          <cell r="AR34">
            <v>5</v>
          </cell>
          <cell r="AS34">
            <v>1742.0871999999999</v>
          </cell>
          <cell r="AT34">
            <v>1747.0871999999999</v>
          </cell>
          <cell r="AU34">
            <v>247.462776203966</v>
          </cell>
          <cell r="AV34">
            <v>223.51835611939075</v>
          </cell>
          <cell r="AW34"/>
          <cell r="AX34" t="str">
            <v>854449 1100</v>
          </cell>
          <cell r="AZ34">
            <v>1079.7988218328057</v>
          </cell>
          <cell r="BA34">
            <v>647.87929309968342</v>
          </cell>
          <cell r="BB34">
            <v>539.89941091640287</v>
          </cell>
          <cell r="BC34">
            <v>431.91952873312232</v>
          </cell>
          <cell r="BE34">
            <v>199.33964654984169</v>
          </cell>
          <cell r="BF34">
            <v>323.93964654984171</v>
          </cell>
          <cell r="BG34">
            <v>350.6396465498417</v>
          </cell>
          <cell r="BH34">
            <v>377.33964654984169</v>
          </cell>
          <cell r="BK34">
            <v>222.05242717009855</v>
          </cell>
        </row>
        <row r="35">
          <cell r="I35" t="str">
            <v>KCU6A4PLZHDBL5</v>
          </cell>
          <cell r="J35" t="str">
            <v>U0103010</v>
          </cell>
          <cell r="K35" t="str">
            <v>CAT6A CABLE U/UTP 4 PAIRS AWG23 TESTED UP TO 650MHz LSZH CPR DCA BLUE RAL5024 500M NANEXT</v>
          </cell>
          <cell r="L35" t="str">
            <v>CÂBLE CAT6A U/UTP 4 PAIRES AWG23 TEST A 650MHz LSZH CPR DCA BLEU RAL5024 500M NANEXT</v>
          </cell>
          <cell r="M35" t="str">
            <v>Dca</v>
          </cell>
          <cell r="N35" t="str">
            <v>China</v>
          </cell>
          <cell r="O35">
            <v>16.399999999999999</v>
          </cell>
          <cell r="P35" t="str">
            <v>500m drum</v>
          </cell>
          <cell r="Q35" t="str">
            <v>30 km</v>
          </cell>
          <cell r="R35">
            <v>9</v>
          </cell>
          <cell r="S35" t="e">
            <v>#N/A</v>
          </cell>
          <cell r="T35" t="str">
            <v>854449 1100</v>
          </cell>
          <cell r="U35">
            <v>0</v>
          </cell>
          <cell r="V35">
            <v>45</v>
          </cell>
          <cell r="W35">
            <v>45</v>
          </cell>
          <cell r="X35">
            <v>55</v>
          </cell>
          <cell r="Y35" t="str">
            <v>T/T 60 days</v>
          </cell>
          <cell r="Z35">
            <v>370.49284520955911</v>
          </cell>
          <cell r="AA35">
            <v>328.00238808829772</v>
          </cell>
          <cell r="AB35">
            <v>0.09</v>
          </cell>
          <cell r="AC35">
            <v>0.09</v>
          </cell>
          <cell r="AD35">
            <v>0.2</v>
          </cell>
          <cell r="AE35" t="str">
            <v>C</v>
          </cell>
          <cell r="AF35">
            <v>328.00238808829772</v>
          </cell>
          <cell r="AG35">
            <v>0.19999999999999996</v>
          </cell>
          <cell r="AH35" t="e">
            <v>#N/A</v>
          </cell>
          <cell r="AI35">
            <v>317.56529589390783</v>
          </cell>
          <cell r="AJ35">
            <v>288.35374776993206</v>
          </cell>
          <cell r="AK35">
            <v>0.14285714285714279</v>
          </cell>
          <cell r="AL35">
            <v>0.12087912087912089</v>
          </cell>
          <cell r="AM35"/>
          <cell r="AN35" t="str">
            <v>HT</v>
          </cell>
          <cell r="AO35">
            <v>17.36</v>
          </cell>
          <cell r="AP35">
            <v>1861.63</v>
          </cell>
          <cell r="AQ35"/>
          <cell r="AR35">
            <v>5</v>
          </cell>
          <cell r="AS35">
            <v>2035.23</v>
          </cell>
          <cell r="AT35">
            <v>2040.23</v>
          </cell>
          <cell r="AU35">
            <v>288.98441926345612</v>
          </cell>
          <cell r="AV35">
            <v>262.4019104706382</v>
          </cell>
          <cell r="AW35" t="str">
            <v>NON ANEXT</v>
          </cell>
          <cell r="AX35" t="str">
            <v>854449 1100</v>
          </cell>
          <cell r="AZ35">
            <v>1093.3412936276591</v>
          </cell>
          <cell r="BA35">
            <v>656.00477617659544</v>
          </cell>
          <cell r="BB35">
            <v>546.67064681382953</v>
          </cell>
          <cell r="BC35">
            <v>437.33651745106363</v>
          </cell>
          <cell r="BE35">
            <v>213.20238808829774</v>
          </cell>
          <cell r="BF35">
            <v>328.00238808829772</v>
          </cell>
          <cell r="BG35">
            <v>352.60238808829774</v>
          </cell>
          <cell r="BH35">
            <v>377.20238808829777</v>
          </cell>
          <cell r="BK35">
            <v>234.7828452095591</v>
          </cell>
        </row>
        <row r="36">
          <cell r="I36" t="str">
            <v>KCU6A4PZHDBL5</v>
          </cell>
          <cell r="J36" t="str">
            <v>U0103011</v>
          </cell>
          <cell r="K36" t="str">
            <v>CAT6A CABLE U/UTP 4 PAIRS AWG23 TESTED UP TO 650MHz LSZH CPR DCA BLUE RAL5024 500M</v>
          </cell>
          <cell r="L36" t="str">
            <v>CÂBLE CAT6A U/UTP 4 PAIRES AWG23 TEST A 650MHz LSZH CPR DCA BLEU RAL5024 500M</v>
          </cell>
          <cell r="M36" t="str">
            <v>Dca</v>
          </cell>
          <cell r="N36" t="str">
            <v>China</v>
          </cell>
          <cell r="O36">
            <v>16.399999999999999</v>
          </cell>
          <cell r="P36" t="str">
            <v>500m drum</v>
          </cell>
          <cell r="Q36" t="str">
            <v>30 km</v>
          </cell>
          <cell r="R36">
            <v>9</v>
          </cell>
          <cell r="S36" t="e">
            <v>#N/A</v>
          </cell>
          <cell r="T36" t="str">
            <v>854449 1100</v>
          </cell>
          <cell r="U36">
            <v>0</v>
          </cell>
          <cell r="V36">
            <v>45</v>
          </cell>
          <cell r="W36">
            <v>45</v>
          </cell>
          <cell r="X36">
            <v>55</v>
          </cell>
          <cell r="Y36" t="str">
            <v>T/T 60 days</v>
          </cell>
          <cell r="Z36">
            <v>446.79580430288644</v>
          </cell>
          <cell r="AA36">
            <v>392.91381345756719</v>
          </cell>
          <cell r="AB36">
            <v>0.09</v>
          </cell>
          <cell r="AC36">
            <v>0.09</v>
          </cell>
          <cell r="AD36">
            <v>0.24</v>
          </cell>
          <cell r="AE36" t="str">
            <v>C</v>
          </cell>
          <cell r="AF36">
            <v>392.91381345756719</v>
          </cell>
          <cell r="AG36">
            <v>0.24</v>
          </cell>
          <cell r="AH36" t="e">
            <v>#N/A</v>
          </cell>
          <cell r="AI36">
            <v>363.32845624630323</v>
          </cell>
          <cell r="AJ36">
            <v>328.14780025027591</v>
          </cell>
          <cell r="AK36">
            <v>0.18681318681318682</v>
          </cell>
          <cell r="AL36">
            <v>0.1648351648351648</v>
          </cell>
          <cell r="AM36"/>
          <cell r="AN36" t="str">
            <v>HT</v>
          </cell>
          <cell r="AO36">
            <v>19.010000000000002</v>
          </cell>
          <cell r="AP36">
            <v>2139.14</v>
          </cell>
          <cell r="AQ36"/>
          <cell r="AR36">
            <v>5</v>
          </cell>
          <cell r="AS36">
            <v>2329.2399999999998</v>
          </cell>
          <cell r="AT36">
            <v>2334.2399999999998</v>
          </cell>
          <cell r="AU36">
            <v>330.62889518413596</v>
          </cell>
          <cell r="AV36">
            <v>298.61449822775108</v>
          </cell>
          <cell r="AW36" t="str">
            <v>ANEXT</v>
          </cell>
          <cell r="AX36" t="str">
            <v>854449 1100</v>
          </cell>
          <cell r="AZ36">
            <v>1309.712711525224</v>
          </cell>
          <cell r="BA36">
            <v>785.82762691513437</v>
          </cell>
          <cell r="BB36">
            <v>654.856355762612</v>
          </cell>
          <cell r="BC36">
            <v>523.88508461008962</v>
          </cell>
          <cell r="BE36">
            <v>278.11381345756718</v>
          </cell>
          <cell r="BF36">
            <v>392.91381345756713</v>
          </cell>
          <cell r="BG36">
            <v>417.51381345756715</v>
          </cell>
          <cell r="BH36">
            <v>442.11381345756718</v>
          </cell>
          <cell r="BK36">
            <v>311.08580430288646</v>
          </cell>
        </row>
        <row r="37">
          <cell r="I37" t="str">
            <v>KCU6A4PZHDBL5</v>
          </cell>
          <cell r="J37" t="str">
            <v>U0103011</v>
          </cell>
          <cell r="K37" t="str">
            <v>CAT6A CABLE U/UTP 4 PAIRS AWG23 TESTED UP TO 650MHz LSZH CPR DCA BLUE RAL5024 500M</v>
          </cell>
          <cell r="L37" t="str">
            <v>CÂBLE CAT6A U/UTP 4 PAIRES AWG23 TEST A 650MHz LSZH CPR DCA BLEU RAL5024 500M</v>
          </cell>
          <cell r="M37" t="str">
            <v>Dca</v>
          </cell>
          <cell r="N37" t="str">
            <v>Turkey</v>
          </cell>
          <cell r="O37">
            <v>19</v>
          </cell>
          <cell r="P37" t="str">
            <v>500m drum</v>
          </cell>
          <cell r="Q37" t="str">
            <v>30 km</v>
          </cell>
          <cell r="R37">
            <v>12</v>
          </cell>
          <cell r="S37"/>
          <cell r="T37" t="str">
            <v>854449 2000</v>
          </cell>
          <cell r="U37">
            <v>0</v>
          </cell>
          <cell r="V37">
            <v>60</v>
          </cell>
          <cell r="W37">
            <v>14</v>
          </cell>
          <cell r="X37">
            <v>14</v>
          </cell>
          <cell r="Y37" t="str">
            <v>T/T 30 days</v>
          </cell>
          <cell r="Z37">
            <v>436.71604938271605</v>
          </cell>
          <cell r="AA37">
            <v>377.15034049240444</v>
          </cell>
          <cell r="AB37">
            <v>7.0000000000000007E-2</v>
          </cell>
          <cell r="AC37">
            <v>7.0000000000000007E-2</v>
          </cell>
          <cell r="AD37">
            <v>0.17</v>
          </cell>
          <cell r="AE37" t="str">
            <v>C</v>
          </cell>
          <cell r="AF37">
            <v>377.15034049240444</v>
          </cell>
          <cell r="AG37">
            <v>0.17000000000000004</v>
          </cell>
          <cell r="AH37" t="e">
            <v>#N/A</v>
          </cell>
          <cell r="AI37">
            <v>380.36559139784947</v>
          </cell>
          <cell r="AJ37">
            <v>336.59654043945773</v>
          </cell>
          <cell r="AK37">
            <v>0.12903225806451613</v>
          </cell>
          <cell r="AL37">
            <v>0.10752688172043012</v>
          </cell>
          <cell r="AM37"/>
          <cell r="AN37" t="str">
            <v>KK</v>
          </cell>
          <cell r="AO37"/>
          <cell r="AP37"/>
          <cell r="AQ37">
            <v>174.6</v>
          </cell>
          <cell r="AR37"/>
          <cell r="AS37"/>
          <cell r="AT37"/>
          <cell r="AU37">
            <v>307.60000000000002</v>
          </cell>
          <cell r="AV37">
            <v>313.03478260869565</v>
          </cell>
          <cell r="AW37"/>
          <cell r="AX37"/>
          <cell r="AZ37">
            <v>1257.1678016413482</v>
          </cell>
          <cell r="BA37">
            <v>754.30068098480888</v>
          </cell>
          <cell r="BB37">
            <v>628.5839008206741</v>
          </cell>
          <cell r="BC37">
            <v>502.86712065653933</v>
          </cell>
          <cell r="BE37">
            <v>244.15034049240444</v>
          </cell>
          <cell r="BF37">
            <v>377.15034049240444</v>
          </cell>
          <cell r="BG37">
            <v>405.65034049240444</v>
          </cell>
          <cell r="BH37">
            <v>434.15034049240444</v>
          </cell>
          <cell r="BK37">
            <v>279.49104938271603</v>
          </cell>
        </row>
        <row r="38">
          <cell r="I38" t="str">
            <v>KCU6A4PZHCBL5</v>
          </cell>
          <cell r="J38" t="str">
            <v/>
          </cell>
          <cell r="K38" t="str">
            <v>CAT6A CABLE U/UTP 4 PAIRS AWG23 TESTED UP TO 650MHz LSZH CPR CCA BLUE RAL5024 500M</v>
          </cell>
          <cell r="L38" t="str">
            <v>CÂBLE CAT6A U/UTP 4 PAIRES AWG23 TEST A 650MHz LSZH CPR CCA BLEU RAL5024 500M</v>
          </cell>
          <cell r="M38" t="str">
            <v>Cca</v>
          </cell>
          <cell r="N38" t="str">
            <v>Turkey</v>
          </cell>
          <cell r="O38">
            <v>19</v>
          </cell>
          <cell r="P38" t="str">
            <v>500m drum</v>
          </cell>
          <cell r="Q38" t="str">
            <v>30 km</v>
          </cell>
          <cell r="R38">
            <v>12</v>
          </cell>
          <cell r="S38"/>
          <cell r="T38" t="str">
            <v>854449 2000</v>
          </cell>
          <cell r="U38">
            <v>0</v>
          </cell>
          <cell r="V38">
            <v>60</v>
          </cell>
          <cell r="W38">
            <v>14</v>
          </cell>
          <cell r="X38">
            <v>14</v>
          </cell>
          <cell r="Y38" t="str">
            <v>T/T 30 days</v>
          </cell>
          <cell r="Z38">
            <v>464.84210526315786</v>
          </cell>
          <cell r="AA38">
            <v>400.81382385730205</v>
          </cell>
          <cell r="AB38">
            <v>7.0000000000000007E-2</v>
          </cell>
          <cell r="AC38">
            <v>7.0000000000000007E-2</v>
          </cell>
          <cell r="AD38">
            <v>0.22</v>
          </cell>
          <cell r="AE38" t="str">
            <v>C</v>
          </cell>
          <cell r="AF38">
            <v>400.81382385730205</v>
          </cell>
          <cell r="AG38">
            <v>0.21999999999999997</v>
          </cell>
          <cell r="AH38" t="e">
            <v>#N/A</v>
          </cell>
          <cell r="AI38">
            <v>379.87096774193543</v>
          </cell>
          <cell r="AJ38">
            <v>336.16643291257594</v>
          </cell>
          <cell r="AK38">
            <v>0.18279569892473124</v>
          </cell>
          <cell r="AL38">
            <v>0.16129032258064513</v>
          </cell>
          <cell r="AM38"/>
          <cell r="AN38" t="str">
            <v>KK</v>
          </cell>
          <cell r="AO38"/>
          <cell r="AP38"/>
          <cell r="AQ38">
            <v>174.2</v>
          </cell>
          <cell r="AR38"/>
          <cell r="AS38"/>
          <cell r="AT38"/>
          <cell r="AU38">
            <v>307.2</v>
          </cell>
          <cell r="AV38">
            <v>312.63478260869562</v>
          </cell>
          <cell r="AW38"/>
          <cell r="AX38"/>
          <cell r="AZ38">
            <v>1336.0460795243403</v>
          </cell>
          <cell r="BA38">
            <v>801.62764771460411</v>
          </cell>
          <cell r="BB38">
            <v>668.02303976217013</v>
          </cell>
          <cell r="BC38">
            <v>534.41843180973615</v>
          </cell>
          <cell r="BE38">
            <v>267.81382385730205</v>
          </cell>
          <cell r="BF38">
            <v>400.81382385730205</v>
          </cell>
          <cell r="BG38">
            <v>429.31382385730205</v>
          </cell>
          <cell r="BH38">
            <v>457.81382385730205</v>
          </cell>
          <cell r="BK38">
            <v>307.6171052631579</v>
          </cell>
        </row>
        <row r="39">
          <cell r="I39" t="str">
            <v>KCUF6A4PZHDBL5</v>
          </cell>
          <cell r="J39" t="str">
            <v>U0103014</v>
          </cell>
          <cell r="K39" t="str">
            <v>CAT6A CABLE U/FTP 4 PAIRS AWG23 TESTED UP TO 650MHz LSZH CPR DCA BLUE RAL5024 500M</v>
          </cell>
          <cell r="L39" t="str">
            <v>CÂBLE CAT6A U/FTP 4 PAIRES AWG23 TEST A 650MHz LSZH CPR DCA BLEU RAL5024 500M</v>
          </cell>
          <cell r="M39" t="str">
            <v>Dca</v>
          </cell>
          <cell r="N39" t="str">
            <v>China</v>
          </cell>
          <cell r="O39">
            <v>17.8</v>
          </cell>
          <cell r="P39" t="str">
            <v>500m drum</v>
          </cell>
          <cell r="Q39" t="str">
            <v>30 km</v>
          </cell>
          <cell r="R39">
            <v>9</v>
          </cell>
          <cell r="S39" t="str">
            <v>4897108882340</v>
          </cell>
          <cell r="T39" t="str">
            <v>854449 1100</v>
          </cell>
          <cell r="U39">
            <v>0</v>
          </cell>
          <cell r="V39">
            <v>45</v>
          </cell>
          <cell r="W39">
            <v>45</v>
          </cell>
          <cell r="X39">
            <v>55</v>
          </cell>
          <cell r="Y39" t="str">
            <v>T/T 60 days</v>
          </cell>
          <cell r="Z39">
            <v>422.12800059639193</v>
          </cell>
          <cell r="AA39">
            <v>371.90084529658373</v>
          </cell>
          <cell r="AB39">
            <v>0.09</v>
          </cell>
          <cell r="AC39">
            <v>0.09</v>
          </cell>
          <cell r="AD39">
            <v>0.22</v>
          </cell>
          <cell r="AE39" t="str">
            <v>C</v>
          </cell>
          <cell r="AF39">
            <v>371.90084529658373</v>
          </cell>
          <cell r="AG39">
            <v>0.21999999999999997</v>
          </cell>
          <cell r="AH39">
            <v>368.82</v>
          </cell>
          <cell r="AI39">
            <v>352.5464620365471</v>
          </cell>
          <cell r="AJ39">
            <v>318.77215311135751</v>
          </cell>
          <cell r="AK39">
            <v>0.1648351648351648</v>
          </cell>
          <cell r="AL39">
            <v>0.14285714285714279</v>
          </cell>
          <cell r="AM39"/>
          <cell r="AN39" t="str">
            <v>HT</v>
          </cell>
          <cell r="AO39">
            <v>16.64</v>
          </cell>
          <cell r="AP39">
            <v>2093.5700000000002</v>
          </cell>
          <cell r="AQ39"/>
          <cell r="AR39">
            <v>5</v>
          </cell>
          <cell r="AS39">
            <v>2259.9700000000003</v>
          </cell>
          <cell r="AT39">
            <v>2264.9700000000003</v>
          </cell>
          <cell r="AU39">
            <v>320.81728045325787</v>
          </cell>
          <cell r="AV39">
            <v>290.08265933133532</v>
          </cell>
          <cell r="AW39"/>
          <cell r="AX39" t="str">
            <v>854449 1100</v>
          </cell>
          <cell r="AZ39">
            <v>1239.6694843219459</v>
          </cell>
          <cell r="BA39">
            <v>743.80169059316756</v>
          </cell>
          <cell r="BB39">
            <v>619.83474216097295</v>
          </cell>
          <cell r="BC39">
            <v>495.86779372877839</v>
          </cell>
          <cell r="BE39">
            <v>247.3008452965837</v>
          </cell>
          <cell r="BF39">
            <v>371.90084529658373</v>
          </cell>
          <cell r="BG39">
            <v>398.60084529658371</v>
          </cell>
          <cell r="BH39">
            <v>425.3008452965837</v>
          </cell>
          <cell r="BK39">
            <v>274.83300059639191</v>
          </cell>
        </row>
        <row r="40">
          <cell r="I40" t="str">
            <v>KCUF6A8PZHDBL5</v>
          </cell>
          <cell r="J40" t="str">
            <v>U0103015</v>
          </cell>
          <cell r="K40" t="str">
            <v>CAT6A CABLE U/FTP 2x4 PAIRS AWG23 TESTED UP TO 650MHz LSZH CPR DCA BLUE RAL5024 500M</v>
          </cell>
          <cell r="L40" t="str">
            <v>CÂBLE CAT6A U/FTP 2x4 PAIRES AWG23 TEST A 650MHz LSZH CPR DCA BLEU RAL5024 500M</v>
          </cell>
          <cell r="M40" t="str">
            <v>Dca</v>
          </cell>
          <cell r="N40" t="str">
            <v>China</v>
          </cell>
          <cell r="O40">
            <v>35.6</v>
          </cell>
          <cell r="P40" t="str">
            <v>500m drum</v>
          </cell>
          <cell r="Q40" t="str">
            <v>30 km</v>
          </cell>
          <cell r="R40">
            <v>4</v>
          </cell>
          <cell r="S40" t="str">
            <v>4897108882357</v>
          </cell>
          <cell r="T40" t="str">
            <v>854449 1100</v>
          </cell>
          <cell r="U40">
            <v>0</v>
          </cell>
          <cell r="V40">
            <v>45</v>
          </cell>
          <cell r="W40">
            <v>45</v>
          </cell>
          <cell r="X40">
            <v>55</v>
          </cell>
          <cell r="Y40" t="str">
            <v>T/T 60 days</v>
          </cell>
          <cell r="Z40">
            <v>861.28177771237256</v>
          </cell>
          <cell r="AA40">
            <v>761.6257224419669</v>
          </cell>
          <cell r="AB40">
            <v>0.09</v>
          </cell>
          <cell r="AC40">
            <v>0.09</v>
          </cell>
          <cell r="AD40">
            <v>0.21</v>
          </cell>
          <cell r="AE40" t="str">
            <v>C</v>
          </cell>
          <cell r="AF40">
            <v>761.6257224419669</v>
          </cell>
          <cell r="AG40">
            <v>0.20999999999999996</v>
          </cell>
          <cell r="AH40">
            <v>755.33</v>
          </cell>
          <cell r="AI40">
            <v>728.77688883354608</v>
          </cell>
          <cell r="AJ40">
            <v>661.19156124082849</v>
          </cell>
          <cell r="AK40">
            <v>0.15384615384615374</v>
          </cell>
          <cell r="AL40">
            <v>0.13186813186813173</v>
          </cell>
          <cell r="AM40"/>
          <cell r="AN40" t="str">
            <v>HT</v>
          </cell>
          <cell r="AO40">
            <v>34.82</v>
          </cell>
          <cell r="AP40">
            <v>4328.8999999999996</v>
          </cell>
          <cell r="AQ40"/>
          <cell r="AR40">
            <v>5</v>
          </cell>
          <cell r="AS40">
            <v>4677.0999999999995</v>
          </cell>
          <cell r="AT40">
            <v>4682.0999999999995</v>
          </cell>
          <cell r="AU40">
            <v>663.18696883852692</v>
          </cell>
          <cell r="AV40">
            <v>601.68432072915391</v>
          </cell>
          <cell r="AW40"/>
          <cell r="AX40" t="str">
            <v>854449 1100</v>
          </cell>
          <cell r="AZ40">
            <v>2538.7524081398897</v>
          </cell>
          <cell r="BA40">
            <v>1523.2514448839338</v>
          </cell>
          <cell r="BB40">
            <v>1269.3762040699448</v>
          </cell>
          <cell r="BC40">
            <v>1015.5009632559559</v>
          </cell>
          <cell r="BE40">
            <v>512.42572244196685</v>
          </cell>
          <cell r="BF40">
            <v>761.6257224419669</v>
          </cell>
          <cell r="BG40">
            <v>815.02572244196688</v>
          </cell>
          <cell r="BH40">
            <v>868.42572244196685</v>
          </cell>
          <cell r="BK40">
            <v>566.69177771237253</v>
          </cell>
        </row>
        <row r="41">
          <cell r="I41" t="str">
            <v>KCUF6A4PZHCBL5</v>
          </cell>
          <cell r="J41" t="str">
            <v>U0103013</v>
          </cell>
          <cell r="K41" t="str">
            <v>CAT6A CABLE U/FTP 4 PAIRS AWG23 TESTED UP TO 650MHz LSZH CPR CCA BLUE RAL5024 500M</v>
          </cell>
          <cell r="L41" t="str">
            <v>CÂBLE CAT6A U/FTP 4 PAIRES AWG23 TEST A 650MHz LSZH CPR CCA BLEU RAL5024 500M</v>
          </cell>
          <cell r="M41" t="str">
            <v>Cca</v>
          </cell>
          <cell r="N41" t="str">
            <v>China</v>
          </cell>
          <cell r="O41">
            <v>17.8</v>
          </cell>
          <cell r="P41" t="str">
            <v>500m drum</v>
          </cell>
          <cell r="Q41" t="str">
            <v>30 km</v>
          </cell>
          <cell r="R41">
            <v>9</v>
          </cell>
          <cell r="S41" t="str">
            <v>4897108882364</v>
          </cell>
          <cell r="T41" t="str">
            <v>854449 1100</v>
          </cell>
          <cell r="U41">
            <v>0</v>
          </cell>
          <cell r="V41">
            <v>45</v>
          </cell>
          <cell r="W41">
            <v>45</v>
          </cell>
          <cell r="X41">
            <v>55</v>
          </cell>
          <cell r="Y41" t="str">
            <v>T/T 60 days</v>
          </cell>
          <cell r="Z41">
            <v>446.88576678661667</v>
          </cell>
          <cell r="AA41">
            <v>392.98998306621752</v>
          </cell>
          <cell r="AB41">
            <v>0.09</v>
          </cell>
          <cell r="AC41">
            <v>0.09</v>
          </cell>
          <cell r="AD41">
            <v>0.24</v>
          </cell>
          <cell r="AE41" t="str">
            <v>C</v>
          </cell>
          <cell r="AF41">
            <v>392.98998306621752</v>
          </cell>
          <cell r="AG41">
            <v>0.24</v>
          </cell>
          <cell r="AH41" t="e">
            <v>#N/A</v>
          </cell>
          <cell r="AI41">
            <v>363.40161255175417</v>
          </cell>
          <cell r="AJ41">
            <v>328.21141442892889</v>
          </cell>
          <cell r="AK41">
            <v>0.18681318681318693</v>
          </cell>
          <cell r="AL41">
            <v>0.16483516483516492</v>
          </cell>
          <cell r="AM41"/>
          <cell r="AN41" t="str">
            <v>HT</v>
          </cell>
          <cell r="AO41">
            <v>17.149999999999999</v>
          </cell>
          <cell r="AP41">
            <v>2158.21</v>
          </cell>
          <cell r="AQ41"/>
          <cell r="AR41">
            <v>5</v>
          </cell>
          <cell r="AS41">
            <v>2329.71</v>
          </cell>
          <cell r="AT41">
            <v>2334.71</v>
          </cell>
          <cell r="AU41">
            <v>330.69546742209633</v>
          </cell>
          <cell r="AV41">
            <v>298.67238713032532</v>
          </cell>
          <cell r="AW41"/>
          <cell r="AX41" t="str">
            <v>854449 1100</v>
          </cell>
          <cell r="AZ41">
            <v>1309.9666102207252</v>
          </cell>
          <cell r="BA41">
            <v>785.97996613243515</v>
          </cell>
          <cell r="BB41">
            <v>654.98330511036261</v>
          </cell>
          <cell r="BC41">
            <v>523.98664408829006</v>
          </cell>
          <cell r="BE41">
            <v>268.3899830662175</v>
          </cell>
          <cell r="BF41">
            <v>392.98998306621752</v>
          </cell>
          <cell r="BG41">
            <v>419.68998306621751</v>
          </cell>
          <cell r="BH41">
            <v>446.3899830662175</v>
          </cell>
          <cell r="BK41">
            <v>299.59076678661665</v>
          </cell>
        </row>
        <row r="42">
          <cell r="I42" t="str">
            <v>KCUF6A4PZHB2BL5</v>
          </cell>
          <cell r="J42" t="str">
            <v>U0103012</v>
          </cell>
          <cell r="K42" t="str">
            <v>CAT6A CABLE U/FTP 4 PAIRS AWG23 TESTED UP TO 650MHz LSZH CPR B2CA BLUE RAL5024 500M</v>
          </cell>
          <cell r="L42" t="str">
            <v>CÂBLE CAT6A U/FTP 4 PAIRES AWG23 TEST A 650MHz LSZH CPR B2CA BLEU RAL5024 500M</v>
          </cell>
          <cell r="M42" t="str">
            <v>B2ca</v>
          </cell>
          <cell r="N42" t="str">
            <v>China</v>
          </cell>
          <cell r="O42">
            <v>17.8</v>
          </cell>
          <cell r="P42" t="str">
            <v>500m drum</v>
          </cell>
          <cell r="Q42" t="str">
            <v>30 km</v>
          </cell>
          <cell r="R42">
            <v>9</v>
          </cell>
          <cell r="S42" t="str">
            <v>4897108882371</v>
          </cell>
          <cell r="T42" t="str">
            <v>854449 1100</v>
          </cell>
          <cell r="U42">
            <v>0</v>
          </cell>
          <cell r="V42">
            <v>45</v>
          </cell>
          <cell r="W42">
            <v>45</v>
          </cell>
          <cell r="X42">
            <v>55</v>
          </cell>
          <cell r="Y42" t="str">
            <v>T/T 60 days</v>
          </cell>
          <cell r="Z42">
            <v>467.04761535177931</v>
          </cell>
          <cell r="AA42">
            <v>410.11308635892948</v>
          </cell>
          <cell r="AB42">
            <v>0.09</v>
          </cell>
          <cell r="AC42">
            <v>0.09</v>
          </cell>
          <cell r="AD42">
            <v>0.25</v>
          </cell>
          <cell r="AE42" t="str">
            <v>C</v>
          </cell>
          <cell r="AF42">
            <v>410.11308635892948</v>
          </cell>
          <cell r="AG42">
            <v>0.25</v>
          </cell>
          <cell r="AH42" t="e">
            <v>#N/A</v>
          </cell>
          <cell r="AI42">
            <v>374.66457055692183</v>
          </cell>
          <cell r="AJ42">
            <v>338.00529095516168</v>
          </cell>
          <cell r="AK42">
            <v>0.19780219780219788</v>
          </cell>
          <cell r="AL42">
            <v>0.17582417582417575</v>
          </cell>
          <cell r="AM42"/>
          <cell r="AN42" t="str">
            <v>HT</v>
          </cell>
          <cell r="AO42">
            <v>17.73</v>
          </cell>
          <cell r="AP42">
            <v>2224.77</v>
          </cell>
          <cell r="AQ42"/>
          <cell r="AR42">
            <v>5</v>
          </cell>
          <cell r="AS42">
            <v>2402.0700000000002</v>
          </cell>
          <cell r="AT42">
            <v>2407.0700000000002</v>
          </cell>
          <cell r="AU42">
            <v>340.94475920679889</v>
          </cell>
          <cell r="AV42">
            <v>307.58481476919712</v>
          </cell>
          <cell r="AW42"/>
          <cell r="AX42" t="str">
            <v>854449 1100</v>
          </cell>
          <cell r="AZ42">
            <v>1367.0436211964316</v>
          </cell>
          <cell r="BA42">
            <v>820.22617271785896</v>
          </cell>
          <cell r="BB42">
            <v>683.52181059821578</v>
          </cell>
          <cell r="BC42">
            <v>546.8174484785726</v>
          </cell>
          <cell r="BE42">
            <v>285.51308635892946</v>
          </cell>
          <cell r="BF42">
            <v>410.11308635892948</v>
          </cell>
          <cell r="BG42">
            <v>436.81308635892947</v>
          </cell>
          <cell r="BH42">
            <v>463.51308635892946</v>
          </cell>
          <cell r="BK42">
            <v>319.7526153517793</v>
          </cell>
        </row>
        <row r="43">
          <cell r="I43" t="str">
            <v>KCUF6A4PZHDBL5</v>
          </cell>
          <cell r="J43" t="str">
            <v>U0103014</v>
          </cell>
          <cell r="K43" t="str">
            <v>CAT6A CABLE U/FTP 4 PAIRS AWG23 TESTED UP TO 650MHz LSZH CPR DCA BLUE RAL5024 500M</v>
          </cell>
          <cell r="L43" t="str">
            <v>CÂBLE CAT6A U/FTP 4 PAIRES AWG23 TEST A 650MHz LSZH CPR DCA BLEU RAL5024 500M</v>
          </cell>
          <cell r="M43" t="str">
            <v>Dca</v>
          </cell>
          <cell r="N43" t="str">
            <v>Turkey</v>
          </cell>
          <cell r="O43">
            <v>19</v>
          </cell>
          <cell r="P43" t="str">
            <v>500m drum</v>
          </cell>
          <cell r="Q43" t="str">
            <v>30 km</v>
          </cell>
          <cell r="R43">
            <v>9</v>
          </cell>
          <cell r="S43" t="str">
            <v>4897108882340</v>
          </cell>
          <cell r="T43" t="str">
            <v>854449 2000</v>
          </cell>
          <cell r="U43">
            <v>0</v>
          </cell>
          <cell r="V43">
            <v>60</v>
          </cell>
          <cell r="W43">
            <v>14</v>
          </cell>
          <cell r="X43">
            <v>14</v>
          </cell>
          <cell r="Y43" t="str">
            <v>T/T 30 days</v>
          </cell>
          <cell r="Z43">
            <v>444.38271604938268</v>
          </cell>
          <cell r="AA43">
            <v>385.83900820674</v>
          </cell>
          <cell r="AB43">
            <v>7.0000000000000007E-2</v>
          </cell>
          <cell r="AC43">
            <v>7.0000000000000007E-2</v>
          </cell>
          <cell r="AD43">
            <v>0.17</v>
          </cell>
          <cell r="AE43" t="str">
            <v>C</v>
          </cell>
          <cell r="AF43">
            <v>385.83900820674</v>
          </cell>
          <cell r="AG43">
            <v>0.17000000000000004</v>
          </cell>
          <cell r="AH43">
            <v>368.82</v>
          </cell>
          <cell r="AI43">
            <v>387.04301075268813</v>
          </cell>
          <cell r="AJ43">
            <v>344.35094280816583</v>
          </cell>
          <cell r="AK43">
            <v>0.12903225806451613</v>
          </cell>
          <cell r="AL43">
            <v>0.10752688172043012</v>
          </cell>
          <cell r="AM43"/>
          <cell r="AN43" t="str">
            <v>KK</v>
          </cell>
          <cell r="AO43"/>
          <cell r="AP43"/>
          <cell r="AQ43">
            <v>180</v>
          </cell>
          <cell r="AR43"/>
          <cell r="AS43"/>
          <cell r="AT43"/>
          <cell r="AU43">
            <v>313</v>
          </cell>
          <cell r="AV43">
            <v>320.24637681159419</v>
          </cell>
          <cell r="AW43"/>
          <cell r="AX43" t="str">
            <v>854449 1100</v>
          </cell>
          <cell r="AZ43">
            <v>1286.1300273558002</v>
          </cell>
          <cell r="BA43">
            <v>771.67801641348012</v>
          </cell>
          <cell r="BB43">
            <v>643.06501367790008</v>
          </cell>
          <cell r="BC43">
            <v>514.45201094232004</v>
          </cell>
          <cell r="BE43">
            <v>252.83900820674</v>
          </cell>
          <cell r="BF43">
            <v>385.83900820674</v>
          </cell>
          <cell r="BG43">
            <v>414.33900820674</v>
          </cell>
          <cell r="BH43">
            <v>442.83900820674</v>
          </cell>
          <cell r="BK43">
            <v>287.15771604938266</v>
          </cell>
        </row>
        <row r="44">
          <cell r="I44" t="str">
            <v>KCUF6A8PZHDBL5</v>
          </cell>
          <cell r="J44" t="str">
            <v>U0103015</v>
          </cell>
          <cell r="K44" t="str">
            <v>CAT6A CABLE U/FTP 2x4 PAIRS AWG23 TESTED UP TO 650MHz LSZH CPR DCA BLUE RAL5024 500M</v>
          </cell>
          <cell r="L44" t="str">
            <v>CÂBLE CAT6A U/FTP 2x4 PAIRES AWG23 TEST A 650MHz LSZH CPR DCA BLEU RAL5024 500M</v>
          </cell>
          <cell r="M44" t="str">
            <v>Dca</v>
          </cell>
          <cell r="N44" t="str">
            <v>Turkey</v>
          </cell>
          <cell r="O44">
            <v>37</v>
          </cell>
          <cell r="P44" t="str">
            <v>500m drum</v>
          </cell>
          <cell r="Q44" t="str">
            <v>30 km</v>
          </cell>
          <cell r="R44">
            <v>4</v>
          </cell>
          <cell r="S44" t="str">
            <v>4897108882357</v>
          </cell>
          <cell r="T44" t="str">
            <v>854449 2000</v>
          </cell>
          <cell r="U44">
            <v>0</v>
          </cell>
          <cell r="V44">
            <v>60</v>
          </cell>
          <cell r="W44">
            <v>14</v>
          </cell>
          <cell r="X44">
            <v>14</v>
          </cell>
          <cell r="Y44" t="str">
            <v>T/T 30 days</v>
          </cell>
          <cell r="Z44">
            <v>929.87730061349691</v>
          </cell>
          <cell r="AA44">
            <v>808.74772194740956</v>
          </cell>
          <cell r="AB44">
            <v>7.0000000000000007E-2</v>
          </cell>
          <cell r="AC44">
            <v>7.0000000000000007E-2</v>
          </cell>
          <cell r="AD44">
            <v>0.16500000000000001</v>
          </cell>
          <cell r="AE44" t="str">
            <v>C</v>
          </cell>
          <cell r="AF44">
            <v>808.74772194740956</v>
          </cell>
          <cell r="AG44">
            <v>0.16500000000000004</v>
          </cell>
          <cell r="AH44">
            <v>755.33</v>
          </cell>
          <cell r="AI44">
            <v>814.89247311827955</v>
          </cell>
          <cell r="AJ44">
            <v>726.13370733987858</v>
          </cell>
          <cell r="AK44">
            <v>0.12365591397849462</v>
          </cell>
          <cell r="AL44">
            <v>0.10215053763440851</v>
          </cell>
          <cell r="AM44"/>
          <cell r="AN44" t="str">
            <v>KK</v>
          </cell>
          <cell r="AO44"/>
          <cell r="AP44"/>
          <cell r="AQ44">
            <v>400</v>
          </cell>
          <cell r="AR44"/>
          <cell r="AS44"/>
          <cell r="AT44"/>
          <cell r="AU44">
            <v>659</v>
          </cell>
          <cell r="AV44">
            <v>675.304347826087</v>
          </cell>
          <cell r="AW44"/>
          <cell r="AX44" t="str">
            <v>854449 1100</v>
          </cell>
          <cell r="AZ44">
            <v>2695.8257398246988</v>
          </cell>
          <cell r="BA44">
            <v>1617.4954438948191</v>
          </cell>
          <cell r="BB44">
            <v>1347.9128699123494</v>
          </cell>
          <cell r="BC44">
            <v>1078.3302959298796</v>
          </cell>
          <cell r="BE44">
            <v>549.74772194740956</v>
          </cell>
          <cell r="BF44">
            <v>808.74772194740956</v>
          </cell>
          <cell r="BG44">
            <v>864.24772194740956</v>
          </cell>
          <cell r="BH44">
            <v>919.74772194740956</v>
          </cell>
          <cell r="BK44">
            <v>623.70230061349685</v>
          </cell>
        </row>
        <row r="45">
          <cell r="I45" t="str">
            <v>KCFU6A4PZHDBL5</v>
          </cell>
          <cell r="J45" t="str">
            <v/>
          </cell>
          <cell r="K45" t="str">
            <v>CAT6A CABLE F/UTP 4 PAIRS AWG23 TESTED UP TO 650MHz LSZH CPR DCA BLUE RAL5024 500M</v>
          </cell>
          <cell r="L45" t="str">
            <v>CÂBLE CAT6A F/UTP 4 PAIRES AWG23 TEST A 650MHz LSZH CPR DCA BLEU RAL5024 500M</v>
          </cell>
          <cell r="M45" t="str">
            <v>Dca</v>
          </cell>
          <cell r="N45" t="str">
            <v>China</v>
          </cell>
          <cell r="O45">
            <v>17.5</v>
          </cell>
          <cell r="P45" t="str">
            <v>500m drum</v>
          </cell>
          <cell r="Q45" t="str">
            <v>30 km</v>
          </cell>
          <cell r="R45">
            <v>9</v>
          </cell>
          <cell r="S45"/>
          <cell r="T45" t="str">
            <v>854449 1100</v>
          </cell>
          <cell r="U45">
            <v>0</v>
          </cell>
          <cell r="V45">
            <v>45</v>
          </cell>
          <cell r="W45">
            <v>45</v>
          </cell>
          <cell r="X45">
            <v>55</v>
          </cell>
          <cell r="Y45" t="str">
            <v>T/T 60 days</v>
          </cell>
          <cell r="Z45">
            <v>419.57208886238254</v>
          </cell>
          <cell r="AA45">
            <v>369.73530135249553</v>
          </cell>
          <cell r="AB45">
            <v>0.09</v>
          </cell>
          <cell r="AC45">
            <v>0.09</v>
          </cell>
          <cell r="AD45">
            <v>0.22</v>
          </cell>
          <cell r="AE45" t="str">
            <v>C</v>
          </cell>
          <cell r="AF45">
            <v>369.73530135249553</v>
          </cell>
          <cell r="AG45">
            <v>0.21999999999999997</v>
          </cell>
          <cell r="AH45" t="e">
            <v>#N/A</v>
          </cell>
          <cell r="AI45">
            <v>350.41185443451729</v>
          </cell>
          <cell r="AJ45">
            <v>316.91597258785333</v>
          </cell>
          <cell r="AK45">
            <v>0.1648351648351648</v>
          </cell>
          <cell r="AL45">
            <v>0.14285714285714279</v>
          </cell>
          <cell r="AM45"/>
          <cell r="AN45" t="str">
            <v>ZD</v>
          </cell>
          <cell r="AO45">
            <v>18.864000000000001</v>
          </cell>
          <cell r="AP45">
            <v>2057.616</v>
          </cell>
          <cell r="AQ45"/>
          <cell r="AR45">
            <v>5</v>
          </cell>
          <cell r="AS45">
            <v>2246.2559999999999</v>
          </cell>
          <cell r="AT45">
            <v>2251.2559999999999</v>
          </cell>
          <cell r="AU45">
            <v>318.87478753541075</v>
          </cell>
          <cell r="AV45">
            <v>288.39353505494654</v>
          </cell>
          <cell r="AW45"/>
          <cell r="AX45" t="str">
            <v>854449 1100</v>
          </cell>
          <cell r="AZ45">
            <v>1232.4510045083184</v>
          </cell>
          <cell r="BA45">
            <v>739.47060270499105</v>
          </cell>
          <cell r="BB45">
            <v>616.22550225415921</v>
          </cell>
          <cell r="BC45">
            <v>492.98040180332737</v>
          </cell>
          <cell r="BE45">
            <v>247.23530135249553</v>
          </cell>
          <cell r="BF45">
            <v>369.73530135249553</v>
          </cell>
          <cell r="BG45">
            <v>395.98530135249553</v>
          </cell>
          <cell r="BH45">
            <v>422.23530135249553</v>
          </cell>
          <cell r="BK45">
            <v>274.75958886238254</v>
          </cell>
        </row>
        <row r="46">
          <cell r="I46" t="str">
            <v>KCFU6A8PZHDBL5</v>
          </cell>
          <cell r="J46" t="str">
            <v/>
          </cell>
          <cell r="K46" t="str">
            <v>CAT6A CABLE F/UTP 2x4 PAIRS AWG23 TESTED UP TO 650MHz LSZH CPR DCA BLUE RAL5024 500M</v>
          </cell>
          <cell r="L46" t="str">
            <v>CÂBLE CAT6A F/UTP 2x4 PAIRES AWG23 TEST A 650MHz LSZH CPR DCA BLEU RAL5024 500M</v>
          </cell>
          <cell r="M46" t="str">
            <v>Dca</v>
          </cell>
          <cell r="N46" t="str">
            <v>China</v>
          </cell>
          <cell r="O46">
            <v>35</v>
          </cell>
          <cell r="P46" t="str">
            <v>500m drum</v>
          </cell>
          <cell r="Q46" t="str">
            <v>30 km</v>
          </cell>
          <cell r="R46">
            <v>4</v>
          </cell>
          <cell r="S46"/>
          <cell r="T46" t="str">
            <v>854449 1100</v>
          </cell>
          <cell r="U46">
            <v>0</v>
          </cell>
          <cell r="V46">
            <v>45</v>
          </cell>
          <cell r="W46">
            <v>45</v>
          </cell>
          <cell r="X46">
            <v>55</v>
          </cell>
          <cell r="Y46" t="str">
            <v>T/T 60 days</v>
          </cell>
          <cell r="Z46">
            <v>860.0139803539239</v>
          </cell>
          <cell r="AA46">
            <v>760.55119963953916</v>
          </cell>
          <cell r="AB46">
            <v>0.09</v>
          </cell>
          <cell r="AC46">
            <v>0.09</v>
          </cell>
          <cell r="AD46">
            <v>0.21</v>
          </cell>
          <cell r="AE46" t="str">
            <v>C</v>
          </cell>
          <cell r="AF46">
            <v>760.55119963953916</v>
          </cell>
          <cell r="AG46">
            <v>0.20999999999999996</v>
          </cell>
          <cell r="AH46" t="e">
            <v>#N/A</v>
          </cell>
          <cell r="AI46">
            <v>727.70413722255091</v>
          </cell>
          <cell r="AJ46">
            <v>660.2587337530066</v>
          </cell>
          <cell r="AK46">
            <v>0.15384615384615397</v>
          </cell>
          <cell r="AL46">
            <v>0.13186813186813173</v>
          </cell>
          <cell r="AM46"/>
          <cell r="AN46" t="str">
            <v>ZD</v>
          </cell>
          <cell r="AO46">
            <v>39.024000000000001</v>
          </cell>
          <cell r="AP46">
            <v>4279.9680000000008</v>
          </cell>
          <cell r="AQ46"/>
          <cell r="AR46">
            <v>5</v>
          </cell>
          <cell r="AS46">
            <v>4670.2080000000005</v>
          </cell>
          <cell r="AT46">
            <v>4675.2080000000005</v>
          </cell>
          <cell r="AU46">
            <v>662.21076487252139</v>
          </cell>
          <cell r="AV46">
            <v>600.835447715236</v>
          </cell>
          <cell r="AW46"/>
          <cell r="AX46" t="str">
            <v>854449 1100</v>
          </cell>
          <cell r="AZ46">
            <v>2535.1706654651307</v>
          </cell>
          <cell r="BA46">
            <v>1521.1023992790783</v>
          </cell>
          <cell r="BB46">
            <v>1267.5853327325653</v>
          </cell>
          <cell r="BC46">
            <v>1014.0682661860524</v>
          </cell>
          <cell r="BE46">
            <v>515.55119963953916</v>
          </cell>
          <cell r="BF46">
            <v>760.55119963953916</v>
          </cell>
          <cell r="BG46">
            <v>813.05119963953916</v>
          </cell>
          <cell r="BH46">
            <v>865.55119963953916</v>
          </cell>
          <cell r="BK46">
            <v>570.3889803539239</v>
          </cell>
        </row>
        <row r="47">
          <cell r="I47" t="str">
            <v>KCFU6A4PZHDBLB</v>
          </cell>
          <cell r="J47" t="str">
            <v/>
          </cell>
          <cell r="K47" t="str">
            <v>CAT6A CABLE F/UTP 4 PAIRS AWG23 TESTED UP TO 650MHz LSZH CPR DCA BLUE RAL5024 B305M</v>
          </cell>
          <cell r="L47" t="str">
            <v>CÂBLE CAT6A F/UTP 4 PAIRES AWG23 TEST A 650MHz LSZH CPR DCA BLEU RAL5024 500M</v>
          </cell>
          <cell r="M47" t="str">
            <v>Dca</v>
          </cell>
          <cell r="N47" t="str">
            <v>China</v>
          </cell>
          <cell r="O47">
            <v>17.5</v>
          </cell>
          <cell r="P47" t="str">
            <v>305m Reel in box</v>
          </cell>
          <cell r="Q47" t="str">
            <v>30 km</v>
          </cell>
          <cell r="R47">
            <v>6.8624999999999998</v>
          </cell>
          <cell r="S47"/>
          <cell r="T47" t="str">
            <v>854449 1100</v>
          </cell>
          <cell r="U47">
            <v>0</v>
          </cell>
          <cell r="V47">
            <v>45</v>
          </cell>
          <cell r="W47">
            <v>45</v>
          </cell>
          <cell r="X47">
            <v>55</v>
          </cell>
          <cell r="Y47" t="str">
            <v>T/T 60 days</v>
          </cell>
          <cell r="Z47">
            <v>424.71873735329825</v>
          </cell>
          <cell r="AA47">
            <v>378.41625658772148</v>
          </cell>
          <cell r="AB47">
            <v>0.09</v>
          </cell>
          <cell r="AC47">
            <v>0.09</v>
          </cell>
          <cell r="AD47">
            <v>0.21</v>
          </cell>
          <cell r="AE47" t="str">
            <v>C</v>
          </cell>
          <cell r="AF47">
            <v>378.41625658772148</v>
          </cell>
          <cell r="AG47">
            <v>0.20999999999999996</v>
          </cell>
          <cell r="AH47" t="e">
            <v>#N/A</v>
          </cell>
          <cell r="AI47">
            <v>359.37739314509849</v>
          </cell>
          <cell r="AJ47">
            <v>328.515211762967</v>
          </cell>
          <cell r="AK47">
            <v>0.15384615384615385</v>
          </cell>
          <cell r="AL47">
            <v>0.13186813186813184</v>
          </cell>
          <cell r="AM47"/>
          <cell r="AN47" t="str">
            <v>ZD</v>
          </cell>
          <cell r="AO47">
            <v>18.864000000000001</v>
          </cell>
          <cell r="AP47">
            <v>2115.2159999999999</v>
          </cell>
          <cell r="AQ47"/>
          <cell r="AR47">
            <v>5</v>
          </cell>
          <cell r="AS47">
            <v>2303.8559999999998</v>
          </cell>
          <cell r="AT47">
            <v>2308.8559999999998</v>
          </cell>
          <cell r="AU47">
            <v>327.03342776203965</v>
          </cell>
          <cell r="AV47">
            <v>298.94884270429998</v>
          </cell>
          <cell r="AW47"/>
          <cell r="AX47" t="str">
            <v>854449 1100</v>
          </cell>
          <cell r="AZ47">
            <v>1261.3875219590716</v>
          </cell>
          <cell r="BA47">
            <v>756.83251317544295</v>
          </cell>
          <cell r="BB47">
            <v>630.6937609795358</v>
          </cell>
          <cell r="BC47">
            <v>504.55500878362864</v>
          </cell>
          <cell r="BE47">
            <v>255.91625658772148</v>
          </cell>
          <cell r="BF47">
            <v>378.41625658772148</v>
          </cell>
          <cell r="BG47">
            <v>404.66625658772148</v>
          </cell>
          <cell r="BH47">
            <v>430.91625658772148</v>
          </cell>
          <cell r="BK47">
            <v>279.90623735329825</v>
          </cell>
        </row>
        <row r="48">
          <cell r="I48" t="str">
            <v>KCFU6A4PZHCBL5</v>
          </cell>
          <cell r="J48" t="str">
            <v/>
          </cell>
          <cell r="K48" t="str">
            <v>CAT6A CABLE F/UTP 4 PAIRS AWG23 TESTED UP TO 650MHz LSZH CPR CCA BLUE RAL5024 500M</v>
          </cell>
          <cell r="L48" t="str">
            <v>CÂBLE CAT6A F/UTP 4 PAIRES AWG23 TEST A 650MHz LSZH CPR CCA BLEU RAL5024 500M</v>
          </cell>
          <cell r="M48" t="str">
            <v>Cca</v>
          </cell>
          <cell r="N48" t="str">
            <v>China</v>
          </cell>
          <cell r="O48">
            <v>17.5</v>
          </cell>
          <cell r="P48" t="str">
            <v>500m drum</v>
          </cell>
          <cell r="Q48" t="str">
            <v>30 km</v>
          </cell>
          <cell r="R48">
            <v>9</v>
          </cell>
          <cell r="S48"/>
          <cell r="T48" t="str">
            <v>854449 1100</v>
          </cell>
          <cell r="U48">
            <v>0</v>
          </cell>
          <cell r="V48">
            <v>45</v>
          </cell>
          <cell r="W48">
            <v>45</v>
          </cell>
          <cell r="X48">
            <v>55</v>
          </cell>
          <cell r="Y48" t="str">
            <v>T/T 60 days</v>
          </cell>
          <cell r="Z48">
            <v>453.27176064263273</v>
          </cell>
          <cell r="AA48">
            <v>398.45352237321703</v>
          </cell>
          <cell r="AB48">
            <v>0.09</v>
          </cell>
          <cell r="AC48">
            <v>0.09</v>
          </cell>
          <cell r="AD48">
            <v>0.25</v>
          </cell>
          <cell r="AE48" t="str">
            <v>C</v>
          </cell>
          <cell r="AF48">
            <v>398.45352237321703</v>
          </cell>
          <cell r="AG48">
            <v>0.25</v>
          </cell>
          <cell r="AH48" t="e">
            <v>#N/A</v>
          </cell>
          <cell r="AI48">
            <v>363.61361018584824</v>
          </cell>
          <cell r="AJ48">
            <v>328.3957601977063</v>
          </cell>
          <cell r="AK48">
            <v>0.19780219780219777</v>
          </cell>
          <cell r="AL48">
            <v>0.17582417582417598</v>
          </cell>
          <cell r="AM48"/>
          <cell r="AN48" t="str">
            <v>ZD</v>
          </cell>
          <cell r="AO48">
            <v>19.728000000000002</v>
          </cell>
          <cell r="AP48">
            <v>2133.7920000000004</v>
          </cell>
          <cell r="AQ48"/>
          <cell r="AR48">
            <v>5</v>
          </cell>
          <cell r="AS48">
            <v>2331.0720000000006</v>
          </cell>
          <cell r="AT48">
            <v>2336.0720000000006</v>
          </cell>
          <cell r="AU48">
            <v>330.8883852691219</v>
          </cell>
          <cell r="AV48">
            <v>298.84014177991276</v>
          </cell>
          <cell r="AW48"/>
          <cell r="AX48" t="str">
            <v>854449 1100</v>
          </cell>
          <cell r="AZ48">
            <v>1328.1784079107235</v>
          </cell>
          <cell r="BA48">
            <v>796.90704474643405</v>
          </cell>
          <cell r="BB48">
            <v>664.08920395536177</v>
          </cell>
          <cell r="BC48">
            <v>531.27136316428948</v>
          </cell>
          <cell r="BE48">
            <v>275.95352237321703</v>
          </cell>
          <cell r="BF48">
            <v>398.45352237321703</v>
          </cell>
          <cell r="BG48">
            <v>424.70352237321703</v>
          </cell>
          <cell r="BH48">
            <v>450.95352237321703</v>
          </cell>
          <cell r="BK48">
            <v>308.45926064263273</v>
          </cell>
        </row>
        <row r="49">
          <cell r="I49" t="str">
            <v>KCFU6A4PZHB2BL5</v>
          </cell>
          <cell r="J49" t="str">
            <v/>
          </cell>
          <cell r="K49" t="str">
            <v>CAT6A CABLE F/UTP 4 PAIRS AWG23 TESTED UP TO 650MHz LSZH CPR B2CA BLUE RAL5024 500M</v>
          </cell>
          <cell r="L49" t="str">
            <v>CÂBLE CAT6A F/UTP 4 PAIRES AWG23 TEST A 650MHz LSZH CPR B2CA BLEU RAL5024 500M</v>
          </cell>
          <cell r="M49" t="str">
            <v>B2ca</v>
          </cell>
          <cell r="N49" t="str">
            <v>China</v>
          </cell>
          <cell r="O49">
            <v>35</v>
          </cell>
          <cell r="P49" t="str">
            <v>500m drum</v>
          </cell>
          <cell r="Q49" t="str">
            <v>30 km</v>
          </cell>
          <cell r="R49">
            <v>4</v>
          </cell>
          <cell r="S49"/>
          <cell r="T49" t="str">
            <v>854449 1100</v>
          </cell>
          <cell r="U49">
            <v>0</v>
          </cell>
          <cell r="V49">
            <v>45</v>
          </cell>
          <cell r="W49">
            <v>45</v>
          </cell>
          <cell r="X49">
            <v>55</v>
          </cell>
          <cell r="Y49" t="str">
            <v>T/T 60 days</v>
          </cell>
          <cell r="Z49">
            <v>466.84080872366042</v>
          </cell>
          <cell r="AA49">
            <v>428.45656854292423</v>
          </cell>
          <cell r="AB49">
            <v>0.09</v>
          </cell>
          <cell r="AC49">
            <v>0.09</v>
          </cell>
          <cell r="AD49">
            <v>0.25</v>
          </cell>
          <cell r="AE49" t="str">
            <v>C</v>
          </cell>
          <cell r="AF49">
            <v>428.45656854292423</v>
          </cell>
          <cell r="AG49">
            <v>0.25</v>
          </cell>
          <cell r="AH49" t="e">
            <v>#N/A</v>
          </cell>
          <cell r="AI49">
            <v>374.49867073436491</v>
          </cell>
          <cell r="AJ49">
            <v>353.12354550241002</v>
          </cell>
          <cell r="AK49">
            <v>0.19780219780219788</v>
          </cell>
          <cell r="AL49">
            <v>0.17582417582417598</v>
          </cell>
          <cell r="AM49"/>
          <cell r="AN49" t="str">
            <v>ZD</v>
          </cell>
          <cell r="AO49">
            <v>20.319840000000003</v>
          </cell>
          <cell r="AP49">
            <v>2197.8057600000006</v>
          </cell>
          <cell r="AQ49"/>
          <cell r="AR49">
            <v>5</v>
          </cell>
          <cell r="AS49">
            <v>2401.0041600000009</v>
          </cell>
          <cell r="AT49">
            <v>2406.0041600000009</v>
          </cell>
          <cell r="AU49">
            <v>340.79379036827208</v>
          </cell>
          <cell r="AV49">
            <v>321.34242640719316</v>
          </cell>
          <cell r="AW49"/>
          <cell r="AX49" t="str">
            <v>854449 1100</v>
          </cell>
          <cell r="AZ49">
            <v>1428.1885618097474</v>
          </cell>
          <cell r="BA49">
            <v>856.91313708584846</v>
          </cell>
          <cell r="BB49">
            <v>714.0942809048737</v>
          </cell>
          <cell r="BC49">
            <v>571.27542472389894</v>
          </cell>
          <cell r="BE49">
            <v>183.45656854292423</v>
          </cell>
          <cell r="BF49">
            <v>428.45656854292423</v>
          </cell>
          <cell r="BG49">
            <v>480.95656854292423</v>
          </cell>
          <cell r="BH49">
            <v>533.45656854292429</v>
          </cell>
          <cell r="BK49">
            <v>177.21580872366042</v>
          </cell>
        </row>
        <row r="50">
          <cell r="I50" t="str">
            <v>KCFU6A4PZHDWH5</v>
          </cell>
          <cell r="J50" t="str">
            <v>U0103018</v>
          </cell>
          <cell r="K50" t="str">
            <v>CAT6A CABLE F/UTP 4 PAIRS AWG23 TESTED UP TO 650MHz LSZH CPR DCA WHITE RAL9003 500M</v>
          </cell>
          <cell r="L50" t="str">
            <v>CÂBLE CAT6A F/UTP 4 PAIRES AWG23 TEST A 650MHz LSZH CPR DCA BLANC RAL9003 500M</v>
          </cell>
          <cell r="M50" t="str">
            <v>Dca</v>
          </cell>
          <cell r="N50" t="str">
            <v>China</v>
          </cell>
          <cell r="O50">
            <v>16.600000000000001</v>
          </cell>
          <cell r="P50" t="str">
            <v>500m drum</v>
          </cell>
          <cell r="Q50" t="str">
            <v>30 km</v>
          </cell>
          <cell r="R50">
            <v>9</v>
          </cell>
          <cell r="S50"/>
          <cell r="T50" t="str">
            <v>854449 1100</v>
          </cell>
          <cell r="U50">
            <v>0</v>
          </cell>
          <cell r="V50">
            <v>45</v>
          </cell>
          <cell r="W50">
            <v>45</v>
          </cell>
          <cell r="X50">
            <v>55</v>
          </cell>
          <cell r="Y50" t="str">
            <v>T/T 60 days</v>
          </cell>
          <cell r="Z50">
            <v>400.3199013316376</v>
          </cell>
          <cell r="AA50">
            <v>353.59966053156506</v>
          </cell>
          <cell r="AB50">
            <v>0.09</v>
          </cell>
          <cell r="AC50">
            <v>0.09</v>
          </cell>
          <cell r="AD50">
            <v>0.245</v>
          </cell>
          <cell r="AE50" t="str">
            <v>C</v>
          </cell>
          <cell r="AF50">
            <v>353.59966053156506</v>
          </cell>
          <cell r="AG50">
            <v>0.17999999999999994</v>
          </cell>
          <cell r="AH50">
            <v>350.68</v>
          </cell>
          <cell r="AI50">
            <v>323.33530492170723</v>
          </cell>
          <cell r="AJ50">
            <v>293.37114692454026</v>
          </cell>
          <cell r="AK50">
            <v>0.1923076923076924</v>
          </cell>
          <cell r="AL50">
            <v>0.17032967032967028</v>
          </cell>
          <cell r="AM50"/>
          <cell r="AN50" t="str">
            <v>HT</v>
          </cell>
          <cell r="AO50">
            <v>17.309999999999999</v>
          </cell>
          <cell r="AP50">
            <v>1899.2</v>
          </cell>
          <cell r="AQ50"/>
          <cell r="AR50">
            <v>5</v>
          </cell>
          <cell r="AS50">
            <v>2072.3000000000002</v>
          </cell>
          <cell r="AT50">
            <v>2077.3000000000002</v>
          </cell>
          <cell r="AU50">
            <v>294.23512747875361</v>
          </cell>
          <cell r="AV50">
            <v>266.96774370133164</v>
          </cell>
          <cell r="AW50"/>
          <cell r="AX50" t="str">
            <v>854449 1100</v>
          </cell>
          <cell r="AZ50">
            <v>1178.665535105217</v>
          </cell>
          <cell r="BA50">
            <v>707.19932106313024</v>
          </cell>
          <cell r="BB50">
            <v>589.33276755260852</v>
          </cell>
          <cell r="BC50">
            <v>471.46621404208685</v>
          </cell>
          <cell r="BE50">
            <v>237.39966053156505</v>
          </cell>
          <cell r="BF50">
            <v>353.59966053156506</v>
          </cell>
          <cell r="BG50">
            <v>378.49966053156504</v>
          </cell>
          <cell r="BH50">
            <v>403.39966053156502</v>
          </cell>
          <cell r="BK50">
            <v>262.95490133163759</v>
          </cell>
        </row>
        <row r="51">
          <cell r="I51" t="str">
            <v>KCFU6A4PZHCWH5</v>
          </cell>
          <cell r="J51" t="str">
            <v/>
          </cell>
          <cell r="K51" t="str">
            <v>CAT6A CABLE F/UTP 4 PAIRS AWG23 TESTED UP TO 650MHz LSZH CPR CCA WHITE RAL9003 500M</v>
          </cell>
          <cell r="L51" t="str">
            <v>CÂBLE CAT6A F/UTP 4 PAIRES AWG23 TEST A 650MHz LSZH CPR CCA BLANC RAL9003 500M</v>
          </cell>
          <cell r="M51" t="str">
            <v>Cca</v>
          </cell>
          <cell r="N51" t="str">
            <v>China</v>
          </cell>
          <cell r="O51">
            <v>16.600000000000001</v>
          </cell>
          <cell r="P51" t="str">
            <v>500m drum</v>
          </cell>
          <cell r="Q51" t="str">
            <v>30 km</v>
          </cell>
          <cell r="R51">
            <v>9</v>
          </cell>
          <cell r="S51"/>
          <cell r="T51" t="str">
            <v>854449 1100</v>
          </cell>
          <cell r="U51">
            <v>0</v>
          </cell>
          <cell r="V51">
            <v>45</v>
          </cell>
          <cell r="W51">
            <v>45</v>
          </cell>
          <cell r="X51">
            <v>55</v>
          </cell>
          <cell r="Y51" t="str">
            <v>T/T 60 days</v>
          </cell>
          <cell r="Z51">
            <v>416.74976392823419</v>
          </cell>
          <cell r="AA51">
            <v>367.40835767809534</v>
          </cell>
          <cell r="AB51">
            <v>0.09</v>
          </cell>
          <cell r="AC51">
            <v>0.09</v>
          </cell>
          <cell r="AD51">
            <v>0.23</v>
          </cell>
          <cell r="AE51" t="str">
            <v>C</v>
          </cell>
          <cell r="AF51">
            <v>367.40835767809534</v>
          </cell>
          <cell r="AG51">
            <v>0.18</v>
          </cell>
          <cell r="AH51">
            <v>364.37</v>
          </cell>
          <cell r="AI51">
            <v>343.47508016063256</v>
          </cell>
          <cell r="AJ51">
            <v>310.88399495838837</v>
          </cell>
          <cell r="AK51">
            <v>0.13043478260869568</v>
          </cell>
          <cell r="AL51">
            <v>0.10869565217391286</v>
          </cell>
          <cell r="AM51"/>
          <cell r="AN51" t="str">
            <v>HT</v>
          </cell>
          <cell r="AO51">
            <v>17.309999999999999</v>
          </cell>
          <cell r="AP51">
            <v>2028.59</v>
          </cell>
          <cell r="AQ51"/>
          <cell r="AR51">
            <v>5</v>
          </cell>
          <cell r="AS51">
            <v>2201.69</v>
          </cell>
          <cell r="AT51">
            <v>2206.69</v>
          </cell>
          <cell r="AU51">
            <v>312.56232294617564</v>
          </cell>
          <cell r="AV51">
            <v>282.90443541213341</v>
          </cell>
          <cell r="AW51"/>
          <cell r="AX51" t="str">
            <v>854449 1100</v>
          </cell>
          <cell r="AZ51">
            <v>1224.6945255936512</v>
          </cell>
          <cell r="BA51">
            <v>734.81671535619068</v>
          </cell>
          <cell r="BB51">
            <v>612.34726279682559</v>
          </cell>
          <cell r="BC51">
            <v>489.87781023746049</v>
          </cell>
          <cell r="BE51">
            <v>251.20835767809533</v>
          </cell>
          <cell r="BF51">
            <v>367.40835767809534</v>
          </cell>
          <cell r="BG51">
            <v>392.30835767809538</v>
          </cell>
          <cell r="BH51">
            <v>417.20835767809535</v>
          </cell>
          <cell r="BK51">
            <v>279.38476392823418</v>
          </cell>
        </row>
        <row r="52">
          <cell r="I52" t="str">
            <v>KCFU6A4PZHDBL5</v>
          </cell>
          <cell r="J52" t="str">
            <v/>
          </cell>
          <cell r="K52" t="str">
            <v>CAT6A CABLE F/UTP 4 PAIRS AWG23 TESTED UP TO 650MHz LSZH CPR DCA BLUE RAL5024 500M</v>
          </cell>
          <cell r="L52" t="str">
            <v>CÂBLE CAT6A F/UTP 4 PAIRES AWG23 TEST A 650MHz LSZH CPR DCA BLEU RAL5024 500M</v>
          </cell>
          <cell r="M52" t="str">
            <v>Dca</v>
          </cell>
          <cell r="N52" t="str">
            <v>Turkey</v>
          </cell>
          <cell r="O52">
            <v>19</v>
          </cell>
          <cell r="P52" t="str">
            <v>500m drum</v>
          </cell>
          <cell r="Q52" t="str">
            <v>30 km</v>
          </cell>
          <cell r="R52">
            <v>9</v>
          </cell>
          <cell r="S52"/>
          <cell r="T52" t="str">
            <v>854449 2000</v>
          </cell>
          <cell r="U52">
            <v>0</v>
          </cell>
          <cell r="V52">
            <v>60</v>
          </cell>
          <cell r="W52">
            <v>14</v>
          </cell>
          <cell r="X52">
            <v>14</v>
          </cell>
          <cell r="Y52" t="str">
            <v>T/T 30 days</v>
          </cell>
          <cell r="Z52">
            <v>471.64197530864192</v>
          </cell>
          <cell r="AA52">
            <v>408.97153832722194</v>
          </cell>
          <cell r="AB52">
            <v>7.0000000000000007E-2</v>
          </cell>
          <cell r="AC52">
            <v>7.0000000000000007E-2</v>
          </cell>
          <cell r="AD52">
            <v>0.17</v>
          </cell>
          <cell r="AE52" t="str">
            <v>C</v>
          </cell>
          <cell r="AF52">
            <v>408.97153832722194</v>
          </cell>
          <cell r="AG52">
            <v>0.17000000000000004</v>
          </cell>
          <cell r="AH52" t="e">
            <v>#N/A</v>
          </cell>
          <cell r="AI52">
            <v>410.78494623655911</v>
          </cell>
          <cell r="AJ52">
            <v>364.99610409848839</v>
          </cell>
          <cell r="AK52">
            <v>0.12903225806451613</v>
          </cell>
          <cell r="AL52">
            <v>0.10752688172043012</v>
          </cell>
          <cell r="AM52"/>
          <cell r="AN52" t="str">
            <v>KK</v>
          </cell>
          <cell r="AO52"/>
          <cell r="AP52"/>
          <cell r="AQ52">
            <v>199.2</v>
          </cell>
          <cell r="AR52"/>
          <cell r="AS52"/>
          <cell r="AT52"/>
          <cell r="AU52">
            <v>332.2</v>
          </cell>
          <cell r="AV52">
            <v>339.44637681159418</v>
          </cell>
          <cell r="AW52"/>
          <cell r="AX52"/>
          <cell r="AZ52">
            <v>1363.2384610907397</v>
          </cell>
          <cell r="BA52">
            <v>817.94307665444387</v>
          </cell>
          <cell r="BB52">
            <v>681.61923054536987</v>
          </cell>
          <cell r="BC52">
            <v>545.29538443629588</v>
          </cell>
          <cell r="BE52">
            <v>275.97153832722194</v>
          </cell>
          <cell r="BF52">
            <v>408.97153832722194</v>
          </cell>
          <cell r="BG52">
            <v>437.47153832722194</v>
          </cell>
          <cell r="BH52">
            <v>465.97153832722194</v>
          </cell>
          <cell r="BK52">
            <v>314.4169753086419</v>
          </cell>
        </row>
        <row r="53">
          <cell r="I53" t="str">
            <v>KCFU6A4PZHCBL5</v>
          </cell>
          <cell r="J53" t="str">
            <v/>
          </cell>
          <cell r="K53" t="str">
            <v>CAT6A CABLE F/UTP 4 PAIRS AWG23 TESTED UP TO 650MHz LSZH CPR CCA BLUE RAL5024 500M</v>
          </cell>
          <cell r="L53" t="str">
            <v>CÂBLE CAT6A F/UTP 4 PAIRES AWG23 TEST A 650MHz LSZH CPR CCA BLEU RAL5024 500M</v>
          </cell>
          <cell r="M53" t="str">
            <v>Cca</v>
          </cell>
          <cell r="N53" t="str">
            <v>Turkey</v>
          </cell>
          <cell r="O53">
            <v>19</v>
          </cell>
          <cell r="P53" t="str">
            <v>500m drum</v>
          </cell>
          <cell r="Q53" t="str">
            <v>30 km</v>
          </cell>
          <cell r="R53">
            <v>9</v>
          </cell>
          <cell r="S53"/>
          <cell r="T53" t="str">
            <v>854449 2000</v>
          </cell>
          <cell r="U53">
            <v>0</v>
          </cell>
          <cell r="V53">
            <v>60</v>
          </cell>
          <cell r="W53">
            <v>14</v>
          </cell>
          <cell r="X53">
            <v>14</v>
          </cell>
          <cell r="Y53" t="str">
            <v>T/T 30 days</v>
          </cell>
          <cell r="Z53">
            <v>486.20253164556959</v>
          </cell>
          <cell r="AA53">
            <v>421.29182322419035</v>
          </cell>
          <cell r="AB53">
            <v>7.0000000000000007E-2</v>
          </cell>
          <cell r="AC53">
            <v>7.0000000000000007E-2</v>
          </cell>
          <cell r="AD53">
            <v>0.19</v>
          </cell>
          <cell r="AE53" t="str">
            <v>C</v>
          </cell>
          <cell r="AF53">
            <v>421.29182322419035</v>
          </cell>
          <cell r="AG53">
            <v>0.18999999999999995</v>
          </cell>
          <cell r="AH53" t="e">
            <v>#N/A</v>
          </cell>
          <cell r="AI53">
            <v>413.01075268817203</v>
          </cell>
          <cell r="AJ53">
            <v>366.93158796945613</v>
          </cell>
          <cell r="AK53">
            <v>0.15053763440860213</v>
          </cell>
          <cell r="AL53">
            <v>0.12903225806451613</v>
          </cell>
          <cell r="AM53"/>
          <cell r="AN53" t="str">
            <v>KK</v>
          </cell>
          <cell r="AO53"/>
          <cell r="AP53"/>
          <cell r="AQ53">
            <v>201</v>
          </cell>
          <cell r="AR53"/>
          <cell r="AS53"/>
          <cell r="AT53"/>
          <cell r="AU53">
            <v>334</v>
          </cell>
          <cell r="AV53">
            <v>341.24637681159419</v>
          </cell>
          <cell r="AW53"/>
          <cell r="AX53"/>
          <cell r="AZ53">
            <v>1404.3060774139678</v>
          </cell>
          <cell r="BA53">
            <v>842.5836464483807</v>
          </cell>
          <cell r="BB53">
            <v>702.15303870698392</v>
          </cell>
          <cell r="BC53">
            <v>561.72243096558714</v>
          </cell>
          <cell r="BE53">
            <v>288.29182322419035</v>
          </cell>
          <cell r="BF53">
            <v>421.29182322419035</v>
          </cell>
          <cell r="BG53">
            <v>449.79182322419035</v>
          </cell>
          <cell r="BH53">
            <v>478.29182322419035</v>
          </cell>
          <cell r="BK53">
            <v>328.97753164556957</v>
          </cell>
        </row>
        <row r="54">
          <cell r="I54" t="str">
            <v>KCFF6A4PZHDBL5</v>
          </cell>
          <cell r="J54" t="str">
            <v>U0103001</v>
          </cell>
          <cell r="K54" t="str">
            <v>CAT6A CABLE F/FTP 4 PAIRS AWG23 TESTED UP TO 650MHz LSZH CPR DCA BLUE RAL5024 500M</v>
          </cell>
          <cell r="L54" t="str">
            <v>CÂBLE CAT6A F/FTP 4 PAIRES AWG23 TEST A 650MHz LSZH CPR DCA BLEU RAL5024 500M</v>
          </cell>
          <cell r="M54" t="str">
            <v>Dca</v>
          </cell>
          <cell r="N54" t="str">
            <v>China</v>
          </cell>
          <cell r="O54">
            <v>17.8</v>
          </cell>
          <cell r="P54" t="str">
            <v>500m drum</v>
          </cell>
          <cell r="Q54" t="str">
            <v>30 km</v>
          </cell>
          <cell r="R54">
            <v>9</v>
          </cell>
          <cell r="S54" t="str">
            <v>4897108881763</v>
          </cell>
          <cell r="T54" t="str">
            <v>854449 1100</v>
          </cell>
          <cell r="U54">
            <v>0</v>
          </cell>
          <cell r="V54">
            <v>45</v>
          </cell>
          <cell r="W54">
            <v>45</v>
          </cell>
          <cell r="X54">
            <v>55</v>
          </cell>
          <cell r="Y54" t="str">
            <v>T/T 60 days</v>
          </cell>
          <cell r="Z54">
            <v>425.37850802643999</v>
          </cell>
          <cell r="AA54">
            <v>374.71672365624818</v>
          </cell>
          <cell r="AB54">
            <v>0.09</v>
          </cell>
          <cell r="AC54">
            <v>0.09</v>
          </cell>
          <cell r="AD54">
            <v>0.23</v>
          </cell>
          <cell r="AE54" t="str">
            <v>C</v>
          </cell>
          <cell r="AF54">
            <v>374.71672365624818</v>
          </cell>
          <cell r="AG54">
            <v>0.22999999999999998</v>
          </cell>
          <cell r="AH54">
            <v>371.61</v>
          </cell>
          <cell r="AI54">
            <v>350.58668243937365</v>
          </cell>
          <cell r="AJ54">
            <v>317.06799693990229</v>
          </cell>
          <cell r="AK54">
            <v>0.17582417582417575</v>
          </cell>
          <cell r="AL54">
            <v>0.15384615384615385</v>
          </cell>
          <cell r="AM54"/>
          <cell r="AN54" t="str">
            <v>HT</v>
          </cell>
          <cell r="AO54">
            <v>17.0379</v>
          </cell>
          <cell r="AP54">
            <v>2077.0001999999999</v>
          </cell>
          <cell r="AQ54"/>
          <cell r="AR54">
            <v>5</v>
          </cell>
          <cell r="AS54">
            <v>2247.3791999999999</v>
          </cell>
          <cell r="AT54">
            <v>2252.3791999999999</v>
          </cell>
          <cell r="AU54">
            <v>319.03388101983001</v>
          </cell>
          <cell r="AV54">
            <v>288.53187721531111</v>
          </cell>
          <cell r="AW54"/>
          <cell r="AX54" t="str">
            <v>854449 1100</v>
          </cell>
          <cell r="AZ54">
            <v>1249.0557455208273</v>
          </cell>
          <cell r="BA54">
            <v>749.43344731249636</v>
          </cell>
          <cell r="BB54">
            <v>624.52787276041363</v>
          </cell>
          <cell r="BC54">
            <v>499.6222982083309</v>
          </cell>
          <cell r="BE54">
            <v>250.11672365624815</v>
          </cell>
          <cell r="BF54">
            <v>374.71672365624818</v>
          </cell>
          <cell r="BG54">
            <v>401.41672365624817</v>
          </cell>
          <cell r="BH54">
            <v>428.11672365624815</v>
          </cell>
          <cell r="BK54">
            <v>278.08350802643997</v>
          </cell>
        </row>
        <row r="55">
          <cell r="I55" t="str">
            <v>KCFF6A8PZHDBL5</v>
          </cell>
          <cell r="J55" t="str">
            <v>U0103007</v>
          </cell>
          <cell r="K55" t="str">
            <v>CAT6A CABLE F/FTP 2x4 PAIRS AWG23 TESTED UP TO 650MHz LSZH CPR DCA BLUE RAL5024 500M</v>
          </cell>
          <cell r="L55" t="str">
            <v>CÂBLE CAT6A F/FTP 2x4 PAIRES AWG23 TEST A 650MHz LSZH CPR DCA BLEU RAL5024 500M</v>
          </cell>
          <cell r="M55" t="str">
            <v>Dca</v>
          </cell>
          <cell r="N55" t="str">
            <v>China</v>
          </cell>
          <cell r="O55">
            <v>35.6</v>
          </cell>
          <cell r="P55" t="str">
            <v>500m drum</v>
          </cell>
          <cell r="Q55" t="str">
            <v>30 km</v>
          </cell>
          <cell r="R55">
            <v>4</v>
          </cell>
          <cell r="S55" t="str">
            <v>4897108881770</v>
          </cell>
          <cell r="T55" t="str">
            <v>854449 1100</v>
          </cell>
          <cell r="U55">
            <v>0</v>
          </cell>
          <cell r="V55">
            <v>45</v>
          </cell>
          <cell r="W55">
            <v>45</v>
          </cell>
          <cell r="X55">
            <v>55</v>
          </cell>
          <cell r="Y55" t="str">
            <v>T/T 60 days</v>
          </cell>
          <cell r="Z55">
            <v>873.75128979607166</v>
          </cell>
          <cell r="AA55">
            <v>772.43447270242257</v>
          </cell>
          <cell r="AB55">
            <v>0.09</v>
          </cell>
          <cell r="AC55">
            <v>0.09</v>
          </cell>
          <cell r="AD55">
            <v>0.22500000000000001</v>
          </cell>
          <cell r="AE55" t="str">
            <v>C</v>
          </cell>
          <cell r="AF55">
            <v>772.43447270242257</v>
          </cell>
          <cell r="AG55">
            <v>0.22499999999999998</v>
          </cell>
          <cell r="AH55">
            <v>766.05</v>
          </cell>
          <cell r="AI55">
            <v>724.92552065498251</v>
          </cell>
          <cell r="AJ55">
            <v>657.84254543338193</v>
          </cell>
          <cell r="AK55">
            <v>0.17032967032967039</v>
          </cell>
          <cell r="AL55">
            <v>0.14835164835164827</v>
          </cell>
          <cell r="AM55"/>
          <cell r="AN55" t="str">
            <v>HT</v>
          </cell>
          <cell r="AO55">
            <v>35.293500000000002</v>
          </cell>
          <cell r="AP55">
            <v>4299.4215000000004</v>
          </cell>
          <cell r="AQ55"/>
          <cell r="AR55">
            <v>5</v>
          </cell>
          <cell r="AS55">
            <v>4652.3565000000008</v>
          </cell>
          <cell r="AT55">
            <v>4657.3565000000008</v>
          </cell>
          <cell r="AU55">
            <v>659.68222379603412</v>
          </cell>
          <cell r="AV55">
            <v>598.63671634437753</v>
          </cell>
          <cell r="AW55"/>
          <cell r="AX55" t="str">
            <v>854449 1100</v>
          </cell>
          <cell r="AZ55">
            <v>2574.7815756747418</v>
          </cell>
          <cell r="BA55">
            <v>1544.8689454048451</v>
          </cell>
          <cell r="BB55">
            <v>1287.3907878373709</v>
          </cell>
          <cell r="BC55">
            <v>1029.9126302698967</v>
          </cell>
          <cell r="BE55">
            <v>523.23447270242252</v>
          </cell>
          <cell r="BF55">
            <v>772.43447270242257</v>
          </cell>
          <cell r="BG55">
            <v>825.83447270242254</v>
          </cell>
          <cell r="BH55">
            <v>879.23447270242252</v>
          </cell>
          <cell r="BK55">
            <v>579.16128979607163</v>
          </cell>
        </row>
        <row r="56">
          <cell r="I56" t="str">
            <v>KCFF6A4PZHDGR5</v>
          </cell>
          <cell r="J56" t="str">
            <v>U0103016</v>
          </cell>
          <cell r="K56" t="str">
            <v>CAT6A CABLE F/FTP 4 PAIRS AWG23 TESTED UP TO 650MHz LSZH CPR DCA GREY RAL7035 500M</v>
          </cell>
          <cell r="L56" t="str">
            <v>CÂBLE CAT6A F/FTP 4 PAIRES AWG23 TEST A 650MHz LSZH CPR DCA GRIS RAL7035 500M</v>
          </cell>
          <cell r="M56" t="str">
            <v>Dca</v>
          </cell>
          <cell r="N56" t="str">
            <v>China</v>
          </cell>
          <cell r="O56">
            <v>17.8</v>
          </cell>
          <cell r="P56" t="str">
            <v>500m drum</v>
          </cell>
          <cell r="Q56" t="str">
            <v>30 km</v>
          </cell>
          <cell r="R56">
            <v>9</v>
          </cell>
          <cell r="S56"/>
          <cell r="T56" t="str">
            <v>854449 1100</v>
          </cell>
          <cell r="U56">
            <v>0</v>
          </cell>
          <cell r="V56">
            <v>45</v>
          </cell>
          <cell r="W56">
            <v>45</v>
          </cell>
          <cell r="X56">
            <v>55</v>
          </cell>
          <cell r="Y56" t="str">
            <v>T/T 60 days</v>
          </cell>
          <cell r="Z56">
            <v>425.37850802643999</v>
          </cell>
          <cell r="AA56">
            <v>374.71672365624818</v>
          </cell>
          <cell r="AB56">
            <v>0.09</v>
          </cell>
          <cell r="AC56">
            <v>0.09</v>
          </cell>
          <cell r="AD56">
            <v>0.23</v>
          </cell>
          <cell r="AE56" t="str">
            <v>C</v>
          </cell>
          <cell r="AF56">
            <v>374.71672365624818</v>
          </cell>
          <cell r="AG56">
            <v>0.22999999999999998</v>
          </cell>
          <cell r="AH56">
            <v>371.61</v>
          </cell>
          <cell r="AI56">
            <v>350.58668243937365</v>
          </cell>
          <cell r="AJ56">
            <v>317.06799693990229</v>
          </cell>
          <cell r="AK56">
            <v>0.17582417582417575</v>
          </cell>
          <cell r="AL56">
            <v>0.15384615384615385</v>
          </cell>
          <cell r="AM56"/>
          <cell r="AN56" t="str">
            <v>HT</v>
          </cell>
          <cell r="AO56">
            <v>17.0379</v>
          </cell>
          <cell r="AP56">
            <v>2077.0001999999999</v>
          </cell>
          <cell r="AQ56"/>
          <cell r="AR56">
            <v>5</v>
          </cell>
          <cell r="AS56">
            <v>2247.3791999999999</v>
          </cell>
          <cell r="AT56">
            <v>2252.3791999999999</v>
          </cell>
          <cell r="AU56">
            <v>319.03388101983001</v>
          </cell>
          <cell r="AV56">
            <v>288.53187721531111</v>
          </cell>
          <cell r="AW56"/>
          <cell r="AX56" t="str">
            <v>854449 1100</v>
          </cell>
          <cell r="AZ56">
            <v>1249.0557455208273</v>
          </cell>
          <cell r="BA56">
            <v>749.43344731249636</v>
          </cell>
          <cell r="BB56">
            <v>624.52787276041363</v>
          </cell>
          <cell r="BC56">
            <v>499.6222982083309</v>
          </cell>
          <cell r="BE56">
            <v>250.11672365624815</v>
          </cell>
          <cell r="BF56">
            <v>374.71672365624818</v>
          </cell>
          <cell r="BG56">
            <v>401.41672365624817</v>
          </cell>
          <cell r="BH56">
            <v>428.11672365624815</v>
          </cell>
          <cell r="BK56">
            <v>278.08350802643997</v>
          </cell>
        </row>
        <row r="57">
          <cell r="I57" t="str">
            <v>KCFF6A8PZHDGR5</v>
          </cell>
          <cell r="J57" t="str">
            <v>U0103017</v>
          </cell>
          <cell r="K57" t="str">
            <v>CAT6A CABLE F/FTP 2x4 PAIRS AWG23 TESTED UP TO 650MHz LSZH CPR DCA GREY RAL7035 500M</v>
          </cell>
          <cell r="L57" t="str">
            <v>CÂBLE CAT6A F/FTP 2x4 PAIRES AWG23 TEST A 650MHz LSZH CPR DCA GRIS RAL7035 500M</v>
          </cell>
          <cell r="M57" t="str">
            <v>Dca</v>
          </cell>
          <cell r="N57" t="str">
            <v>China</v>
          </cell>
          <cell r="O57">
            <v>35.6</v>
          </cell>
          <cell r="P57" t="str">
            <v>500m drum</v>
          </cell>
          <cell r="Q57" t="str">
            <v>30 km</v>
          </cell>
          <cell r="R57">
            <v>4</v>
          </cell>
          <cell r="S57"/>
          <cell r="T57" t="str">
            <v>854449 1100</v>
          </cell>
          <cell r="U57">
            <v>0</v>
          </cell>
          <cell r="V57">
            <v>45</v>
          </cell>
          <cell r="W57">
            <v>45</v>
          </cell>
          <cell r="X57">
            <v>55</v>
          </cell>
          <cell r="Y57" t="str">
            <v>T/T 60 days</v>
          </cell>
          <cell r="Z57">
            <v>873.75128979607166</v>
          </cell>
          <cell r="AA57">
            <v>772.43447270242257</v>
          </cell>
          <cell r="AB57">
            <v>0.09</v>
          </cell>
          <cell r="AC57">
            <v>0.09</v>
          </cell>
          <cell r="AD57">
            <v>0.22500000000000001</v>
          </cell>
          <cell r="AE57" t="str">
            <v>C</v>
          </cell>
          <cell r="AF57">
            <v>772.43447270242257</v>
          </cell>
          <cell r="AG57">
            <v>0.22499999999999998</v>
          </cell>
          <cell r="AH57">
            <v>766.05</v>
          </cell>
          <cell r="AI57">
            <v>724.92552065498251</v>
          </cell>
          <cell r="AJ57">
            <v>657.84254543338193</v>
          </cell>
          <cell r="AK57">
            <v>0.17032967032967039</v>
          </cell>
          <cell r="AL57">
            <v>0.14835164835164827</v>
          </cell>
          <cell r="AM57"/>
          <cell r="AN57" t="str">
            <v>HT</v>
          </cell>
          <cell r="AO57">
            <v>35.293500000000002</v>
          </cell>
          <cell r="AP57">
            <v>4299.4215000000004</v>
          </cell>
          <cell r="AQ57"/>
          <cell r="AR57">
            <v>5</v>
          </cell>
          <cell r="AS57">
            <v>4652.3565000000008</v>
          </cell>
          <cell r="AT57">
            <v>4657.3565000000008</v>
          </cell>
          <cell r="AU57">
            <v>659.68222379603412</v>
          </cell>
          <cell r="AV57">
            <v>598.63671634437753</v>
          </cell>
          <cell r="AW57"/>
          <cell r="AX57" t="str">
            <v>854449 1100</v>
          </cell>
          <cell r="AZ57">
            <v>2574.7815756747418</v>
          </cell>
          <cell r="BA57">
            <v>1544.8689454048451</v>
          </cell>
          <cell r="BB57">
            <v>1287.3907878373709</v>
          </cell>
          <cell r="BC57">
            <v>1029.9126302698967</v>
          </cell>
          <cell r="BE57">
            <v>523.23447270242252</v>
          </cell>
          <cell r="BF57">
            <v>772.43447270242257</v>
          </cell>
          <cell r="BG57">
            <v>825.83447270242254</v>
          </cell>
          <cell r="BH57">
            <v>879.23447270242252</v>
          </cell>
          <cell r="BK57">
            <v>579.16128979607163</v>
          </cell>
        </row>
        <row r="58">
          <cell r="I58" t="str">
            <v>KCFF6A4PZHDBLB</v>
          </cell>
          <cell r="J58" t="str">
            <v>U0103006</v>
          </cell>
          <cell r="K58" t="str">
            <v>CAT6A CABLE F/FTP 4 PAIRS AWG23 TESTED UP TO 650MHz LSZH CPR DCA BLUE RAL5024 B305M</v>
          </cell>
          <cell r="L58" t="str">
            <v>CÂBLE CAT6A F/FTP 4 PAIRES AWG23 TEST A 650MHz LSZH CPR DCA BLEU RAL5024 500M</v>
          </cell>
          <cell r="M58" t="str">
            <v>Dca</v>
          </cell>
          <cell r="N58" t="str">
            <v>China</v>
          </cell>
          <cell r="O58">
            <v>17.8</v>
          </cell>
          <cell r="P58" t="str">
            <v>305m Reelex box</v>
          </cell>
          <cell r="Q58" t="str">
            <v>30 km</v>
          </cell>
          <cell r="R58">
            <v>5.49</v>
          </cell>
          <cell r="S58" t="str">
            <v>4897108882753</v>
          </cell>
          <cell r="T58" t="str">
            <v>854449 1100</v>
          </cell>
          <cell r="U58">
            <v>0</v>
          </cell>
          <cell r="V58">
            <v>45</v>
          </cell>
          <cell r="W58">
            <v>45</v>
          </cell>
          <cell r="X58">
            <v>55</v>
          </cell>
          <cell r="Y58" t="str">
            <v>T/T 60 days</v>
          </cell>
          <cell r="Z58">
            <v>433.81541672879081</v>
          </cell>
          <cell r="AA58">
            <v>390.91069498189808</v>
          </cell>
          <cell r="AB58">
            <v>0.09</v>
          </cell>
          <cell r="AC58">
            <v>0.09</v>
          </cell>
          <cell r="AD58">
            <v>0.22</v>
          </cell>
          <cell r="AE58" t="str">
            <v>C</v>
          </cell>
          <cell r="AF58">
            <v>390.91069498189808</v>
          </cell>
          <cell r="AG58">
            <v>0.21999999999999997</v>
          </cell>
          <cell r="AH58">
            <v>387.74</v>
          </cell>
          <cell r="AI58">
            <v>362.30738100426481</v>
          </cell>
          <cell r="AJ58">
            <v>335.06630998448406</v>
          </cell>
          <cell r="AK58">
            <v>0.16483516483516492</v>
          </cell>
          <cell r="AL58">
            <v>0.1428571428571429</v>
          </cell>
          <cell r="AM58"/>
          <cell r="AN58" t="str">
            <v>HT</v>
          </cell>
          <cell r="AO58">
            <v>17.21</v>
          </cell>
          <cell r="AP58">
            <v>2155.58</v>
          </cell>
          <cell r="AQ58"/>
          <cell r="AR58">
            <v>0</v>
          </cell>
          <cell r="AS58">
            <v>2327.6799999999998</v>
          </cell>
          <cell r="AT58">
            <v>2327.6799999999998</v>
          </cell>
          <cell r="AU58">
            <v>329.699716713881</v>
          </cell>
          <cell r="AV58">
            <v>304.91034208588053</v>
          </cell>
          <cell r="AW58"/>
          <cell r="AX58" t="str">
            <v>854449 1100</v>
          </cell>
          <cell r="AZ58">
            <v>1303.0356499396603</v>
          </cell>
          <cell r="BA58">
            <v>781.82138996379615</v>
          </cell>
          <cell r="BB58">
            <v>651.51782496983014</v>
          </cell>
          <cell r="BC58">
            <v>521.21425997586414</v>
          </cell>
          <cell r="BE58">
            <v>266.31069498189805</v>
          </cell>
          <cell r="BF58">
            <v>390.91069498189808</v>
          </cell>
          <cell r="BG58">
            <v>417.61069498189806</v>
          </cell>
          <cell r="BH58">
            <v>444.31069498189805</v>
          </cell>
          <cell r="BK58">
            <v>286.52041672879079</v>
          </cell>
        </row>
        <row r="59">
          <cell r="I59" t="str">
            <v>KCFF6A4PZHCBL5</v>
          </cell>
          <cell r="J59" t="str">
            <v>U0103003</v>
          </cell>
          <cell r="K59" t="str">
            <v>CAT6A CABLE F/FTP 4 PAIRS AWG23 TESTED UP TO 650MHz LSZH CPR CCA BLUE RAL5024 500M</v>
          </cell>
          <cell r="L59" t="str">
            <v>CÂBLE CAT6A F/FTP 4 PAIRES AWG23 TEST A 650MHz LSZH CPR CCA BLEU RAL5024 500M</v>
          </cell>
          <cell r="M59" t="str">
            <v>Cca</v>
          </cell>
          <cell r="N59" t="str">
            <v>China</v>
          </cell>
          <cell r="O59">
            <v>17.8</v>
          </cell>
          <cell r="P59" t="str">
            <v>500m drum</v>
          </cell>
          <cell r="Q59" t="str">
            <v>30 km</v>
          </cell>
          <cell r="R59">
            <v>9</v>
          </cell>
          <cell r="S59" t="str">
            <v>4897108882388</v>
          </cell>
          <cell r="T59" t="str">
            <v>854449 1100</v>
          </cell>
          <cell r="U59">
            <v>0</v>
          </cell>
          <cell r="V59">
            <v>45</v>
          </cell>
          <cell r="W59">
            <v>45</v>
          </cell>
          <cell r="X59">
            <v>55</v>
          </cell>
          <cell r="Y59" t="str">
            <v>T/T 60 days</v>
          </cell>
          <cell r="Z59">
            <v>455.44368731337573</v>
          </cell>
          <cell r="AA59">
            <v>400.23581966782132</v>
          </cell>
          <cell r="AB59">
            <v>0.09</v>
          </cell>
          <cell r="AC59">
            <v>0.09</v>
          </cell>
          <cell r="AD59">
            <v>0.24</v>
          </cell>
          <cell r="AE59" t="str">
            <v>C</v>
          </cell>
          <cell r="AF59">
            <v>400.23581966782132</v>
          </cell>
          <cell r="AG59">
            <v>0.24</v>
          </cell>
          <cell r="AH59">
            <v>396.91</v>
          </cell>
          <cell r="AI59">
            <v>370.36080067241539</v>
          </cell>
          <cell r="AJ59">
            <v>334.26288235993866</v>
          </cell>
          <cell r="AK59">
            <v>0.18681318681318693</v>
          </cell>
          <cell r="AL59">
            <v>0.16483516483516492</v>
          </cell>
          <cell r="AM59"/>
          <cell r="AN59" t="str">
            <v>HT</v>
          </cell>
          <cell r="AO59">
            <v>17.09</v>
          </cell>
          <cell r="AP59">
            <v>2203.52</v>
          </cell>
          <cell r="AQ59"/>
          <cell r="AR59">
            <v>5</v>
          </cell>
          <cell r="AS59">
            <v>2374.42</v>
          </cell>
          <cell r="AT59">
            <v>2379.42</v>
          </cell>
          <cell r="AU59">
            <v>337.02832861189802</v>
          </cell>
          <cell r="AV59">
            <v>304.17922294754419</v>
          </cell>
          <cell r="AW59"/>
          <cell r="AX59" t="str">
            <v>854449 1100</v>
          </cell>
          <cell r="AZ59">
            <v>1334.1193988927378</v>
          </cell>
          <cell r="BA59">
            <v>800.47163933564264</v>
          </cell>
          <cell r="BB59">
            <v>667.05969944636888</v>
          </cell>
          <cell r="BC59">
            <v>533.64775955709513</v>
          </cell>
          <cell r="BE59">
            <v>275.63581966782129</v>
          </cell>
          <cell r="BF59">
            <v>400.23581966782132</v>
          </cell>
          <cell r="BG59">
            <v>426.93581966782131</v>
          </cell>
          <cell r="BH59">
            <v>453.63581966782129</v>
          </cell>
          <cell r="BK59">
            <v>308.14868731337572</v>
          </cell>
        </row>
        <row r="60">
          <cell r="I60" t="str">
            <v>KCFF6A8PZHCBL5</v>
          </cell>
          <cell r="J60" t="str">
            <v>U0103020</v>
          </cell>
          <cell r="K60" t="str">
            <v>CAT6A CABLE F/FTP 2x4 PAIRS AWG23 TESTED UP TO 650MHz LSZH CPR CCA BLUE RAL5024 500M</v>
          </cell>
          <cell r="L60" t="str">
            <v>CÂBLE CAT6A F/FTP 2x4 PAIRES AWG23 TEST A 650MHz LSZH CPR CCA BLEU RAL5024 500M</v>
          </cell>
          <cell r="M60" t="str">
            <v>Cca</v>
          </cell>
          <cell r="N60" t="str">
            <v>China</v>
          </cell>
          <cell r="O60">
            <v>35.6</v>
          </cell>
          <cell r="P60" t="str">
            <v>500m drum</v>
          </cell>
          <cell r="Q60" t="str">
            <v>30 km</v>
          </cell>
          <cell r="R60">
            <v>9</v>
          </cell>
          <cell r="S60"/>
          <cell r="T60" t="str">
            <v>854449 1100</v>
          </cell>
          <cell r="U60">
            <v>0</v>
          </cell>
          <cell r="V60">
            <v>45</v>
          </cell>
          <cell r="W60">
            <v>45</v>
          </cell>
          <cell r="X60">
            <v>55</v>
          </cell>
          <cell r="Y60" t="str">
            <v>T/T 60 days</v>
          </cell>
          <cell r="Z60">
            <v>949.57126832328845</v>
          </cell>
          <cell r="AA60">
            <v>818.65117667363188</v>
          </cell>
          <cell r="AB60">
            <v>0.09</v>
          </cell>
          <cell r="AC60">
            <v>0.09</v>
          </cell>
          <cell r="AD60">
            <v>0.23499999999999999</v>
          </cell>
          <cell r="AE60" t="str">
            <v>C</v>
          </cell>
          <cell r="AF60">
            <v>818.65117667363188</v>
          </cell>
          <cell r="AG60">
            <v>0.23499999999999999</v>
          </cell>
          <cell r="AH60">
            <v>811.72</v>
          </cell>
          <cell r="AI60">
            <v>777.39625813280202</v>
          </cell>
          <cell r="AJ60">
            <v>688.20675841244872</v>
          </cell>
          <cell r="AK60">
            <v>0.18131868131868134</v>
          </cell>
          <cell r="AL60">
            <v>0.15934065934065944</v>
          </cell>
          <cell r="AM60"/>
          <cell r="AN60" t="str">
            <v>HT</v>
          </cell>
          <cell r="AO60">
            <v>35.97</v>
          </cell>
          <cell r="AP60">
            <v>4629.76</v>
          </cell>
          <cell r="AQ60"/>
          <cell r="AR60">
            <v>5</v>
          </cell>
          <cell r="AS60">
            <v>4989.46</v>
          </cell>
          <cell r="AT60">
            <v>4994.46</v>
          </cell>
          <cell r="AU60">
            <v>707.43059490084988</v>
          </cell>
          <cell r="AV60">
            <v>626.26815015532839</v>
          </cell>
          <cell r="AW60"/>
          <cell r="AX60" t="str">
            <v>854449 1100</v>
          </cell>
          <cell r="AZ60">
            <v>2728.8372555787732</v>
          </cell>
          <cell r="BA60">
            <v>1637.302353347264</v>
          </cell>
          <cell r="BB60">
            <v>1364.4186277893866</v>
          </cell>
          <cell r="BC60">
            <v>1091.5349022315092</v>
          </cell>
          <cell r="BE60">
            <v>569.45117667363184</v>
          </cell>
          <cell r="BF60">
            <v>818.65117667363188</v>
          </cell>
          <cell r="BG60">
            <v>872.05117667363186</v>
          </cell>
          <cell r="BH60">
            <v>925.45117667363184</v>
          </cell>
          <cell r="BK60">
            <v>654.98126832328842</v>
          </cell>
        </row>
        <row r="61">
          <cell r="I61" t="str">
            <v>KCFF6A4PZHB2BL5</v>
          </cell>
          <cell r="J61" t="str">
            <v>U0103002</v>
          </cell>
          <cell r="K61" t="str">
            <v>CAT6A CABLE F/FTP 4 PAIRS AWG23 TESTED UP TO 650MHz LSZH CPR B2CA BLUE RAL5024 500M</v>
          </cell>
          <cell r="L61" t="str">
            <v>CÂBLE CAT6A F/FTP 4 PAIRES AWG23 TEST A 650MHz LSZH CPR B2CA BLEU RAL5024 500M</v>
          </cell>
          <cell r="M61" t="str">
            <v>B2ca</v>
          </cell>
          <cell r="N61" t="str">
            <v>China</v>
          </cell>
          <cell r="O61">
            <v>17.8</v>
          </cell>
          <cell r="P61" t="str">
            <v>500m drum</v>
          </cell>
          <cell r="Q61" t="str">
            <v>30 km</v>
          </cell>
          <cell r="R61">
            <v>9</v>
          </cell>
          <cell r="S61" t="str">
            <v>4897108882395</v>
          </cell>
          <cell r="T61" t="str">
            <v>854449 1100</v>
          </cell>
          <cell r="U61">
            <v>0</v>
          </cell>
          <cell r="V61">
            <v>45</v>
          </cell>
          <cell r="W61">
            <v>45</v>
          </cell>
          <cell r="X61">
            <v>55</v>
          </cell>
          <cell r="Y61" t="str">
            <v>T/T 60 days</v>
          </cell>
          <cell r="Z61">
            <v>475.98859094260553</v>
          </cell>
          <cell r="AA61">
            <v>417.68052077203453</v>
          </cell>
          <cell r="AB61">
            <v>0.09</v>
          </cell>
          <cell r="AC61">
            <v>0.09</v>
          </cell>
          <cell r="AD61">
            <v>0.25</v>
          </cell>
          <cell r="AE61" t="str">
            <v>C</v>
          </cell>
          <cell r="AF61">
            <v>417.68052077203453</v>
          </cell>
          <cell r="AG61">
            <v>0.25</v>
          </cell>
          <cell r="AH61" t="e">
            <v>#N/A</v>
          </cell>
          <cell r="AI61">
            <v>381.83700152538682</v>
          </cell>
          <cell r="AJ61">
            <v>344.24218744947899</v>
          </cell>
          <cell r="AK61">
            <v>0.19780219780219788</v>
          </cell>
          <cell r="AL61">
            <v>0.17582417582417587</v>
          </cell>
          <cell r="AM61"/>
          <cell r="AN61" t="str">
            <v>HT</v>
          </cell>
          <cell r="AO61">
            <v>17.66</v>
          </cell>
          <cell r="AP61">
            <v>2271.5500000000002</v>
          </cell>
          <cell r="AQ61"/>
          <cell r="AR61">
            <v>5</v>
          </cell>
          <cell r="AS61">
            <v>2448.15</v>
          </cell>
          <cell r="AT61">
            <v>2453.15</v>
          </cell>
          <cell r="AU61">
            <v>347.47167138810204</v>
          </cell>
          <cell r="AV61">
            <v>313.26039057902591</v>
          </cell>
          <cell r="AW61"/>
          <cell r="AX61" t="str">
            <v>854449 1100</v>
          </cell>
          <cell r="AZ61">
            <v>1392.2684025734484</v>
          </cell>
          <cell r="BA61">
            <v>835.36104154406905</v>
          </cell>
          <cell r="BB61">
            <v>696.13420128672419</v>
          </cell>
          <cell r="BC61">
            <v>556.90736102937933</v>
          </cell>
          <cell r="BE61">
            <v>293.0805207720345</v>
          </cell>
          <cell r="BF61">
            <v>417.68052077203453</v>
          </cell>
          <cell r="BG61">
            <v>444.38052077203452</v>
          </cell>
          <cell r="BH61">
            <v>471.0805207720345</v>
          </cell>
          <cell r="BK61">
            <v>328.69359094260551</v>
          </cell>
        </row>
        <row r="62">
          <cell r="I62" t="str">
            <v>KCFF6A4PZHCOUT5</v>
          </cell>
          <cell r="J62" t="str">
            <v>U0103004</v>
          </cell>
          <cell r="K62" t="str">
            <v>CAT6A CABLE F/FTP 4 PAIRS AWG23 TESTED UP TO 650MHz LSZH CPR CCA INDOOR/OUTDOOR BLACK RAL9005 500M</v>
          </cell>
          <cell r="L62" t="str">
            <v>CÂBLE CAT6A F/FTP 4 PAIRES AWG23 TEST A 650MHz LSZH CPR CCA INTÉRIEUR/EXTÉRIEUR NOIR RAL9005 500M</v>
          </cell>
          <cell r="M62" t="str">
            <v>Cca</v>
          </cell>
          <cell r="N62" t="str">
            <v>China</v>
          </cell>
          <cell r="O62">
            <v>17.8</v>
          </cell>
          <cell r="P62" t="str">
            <v>500m drum</v>
          </cell>
          <cell r="Q62" t="str">
            <v>30 km</v>
          </cell>
          <cell r="R62">
            <v>9</v>
          </cell>
          <cell r="S62" t="e">
            <v>#N/A</v>
          </cell>
          <cell r="T62" t="str">
            <v>854449 1100</v>
          </cell>
          <cell r="U62">
            <v>0</v>
          </cell>
          <cell r="V62">
            <v>45</v>
          </cell>
          <cell r="W62">
            <v>45</v>
          </cell>
          <cell r="X62">
            <v>55</v>
          </cell>
          <cell r="Y62" t="str">
            <v>T/T 60 days</v>
          </cell>
          <cell r="Z62">
            <v>484.15792203646822</v>
          </cell>
          <cell r="AA62">
            <v>424.69315357197161</v>
          </cell>
          <cell r="AB62">
            <v>0.09</v>
          </cell>
          <cell r="AC62">
            <v>0.09</v>
          </cell>
          <cell r="AD62">
            <v>0.27</v>
          </cell>
          <cell r="AE62" t="str">
            <v>C</v>
          </cell>
          <cell r="AF62">
            <v>424.69315357197161</v>
          </cell>
          <cell r="AG62">
            <v>0.27</v>
          </cell>
          <cell r="AH62" t="e">
            <v>#N/A</v>
          </cell>
          <cell r="AI62">
            <v>377.74958752295868</v>
          </cell>
          <cell r="AJ62">
            <v>340.68791440388929</v>
          </cell>
          <cell r="AK62">
            <v>0.21978021978021989</v>
          </cell>
          <cell r="AL62">
            <v>0.19780219780219788</v>
          </cell>
          <cell r="AM62"/>
          <cell r="AN62" t="str">
            <v>HT</v>
          </cell>
          <cell r="AO62">
            <v>17.43</v>
          </cell>
          <cell r="AP62">
            <v>2247.59</v>
          </cell>
          <cell r="AQ62"/>
          <cell r="AR62">
            <v>5</v>
          </cell>
          <cell r="AS62">
            <v>2421.8900000000003</v>
          </cell>
          <cell r="AT62">
            <v>2426.8900000000003</v>
          </cell>
          <cell r="AU62">
            <v>343.75212464589242</v>
          </cell>
          <cell r="AV62">
            <v>310.02600210753928</v>
          </cell>
          <cell r="AW62"/>
          <cell r="AX62" t="str">
            <v>854449 1100</v>
          </cell>
          <cell r="AZ62">
            <v>1415.6438452399054</v>
          </cell>
          <cell r="BA62">
            <v>849.38630714394321</v>
          </cell>
          <cell r="BB62">
            <v>707.82192261995272</v>
          </cell>
          <cell r="BC62">
            <v>566.25753809596222</v>
          </cell>
          <cell r="BE62">
            <v>300.09315357197158</v>
          </cell>
          <cell r="BF62">
            <v>424.69315357197161</v>
          </cell>
          <cell r="BG62">
            <v>451.3931535719716</v>
          </cell>
          <cell r="BH62">
            <v>478.09315357197158</v>
          </cell>
          <cell r="BK62">
            <v>336.86292203646821</v>
          </cell>
        </row>
        <row r="63">
          <cell r="I63" t="str">
            <v>KCFF6A4PZHDBL5</v>
          </cell>
          <cell r="J63" t="str">
            <v>U0103001</v>
          </cell>
          <cell r="K63" t="str">
            <v>CAT6A CABLE F/FTP 4 PAIRS AWG23 TESTED UP TO 650MHz LSZH CPR DCA BLUE RAL5024 500M</v>
          </cell>
          <cell r="L63" t="str">
            <v>CÂBLE CAT6A F/FTP 4 PAIRES AWG23 TEST A 650MHz LSZH CPR DCA BLEU RAL5024 500M</v>
          </cell>
          <cell r="M63" t="str">
            <v>Dca</v>
          </cell>
          <cell r="N63" t="str">
            <v>Turkey</v>
          </cell>
          <cell r="O63">
            <v>19</v>
          </cell>
          <cell r="P63" t="str">
            <v>500m drum</v>
          </cell>
          <cell r="Q63" t="str">
            <v>30 km</v>
          </cell>
          <cell r="R63">
            <v>9</v>
          </cell>
          <cell r="S63" t="str">
            <v>4897108881763</v>
          </cell>
          <cell r="T63" t="str">
            <v>854449 2000</v>
          </cell>
          <cell r="U63">
            <v>0</v>
          </cell>
          <cell r="V63">
            <v>60</v>
          </cell>
          <cell r="W63">
            <v>14</v>
          </cell>
          <cell r="X63">
            <v>14</v>
          </cell>
          <cell r="Y63" t="str">
            <v>T/T 30 days</v>
          </cell>
          <cell r="Z63">
            <v>450.06172839506172</v>
          </cell>
          <cell r="AA63">
            <v>390.65828531517371</v>
          </cell>
          <cell r="AB63">
            <v>7.0000000000000007E-2</v>
          </cell>
          <cell r="AC63">
            <v>7.0000000000000007E-2</v>
          </cell>
          <cell r="AD63">
            <v>0.17</v>
          </cell>
          <cell r="AE63" t="str">
            <v>C</v>
          </cell>
          <cell r="AF63">
            <v>390.65828531517371</v>
          </cell>
          <cell r="AG63">
            <v>0.16999999999999993</v>
          </cell>
          <cell r="AH63">
            <v>371.61</v>
          </cell>
          <cell r="AI63">
            <v>391.98924731182797</v>
          </cell>
          <cell r="AJ63">
            <v>348.65201807698304</v>
          </cell>
          <cell r="AK63">
            <v>0.12903225806451613</v>
          </cell>
          <cell r="AL63">
            <v>0.10752688172043001</v>
          </cell>
          <cell r="AM63"/>
          <cell r="AN63" t="str">
            <v>KK</v>
          </cell>
          <cell r="AO63"/>
          <cell r="AP63"/>
          <cell r="AQ63">
            <v>184</v>
          </cell>
          <cell r="AR63"/>
          <cell r="AS63"/>
          <cell r="AT63"/>
          <cell r="AU63">
            <v>317</v>
          </cell>
          <cell r="AV63">
            <v>324.24637681159419</v>
          </cell>
          <cell r="AW63"/>
          <cell r="AX63" t="str">
            <v>854449 1100</v>
          </cell>
          <cell r="AZ63">
            <v>1302.1942843839124</v>
          </cell>
          <cell r="BA63">
            <v>781.31657063034743</v>
          </cell>
          <cell r="BB63">
            <v>651.09714219195621</v>
          </cell>
          <cell r="BC63">
            <v>520.87771375356499</v>
          </cell>
          <cell r="BE63">
            <v>257.65828531517371</v>
          </cell>
          <cell r="BF63">
            <v>390.65828531517371</v>
          </cell>
          <cell r="BG63">
            <v>419.15828531517371</v>
          </cell>
          <cell r="BH63">
            <v>447.65828531517371</v>
          </cell>
          <cell r="BK63">
            <v>292.83672839506175</v>
          </cell>
        </row>
        <row r="64">
          <cell r="I64" t="str">
            <v>KCFF6A8PZHDBL5</v>
          </cell>
          <cell r="J64" t="str">
            <v>U0103007</v>
          </cell>
          <cell r="K64" t="str">
            <v>CAT6A CABLE F/FTP 2x4 PAIRS AWG23 TESTED UP TO 650MHz LSZH CPR DCA BLUE RAL5024 500M</v>
          </cell>
          <cell r="L64" t="str">
            <v>CÂBLE CAT6A F/FTP 2x4 PAIRES AWG23 TEST A 650MHz LSZH CPR DCA BLEU RAL5024 500M</v>
          </cell>
          <cell r="M64" t="str">
            <v>Dca</v>
          </cell>
          <cell r="N64" t="str">
            <v>Turkey</v>
          </cell>
          <cell r="O64">
            <v>37</v>
          </cell>
          <cell r="P64" t="str">
            <v>500m drum</v>
          </cell>
          <cell r="Q64" t="str">
            <v>30 km</v>
          </cell>
          <cell r="R64">
            <v>3</v>
          </cell>
          <cell r="S64" t="str">
            <v>4897108881770</v>
          </cell>
          <cell r="T64" t="str">
            <v>854449 2000</v>
          </cell>
          <cell r="U64">
            <v>0</v>
          </cell>
          <cell r="V64">
            <v>60</v>
          </cell>
          <cell r="W64">
            <v>14</v>
          </cell>
          <cell r="X64">
            <v>14</v>
          </cell>
          <cell r="Y64" t="str">
            <v>T/T 30 days</v>
          </cell>
          <cell r="Z64">
            <v>935.52147239263797</v>
          </cell>
          <cell r="AA64">
            <v>820.04686279614691</v>
          </cell>
          <cell r="AB64">
            <v>7.0000000000000007E-2</v>
          </cell>
          <cell r="AC64">
            <v>7.0000000000000007E-2</v>
          </cell>
          <cell r="AD64">
            <v>0.16500000000000001</v>
          </cell>
          <cell r="AE64" t="str">
            <v>C</v>
          </cell>
          <cell r="AF64">
            <v>820.04686279614691</v>
          </cell>
          <cell r="AG64">
            <v>0.16500000000000004</v>
          </cell>
          <cell r="AH64">
            <v>766.05</v>
          </cell>
          <cell r="AI64">
            <v>819.83870967741939</v>
          </cell>
          <cell r="AJ64">
            <v>736.27863487611035</v>
          </cell>
          <cell r="AK64">
            <v>0.12365591397849451</v>
          </cell>
          <cell r="AL64">
            <v>0.10215053763440862</v>
          </cell>
          <cell r="AM64"/>
          <cell r="AN64" t="str">
            <v>KK</v>
          </cell>
          <cell r="AO64"/>
          <cell r="AP64"/>
          <cell r="AQ64">
            <v>404</v>
          </cell>
          <cell r="AR64"/>
          <cell r="AS64"/>
          <cell r="AT64"/>
          <cell r="AU64">
            <v>663</v>
          </cell>
          <cell r="AV64">
            <v>684.73913043478262</v>
          </cell>
          <cell r="AW64"/>
          <cell r="AX64" t="str">
            <v>854449 1100</v>
          </cell>
          <cell r="AZ64">
            <v>2733.4895426538233</v>
          </cell>
          <cell r="BA64">
            <v>1640.0937255922938</v>
          </cell>
          <cell r="BB64">
            <v>1366.7447713269116</v>
          </cell>
          <cell r="BC64">
            <v>1093.3958170615294</v>
          </cell>
          <cell r="BE64">
            <v>561.04686279614691</v>
          </cell>
          <cell r="BF64">
            <v>820.04686279614691</v>
          </cell>
          <cell r="BG64">
            <v>875.54686279614691</v>
          </cell>
          <cell r="BH64">
            <v>931.04686279614691</v>
          </cell>
          <cell r="BK64">
            <v>629.34647239263791</v>
          </cell>
        </row>
        <row r="65">
          <cell r="I65" t="str">
            <v>KCFF6A4PZHDGR5</v>
          </cell>
          <cell r="J65" t="str">
            <v>U0103016</v>
          </cell>
          <cell r="K65" t="str">
            <v>CAT6A CABLE F/FTP 4 PAIRS AWG23 TESTED UP TO 650MHz LSZH CPR DCA GREY RAL7035 500M</v>
          </cell>
          <cell r="L65" t="str">
            <v>CÂBLE CAT6A F/FTP 4 PAIRES AWG23 TEST A 650MHz LSZH CPR DCA GRIS RAL7035 500M</v>
          </cell>
          <cell r="M65" t="str">
            <v>Dca</v>
          </cell>
          <cell r="N65" t="str">
            <v>Turkey</v>
          </cell>
          <cell r="O65">
            <v>19</v>
          </cell>
          <cell r="P65" t="str">
            <v>500m drum</v>
          </cell>
          <cell r="Q65" t="str">
            <v>30 km</v>
          </cell>
          <cell r="R65">
            <v>9</v>
          </cell>
          <cell r="S65"/>
          <cell r="T65" t="str">
            <v>854449 2000</v>
          </cell>
          <cell r="U65">
            <v>0</v>
          </cell>
          <cell r="V65">
            <v>60</v>
          </cell>
          <cell r="W65">
            <v>14</v>
          </cell>
          <cell r="X65">
            <v>14</v>
          </cell>
          <cell r="Y65" t="str">
            <v>T/T 30 days</v>
          </cell>
          <cell r="Z65">
            <v>450.06172839506172</v>
          </cell>
          <cell r="AA65">
            <v>390.65828531517371</v>
          </cell>
          <cell r="AB65">
            <v>7.0000000000000007E-2</v>
          </cell>
          <cell r="AC65">
            <v>7.0000000000000007E-2</v>
          </cell>
          <cell r="AD65">
            <v>0.17</v>
          </cell>
          <cell r="AE65" t="str">
            <v>C</v>
          </cell>
          <cell r="AF65">
            <v>390.65828531517371</v>
          </cell>
          <cell r="AG65">
            <v>0.16999999999999993</v>
          </cell>
          <cell r="AH65">
            <v>371.61</v>
          </cell>
          <cell r="AI65">
            <v>391.98924731182797</v>
          </cell>
          <cell r="AJ65">
            <v>348.65201807698304</v>
          </cell>
          <cell r="AK65">
            <v>0.12903225806451613</v>
          </cell>
          <cell r="AL65">
            <v>0.10752688172043001</v>
          </cell>
          <cell r="AM65"/>
          <cell r="AN65" t="str">
            <v>KK</v>
          </cell>
          <cell r="AO65"/>
          <cell r="AP65"/>
          <cell r="AQ65">
            <v>184</v>
          </cell>
          <cell r="AR65"/>
          <cell r="AS65"/>
          <cell r="AT65"/>
          <cell r="AU65">
            <v>317</v>
          </cell>
          <cell r="AV65">
            <v>324.24637681159419</v>
          </cell>
          <cell r="AW65"/>
          <cell r="AX65" t="str">
            <v>854449 1100</v>
          </cell>
          <cell r="AZ65">
            <v>1302.1942843839124</v>
          </cell>
          <cell r="BA65">
            <v>781.31657063034743</v>
          </cell>
          <cell r="BB65">
            <v>651.09714219195621</v>
          </cell>
          <cell r="BC65">
            <v>520.87771375356499</v>
          </cell>
          <cell r="BE65">
            <v>257.65828531517371</v>
          </cell>
          <cell r="BF65">
            <v>390.65828531517371</v>
          </cell>
          <cell r="BG65">
            <v>419.15828531517371</v>
          </cell>
          <cell r="BH65">
            <v>447.65828531517371</v>
          </cell>
          <cell r="BK65">
            <v>292.83672839506175</v>
          </cell>
        </row>
        <row r="66">
          <cell r="I66" t="str">
            <v>KCFF6A8PZHDGR5</v>
          </cell>
          <cell r="J66" t="str">
            <v>U0103017</v>
          </cell>
          <cell r="K66" t="str">
            <v>CAT6A CABLE F/FTP 2x4 PAIRS AWG23 TESTED UP TO 650MHz LSZH CPR DCA GREY RAL7035 500M</v>
          </cell>
          <cell r="L66" t="str">
            <v>CÂBLE CAT6A F/FTP 2x4 PAIRES AWG23 TEST A 650MHz LSZH CPR DCA GRIS RAL7035 500M</v>
          </cell>
          <cell r="M66" t="str">
            <v>Dca</v>
          </cell>
          <cell r="N66" t="str">
            <v>Turkey</v>
          </cell>
          <cell r="O66">
            <v>37</v>
          </cell>
          <cell r="P66" t="str">
            <v>500m drum</v>
          </cell>
          <cell r="Q66" t="str">
            <v>30 km</v>
          </cell>
          <cell r="R66">
            <v>3</v>
          </cell>
          <cell r="S66"/>
          <cell r="T66" t="str">
            <v>854449 2000</v>
          </cell>
          <cell r="U66">
            <v>0</v>
          </cell>
          <cell r="V66">
            <v>60</v>
          </cell>
          <cell r="W66">
            <v>14</v>
          </cell>
          <cell r="X66">
            <v>14</v>
          </cell>
          <cell r="Y66" t="str">
            <v>T/T 30 days</v>
          </cell>
          <cell r="Z66">
            <v>935.52147239263797</v>
          </cell>
          <cell r="AA66">
            <v>820.04686279614691</v>
          </cell>
          <cell r="AB66">
            <v>7.0000000000000007E-2</v>
          </cell>
          <cell r="AC66">
            <v>7.0000000000000007E-2</v>
          </cell>
          <cell r="AD66">
            <v>0.16500000000000001</v>
          </cell>
          <cell r="AE66" t="str">
            <v>C</v>
          </cell>
          <cell r="AF66">
            <v>820.04686279614691</v>
          </cell>
          <cell r="AG66">
            <v>0.16500000000000004</v>
          </cell>
          <cell r="AH66">
            <v>766.05</v>
          </cell>
          <cell r="AI66">
            <v>819.83870967741939</v>
          </cell>
          <cell r="AJ66">
            <v>736.27863487611035</v>
          </cell>
          <cell r="AK66">
            <v>0.12365591397849451</v>
          </cell>
          <cell r="AL66">
            <v>0.10215053763440862</v>
          </cell>
          <cell r="AM66"/>
          <cell r="AN66" t="str">
            <v>KK</v>
          </cell>
          <cell r="AO66"/>
          <cell r="AP66"/>
          <cell r="AQ66">
            <v>404</v>
          </cell>
          <cell r="AR66"/>
          <cell r="AS66"/>
          <cell r="AT66"/>
          <cell r="AU66">
            <v>663</v>
          </cell>
          <cell r="AV66">
            <v>684.73913043478262</v>
          </cell>
          <cell r="AW66"/>
          <cell r="AX66" t="str">
            <v>854449 1100</v>
          </cell>
          <cell r="AZ66">
            <v>2733.4895426538233</v>
          </cell>
          <cell r="BA66">
            <v>1640.0937255922938</v>
          </cell>
          <cell r="BB66">
            <v>1366.7447713269116</v>
          </cell>
          <cell r="BC66">
            <v>1093.3958170615294</v>
          </cell>
          <cell r="BE66">
            <v>561.04686279614691</v>
          </cell>
          <cell r="BF66">
            <v>820.04686279614691</v>
          </cell>
          <cell r="BG66">
            <v>875.54686279614691</v>
          </cell>
          <cell r="BH66">
            <v>931.04686279614691</v>
          </cell>
          <cell r="BK66">
            <v>629.34647239263791</v>
          </cell>
        </row>
        <row r="67">
          <cell r="I67" t="str">
            <v>KCFF6A8PZHCGR5</v>
          </cell>
          <cell r="J67" t="str">
            <v/>
          </cell>
          <cell r="K67" t="str">
            <v>CAT6A CABLE F/FTP 2x4 PAIRS AWG23 TESTED UP TO 650MHz LSZH CPR CCA BLUE RAL5024 500M</v>
          </cell>
          <cell r="L67" t="str">
            <v>CÂBLE CAT6A F/FTP 2x4 PAIRES AWG23 TEST A 650MHz LSZH CPR CCA BLEU RAL5024 500M</v>
          </cell>
          <cell r="M67" t="str">
            <v>Cca</v>
          </cell>
          <cell r="N67" t="str">
            <v>Turkey</v>
          </cell>
          <cell r="O67">
            <v>38</v>
          </cell>
          <cell r="P67" t="str">
            <v>500m drum</v>
          </cell>
          <cell r="Q67" t="str">
            <v>30 km</v>
          </cell>
          <cell r="R67">
            <v>3</v>
          </cell>
          <cell r="S67"/>
          <cell r="T67" t="str">
            <v>854449 2000</v>
          </cell>
          <cell r="U67">
            <v>0</v>
          </cell>
          <cell r="V67">
            <v>60</v>
          </cell>
          <cell r="W67">
            <v>14</v>
          </cell>
          <cell r="X67">
            <v>14</v>
          </cell>
          <cell r="Y67" t="str">
            <v>T/T 30 days</v>
          </cell>
          <cell r="Z67">
            <v>991.96319018404904</v>
          </cell>
          <cell r="AA67">
            <v>867.95105441291332</v>
          </cell>
          <cell r="AB67">
            <v>7.0000000000000007E-2</v>
          </cell>
          <cell r="AC67">
            <v>7.0000000000000007E-2</v>
          </cell>
          <cell r="AD67">
            <v>0.16500000000000001</v>
          </cell>
          <cell r="AE67" t="str">
            <v>C</v>
          </cell>
          <cell r="AF67">
            <v>867.95105441291332</v>
          </cell>
          <cell r="AG67">
            <v>0.16500000000000004</v>
          </cell>
          <cell r="AH67" t="e">
            <v>#N/A</v>
          </cell>
          <cell r="AI67">
            <v>869.30107526881727</v>
          </cell>
          <cell r="AJ67">
            <v>779.28938756428249</v>
          </cell>
          <cell r="AK67">
            <v>0.12365591397849451</v>
          </cell>
          <cell r="AL67">
            <v>0.10215053763440851</v>
          </cell>
          <cell r="AM67"/>
          <cell r="AN67" t="str">
            <v>KK</v>
          </cell>
          <cell r="AO67"/>
          <cell r="AP67"/>
          <cell r="AQ67">
            <v>437</v>
          </cell>
          <cell r="AR67"/>
          <cell r="AS67"/>
          <cell r="AT67"/>
          <cell r="AU67">
            <v>703</v>
          </cell>
          <cell r="AV67">
            <v>724.73913043478262</v>
          </cell>
          <cell r="AW67"/>
          <cell r="AX67" t="str">
            <v>854449 1100</v>
          </cell>
          <cell r="AZ67">
            <v>2893.170181376378</v>
          </cell>
          <cell r="BA67">
            <v>1735.9021088258266</v>
          </cell>
          <cell r="BB67">
            <v>1446.585090688189</v>
          </cell>
          <cell r="BC67">
            <v>1157.2680725505513</v>
          </cell>
          <cell r="BE67">
            <v>601.95105441291332</v>
          </cell>
          <cell r="BF67">
            <v>867.95105441291332</v>
          </cell>
          <cell r="BG67">
            <v>924.95105441291332</v>
          </cell>
          <cell r="BH67">
            <v>981.95105441291332</v>
          </cell>
          <cell r="BK67">
            <v>677.51319018404911</v>
          </cell>
        </row>
        <row r="68">
          <cell r="I68" t="str">
            <v>KCSF6A4PZHDBL5</v>
          </cell>
          <cell r="J68" t="str">
            <v>U0103009</v>
          </cell>
          <cell r="K68" t="str">
            <v>CAT6A CABLE S/FTP 4 PAIRS AWG23 TESTED UP TO 650MHz LSZH CPR DCA BLUE RAL5024 500M</v>
          </cell>
          <cell r="L68" t="str">
            <v>CÂBLE CAT6A S/FTP 4 PAIRES AWG23 TEST A 650MHz LSZH CPR DCA BLEU RAL5024 500M</v>
          </cell>
          <cell r="M68" t="str">
            <v>Dca</v>
          </cell>
          <cell r="N68" t="str">
            <v>China</v>
          </cell>
          <cell r="O68">
            <v>21</v>
          </cell>
          <cell r="P68" t="str">
            <v>500m drum</v>
          </cell>
          <cell r="Q68" t="str">
            <v>30 km</v>
          </cell>
          <cell r="R68">
            <v>9</v>
          </cell>
          <cell r="S68" t="str">
            <v>4897108882715</v>
          </cell>
          <cell r="T68" t="str">
            <v>854449 1100</v>
          </cell>
          <cell r="U68">
            <v>0</v>
          </cell>
          <cell r="V68">
            <v>45</v>
          </cell>
          <cell r="W68">
            <v>45</v>
          </cell>
          <cell r="X68">
            <v>55</v>
          </cell>
          <cell r="Y68" t="str">
            <v>T/T 60 days</v>
          </cell>
          <cell r="Z68">
            <v>499.29561289334663</v>
          </cell>
          <cell r="AA68">
            <v>437.36445230990194</v>
          </cell>
          <cell r="AB68">
            <v>0.09</v>
          </cell>
          <cell r="AC68">
            <v>0.09</v>
          </cell>
          <cell r="AD68">
            <v>0.24</v>
          </cell>
          <cell r="AE68" t="str">
            <v>C</v>
          </cell>
          <cell r="AF68">
            <v>437.36445230990194</v>
          </cell>
          <cell r="AG68">
            <v>0.24</v>
          </cell>
          <cell r="AH68" t="e">
            <v>#N/A</v>
          </cell>
          <cell r="AI68">
            <v>406.02060828689724</v>
          </cell>
          <cell r="AJ68">
            <v>365.27141072035766</v>
          </cell>
          <cell r="AK68">
            <v>0.18681318681318682</v>
          </cell>
          <cell r="AL68">
            <v>0.1648351648351648</v>
          </cell>
          <cell r="AM68"/>
          <cell r="AN68" t="str">
            <v>HT</v>
          </cell>
          <cell r="AO68">
            <v>20.41</v>
          </cell>
          <cell r="AP68">
            <v>2399.42</v>
          </cell>
          <cell r="AQ68"/>
          <cell r="AR68">
            <v>5</v>
          </cell>
          <cell r="AS68">
            <v>2603.52</v>
          </cell>
          <cell r="AT68">
            <v>2608.52</v>
          </cell>
          <cell r="AU68">
            <v>369.47875354107651</v>
          </cell>
          <cell r="AV68">
            <v>332.39698375552547</v>
          </cell>
          <cell r="AW68"/>
          <cell r="AX68" t="str">
            <v>854449 1100</v>
          </cell>
          <cell r="AZ68">
            <v>1457.8815076996732</v>
          </cell>
          <cell r="BA68">
            <v>874.72890461980387</v>
          </cell>
          <cell r="BB68">
            <v>728.9407538498366</v>
          </cell>
          <cell r="BC68">
            <v>583.15260307986932</v>
          </cell>
          <cell r="BE68">
            <v>290.36445230990194</v>
          </cell>
          <cell r="BF68">
            <v>437.36445230990194</v>
          </cell>
          <cell r="BG68">
            <v>468.86445230990194</v>
          </cell>
          <cell r="BH68">
            <v>500.36445230990194</v>
          </cell>
          <cell r="BK68">
            <v>325.52061289334665</v>
          </cell>
        </row>
        <row r="69">
          <cell r="I69" t="str">
            <v>KCSF6A4PZHCBL5</v>
          </cell>
          <cell r="J69" t="str">
            <v>U0103008</v>
          </cell>
          <cell r="K69" t="str">
            <v>CAT6A CABLE S/FTP 4 PAIRS AWG23 TESTED UP TO 650MHz LSZH CPR CCA BLUE RAL5024 500M</v>
          </cell>
          <cell r="L69" t="str">
            <v>CÂBLE CAT6A S/FTP 4 PAIRES AWG23 TEST A 650MHz LSZH CPR CCA BLEU RAL5024 500M</v>
          </cell>
          <cell r="M69" t="str">
            <v>Cca</v>
          </cell>
          <cell r="N69" t="str">
            <v>China</v>
          </cell>
          <cell r="O69">
            <v>21</v>
          </cell>
          <cell r="P69" t="str">
            <v>500m drum</v>
          </cell>
          <cell r="Q69" t="str">
            <v>30 km</v>
          </cell>
          <cell r="R69">
            <v>9</v>
          </cell>
          <cell r="S69"/>
          <cell r="T69" t="str">
            <v>854449 1100</v>
          </cell>
          <cell r="U69">
            <v>0</v>
          </cell>
          <cell r="V69">
            <v>45</v>
          </cell>
          <cell r="W69">
            <v>45</v>
          </cell>
          <cell r="X69">
            <v>55</v>
          </cell>
          <cell r="Y69" t="str">
            <v>T/T 60 days</v>
          </cell>
          <cell r="Z69">
            <v>529.10227605743876</v>
          </cell>
          <cell r="AA69">
            <v>462.65179798006523</v>
          </cell>
          <cell r="AB69">
            <v>0.09</v>
          </cell>
          <cell r="AC69">
            <v>0.09</v>
          </cell>
          <cell r="AD69">
            <v>0.255</v>
          </cell>
          <cell r="AE69" t="str">
            <v>C</v>
          </cell>
          <cell r="AF69">
            <v>462.65179798006523</v>
          </cell>
          <cell r="AG69">
            <v>0.255</v>
          </cell>
          <cell r="AH69">
            <v>458.79</v>
          </cell>
          <cell r="AI69">
            <v>421.53752762817919</v>
          </cell>
          <cell r="AJ69">
            <v>378.76438406060282</v>
          </cell>
          <cell r="AK69">
            <v>0.20329670329670335</v>
          </cell>
          <cell r="AL69">
            <v>0.18131868131868134</v>
          </cell>
          <cell r="AM69"/>
          <cell r="AN69" t="str">
            <v>HT</v>
          </cell>
          <cell r="AO69">
            <v>20.350000000000001</v>
          </cell>
          <cell r="AP69">
            <v>2499.71</v>
          </cell>
          <cell r="AQ69"/>
          <cell r="AR69">
            <v>5</v>
          </cell>
          <cell r="AS69">
            <v>2703.21</v>
          </cell>
          <cell r="AT69">
            <v>2708.21</v>
          </cell>
          <cell r="AU69">
            <v>383.59915014164307</v>
          </cell>
          <cell r="AV69">
            <v>344.67558949514859</v>
          </cell>
          <cell r="AW69"/>
          <cell r="AX69" t="str">
            <v>854449 1100</v>
          </cell>
          <cell r="AZ69">
            <v>1542.1726599335509</v>
          </cell>
          <cell r="BA69">
            <v>925.30359596013045</v>
          </cell>
          <cell r="BB69">
            <v>771.08632996677545</v>
          </cell>
          <cell r="BC69">
            <v>616.86906397342045</v>
          </cell>
          <cell r="BE69">
            <v>315.65179798006523</v>
          </cell>
          <cell r="BF69">
            <v>462.65179798006523</v>
          </cell>
          <cell r="BG69">
            <v>494.15179798006523</v>
          </cell>
          <cell r="BH69">
            <v>525.65179798006523</v>
          </cell>
          <cell r="BK69">
            <v>355.32727605743878</v>
          </cell>
        </row>
        <row r="70">
          <cell r="I70" t="str">
            <v>KCSF6A8PZHCBL5</v>
          </cell>
          <cell r="J70" t="str">
            <v>U0103021</v>
          </cell>
          <cell r="K70" t="str">
            <v>CAT6A CABLE S/FTP 2x4 PAIRS AWG23 TESTED UP TO 650MHz LSZH CPR CCA BLUE RAL5024 500M</v>
          </cell>
          <cell r="L70" t="str">
            <v>CÂBLE CAT6A S/FTP 2x4 PAIRES AWG23 TEST A 650MHz LSZH CPR CCA BLEU RAL5024 500M</v>
          </cell>
          <cell r="M70" t="str">
            <v>Cca</v>
          </cell>
          <cell r="N70" t="str">
            <v>China</v>
          </cell>
          <cell r="O70">
            <v>42</v>
          </cell>
          <cell r="P70" t="str">
            <v>500m drum</v>
          </cell>
          <cell r="Q70" t="str">
            <v>30 km</v>
          </cell>
          <cell r="R70">
            <v>9</v>
          </cell>
          <cell r="S70"/>
          <cell r="T70" t="str">
            <v>854449 1100</v>
          </cell>
          <cell r="U70">
            <v>0</v>
          </cell>
          <cell r="V70">
            <v>45</v>
          </cell>
          <cell r="W70">
            <v>45</v>
          </cell>
          <cell r="X70">
            <v>55</v>
          </cell>
          <cell r="Y70" t="str">
            <v>T/T 60 days</v>
          </cell>
          <cell r="Z70">
            <v>1089.2148320518008</v>
          </cell>
          <cell r="AA70">
            <v>936.2658939783073</v>
          </cell>
          <cell r="AB70">
            <v>0.09</v>
          </cell>
          <cell r="AC70">
            <v>0.09</v>
          </cell>
          <cell r="AD70">
            <v>0.28000000000000003</v>
          </cell>
          <cell r="AE70" t="str">
            <v>C</v>
          </cell>
          <cell r="AF70">
            <v>936.2658939783073</v>
          </cell>
          <cell r="AG70">
            <v>0.28000000000000003</v>
          </cell>
          <cell r="AH70">
            <v>928.33</v>
          </cell>
          <cell r="AI70">
            <v>837.85756311676982</v>
          </cell>
          <cell r="AJ70">
            <v>740.78180622459467</v>
          </cell>
          <cell r="AK70">
            <v>0.23076923076923084</v>
          </cell>
          <cell r="AL70">
            <v>0.20879120879120894</v>
          </cell>
          <cell r="AM70"/>
          <cell r="AN70" t="str">
            <v>HT</v>
          </cell>
          <cell r="AO70">
            <v>20.350000000000001</v>
          </cell>
          <cell r="AP70">
            <v>5174.3996999999999</v>
          </cell>
          <cell r="AQ70"/>
          <cell r="AR70">
            <v>5</v>
          </cell>
          <cell r="AS70">
            <v>5377.8996999999999</v>
          </cell>
          <cell r="AT70">
            <v>5382.8996999999999</v>
          </cell>
          <cell r="AU70">
            <v>762.45038243626061</v>
          </cell>
          <cell r="AV70">
            <v>674.11144366438123</v>
          </cell>
          <cell r="AW70"/>
          <cell r="AX70" t="str">
            <v>854449 1100</v>
          </cell>
          <cell r="AZ70">
            <v>3120.8863132610245</v>
          </cell>
          <cell r="BA70">
            <v>1872.5317879566146</v>
          </cell>
          <cell r="BB70">
            <v>1560.4431566305122</v>
          </cell>
          <cell r="BC70">
            <v>1248.3545253044099</v>
          </cell>
          <cell r="BE70">
            <v>642.2658939783073</v>
          </cell>
          <cell r="BF70">
            <v>936.2658939783073</v>
          </cell>
          <cell r="BG70">
            <v>999.2658939783073</v>
          </cell>
          <cell r="BH70">
            <v>1062.2658939783073</v>
          </cell>
          <cell r="BK70">
            <v>741.66483205180089</v>
          </cell>
        </row>
        <row r="71">
          <cell r="I71" t="str">
            <v>KCSF6A4PZHCBL5</v>
          </cell>
          <cell r="J71" t="str">
            <v>U0103008</v>
          </cell>
          <cell r="K71" t="str">
            <v>CAT6A CABLE S/FTP 4 PAIRS AWG23 TESTED UP TO 650MHz LSZH CPR CCA BLUE RAL5024 500M</v>
          </cell>
          <cell r="L71" t="str">
            <v>CÂBLE CAT6A S/FTP 4 PAIRES AWG23 TEST A 650MHz LSZH CPR CCA BLEU RAL5024 500M</v>
          </cell>
          <cell r="M71" t="str">
            <v>Cca</v>
          </cell>
          <cell r="N71" t="str">
            <v>Turkey</v>
          </cell>
          <cell r="O71">
            <v>23</v>
          </cell>
          <cell r="P71" t="str">
            <v>500m drum</v>
          </cell>
          <cell r="Q71" t="str">
            <v>30 km</v>
          </cell>
          <cell r="R71">
            <v>9</v>
          </cell>
          <cell r="S71"/>
          <cell r="T71" t="str">
            <v>854449 2000</v>
          </cell>
          <cell r="U71">
            <v>0</v>
          </cell>
          <cell r="V71">
            <v>60</v>
          </cell>
          <cell r="W71">
            <v>14</v>
          </cell>
          <cell r="X71">
            <v>14</v>
          </cell>
          <cell r="Y71" t="str">
            <v>T/T 30 days</v>
          </cell>
          <cell r="Z71">
            <v>558.78205128205116</v>
          </cell>
          <cell r="AA71">
            <v>482.80797101449269</v>
          </cell>
          <cell r="AB71">
            <v>7.0000000000000007E-2</v>
          </cell>
          <cell r="AC71">
            <v>7.0000000000000007E-2</v>
          </cell>
          <cell r="AD71">
            <v>0.2</v>
          </cell>
          <cell r="AE71" t="str">
            <v>C</v>
          </cell>
          <cell r="AF71">
            <v>482.80797101449269</v>
          </cell>
          <cell r="AG71">
            <v>0.19999999999999996</v>
          </cell>
          <cell r="AH71">
            <v>458.79</v>
          </cell>
          <cell r="AI71">
            <v>468.65591397849465</v>
          </cell>
          <cell r="AJ71">
            <v>415.31868474364967</v>
          </cell>
          <cell r="AK71">
            <v>0.16129032258064491</v>
          </cell>
          <cell r="AL71">
            <v>0.13978494623655902</v>
          </cell>
          <cell r="AM71"/>
          <cell r="AN71" t="str">
            <v>KK</v>
          </cell>
          <cell r="AO71"/>
          <cell r="AP71"/>
          <cell r="AQ71">
            <v>218</v>
          </cell>
          <cell r="AR71"/>
          <cell r="AS71"/>
          <cell r="AT71"/>
          <cell r="AU71">
            <v>379</v>
          </cell>
          <cell r="AV71">
            <v>386.24637681159419</v>
          </cell>
          <cell r="AW71"/>
          <cell r="AX71" t="str">
            <v>854449 1100</v>
          </cell>
          <cell r="AZ71">
            <v>1609.3599033816424</v>
          </cell>
          <cell r="BA71">
            <v>965.61594202898539</v>
          </cell>
          <cell r="BB71">
            <v>804.67995169082121</v>
          </cell>
          <cell r="BC71">
            <v>643.74396135265704</v>
          </cell>
          <cell r="BE71">
            <v>321.80797101449269</v>
          </cell>
          <cell r="BF71">
            <v>482.80797101449269</v>
          </cell>
          <cell r="BG71">
            <v>517.30797101449275</v>
          </cell>
          <cell r="BH71">
            <v>551.80797101449275</v>
          </cell>
          <cell r="BK71">
            <v>368.45705128205111</v>
          </cell>
        </row>
        <row r="72">
          <cell r="I72" t="str">
            <v>KCSF6A8PZHCBL5</v>
          </cell>
          <cell r="J72" t="str">
            <v>U0103021</v>
          </cell>
          <cell r="K72" t="str">
            <v>CAT6A CABLE S/FTP 2x4 PAIRS AWG23 TESTED UP TO 650MHz LSZH CPR CCA BLUE RAL5024 500M</v>
          </cell>
          <cell r="L72" t="str">
            <v>CÂBLE CAT6A S/FTP 2x4 PAIRES AWG23 TEST A 650MHz LSZH CPR CCA BLEU RAL5024 500M</v>
          </cell>
          <cell r="M72" t="str">
            <v>Cca</v>
          </cell>
          <cell r="N72" t="str">
            <v>Turkey</v>
          </cell>
          <cell r="O72">
            <v>46</v>
          </cell>
          <cell r="P72" t="str">
            <v>500m drum</v>
          </cell>
          <cell r="Q72" t="str">
            <v>30 km</v>
          </cell>
          <cell r="R72">
            <v>9</v>
          </cell>
          <cell r="S72"/>
          <cell r="T72" t="str">
            <v>854449 2000</v>
          </cell>
          <cell r="U72">
            <v>0</v>
          </cell>
          <cell r="V72">
            <v>60</v>
          </cell>
          <cell r="W72">
            <v>14</v>
          </cell>
          <cell r="X72">
            <v>14</v>
          </cell>
          <cell r="Y72" t="str">
            <v>T/T 30 days</v>
          </cell>
          <cell r="Z72">
            <v>1148.5161290322578</v>
          </cell>
          <cell r="AA72">
            <v>982.69984504603042</v>
          </cell>
          <cell r="AB72">
            <v>7.0000000000000007E-2</v>
          </cell>
          <cell r="AC72">
            <v>7.0000000000000007E-2</v>
          </cell>
          <cell r="AD72">
            <v>0.20499999999999999</v>
          </cell>
          <cell r="AE72" t="str">
            <v>C</v>
          </cell>
          <cell r="AF72">
            <v>982.69984504603042</v>
          </cell>
          <cell r="AG72">
            <v>0.20499999999999996</v>
          </cell>
          <cell r="AH72">
            <v>928.33</v>
          </cell>
          <cell r="AI72">
            <v>957.09677419354841</v>
          </cell>
          <cell r="AJ72">
            <v>840.04986753934872</v>
          </cell>
          <cell r="AK72">
            <v>0.16666666666666652</v>
          </cell>
          <cell r="AL72">
            <v>0.14516129032258052</v>
          </cell>
          <cell r="AM72"/>
          <cell r="AN72" t="str">
            <v>KK</v>
          </cell>
          <cell r="AO72"/>
          <cell r="AP72"/>
          <cell r="AQ72">
            <v>452</v>
          </cell>
          <cell r="AR72"/>
          <cell r="AS72"/>
          <cell r="AT72"/>
          <cell r="AU72">
            <v>774</v>
          </cell>
          <cell r="AV72">
            <v>781.24637681159425</v>
          </cell>
          <cell r="AW72"/>
          <cell r="AX72" t="str">
            <v>854449 1100</v>
          </cell>
          <cell r="AZ72">
            <v>3275.666150153435</v>
          </cell>
          <cell r="BA72">
            <v>1965.3996900920608</v>
          </cell>
          <cell r="BB72">
            <v>1637.8330750767175</v>
          </cell>
          <cell r="BC72">
            <v>1310.2664600613741</v>
          </cell>
          <cell r="BE72">
            <v>660.69984504603042</v>
          </cell>
          <cell r="BF72">
            <v>982.69984504603042</v>
          </cell>
          <cell r="BG72">
            <v>1051.6998450460305</v>
          </cell>
          <cell r="BH72">
            <v>1120.6998450460305</v>
          </cell>
          <cell r="BK72">
            <v>767.86612903225773</v>
          </cell>
        </row>
        <row r="73">
          <cell r="I73" t="str">
            <v>KCSF6A4PZHCOUT5</v>
          </cell>
          <cell r="J73" t="str">
            <v/>
          </cell>
          <cell r="K73" t="str">
            <v>CAT6A CABLE S/FTP 4 PAIRS AWG23 TESTED UP TO 650MHz LSZH CPR CCA INDOOR/OUTDOOR BLACK RAL9005 500M</v>
          </cell>
          <cell r="L73" t="str">
            <v>CÂBLE CAT6A S/FTP 4 PAIRES AWG23 TEST A 650MHz LSZH CPR CCA INTÉRIEUR/EXTÉRIEUR NOIR RAL9005 500M</v>
          </cell>
          <cell r="M73" t="str">
            <v>Cca</v>
          </cell>
          <cell r="N73" t="str">
            <v>China</v>
          </cell>
          <cell r="O73">
            <v>21</v>
          </cell>
          <cell r="P73" t="str">
            <v>500m drum</v>
          </cell>
          <cell r="Q73" t="str">
            <v>30 km</v>
          </cell>
          <cell r="R73">
            <v>9</v>
          </cell>
          <cell r="S73"/>
          <cell r="T73" t="str">
            <v>854449 1100</v>
          </cell>
          <cell r="U73">
            <v>0</v>
          </cell>
          <cell r="V73">
            <v>45</v>
          </cell>
          <cell r="W73">
            <v>45</v>
          </cell>
          <cell r="X73">
            <v>55</v>
          </cell>
          <cell r="Y73" t="str">
            <v>T/T 60 days</v>
          </cell>
          <cell r="Z73">
            <v>575.37789535077502</v>
          </cell>
          <cell r="AA73">
            <v>501.90651753578237</v>
          </cell>
          <cell r="AB73">
            <v>0.09</v>
          </cell>
          <cell r="AC73">
            <v>0.09</v>
          </cell>
          <cell r="AD73">
            <v>0.3</v>
          </cell>
          <cell r="AE73" t="str">
            <v>C</v>
          </cell>
          <cell r="AF73">
            <v>501.90651753578237</v>
          </cell>
          <cell r="AG73">
            <v>0.30000000000000004</v>
          </cell>
          <cell r="AH73">
            <v>497.72</v>
          </cell>
          <cell r="AI73">
            <v>429.95271300937031</v>
          </cell>
          <cell r="AJ73">
            <v>386.08193656598638</v>
          </cell>
          <cell r="AK73">
            <v>0.25274725274725285</v>
          </cell>
          <cell r="AL73">
            <v>0.23076923076923084</v>
          </cell>
          <cell r="AM73"/>
          <cell r="AN73" t="str">
            <v>HT</v>
          </cell>
          <cell r="AO73">
            <v>20.757000000000001</v>
          </cell>
          <cell r="AP73">
            <v>2549.7042000000001</v>
          </cell>
          <cell r="AQ73"/>
          <cell r="AR73">
            <v>5</v>
          </cell>
          <cell r="AS73">
            <v>2757.2742000000003</v>
          </cell>
          <cell r="AT73">
            <v>2762.2742000000003</v>
          </cell>
          <cell r="AU73">
            <v>391.25696883852697</v>
          </cell>
          <cell r="AV73">
            <v>351.33456227504763</v>
          </cell>
          <cell r="AW73"/>
          <cell r="AX73" t="str">
            <v>854449 1100</v>
          </cell>
          <cell r="AZ73">
            <v>1673.0217251192746</v>
          </cell>
          <cell r="BA73">
            <v>1003.8130350715647</v>
          </cell>
          <cell r="BB73">
            <v>836.5108625596373</v>
          </cell>
          <cell r="BC73">
            <v>669.20869004770987</v>
          </cell>
          <cell r="BE73">
            <v>354.90651753578237</v>
          </cell>
          <cell r="BF73">
            <v>501.90651753578237</v>
          </cell>
          <cell r="BG73">
            <v>533.40651753578231</v>
          </cell>
          <cell r="BH73">
            <v>564.90651753578231</v>
          </cell>
          <cell r="BK73">
            <v>401.60289535077504</v>
          </cell>
        </row>
        <row r="74">
          <cell r="I74" t="str">
            <v>KCSF6A4PZHMCB2R5</v>
          </cell>
          <cell r="J74" t="str">
            <v/>
          </cell>
          <cell r="K74" t="str">
            <v>CAT6A CABLE S/FTP 4 PAIRS AWG23 TESTED UP TO 650MHz LSZH CPR B2CA PH120 RED RAL 3018 500M</v>
          </cell>
          <cell r="L74" t="str">
            <v>CÂBLE CAT6A S/FTP 4 PAIRES AWG23 TEST A 650MHz LSZH CPR B2CA PH120 ROUGE RAL 3018 500M</v>
          </cell>
          <cell r="M74" t="str">
            <v>B2ca</v>
          </cell>
          <cell r="N74" t="str">
            <v>China</v>
          </cell>
          <cell r="O74">
            <v>35.119999999999997</v>
          </cell>
          <cell r="P74" t="str">
            <v>500m drum</v>
          </cell>
          <cell r="Q74" t="str">
            <v>10 km</v>
          </cell>
          <cell r="R74">
            <v>6</v>
          </cell>
          <cell r="S74"/>
          <cell r="T74" t="str">
            <v>854449 1100</v>
          </cell>
          <cell r="U74">
            <v>0</v>
          </cell>
          <cell r="V74">
            <v>45</v>
          </cell>
          <cell r="W74">
            <v>45</v>
          </cell>
          <cell r="X74">
            <v>55</v>
          </cell>
          <cell r="Y74" t="str">
            <v>T/T 60 days</v>
          </cell>
          <cell r="Z74">
            <v>2138.166555574071</v>
          </cell>
          <cell r="AA74">
            <v>1829.9626390770625</v>
          </cell>
          <cell r="AB74">
            <v>0.09</v>
          </cell>
          <cell r="AC74">
            <v>0.09</v>
          </cell>
          <cell r="AD74">
            <v>0.3</v>
          </cell>
          <cell r="AE74" t="str">
            <v>C</v>
          </cell>
          <cell r="AF74">
            <v>1829.9626390770625</v>
          </cell>
          <cell r="AG74">
            <v>0.30000000000000004</v>
          </cell>
          <cell r="AH74">
            <v>1814.39</v>
          </cell>
          <cell r="AI74">
            <v>1597.7508327366684</v>
          </cell>
          <cell r="AJ74">
            <v>1407.6635685208173</v>
          </cell>
          <cell r="AK74">
            <v>0.25274725274725274</v>
          </cell>
          <cell r="AL74">
            <v>0.23076923076923073</v>
          </cell>
          <cell r="AM74"/>
          <cell r="AN74" t="str">
            <v>ZD</v>
          </cell>
          <cell r="AO74">
            <v>37.409999999999997</v>
          </cell>
          <cell r="AP74">
            <v>9885.81</v>
          </cell>
          <cell r="AQ74"/>
          <cell r="AR74">
            <v>5</v>
          </cell>
          <cell r="AS74">
            <v>10259.91</v>
          </cell>
          <cell r="AT74">
            <v>10264.91</v>
          </cell>
          <cell r="AU74">
            <v>1453.9532577903683</v>
          </cell>
          <cell r="AV74">
            <v>1280.9738473539437</v>
          </cell>
          <cell r="AW74" t="str">
            <v>IEC60331-2</v>
          </cell>
          <cell r="AX74" t="str">
            <v>854449 1100</v>
          </cell>
          <cell r="AZ74">
            <v>6099.8754635902087</v>
          </cell>
          <cell r="BA74">
            <v>3659.925278154125</v>
          </cell>
          <cell r="BB74">
            <v>3049.9377317951044</v>
          </cell>
          <cell r="BC74">
            <v>2439.9501854360838</v>
          </cell>
          <cell r="BE74">
            <v>1584.1226390770626</v>
          </cell>
          <cell r="BF74">
            <v>1829.9626390770625</v>
          </cell>
          <cell r="BG74">
            <v>1882.6426390770625</v>
          </cell>
          <cell r="BH74">
            <v>1935.3226390770626</v>
          </cell>
          <cell r="BK74">
            <v>1847.5485555740711</v>
          </cell>
        </row>
        <row r="75">
          <cell r="I75" t="str">
            <v>KCSF74PZHDOR5</v>
          </cell>
          <cell r="J75" t="str">
            <v>U0104006</v>
          </cell>
          <cell r="K75" t="str">
            <v>CAT7 CABLE S/FTP 4 PAIRS AWG23 TEST UP TO 900MHz LSZH CPR DCA ORANGE RAL2003 500M</v>
          </cell>
          <cell r="L75" t="str">
            <v>CÂBLE CAT7 S/FTP 4 PAIRES AWG23 TEST A 900MHz LSZH CPR DCA ORANGE RAL2003 500M</v>
          </cell>
          <cell r="M75" t="str">
            <v>Dca</v>
          </cell>
          <cell r="N75" t="str">
            <v>China</v>
          </cell>
          <cell r="O75">
            <v>21</v>
          </cell>
          <cell r="P75" t="str">
            <v>500m drum</v>
          </cell>
          <cell r="Q75" t="str">
            <v>30 km</v>
          </cell>
          <cell r="R75">
            <v>8</v>
          </cell>
          <cell r="S75" t="str">
            <v>4897108881787</v>
          </cell>
          <cell r="T75" t="str">
            <v>854449 1100</v>
          </cell>
          <cell r="U75">
            <v>0</v>
          </cell>
          <cell r="V75">
            <v>45</v>
          </cell>
          <cell r="W75">
            <v>45</v>
          </cell>
          <cell r="X75">
            <v>55</v>
          </cell>
          <cell r="Y75" t="str">
            <v>T/T 60 days</v>
          </cell>
          <cell r="Z75">
            <v>502.6742209631729</v>
          </cell>
          <cell r="AA75">
            <v>441.98832944368121</v>
          </cell>
          <cell r="AB75">
            <v>0.09</v>
          </cell>
          <cell r="AC75">
            <v>0.09</v>
          </cell>
          <cell r="AD75">
            <v>0.23</v>
          </cell>
          <cell r="AE75" t="str">
            <v>C</v>
          </cell>
          <cell r="AF75">
            <v>441.98832944368121</v>
          </cell>
          <cell r="AG75">
            <v>0.22999999999999998</v>
          </cell>
          <cell r="AH75" t="e">
            <v>#N/A</v>
          </cell>
          <cell r="AI75">
            <v>414.29194035426337</v>
          </cell>
          <cell r="AJ75">
            <v>373.99012491388407</v>
          </cell>
          <cell r="AK75">
            <v>0.17582417582417587</v>
          </cell>
          <cell r="AL75">
            <v>0.15384615384615385</v>
          </cell>
          <cell r="AM75"/>
          <cell r="AN75" t="str">
            <v>HT</v>
          </cell>
          <cell r="AO75">
            <v>20.54</v>
          </cell>
          <cell r="AP75">
            <v>2451.2600000000002</v>
          </cell>
          <cell r="AQ75"/>
          <cell r="AR75">
            <v>5</v>
          </cell>
          <cell r="AS75">
            <v>2656.6600000000003</v>
          </cell>
          <cell r="AT75">
            <v>2661.6600000000003</v>
          </cell>
          <cell r="AU75">
            <v>377.00566572237966</v>
          </cell>
          <cell r="AV75">
            <v>340.33101367163454</v>
          </cell>
          <cell r="AW75"/>
          <cell r="AX75" t="str">
            <v>854449 1100</v>
          </cell>
          <cell r="AZ75">
            <v>1473.2944314789374</v>
          </cell>
          <cell r="BA75">
            <v>883.97665888736242</v>
          </cell>
          <cell r="BB75">
            <v>736.64721573946872</v>
          </cell>
          <cell r="BC75">
            <v>589.31777259157502</v>
          </cell>
          <cell r="BE75">
            <v>294.98832944368121</v>
          </cell>
          <cell r="BF75">
            <v>441.98832944368121</v>
          </cell>
          <cell r="BG75">
            <v>473.48832944368121</v>
          </cell>
          <cell r="BH75">
            <v>504.98832944368121</v>
          </cell>
          <cell r="BK75">
            <v>328.89922096317287</v>
          </cell>
        </row>
        <row r="76">
          <cell r="I76" t="str">
            <v>KCSF78PZHDOR5</v>
          </cell>
          <cell r="J76" t="str">
            <v>U0104008</v>
          </cell>
          <cell r="K76" t="str">
            <v>CAT7 CABLE S/FTP 2x4 PAIRS AWG23 TEST UP TO 900MHz LSZH CPR DCA ORANGE RAL2003 500M</v>
          </cell>
          <cell r="L76" t="str">
            <v>CÂBLE CAT7 S/FTP 2x4 PAIRES AWG23 TEST A 900MHz LSZH CPR DCA ORANGE RAL2003 500M</v>
          </cell>
          <cell r="M76" t="str">
            <v>Dca</v>
          </cell>
          <cell r="N76" t="str">
            <v>China</v>
          </cell>
          <cell r="O76">
            <v>42</v>
          </cell>
          <cell r="P76" t="str">
            <v>500m drum</v>
          </cell>
          <cell r="Q76" t="str">
            <v>30 km</v>
          </cell>
          <cell r="R76">
            <v>4</v>
          </cell>
          <cell r="S76" t="str">
            <v>4897108881794</v>
          </cell>
          <cell r="T76" t="str">
            <v>854449 1100</v>
          </cell>
          <cell r="U76">
            <v>0</v>
          </cell>
          <cell r="V76">
            <v>45</v>
          </cell>
          <cell r="W76">
            <v>45</v>
          </cell>
          <cell r="X76">
            <v>55</v>
          </cell>
          <cell r="Y76" t="str">
            <v>T/T 60 days</v>
          </cell>
          <cell r="Z76">
            <v>1025.7958103473982</v>
          </cell>
          <cell r="AA76">
            <v>901.17593741808537</v>
          </cell>
          <cell r="AB76">
            <v>0.09</v>
          </cell>
          <cell r="AC76">
            <v>0.09</v>
          </cell>
          <cell r="AD76">
            <v>0.22</v>
          </cell>
          <cell r="AE76" t="str">
            <v>C</v>
          </cell>
          <cell r="AF76">
            <v>901.17593741808537</v>
          </cell>
          <cell r="AG76">
            <v>0.21999999999999997</v>
          </cell>
          <cell r="AH76" t="e">
            <v>#N/A</v>
          </cell>
          <cell r="AI76">
            <v>856.70858886156327</v>
          </cell>
          <cell r="AJ76">
            <v>772.43651778693038</v>
          </cell>
          <cell r="AK76">
            <v>0.16483516483516492</v>
          </cell>
          <cell r="AL76">
            <v>0.14285714285714279</v>
          </cell>
          <cell r="AM76"/>
          <cell r="AN76" t="str">
            <v>HT</v>
          </cell>
          <cell r="AO76">
            <v>42.49</v>
          </cell>
          <cell r="AP76">
            <v>5074.1099999999997</v>
          </cell>
          <cell r="AQ76"/>
          <cell r="AR76">
            <v>5</v>
          </cell>
          <cell r="AS76">
            <v>5499.0099999999993</v>
          </cell>
          <cell r="AT76">
            <v>5504.0099999999993</v>
          </cell>
          <cell r="AU76">
            <v>779.60481586402261</v>
          </cell>
          <cell r="AV76">
            <v>702.91723118610662</v>
          </cell>
          <cell r="AW76"/>
          <cell r="AX76" t="str">
            <v>854449 1100</v>
          </cell>
          <cell r="AZ76">
            <v>3003.9197913936182</v>
          </cell>
          <cell r="BA76">
            <v>1802.351874836171</v>
          </cell>
          <cell r="BB76">
            <v>1501.9598956968091</v>
          </cell>
          <cell r="BC76">
            <v>1201.5679165574472</v>
          </cell>
          <cell r="BE76">
            <v>607.17593741808537</v>
          </cell>
          <cell r="BF76">
            <v>901.17593741808537</v>
          </cell>
          <cell r="BG76">
            <v>964.17593741808537</v>
          </cell>
          <cell r="BH76">
            <v>1027.1759374180854</v>
          </cell>
          <cell r="BK76">
            <v>678.24581034739822</v>
          </cell>
        </row>
        <row r="77">
          <cell r="I77" t="str">
            <v>KCSF74PZHCOR5</v>
          </cell>
          <cell r="J77" t="str">
            <v>U0104004</v>
          </cell>
          <cell r="K77" t="str">
            <v>CAT7 CABLE S/FTP 4 PAIRS AWG23 TEST UP TO 900MHz LSZH CPR CCA ORANGE RAL2003 500M</v>
          </cell>
          <cell r="L77" t="str">
            <v>CÂBLE CAT7 S/FTP 4 PAIRES AWG23 TEST A 900MHz LSZH CPR CCA ORANGE RAL2003 500M</v>
          </cell>
          <cell r="M77" t="str">
            <v>Cca</v>
          </cell>
          <cell r="N77" t="str">
            <v>China</v>
          </cell>
          <cell r="O77">
            <v>21</v>
          </cell>
          <cell r="P77" t="str">
            <v>500m drum</v>
          </cell>
          <cell r="Q77" t="str">
            <v>30 km</v>
          </cell>
          <cell r="R77">
            <v>6</v>
          </cell>
          <cell r="S77" t="str">
            <v>4897108882401</v>
          </cell>
          <cell r="T77" t="str">
            <v>854449 1100</v>
          </cell>
          <cell r="U77">
            <v>0</v>
          </cell>
          <cell r="V77">
            <v>45</v>
          </cell>
          <cell r="W77">
            <v>45</v>
          </cell>
          <cell r="X77">
            <v>55</v>
          </cell>
          <cell r="Y77" t="str">
            <v>T/T 60 days</v>
          </cell>
          <cell r="Z77">
            <v>524.67571194274649</v>
          </cell>
          <cell r="AA77">
            <v>465.90881576717277</v>
          </cell>
          <cell r="AB77">
            <v>0.09</v>
          </cell>
          <cell r="AC77">
            <v>0.09</v>
          </cell>
          <cell r="AD77">
            <v>0.22</v>
          </cell>
          <cell r="AE77" t="str">
            <v>C</v>
          </cell>
          <cell r="AF77">
            <v>465.90881576717277</v>
          </cell>
          <cell r="AG77">
            <v>0.21999999999999997</v>
          </cell>
          <cell r="AH77">
            <v>462.08</v>
          </cell>
          <cell r="AI77">
            <v>438.19070447965635</v>
          </cell>
          <cell r="AJ77">
            <v>399.35041351471949</v>
          </cell>
          <cell r="AK77">
            <v>0.16483516483516492</v>
          </cell>
          <cell r="AL77">
            <v>0.1428571428571429</v>
          </cell>
          <cell r="AM77"/>
          <cell r="AN77" t="str">
            <v>HT</v>
          </cell>
          <cell r="AO77">
            <v>21.18</v>
          </cell>
          <cell r="AP77">
            <v>2598.4</v>
          </cell>
          <cell r="AQ77"/>
          <cell r="AR77">
            <v>5</v>
          </cell>
          <cell r="AS77">
            <v>2810.2000000000003</v>
          </cell>
          <cell r="AT77">
            <v>2815.2000000000003</v>
          </cell>
          <cell r="AU77">
            <v>398.75354107648729</v>
          </cell>
          <cell r="AV77">
            <v>363.40887629839477</v>
          </cell>
          <cell r="AW77"/>
          <cell r="AX77" t="str">
            <v>854449 1100</v>
          </cell>
          <cell r="AZ77">
            <v>1553.0293858905759</v>
          </cell>
          <cell r="BA77">
            <v>931.81763153434554</v>
          </cell>
          <cell r="BB77">
            <v>776.51469294528795</v>
          </cell>
          <cell r="BC77">
            <v>621.21175435623036</v>
          </cell>
          <cell r="BE77">
            <v>318.90881576717277</v>
          </cell>
          <cell r="BF77">
            <v>465.90881576717277</v>
          </cell>
          <cell r="BG77">
            <v>497.40881576717277</v>
          </cell>
          <cell r="BH77">
            <v>528.90881576717277</v>
          </cell>
          <cell r="BK77">
            <v>350.90071194274651</v>
          </cell>
        </row>
        <row r="78">
          <cell r="I78" t="str">
            <v>KCSF78PZHCOR5</v>
          </cell>
          <cell r="J78" t="str">
            <v>U0104007</v>
          </cell>
          <cell r="K78" t="str">
            <v>CAT7 CABLE S/FTP 2x4 PAIRS AWG23 TEST UP TO 900MHz LSZH CPR CCA ORANGE RAL2003 500M</v>
          </cell>
          <cell r="L78" t="str">
            <v>CÂBLE CAT7 S/FTP 2x4 PAIRES AWG23 TEST A 900MHz LSZH CPR CCA ORANGE RAL2003 500M</v>
          </cell>
          <cell r="M78" t="str">
            <v>Cca</v>
          </cell>
          <cell r="N78" t="str">
            <v>China</v>
          </cell>
          <cell r="O78">
            <v>42</v>
          </cell>
          <cell r="P78" t="str">
            <v>500m drum</v>
          </cell>
          <cell r="Q78" t="str">
            <v>30 km</v>
          </cell>
          <cell r="R78">
            <v>4</v>
          </cell>
          <cell r="S78"/>
          <cell r="T78" t="str">
            <v>854449 1100</v>
          </cell>
          <cell r="U78">
            <v>0</v>
          </cell>
          <cell r="V78">
            <v>45</v>
          </cell>
          <cell r="W78">
            <v>45</v>
          </cell>
          <cell r="X78">
            <v>55</v>
          </cell>
          <cell r="Y78" t="str">
            <v>T/T 60 days</v>
          </cell>
          <cell r="Z78">
            <v>1090.975313638203</v>
          </cell>
          <cell r="AA78">
            <v>956.30268739836708</v>
          </cell>
          <cell r="AB78">
            <v>0.09</v>
          </cell>
          <cell r="AC78">
            <v>0.09</v>
          </cell>
          <cell r="AD78">
            <v>0.21</v>
          </cell>
          <cell r="AE78" t="str">
            <v>C</v>
          </cell>
          <cell r="AF78">
            <v>956.30268739836708</v>
          </cell>
          <cell r="AG78">
            <v>0.20999999999999996</v>
          </cell>
          <cell r="AH78">
            <v>948.33</v>
          </cell>
          <cell r="AI78">
            <v>923.13295769386423</v>
          </cell>
          <cell r="AJ78">
            <v>830.19683851067032</v>
          </cell>
          <cell r="AK78">
            <v>0.15384615384615374</v>
          </cell>
          <cell r="AL78">
            <v>0.13186813186813184</v>
          </cell>
          <cell r="AM78"/>
          <cell r="AN78" t="str">
            <v>HT</v>
          </cell>
          <cell r="AO78">
            <v>42.49</v>
          </cell>
          <cell r="AP78">
            <v>5500.86</v>
          </cell>
          <cell r="AQ78"/>
          <cell r="AR78">
            <v>5</v>
          </cell>
          <cell r="AS78">
            <v>5925.7599999999993</v>
          </cell>
          <cell r="AT78">
            <v>5930.7599999999993</v>
          </cell>
          <cell r="AU78">
            <v>840.05099150141643</v>
          </cell>
          <cell r="AV78">
            <v>755.47912304471004</v>
          </cell>
          <cell r="AW78"/>
          <cell r="AX78" t="str">
            <v>854449 1100</v>
          </cell>
          <cell r="AZ78">
            <v>3187.6756246612235</v>
          </cell>
          <cell r="BA78">
            <v>1912.6053747967339</v>
          </cell>
          <cell r="BB78">
            <v>1593.8378123306118</v>
          </cell>
          <cell r="BC78">
            <v>1275.0702498644896</v>
          </cell>
          <cell r="BE78">
            <v>662.30268739836708</v>
          </cell>
          <cell r="BF78">
            <v>956.30268739836708</v>
          </cell>
          <cell r="BG78">
            <v>1019.3026873983671</v>
          </cell>
          <cell r="BH78">
            <v>1082.3026873983672</v>
          </cell>
          <cell r="BK78">
            <v>743.42531363820308</v>
          </cell>
        </row>
        <row r="79">
          <cell r="I79" t="str">
            <v>KCSF74PZHB2OR5</v>
          </cell>
          <cell r="J79" t="str">
            <v>U0104003</v>
          </cell>
          <cell r="K79" t="str">
            <v>CAT7 CABLE S/FTP 4 PAIRS AWG23 TEST UP TO 900MHz LSZH CPR B2CA ORANGE RAL2003 500M</v>
          </cell>
          <cell r="L79" t="str">
            <v>CÂBLE CAT7 S/FTP 4 PAIRES AWG23 TEST A 900MHz LSZH CPR B2CA ORANGE RAL2003 500M</v>
          </cell>
          <cell r="M79" t="str">
            <v>B2ca</v>
          </cell>
          <cell r="N79" t="str">
            <v>China</v>
          </cell>
          <cell r="O79">
            <v>21</v>
          </cell>
          <cell r="P79" t="str">
            <v>500m drum</v>
          </cell>
          <cell r="Q79" t="str">
            <v>30 km</v>
          </cell>
          <cell r="R79">
            <v>6</v>
          </cell>
          <cell r="S79" t="str">
            <v>4897108882418</v>
          </cell>
          <cell r="T79" t="str">
            <v>854449 1100</v>
          </cell>
          <cell r="U79">
            <v>0</v>
          </cell>
          <cell r="V79">
            <v>45</v>
          </cell>
          <cell r="W79">
            <v>45</v>
          </cell>
          <cell r="X79">
            <v>55</v>
          </cell>
          <cell r="Y79" t="str">
            <v>T/T 60 days</v>
          </cell>
          <cell r="Z79">
            <v>538.86983748322643</v>
          </cell>
          <cell r="AA79">
            <v>477.93505368329858</v>
          </cell>
          <cell r="AB79">
            <v>0.09</v>
          </cell>
          <cell r="AC79">
            <v>0.09</v>
          </cell>
          <cell r="AD79">
            <v>0.22</v>
          </cell>
          <cell r="AE79" t="str">
            <v>C</v>
          </cell>
          <cell r="AF79">
            <v>477.93505368329858</v>
          </cell>
          <cell r="AG79">
            <v>0.21999999999999997</v>
          </cell>
          <cell r="AH79" t="e">
            <v>#N/A</v>
          </cell>
          <cell r="AI79">
            <v>450.04513899698031</v>
          </cell>
          <cell r="AJ79">
            <v>409.65861744282734</v>
          </cell>
          <cell r="AK79">
            <v>0.1648351648351648</v>
          </cell>
          <cell r="AL79">
            <v>0.1428571428571429</v>
          </cell>
          <cell r="AM79"/>
          <cell r="AN79" t="str">
            <v>HT</v>
          </cell>
          <cell r="AO79">
            <v>21.57</v>
          </cell>
          <cell r="AP79">
            <v>2670.66</v>
          </cell>
          <cell r="AQ79"/>
          <cell r="AR79">
            <v>5</v>
          </cell>
          <cell r="AS79">
            <v>2886.3599999999997</v>
          </cell>
          <cell r="AT79">
            <v>2891.3599999999997</v>
          </cell>
          <cell r="AU79">
            <v>409.5410764872521</v>
          </cell>
          <cell r="AV79">
            <v>372.7893418729729</v>
          </cell>
          <cell r="AW79"/>
          <cell r="AX79" t="str">
            <v>854449 1100</v>
          </cell>
          <cell r="AZ79">
            <v>1593.1168456109954</v>
          </cell>
          <cell r="BA79">
            <v>955.87010736659715</v>
          </cell>
          <cell r="BB79">
            <v>796.55842280549768</v>
          </cell>
          <cell r="BC79">
            <v>637.24673824439822</v>
          </cell>
          <cell r="BE79">
            <v>330.93505368329858</v>
          </cell>
          <cell r="BF79">
            <v>477.93505368329858</v>
          </cell>
          <cell r="BG79">
            <v>509.43505368329858</v>
          </cell>
          <cell r="BH79">
            <v>540.93505368329852</v>
          </cell>
          <cell r="BK79">
            <v>365.09483748322646</v>
          </cell>
        </row>
        <row r="80">
          <cell r="I80" t="str">
            <v>KCSF74PZHCOR5</v>
          </cell>
          <cell r="J80" t="str">
            <v>U0104004</v>
          </cell>
          <cell r="K80" t="str">
            <v>CAT7 CABLE S/FTP 4 PAIRS AWG23 TEST UP TO 900MHz LSZH CPR CCA ORANGE RAL2003 500M</v>
          </cell>
          <cell r="L80" t="str">
            <v>CÂBLE CAT7 S/FTP 4 PAIRES AWG23 TEST A 900MHz LSZH CPR CCA ORANGE RAL2003 500M</v>
          </cell>
          <cell r="M80" t="str">
            <v>Cca</v>
          </cell>
          <cell r="N80" t="str">
            <v>Turkey</v>
          </cell>
          <cell r="O80">
            <v>23</v>
          </cell>
          <cell r="P80" t="str">
            <v>500m drum</v>
          </cell>
          <cell r="Q80" t="str">
            <v>30 km</v>
          </cell>
          <cell r="R80">
            <v>8</v>
          </cell>
          <cell r="S80" t="str">
            <v>4897108881787</v>
          </cell>
          <cell r="T80" t="str">
            <v>854449 2000</v>
          </cell>
          <cell r="U80">
            <v>0</v>
          </cell>
          <cell r="V80">
            <v>60</v>
          </cell>
          <cell r="W80">
            <v>14</v>
          </cell>
          <cell r="X80">
            <v>14</v>
          </cell>
          <cell r="Y80" t="str">
            <v>T/T 30 days</v>
          </cell>
          <cell r="Z80">
            <v>555.06666666666661</v>
          </cell>
          <cell r="AA80">
            <v>480.71710897797857</v>
          </cell>
          <cell r="AB80">
            <v>7.0000000000000007E-2</v>
          </cell>
          <cell r="AC80">
            <v>7.0000000000000007E-2</v>
          </cell>
          <cell r="AD80">
            <v>0.23</v>
          </cell>
          <cell r="AE80" t="str">
            <v>C</v>
          </cell>
          <cell r="AF80">
            <v>480.71710897797857</v>
          </cell>
          <cell r="AG80">
            <v>0.22999999999999998</v>
          </cell>
          <cell r="AH80">
            <v>462.08</v>
          </cell>
          <cell r="AI80">
            <v>447.63440860215053</v>
          </cell>
          <cell r="AJ80">
            <v>398.01309022907907</v>
          </cell>
          <cell r="AK80">
            <v>0.19354838709677413</v>
          </cell>
          <cell r="AL80">
            <v>0.17204301075268813</v>
          </cell>
          <cell r="AM80"/>
          <cell r="AN80" t="str">
            <v>KK</v>
          </cell>
          <cell r="AO80"/>
          <cell r="AP80"/>
          <cell r="AQ80">
            <v>201</v>
          </cell>
          <cell r="AR80"/>
          <cell r="AS80"/>
          <cell r="AT80"/>
          <cell r="AU80">
            <v>362</v>
          </cell>
          <cell r="AV80">
            <v>370.1521739130435</v>
          </cell>
          <cell r="AW80"/>
          <cell r="AX80" t="str">
            <v>854449 1100</v>
          </cell>
          <cell r="AZ80">
            <v>1602.3903632599286</v>
          </cell>
          <cell r="BA80">
            <v>961.43421795595714</v>
          </cell>
          <cell r="BB80">
            <v>801.19518162996428</v>
          </cell>
          <cell r="BC80">
            <v>640.95614530397143</v>
          </cell>
          <cell r="BE80">
            <v>319.71710897797857</v>
          </cell>
          <cell r="BF80">
            <v>480.71710897797857</v>
          </cell>
          <cell r="BG80">
            <v>515.21710897797857</v>
          </cell>
          <cell r="BH80">
            <v>549.71710897797857</v>
          </cell>
          <cell r="BK80">
            <v>364.74166666666656</v>
          </cell>
        </row>
        <row r="81">
          <cell r="I81" t="str">
            <v>KCSF78PZHCOR5</v>
          </cell>
          <cell r="J81" t="str">
            <v>U0104007</v>
          </cell>
          <cell r="K81" t="str">
            <v>CAT7 CABLE S/FTP 2x4 PAIRS AWG23 TEST UP TO 900MHz LSZH CPR CCA ORANGE RAL2003 500M</v>
          </cell>
          <cell r="L81" t="str">
            <v>CÂBLE CAT7 S/FTP 2x4 PAIRES AWG23 TEST A 900MHz LSZH CPR CCA ORANGE RAL2003 500M</v>
          </cell>
          <cell r="M81" t="str">
            <v>Cca</v>
          </cell>
          <cell r="N81" t="str">
            <v>Turkey</v>
          </cell>
          <cell r="O81">
            <v>46</v>
          </cell>
          <cell r="P81" t="str">
            <v>500m drum</v>
          </cell>
          <cell r="Q81" t="str">
            <v>30 km</v>
          </cell>
          <cell r="R81">
            <v>4</v>
          </cell>
          <cell r="S81" t="str">
            <v>4897108881794</v>
          </cell>
          <cell r="T81" t="str">
            <v>854449 2000</v>
          </cell>
          <cell r="U81">
            <v>0</v>
          </cell>
          <cell r="V81">
            <v>60</v>
          </cell>
          <cell r="W81">
            <v>14</v>
          </cell>
          <cell r="X81">
            <v>14</v>
          </cell>
          <cell r="Y81" t="str">
            <v>T/T 30 days</v>
          </cell>
          <cell r="Z81">
            <v>1137.8947368421052</v>
          </cell>
          <cell r="AA81">
            <v>985.00557413600893</v>
          </cell>
          <cell r="AB81">
            <v>7.0000000000000007E-2</v>
          </cell>
          <cell r="AC81">
            <v>7.0000000000000007E-2</v>
          </cell>
          <cell r="AD81">
            <v>0.22</v>
          </cell>
          <cell r="AE81" t="str">
            <v>C</v>
          </cell>
          <cell r="AF81">
            <v>985.00557413600893</v>
          </cell>
          <cell r="AG81">
            <v>0.21999999999999997</v>
          </cell>
          <cell r="AH81">
            <v>948.33</v>
          </cell>
          <cell r="AI81">
            <v>929.89247311827955</v>
          </cell>
          <cell r="AJ81">
            <v>826.13370733987858</v>
          </cell>
          <cell r="AK81">
            <v>0.18279569892473113</v>
          </cell>
          <cell r="AL81">
            <v>0.16129032258064502</v>
          </cell>
          <cell r="AM81"/>
          <cell r="AN81" t="str">
            <v>KK</v>
          </cell>
          <cell r="AO81"/>
          <cell r="AP81"/>
          <cell r="AQ81">
            <v>430</v>
          </cell>
          <cell r="AR81"/>
          <cell r="AS81"/>
          <cell r="AT81"/>
          <cell r="AU81">
            <v>752</v>
          </cell>
          <cell r="AV81">
            <v>768.304347826087</v>
          </cell>
          <cell r="AW81"/>
          <cell r="AX81" t="str">
            <v>854449 1100</v>
          </cell>
          <cell r="AZ81">
            <v>3283.3519137866965</v>
          </cell>
          <cell r="BA81">
            <v>1970.0111482720179</v>
          </cell>
          <cell r="BB81">
            <v>1641.6759568933483</v>
          </cell>
          <cell r="BC81">
            <v>1313.3407655146787</v>
          </cell>
          <cell r="BE81">
            <v>663.00557413600893</v>
          </cell>
          <cell r="BF81">
            <v>985.00557413600893</v>
          </cell>
          <cell r="BG81">
            <v>1054.0055741360088</v>
          </cell>
          <cell r="BH81">
            <v>1123.0055741360088</v>
          </cell>
          <cell r="BK81">
            <v>757.24473684210511</v>
          </cell>
        </row>
        <row r="82">
          <cell r="I82" t="str">
            <v>KCSF74PEOUT5</v>
          </cell>
          <cell r="J82" t="str">
            <v>U0104002</v>
          </cell>
          <cell r="K82" t="str">
            <v>CAT7 CABLE S/FTP 4 PAIRS AWG23 TEST UP TO 900MHz PE OUTDOOR CPR FCA BLACK RAL9005 500M</v>
          </cell>
          <cell r="L82" t="str">
            <v>CÂBLE CAT7 S/FTP 4 PAIRES AWG23 TEST A 900MHz PE EXTERIEUR CPR FCA NOIR RAL9005 500M</v>
          </cell>
          <cell r="M82" t="str">
            <v>Fca</v>
          </cell>
          <cell r="N82" t="str">
            <v>China</v>
          </cell>
          <cell r="O82">
            <v>21</v>
          </cell>
          <cell r="P82" t="str">
            <v>500m drum</v>
          </cell>
          <cell r="Q82" t="str">
            <v>30 km</v>
          </cell>
          <cell r="R82">
            <v>4</v>
          </cell>
          <cell r="S82"/>
          <cell r="T82" t="str">
            <v>854449 1100</v>
          </cell>
          <cell r="U82">
            <v>0</v>
          </cell>
          <cell r="V82">
            <v>45</v>
          </cell>
          <cell r="W82">
            <v>45</v>
          </cell>
          <cell r="X82">
            <v>55</v>
          </cell>
          <cell r="Y82" t="str">
            <v>T/T 60 days</v>
          </cell>
          <cell r="Z82">
            <v>569.42735734520431</v>
          </cell>
          <cell r="AA82">
            <v>516.1221620068153</v>
          </cell>
          <cell r="AB82">
            <v>0.09</v>
          </cell>
          <cell r="AC82">
            <v>0.09</v>
          </cell>
          <cell r="AD82">
            <v>0.28000000000000003</v>
          </cell>
          <cell r="AE82" t="str">
            <v>C</v>
          </cell>
          <cell r="AF82">
            <v>516.1221620068153</v>
          </cell>
          <cell r="AG82">
            <v>0.28000000000000003</v>
          </cell>
          <cell r="AH82" t="e">
            <v>#N/A</v>
          </cell>
          <cell r="AI82">
            <v>438.02104411169557</v>
          </cell>
          <cell r="AJ82">
            <v>408.36039191748023</v>
          </cell>
          <cell r="AK82">
            <v>0.23076923076923084</v>
          </cell>
          <cell r="AL82">
            <v>0.20879120879120883</v>
          </cell>
          <cell r="AM82"/>
          <cell r="AN82" t="str">
            <v>HT</v>
          </cell>
          <cell r="AO82">
            <v>19.97</v>
          </cell>
          <cell r="AP82">
            <v>2609.41</v>
          </cell>
          <cell r="AQ82"/>
          <cell r="AR82">
            <v>5</v>
          </cell>
          <cell r="AS82">
            <v>2809.1099999999997</v>
          </cell>
          <cell r="AT82">
            <v>2814.1099999999997</v>
          </cell>
          <cell r="AU82">
            <v>398.59915014164301</v>
          </cell>
          <cell r="AV82">
            <v>371.60795664490701</v>
          </cell>
          <cell r="AW82"/>
          <cell r="AX82" t="str">
            <v>854449 1100</v>
          </cell>
          <cell r="AZ82">
            <v>1720.4072066893843</v>
          </cell>
          <cell r="BA82">
            <v>1032.2443240136306</v>
          </cell>
          <cell r="BB82">
            <v>860.20360334469217</v>
          </cell>
          <cell r="BC82">
            <v>688.16288267575374</v>
          </cell>
          <cell r="BE82">
            <v>369.1221620068153</v>
          </cell>
          <cell r="BF82">
            <v>516.1221620068153</v>
          </cell>
          <cell r="BG82">
            <v>547.6221620068153</v>
          </cell>
          <cell r="BH82">
            <v>579.1221620068153</v>
          </cell>
          <cell r="BK82">
            <v>395.65235734520434</v>
          </cell>
        </row>
        <row r="83">
          <cell r="I83" t="str">
            <v>KCSF74PEAOUT5</v>
          </cell>
          <cell r="J83" t="str">
            <v>U0104001</v>
          </cell>
          <cell r="K83" t="str">
            <v>CAT7 CABLE S/FTP 4 PAIRS AWG23 TEST UP TO 900MHz PE ARMORED OUTDOOR CPR FCA BLACK RAL9005 500M</v>
          </cell>
          <cell r="L83" t="str">
            <v>CÂBLE CAT7 S/FTP 4 PAIRES AWG23 TEST A 900MHz PE ARME EXTERIEUR CPR FCA NOIR RAL9005 500M</v>
          </cell>
          <cell r="M83" t="str">
            <v>Fca</v>
          </cell>
          <cell r="N83" t="str">
            <v>China</v>
          </cell>
          <cell r="O83">
            <v>18.5</v>
          </cell>
          <cell r="P83" t="str">
            <v>500m drum</v>
          </cell>
          <cell r="Q83" t="str">
            <v>30 km</v>
          </cell>
          <cell r="R83">
            <v>4</v>
          </cell>
          <cell r="S83"/>
          <cell r="T83" t="str">
            <v>854449 1100</v>
          </cell>
          <cell r="U83">
            <v>0</v>
          </cell>
          <cell r="V83">
            <v>45</v>
          </cell>
          <cell r="W83">
            <v>45</v>
          </cell>
          <cell r="X83">
            <v>55</v>
          </cell>
          <cell r="Y83" t="str">
            <v>T/T 60 days</v>
          </cell>
          <cell r="Z83">
            <v>1351.2545528126266</v>
          </cell>
          <cell r="AA83">
            <v>1177.0871823295154</v>
          </cell>
          <cell r="AB83">
            <v>0.09</v>
          </cell>
          <cell r="AC83">
            <v>0.09</v>
          </cell>
          <cell r="AD83">
            <v>0.28000000000000003</v>
          </cell>
          <cell r="AE83" t="str">
            <v>C</v>
          </cell>
          <cell r="AF83">
            <v>1177.0871823295154</v>
          </cell>
          <cell r="AG83">
            <v>0.28000000000000003</v>
          </cell>
          <cell r="AH83" t="e">
            <v>#N/A</v>
          </cell>
          <cell r="AI83">
            <v>1039.4265790866357</v>
          </cell>
          <cell r="AJ83">
            <v>931.32172667829775</v>
          </cell>
          <cell r="AK83">
            <v>0.23076923076923084</v>
          </cell>
          <cell r="AL83">
            <v>0.20879120879120894</v>
          </cell>
          <cell r="AM83"/>
          <cell r="AN83" t="str">
            <v>ZD</v>
          </cell>
          <cell r="AO83">
            <v>27.84</v>
          </cell>
          <cell r="AP83">
            <v>6394.5</v>
          </cell>
          <cell r="AQ83"/>
          <cell r="AR83">
            <v>5</v>
          </cell>
          <cell r="AS83">
            <v>6672.9</v>
          </cell>
          <cell r="AT83">
            <v>6677.9</v>
          </cell>
          <cell r="AU83">
            <v>945.87818696883858</v>
          </cell>
          <cell r="AV83">
            <v>847.50277127725099</v>
          </cell>
          <cell r="AW83"/>
          <cell r="AX83" t="str">
            <v>854449 1100</v>
          </cell>
          <cell r="AZ83">
            <v>3923.6239410983849</v>
          </cell>
          <cell r="BA83">
            <v>2354.1743646590307</v>
          </cell>
          <cell r="BB83">
            <v>1961.8119705491924</v>
          </cell>
          <cell r="BC83">
            <v>1569.4495764393541</v>
          </cell>
          <cell r="BE83">
            <v>1047.5871823295154</v>
          </cell>
          <cell r="BF83">
            <v>1177.0871823295154</v>
          </cell>
          <cell r="BG83">
            <v>1204.8371823295154</v>
          </cell>
          <cell r="BH83">
            <v>1232.5871823295154</v>
          </cell>
          <cell r="BK83">
            <v>1198.1670528126265</v>
          </cell>
        </row>
        <row r="84">
          <cell r="I84" t="str">
            <v>KSF74PLZHDOUT5</v>
          </cell>
          <cell r="J84" t="str">
            <v/>
          </cell>
          <cell r="K84" t="str">
            <v>CAT7 CABLE S/FTP 4 PAIRS AWG26 TESTED UP TO 650MHz LSZH CPR DCA INDOOR/OUTDOOR BLACK RAL9005 500M</v>
          </cell>
          <cell r="L84" t="str">
            <v>CÂBLE CAT7 S/FTP 4 PAIRES AWG26 TEST A 650MHz LSZH CPR DCA INTÉRIEUR/EXTÉRIEUR NOIR RAL9005 500M</v>
          </cell>
          <cell r="M84" t="str">
            <v>Dca</v>
          </cell>
          <cell r="N84" t="str">
            <v>China</v>
          </cell>
          <cell r="O84">
            <v>9.9</v>
          </cell>
          <cell r="P84" t="str">
            <v>500m drum</v>
          </cell>
          <cell r="Q84" t="str">
            <v>30 km</v>
          </cell>
          <cell r="R84">
            <v>4</v>
          </cell>
          <cell r="S84"/>
          <cell r="T84" t="str">
            <v>854449 1100</v>
          </cell>
          <cell r="U84">
            <v>0</v>
          </cell>
          <cell r="V84">
            <v>45</v>
          </cell>
          <cell r="W84">
            <v>45</v>
          </cell>
          <cell r="X84">
            <v>55</v>
          </cell>
          <cell r="Y84" t="str">
            <v>T/T 60 days</v>
          </cell>
          <cell r="Z84">
            <v>415.34744209298458</v>
          </cell>
          <cell r="AA84">
            <v>386.56678338289385</v>
          </cell>
          <cell r="AB84">
            <v>0.09</v>
          </cell>
          <cell r="AC84">
            <v>0.09</v>
          </cell>
          <cell r="AD84">
            <v>0.3</v>
          </cell>
          <cell r="AE84" t="str">
            <v>C</v>
          </cell>
          <cell r="AF84">
            <v>386.56678338289385</v>
          </cell>
          <cell r="AG84">
            <v>0.30000000000000004</v>
          </cell>
          <cell r="AH84">
            <v>383.54</v>
          </cell>
          <cell r="AI84">
            <v>310.36951716838405</v>
          </cell>
          <cell r="AJ84">
            <v>297.35906414068751</v>
          </cell>
          <cell r="AK84">
            <v>0.25274725274725285</v>
          </cell>
          <cell r="AL84">
            <v>0.23076923076923095</v>
          </cell>
          <cell r="AM84"/>
          <cell r="AN84" t="str">
            <v>AYP</v>
          </cell>
          <cell r="AO84">
            <v>14.280000000000001</v>
          </cell>
          <cell r="AP84">
            <v>1846.2</v>
          </cell>
          <cell r="AQ84"/>
          <cell r="AR84">
            <v>5</v>
          </cell>
          <cell r="AS84">
            <v>1989</v>
          </cell>
          <cell r="AT84">
            <v>1994</v>
          </cell>
          <cell r="AU84">
            <v>282.43626062322949</v>
          </cell>
          <cell r="AV84">
            <v>270.59674836802566</v>
          </cell>
          <cell r="AW84" t="str">
            <v>70m Fluke, 0.40BC/0.40TC/48x0.10TC,No Dca cert. yet</v>
          </cell>
          <cell r="AX84" t="str">
            <v>854449 1100</v>
          </cell>
          <cell r="AZ84">
            <v>1288.5559446096463</v>
          </cell>
          <cell r="BA84">
            <v>773.1335667657878</v>
          </cell>
          <cell r="BB84">
            <v>644.27797230482315</v>
          </cell>
          <cell r="BC84">
            <v>515.4223778438585</v>
          </cell>
          <cell r="BE84">
            <v>317.26678338289383</v>
          </cell>
          <cell r="BF84">
            <v>386.56678338289385</v>
          </cell>
          <cell r="BG84">
            <v>401.41678338289387</v>
          </cell>
          <cell r="BH84">
            <v>416.26678338289383</v>
          </cell>
          <cell r="BK84">
            <v>333.42494209298457</v>
          </cell>
        </row>
        <row r="85">
          <cell r="I85" t="str">
            <v>KCSF7A4PZHB2BR5</v>
          </cell>
          <cell r="J85" t="str">
            <v/>
          </cell>
          <cell r="K85" t="str">
            <v>CAT7A CABLE S/FTP 4 PAIRS AWG23 TEST UP TO 1200MHz LSZH CPR B2CA BROWN RAL8008 500M</v>
          </cell>
          <cell r="L85" t="str">
            <v>CÂBLE CAT7A S/FTP 4 PAIRES AWG23 TEST A 1200MHz LSZH CPR B2CA MARRON RAL8008 500M</v>
          </cell>
          <cell r="M85" t="str">
            <v>B2ca</v>
          </cell>
          <cell r="N85" t="str">
            <v>China</v>
          </cell>
          <cell r="O85">
            <v>26</v>
          </cell>
          <cell r="P85" t="str">
            <v>500m drum</v>
          </cell>
          <cell r="Q85" t="str">
            <v>30 km</v>
          </cell>
          <cell r="R85">
            <v>9</v>
          </cell>
          <cell r="S85"/>
          <cell r="T85" t="str">
            <v>854449 1100</v>
          </cell>
          <cell r="U85">
            <v>0</v>
          </cell>
          <cell r="V85">
            <v>45</v>
          </cell>
          <cell r="W85">
            <v>45</v>
          </cell>
          <cell r="X85">
            <v>55</v>
          </cell>
          <cell r="Y85" t="str">
            <v>T/T 30 days</v>
          </cell>
          <cell r="Z85">
            <v>704.95076039958258</v>
          </cell>
          <cell r="AA85">
            <v>611.52770978981107</v>
          </cell>
          <cell r="AB85">
            <v>0.09</v>
          </cell>
          <cell r="AC85">
            <v>0.09</v>
          </cell>
          <cell r="AD85">
            <v>0.22</v>
          </cell>
          <cell r="AE85" t="str">
            <v>C</v>
          </cell>
          <cell r="AF85">
            <v>611.52770978981107</v>
          </cell>
          <cell r="AG85">
            <v>0.21999999999999997</v>
          </cell>
          <cell r="AH85">
            <v>606.38</v>
          </cell>
          <cell r="AI85">
            <v>588.75008560844253</v>
          </cell>
          <cell r="AJ85">
            <v>524.16660839126666</v>
          </cell>
          <cell r="AK85">
            <v>0.16483516483516492</v>
          </cell>
          <cell r="AL85">
            <v>0.14285714285714279</v>
          </cell>
          <cell r="AM85"/>
          <cell r="AN85" t="str">
            <v>HT</v>
          </cell>
          <cell r="AO85">
            <v>30.127500000000001</v>
          </cell>
          <cell r="AP85">
            <v>3476.2088000000003</v>
          </cell>
          <cell r="AQ85"/>
          <cell r="AR85">
            <v>5</v>
          </cell>
          <cell r="AS85">
            <v>3777.4838000000004</v>
          </cell>
          <cell r="AT85">
            <v>3782.4838000000004</v>
          </cell>
          <cell r="AU85">
            <v>535.76257790368277</v>
          </cell>
          <cell r="AV85">
            <v>476.99161363605265</v>
          </cell>
          <cell r="AW85" t="str">
            <v>0.58BC/TC 30%</v>
          </cell>
          <cell r="AX85"/>
          <cell r="AZ85">
            <v>2038.4256992993703</v>
          </cell>
          <cell r="BA85">
            <v>1223.0554195796221</v>
          </cell>
          <cell r="BB85">
            <v>1019.2128496496852</v>
          </cell>
          <cell r="BC85">
            <v>815.37027971974817</v>
          </cell>
          <cell r="BE85">
            <v>429.52770978981107</v>
          </cell>
          <cell r="BF85">
            <v>611.52770978981107</v>
          </cell>
          <cell r="BG85">
            <v>650.52770978981107</v>
          </cell>
          <cell r="BH85">
            <v>689.52770978981107</v>
          </cell>
          <cell r="BK85">
            <v>489.8007603995826</v>
          </cell>
        </row>
        <row r="86">
          <cell r="I86" t="str">
            <v>KCSF7A4PZHB2BR5</v>
          </cell>
          <cell r="J86" t="str">
            <v/>
          </cell>
          <cell r="K86" t="str">
            <v>CAT7A CABLE S/FTP 4 PAIRS AWG23 TEST UP TO 1200MHz LSZH CPR B2CA BROWN RAL8008 500M</v>
          </cell>
          <cell r="L86" t="str">
            <v>CÂBLE CAT7A S/FTP 4 PAIRES AWG23 TEST A 1200MHz LSZH CPR B2CA MARRON RAL8008 500M</v>
          </cell>
          <cell r="M86" t="str">
            <v>B2ca</v>
          </cell>
          <cell r="N86" t="str">
            <v>Turkey</v>
          </cell>
          <cell r="O86">
            <v>25</v>
          </cell>
          <cell r="P86" t="str">
            <v>500m drum</v>
          </cell>
          <cell r="Q86" t="str">
            <v>30 km</v>
          </cell>
          <cell r="R86">
            <v>9</v>
          </cell>
          <cell r="S86"/>
          <cell r="T86" t="str">
            <v>854449 2000</v>
          </cell>
          <cell r="U86">
            <v>0</v>
          </cell>
          <cell r="V86">
            <v>60</v>
          </cell>
          <cell r="W86">
            <v>14</v>
          </cell>
          <cell r="X86">
            <v>14</v>
          </cell>
          <cell r="Y86" t="str">
            <v>T/T 30 days</v>
          </cell>
          <cell r="Z86">
            <v>660.47297297297303</v>
          </cell>
          <cell r="AA86">
            <v>568.74523264683444</v>
          </cell>
          <cell r="AB86">
            <v>7.0000000000000007E-2</v>
          </cell>
          <cell r="AC86">
            <v>7.0000000000000007E-2</v>
          </cell>
          <cell r="AD86">
            <v>0.24</v>
          </cell>
          <cell r="AE86" t="str">
            <v>C</v>
          </cell>
          <cell r="AF86">
            <v>568.74523264683444</v>
          </cell>
          <cell r="AG86">
            <v>0.24</v>
          </cell>
          <cell r="AH86">
            <v>606.38</v>
          </cell>
          <cell r="AI86">
            <v>525.53763440860212</v>
          </cell>
          <cell r="AJ86">
            <v>464.78105033504755</v>
          </cell>
          <cell r="AK86">
            <v>0.20430107526881736</v>
          </cell>
          <cell r="AL86">
            <v>0.18279569892473113</v>
          </cell>
          <cell r="AM86"/>
          <cell r="AN86" t="str">
            <v>KK</v>
          </cell>
          <cell r="AO86"/>
          <cell r="AP86"/>
          <cell r="AQ86">
            <v>250</v>
          </cell>
          <cell r="AR86"/>
          <cell r="AS86"/>
          <cell r="AT86"/>
          <cell r="AU86">
            <v>425</v>
          </cell>
          <cell r="AV86">
            <v>432.24637681159419</v>
          </cell>
          <cell r="AW86"/>
          <cell r="AX86"/>
          <cell r="AZ86">
            <v>1895.8174421561148</v>
          </cell>
          <cell r="BA86">
            <v>1137.4904652936689</v>
          </cell>
          <cell r="BB86">
            <v>947.9087210780574</v>
          </cell>
          <cell r="BC86">
            <v>758.32697686244592</v>
          </cell>
          <cell r="BE86">
            <v>393.74523264683444</v>
          </cell>
          <cell r="BF86">
            <v>568.74523264683444</v>
          </cell>
          <cell r="BG86">
            <v>606.24523264683444</v>
          </cell>
          <cell r="BH86">
            <v>643.74523264683444</v>
          </cell>
          <cell r="BK86">
            <v>453.59797297297303</v>
          </cell>
        </row>
        <row r="87">
          <cell r="I87" t="str">
            <v>KCSF7A4PBZHB2BR5</v>
          </cell>
          <cell r="J87" t="str">
            <v/>
          </cell>
          <cell r="K87" t="str">
            <v>CAT7A CABLE S/FTP 4 PAIRS AWG22 TEST UP TO 1500MHz LSZH CPR B2CA BROWN RAL8008 500M</v>
          </cell>
          <cell r="L87" t="str">
            <v>CÂBLE CAT7A S/FTP 4 PAIRES AWG22 TEST A 1500MHz LSZH CPR B2CA MARRON RAL8008 500M</v>
          </cell>
          <cell r="M87" t="str">
            <v>B2ca</v>
          </cell>
          <cell r="N87" t="str">
            <v>China</v>
          </cell>
          <cell r="O87">
            <v>27.6</v>
          </cell>
          <cell r="P87" t="str">
            <v>500m drum</v>
          </cell>
          <cell r="Q87" t="str">
            <v>30 km</v>
          </cell>
          <cell r="R87">
            <v>9</v>
          </cell>
          <cell r="S87"/>
          <cell r="T87" t="str">
            <v>854449 2000</v>
          </cell>
          <cell r="U87">
            <v>0</v>
          </cell>
          <cell r="V87">
            <v>60</v>
          </cell>
          <cell r="W87">
            <v>14</v>
          </cell>
          <cell r="X87">
            <v>14</v>
          </cell>
          <cell r="Y87" t="str">
            <v>T/T 30 days</v>
          </cell>
          <cell r="Z87">
            <v>770.24347293469111</v>
          </cell>
          <cell r="AA87">
            <v>666.77110726481612</v>
          </cell>
          <cell r="AB87">
            <v>0.09</v>
          </cell>
          <cell r="AC87">
            <v>0.09</v>
          </cell>
          <cell r="AD87">
            <v>0.24</v>
          </cell>
          <cell r="AE87" t="str">
            <v>C</v>
          </cell>
          <cell r="AF87">
            <v>666.77110726481612</v>
          </cell>
          <cell r="AG87">
            <v>0.24</v>
          </cell>
          <cell r="AH87">
            <v>661.15</v>
          </cell>
          <cell r="AI87">
            <v>626.35183513370487</v>
          </cell>
          <cell r="AJ87">
            <v>556.86378189149468</v>
          </cell>
          <cell r="AK87">
            <v>0.18681318681318682</v>
          </cell>
          <cell r="AL87">
            <v>0.16483516483516503</v>
          </cell>
          <cell r="AM87"/>
          <cell r="AN87" t="str">
            <v>HT</v>
          </cell>
          <cell r="AO87">
            <v>31.878499999999999</v>
          </cell>
          <cell r="AP87">
            <v>3700.2750000000001</v>
          </cell>
          <cell r="AQ87"/>
          <cell r="AR87">
            <v>5</v>
          </cell>
          <cell r="AS87">
            <v>4019.06</v>
          </cell>
          <cell r="AT87">
            <v>4024.06</v>
          </cell>
          <cell r="AU87">
            <v>569.98016997167144</v>
          </cell>
          <cell r="AV87">
            <v>506.74604152126022</v>
          </cell>
          <cell r="AW87" t="str">
            <v>0.60BC/TC 30%</v>
          </cell>
          <cell r="AX87"/>
          <cell r="AZ87">
            <v>2222.5703575493872</v>
          </cell>
          <cell r="BA87">
            <v>1333.5422145296322</v>
          </cell>
          <cell r="BB87">
            <v>1111.2851787746936</v>
          </cell>
          <cell r="BC87">
            <v>889.02814301975491</v>
          </cell>
          <cell r="BE87">
            <v>473.57110726481608</v>
          </cell>
          <cell r="BF87">
            <v>666.77110726481612</v>
          </cell>
          <cell r="BG87">
            <v>708.1711072648161</v>
          </cell>
          <cell r="BH87">
            <v>749.57110726481608</v>
          </cell>
          <cell r="BK87">
            <v>541.85347293469113</v>
          </cell>
        </row>
        <row r="88">
          <cell r="I88" t="str">
            <v>KCSF7A4PZHCYE5</v>
          </cell>
          <cell r="J88" t="str">
            <v>U0105002</v>
          </cell>
          <cell r="K88" t="str">
            <v>CAT7A CABLE S/FTP 4 PAIRS AWG23 TEST UP TO 1200MHz LSZH CPR CCA YELLOW RAL1021 500M</v>
          </cell>
          <cell r="L88" t="str">
            <v>CÂBLE CAT7A S/FTP 4 PAIRES AWG23 TEST A 1200MHz LSZH CPR CCA JAUNE RAL1021 500M</v>
          </cell>
          <cell r="M88" t="str">
            <v>Cca</v>
          </cell>
          <cell r="N88" t="str">
            <v>China</v>
          </cell>
          <cell r="O88">
            <v>26</v>
          </cell>
          <cell r="P88" t="str">
            <v>500m drum</v>
          </cell>
          <cell r="Q88" t="str">
            <v>30 km</v>
          </cell>
          <cell r="R88">
            <v>4</v>
          </cell>
          <cell r="S88" t="e">
            <v>#N/A</v>
          </cell>
          <cell r="T88" t="str">
            <v>854449 1100</v>
          </cell>
          <cell r="U88">
            <v>0</v>
          </cell>
          <cell r="V88">
            <v>45</v>
          </cell>
          <cell r="W88">
            <v>45</v>
          </cell>
          <cell r="X88">
            <v>55</v>
          </cell>
          <cell r="Y88" t="str">
            <v>T/T 60 days</v>
          </cell>
          <cell r="Z88">
            <v>693.57129367327673</v>
          </cell>
          <cell r="AA88">
            <v>619.90792801237444</v>
          </cell>
          <cell r="AB88">
            <v>0.09</v>
          </cell>
          <cell r="AC88">
            <v>0.09</v>
          </cell>
          <cell r="AD88">
            <v>0.23</v>
          </cell>
          <cell r="AE88" t="str">
            <v>C</v>
          </cell>
          <cell r="AF88">
            <v>619.90792801237444</v>
          </cell>
          <cell r="AG88">
            <v>0.22999999999999998</v>
          </cell>
          <cell r="AH88" t="e">
            <v>#N/A</v>
          </cell>
          <cell r="AI88">
            <v>571.62469258786541</v>
          </cell>
          <cell r="AJ88">
            <v>524.5374775489322</v>
          </cell>
          <cell r="AK88">
            <v>0.17582417582417587</v>
          </cell>
          <cell r="AL88">
            <v>0.15384615384615385</v>
          </cell>
          <cell r="AM88"/>
          <cell r="AN88" t="str">
            <v>HT</v>
          </cell>
          <cell r="AO88">
            <v>29.25</v>
          </cell>
          <cell r="AP88">
            <v>3374.96</v>
          </cell>
          <cell r="AQ88"/>
          <cell r="AR88">
            <v>5</v>
          </cell>
          <cell r="AS88">
            <v>3667.46</v>
          </cell>
          <cell r="AT88">
            <v>3672.46</v>
          </cell>
          <cell r="AU88">
            <v>520.17847025495757</v>
          </cell>
          <cell r="AV88">
            <v>477.32910456952834</v>
          </cell>
          <cell r="AW88"/>
          <cell r="AX88" t="str">
            <v>854449 1100</v>
          </cell>
          <cell r="AZ88">
            <v>2066.3597600412481</v>
          </cell>
          <cell r="BA88">
            <v>1239.8158560247489</v>
          </cell>
          <cell r="BB88">
            <v>1033.1798800206241</v>
          </cell>
          <cell r="BC88">
            <v>826.54390401649925</v>
          </cell>
          <cell r="BE88">
            <v>437.90792801237444</v>
          </cell>
          <cell r="BF88">
            <v>619.90792801237444</v>
          </cell>
          <cell r="BG88">
            <v>658.90792801237444</v>
          </cell>
          <cell r="BH88">
            <v>697.90792801237444</v>
          </cell>
          <cell r="BK88">
            <v>478.42129367327675</v>
          </cell>
        </row>
        <row r="89">
          <cell r="I89" t="str">
            <v>KCSF7A4PBZHCYE5</v>
          </cell>
          <cell r="J89" t="str">
            <v>U0105001</v>
          </cell>
          <cell r="K89" t="str">
            <v>CAT7A CABLE S/FTP 4 PAIRS AWG22 TEST UP TO 1500MHz LSZH CPR CCA YELLOW RAL1021 500M</v>
          </cell>
          <cell r="L89" t="str">
            <v>CÂBLE CAT7A S/FTP 4 PAIRES AWG22 TEST A 1500MHz LSZH CPR CCA JAUNE RAL1021 500M</v>
          </cell>
          <cell r="M89" t="str">
            <v>Cca</v>
          </cell>
          <cell r="N89" t="str">
            <v>China</v>
          </cell>
          <cell r="O89">
            <v>27.6</v>
          </cell>
          <cell r="P89" t="str">
            <v>500m drum</v>
          </cell>
          <cell r="Q89" t="str">
            <v>30 km</v>
          </cell>
          <cell r="R89">
            <v>4</v>
          </cell>
          <cell r="S89" t="e">
            <v>#N/A</v>
          </cell>
          <cell r="T89" t="str">
            <v>854449 1100</v>
          </cell>
          <cell r="U89">
            <v>0</v>
          </cell>
          <cell r="V89">
            <v>45</v>
          </cell>
          <cell r="W89">
            <v>45</v>
          </cell>
          <cell r="X89">
            <v>55</v>
          </cell>
          <cell r="Y89" t="str">
            <v>T/T 60 days</v>
          </cell>
          <cell r="Z89">
            <v>737.86591123701612</v>
          </cell>
          <cell r="AA89">
            <v>657.42454367900859</v>
          </cell>
          <cell r="AB89">
            <v>0.09</v>
          </cell>
          <cell r="AC89">
            <v>0.09</v>
          </cell>
          <cell r="AD89">
            <v>0.23</v>
          </cell>
          <cell r="AE89" t="str">
            <v>C</v>
          </cell>
          <cell r="AF89">
            <v>657.42454367900859</v>
          </cell>
          <cell r="AG89">
            <v>0.22999999999999998</v>
          </cell>
          <cell r="AH89" t="e">
            <v>#N/A</v>
          </cell>
          <cell r="AI89">
            <v>608.13124552501324</v>
          </cell>
          <cell r="AJ89">
            <v>556.28230618993041</v>
          </cell>
          <cell r="AK89">
            <v>0.17582417582417587</v>
          </cell>
          <cell r="AL89">
            <v>0.15384615384615374</v>
          </cell>
          <cell r="AM89"/>
          <cell r="AN89" t="str">
            <v>HT</v>
          </cell>
          <cell r="AO89">
            <v>30.95</v>
          </cell>
          <cell r="AP89">
            <v>3592.5</v>
          </cell>
          <cell r="AQ89"/>
          <cell r="AR89">
            <v>5</v>
          </cell>
          <cell r="AS89">
            <v>3902</v>
          </cell>
          <cell r="AT89">
            <v>3907</v>
          </cell>
          <cell r="AU89">
            <v>553.39943342776212</v>
          </cell>
          <cell r="AV89">
            <v>506.21689863283666</v>
          </cell>
          <cell r="AW89"/>
          <cell r="AX89" t="str">
            <v>854449 1100</v>
          </cell>
          <cell r="AZ89">
            <v>2191.4151455966953</v>
          </cell>
          <cell r="BA89">
            <v>1314.8490873580172</v>
          </cell>
          <cell r="BB89">
            <v>1095.7075727983477</v>
          </cell>
          <cell r="BC89">
            <v>876.56605823867812</v>
          </cell>
          <cell r="BE89">
            <v>464.22454367900855</v>
          </cell>
          <cell r="BF89">
            <v>657.42454367900859</v>
          </cell>
          <cell r="BG89">
            <v>698.82454367900857</v>
          </cell>
          <cell r="BH89">
            <v>740.22454367900855</v>
          </cell>
          <cell r="BK89">
            <v>509.47591123701613</v>
          </cell>
        </row>
        <row r="90">
          <cell r="I90" t="str">
            <v>KCSF84PZHB2LI5</v>
          </cell>
          <cell r="J90" t="str">
            <v>U0106001</v>
          </cell>
          <cell r="K90" t="str">
            <v>CAT8.2 CABLE S/FTP 4 PAIRS AWG22 TEST UP TO 2000MHz LSZH CPR B2CA LIME GREEN RAL6039 500M</v>
          </cell>
          <cell r="L90" t="str">
            <v>CÂBLE CAT8.2 S/FTP 4 PAIRES AWG22 TEST A 2000MHz LSZH CPR B2CA VERT CITRON RAL6039 500M</v>
          </cell>
          <cell r="M90" t="str">
            <v>B2ca</v>
          </cell>
          <cell r="N90" t="str">
            <v>China</v>
          </cell>
          <cell r="O90">
            <v>27.6</v>
          </cell>
          <cell r="P90" t="str">
            <v>500m drum</v>
          </cell>
          <cell r="Q90" t="str">
            <v>30 km</v>
          </cell>
          <cell r="R90">
            <v>6</v>
          </cell>
          <cell r="S90"/>
          <cell r="T90" t="str">
            <v>854449 1100</v>
          </cell>
          <cell r="U90">
            <v>0</v>
          </cell>
          <cell r="V90">
            <v>45</v>
          </cell>
          <cell r="W90">
            <v>45</v>
          </cell>
          <cell r="X90">
            <v>55</v>
          </cell>
          <cell r="Y90" t="str">
            <v>T/T 60 days</v>
          </cell>
          <cell r="Z90">
            <v>915.19758236640951</v>
          </cell>
          <cell r="AA90">
            <v>796.82423396422666</v>
          </cell>
          <cell r="AB90">
            <v>0.09</v>
          </cell>
          <cell r="AC90">
            <v>0.09</v>
          </cell>
          <cell r="AD90">
            <v>0.25</v>
          </cell>
          <cell r="AE90" t="str">
            <v>C</v>
          </cell>
          <cell r="AF90">
            <v>796.82423396422666</v>
          </cell>
          <cell r="AG90">
            <v>0.25</v>
          </cell>
          <cell r="AH90">
            <v>790.15</v>
          </cell>
          <cell r="AI90">
            <v>734.16948915107571</v>
          </cell>
          <cell r="AJ90">
            <v>656.72326975073622</v>
          </cell>
          <cell r="AK90">
            <v>0.19780219780219788</v>
          </cell>
          <cell r="AL90">
            <v>0.17582417582417587</v>
          </cell>
          <cell r="AM90"/>
          <cell r="AN90" t="str">
            <v>HT</v>
          </cell>
          <cell r="AO90">
            <v>31.878499999999999</v>
          </cell>
          <cell r="AP90">
            <v>4392.9603000000006</v>
          </cell>
          <cell r="AQ90"/>
          <cell r="AR90">
            <v>5</v>
          </cell>
          <cell r="AS90">
            <v>4711.7453000000005</v>
          </cell>
          <cell r="AT90">
            <v>4716.7453000000005</v>
          </cell>
          <cell r="AU90">
            <v>668.0942351274789</v>
          </cell>
          <cell r="AV90">
            <v>597.61817547317003</v>
          </cell>
          <cell r="AW90" t="str">
            <v>0.60BC/1.56SFS/TC 30%/OD 8.3, 24m Channel</v>
          </cell>
          <cell r="AX90"/>
          <cell r="AZ90">
            <v>2656.0807798807555</v>
          </cell>
          <cell r="BA90">
            <v>1593.6484679284533</v>
          </cell>
          <cell r="BB90">
            <v>1328.0403899403777</v>
          </cell>
          <cell r="BC90">
            <v>1062.4323119523021</v>
          </cell>
          <cell r="BE90">
            <v>603.62423396422662</v>
          </cell>
          <cell r="BF90">
            <v>796.82423396422666</v>
          </cell>
          <cell r="BG90">
            <v>838.22423396422664</v>
          </cell>
          <cell r="BH90">
            <v>879.62423396422662</v>
          </cell>
          <cell r="BK90">
            <v>686.80758236640952</v>
          </cell>
        </row>
        <row r="91">
          <cell r="I91" t="str">
            <v>KCSF84PZHCLI5</v>
          </cell>
          <cell r="J91" t="str">
            <v/>
          </cell>
          <cell r="K91" t="str">
            <v>CAT8.2 CABLE S/FTP 4 PAIRS AWG22 TEST UP TO 2000MHz LSZH CPR CCA LIME GREEN RAL6039 500M</v>
          </cell>
          <cell r="L91" t="str">
            <v>CÂBLE CAT8.2 S/FTP 4 PAIRES AWG22 TEST A 2000MHz LSZH CPR CCA VERT CITRON RAL6039 500M</v>
          </cell>
          <cell r="M91" t="str">
            <v>Cca</v>
          </cell>
          <cell r="N91" t="str">
            <v>China</v>
          </cell>
          <cell r="O91">
            <v>27.6</v>
          </cell>
          <cell r="P91" t="str">
            <v>500m drum</v>
          </cell>
          <cell r="Q91" t="str">
            <v>30 km</v>
          </cell>
          <cell r="R91">
            <v>6</v>
          </cell>
          <cell r="S91"/>
          <cell r="T91" t="str">
            <v>854449 1100</v>
          </cell>
          <cell r="U91">
            <v>0</v>
          </cell>
          <cell r="V91">
            <v>45</v>
          </cell>
          <cell r="W91">
            <v>45</v>
          </cell>
          <cell r="X91">
            <v>55</v>
          </cell>
          <cell r="Y91" t="str">
            <v>T/T 60 days</v>
          </cell>
          <cell r="Z91">
            <v>888.56959913073865</v>
          </cell>
          <cell r="AA91">
            <v>774.28692641403575</v>
          </cell>
          <cell r="AB91">
            <v>0.09</v>
          </cell>
          <cell r="AC91">
            <v>0.09</v>
          </cell>
          <cell r="AD91">
            <v>0.25</v>
          </cell>
          <cell r="AE91" t="str">
            <v>C</v>
          </cell>
          <cell r="AF91">
            <v>774.28692641403575</v>
          </cell>
          <cell r="AG91">
            <v>0.25</v>
          </cell>
          <cell r="AH91">
            <v>767.8</v>
          </cell>
          <cell r="AI91">
            <v>712.8085795224606</v>
          </cell>
          <cell r="AJ91">
            <v>638.14856572585359</v>
          </cell>
          <cell r="AK91">
            <v>0.19780219780219788</v>
          </cell>
          <cell r="AL91">
            <v>0.17582417582417587</v>
          </cell>
          <cell r="AM91"/>
          <cell r="AN91" t="str">
            <v>HT</v>
          </cell>
          <cell r="AO91">
            <v>30.95</v>
          </cell>
          <cell r="AP91">
            <v>4265.01</v>
          </cell>
          <cell r="AQ91"/>
          <cell r="AR91">
            <v>5</v>
          </cell>
          <cell r="AS91">
            <v>4574.51</v>
          </cell>
          <cell r="AT91">
            <v>4579.51</v>
          </cell>
          <cell r="AU91">
            <v>648.65580736543916</v>
          </cell>
          <cell r="AV91">
            <v>580.71519481052678</v>
          </cell>
          <cell r="AW91" t="str">
            <v>0.60BC/1.56SFS/TC 30%/OD 8.3, 24m Channel</v>
          </cell>
          <cell r="AX91" t="str">
            <v>854449 1100</v>
          </cell>
          <cell r="AZ91">
            <v>2580.9564213801191</v>
          </cell>
          <cell r="BA91">
            <v>1548.5738528280715</v>
          </cell>
          <cell r="BB91">
            <v>1290.4782106900595</v>
          </cell>
          <cell r="BC91">
            <v>1032.3825685520476</v>
          </cell>
          <cell r="BE91">
            <v>581.0869264140357</v>
          </cell>
          <cell r="BF91">
            <v>774.28692641403575</v>
          </cell>
          <cell r="BG91">
            <v>815.68692641403572</v>
          </cell>
          <cell r="BH91">
            <v>857.0869264140357</v>
          </cell>
          <cell r="BK91">
            <v>660.17959913073867</v>
          </cell>
        </row>
        <row r="92">
          <cell r="I92" t="str">
            <v>KSPE261PPURGE5</v>
          </cell>
          <cell r="J92" t="str">
            <v/>
          </cell>
          <cell r="K92" t="str">
            <v>SINGLE PAIR ETHERNET 1 PAIR AWG26 PUR GREEN 500M</v>
          </cell>
          <cell r="L92" t="str">
            <v>CÂBLE SINGLE PAIR ETHERNET 1 PAIRES AWG26 PUR VERT 500M</v>
          </cell>
          <cell r="M92"/>
          <cell r="N92" t="str">
            <v>China</v>
          </cell>
          <cell r="O92">
            <v>9.5299999999999994</v>
          </cell>
          <cell r="P92" t="str">
            <v>500m drum</v>
          </cell>
          <cell r="Q92" t="str">
            <v>30 km</v>
          </cell>
          <cell r="R92">
            <v>12</v>
          </cell>
          <cell r="S92"/>
          <cell r="T92" t="str">
            <v>854449 1100</v>
          </cell>
          <cell r="U92">
            <v>0</v>
          </cell>
          <cell r="V92">
            <v>45</v>
          </cell>
          <cell r="W92">
            <v>45</v>
          </cell>
          <cell r="X92">
            <v>55</v>
          </cell>
          <cell r="Y92" t="str">
            <v>T/T 60 days</v>
          </cell>
          <cell r="Z92"/>
          <cell r="AA92"/>
          <cell r="AB92"/>
          <cell r="AC92"/>
          <cell r="AD92"/>
          <cell r="AE92" t="str">
            <v>C</v>
          </cell>
          <cell r="AF92">
            <v>0</v>
          </cell>
          <cell r="AG92"/>
          <cell r="AH92" t="e">
            <v>#N/A</v>
          </cell>
          <cell r="AI92"/>
          <cell r="AJ92"/>
          <cell r="AK92"/>
          <cell r="AL92"/>
          <cell r="AM92"/>
          <cell r="AN92" t="str">
            <v>ZD</v>
          </cell>
          <cell r="AO92">
            <v>8.613999999999999</v>
          </cell>
          <cell r="AP92">
            <v>1751.4159999999999</v>
          </cell>
          <cell r="AQ92"/>
          <cell r="AR92">
            <v>5</v>
          </cell>
          <cell r="AS92">
            <v>1837.556</v>
          </cell>
          <cell r="AT92">
            <v>1842.556</v>
          </cell>
          <cell r="AU92">
            <v>260.98526912181308</v>
          </cell>
          <cell r="AV92">
            <v>235.27704561317083</v>
          </cell>
          <cell r="AW92"/>
          <cell r="AX92"/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3">
          <cell r="I93" t="str">
            <v>KSPE221PPVCBK5</v>
          </cell>
          <cell r="J93" t="str">
            <v/>
          </cell>
          <cell r="K93" t="str">
            <v>SINGLE PAIR ETHERNET 1 PAIR AWG22 PVC BLACK 500M</v>
          </cell>
          <cell r="L93" t="str">
            <v>CÂBLE SINGLE PAIR ETHERNET 1 PAIRES AWG26 PVC NOIR 500M</v>
          </cell>
          <cell r="M93"/>
          <cell r="N93" t="str">
            <v>China</v>
          </cell>
          <cell r="O93">
            <v>16.46</v>
          </cell>
          <cell r="P93" t="str">
            <v>500m drum</v>
          </cell>
          <cell r="Q93" t="str">
            <v>30 Km</v>
          </cell>
          <cell r="R93">
            <v>12</v>
          </cell>
          <cell r="S93"/>
          <cell r="T93" t="str">
            <v>854449 1100</v>
          </cell>
          <cell r="U93">
            <v>0</v>
          </cell>
          <cell r="V93">
            <v>45</v>
          </cell>
          <cell r="W93">
            <v>45</v>
          </cell>
          <cell r="X93">
            <v>55</v>
          </cell>
          <cell r="Y93" t="str">
            <v>T/T 60 days</v>
          </cell>
          <cell r="Z93"/>
          <cell r="AA93"/>
          <cell r="AB93"/>
          <cell r="AC93"/>
          <cell r="AD93"/>
          <cell r="AE93" t="str">
            <v>C</v>
          </cell>
          <cell r="AF93">
            <v>0</v>
          </cell>
          <cell r="AG93"/>
          <cell r="AH93" t="e">
            <v>#N/A</v>
          </cell>
          <cell r="AI93"/>
          <cell r="AJ93"/>
          <cell r="AK93"/>
          <cell r="AL93"/>
          <cell r="AM93"/>
          <cell r="AN93" t="str">
            <v>ZD</v>
          </cell>
          <cell r="AO93">
            <v>15.33</v>
          </cell>
          <cell r="AP93">
            <v>1944.7199999999998</v>
          </cell>
          <cell r="AQ93"/>
          <cell r="AR93">
            <v>5</v>
          </cell>
          <cell r="AS93">
            <v>2098.02</v>
          </cell>
          <cell r="AT93">
            <v>2103.02</v>
          </cell>
          <cell r="AU93">
            <v>297.87818696883852</v>
          </cell>
          <cell r="AV93">
            <v>267.357843741019</v>
          </cell>
          <cell r="AW93"/>
          <cell r="AX93"/>
          <cell r="AZ93">
            <v>0</v>
          </cell>
          <cell r="BA93">
            <v>0</v>
          </cell>
          <cell r="BB93">
            <v>0</v>
          </cell>
          <cell r="BC93">
            <v>0</v>
          </cell>
        </row>
        <row r="94">
          <cell r="I94" t="str">
            <v>OEG3TVs4DT5</v>
          </cell>
          <cell r="J94" t="str">
            <v>O0101002</v>
          </cell>
          <cell r="K94" t="str">
            <v>G3TV CABLE F/FTP 1x4 PAIRS AWG23 2200MHz LSZH CPR DCA WHITE RAL9003 500M 85dB</v>
          </cell>
          <cell r="L94" t="str">
            <v>CÂBLE G3TV F/FTP 4 PAIRES AWG23 TEST A 2200MHz LSZH CPR CCA BLANC RAL90033 500M 85dB</v>
          </cell>
          <cell r="M94" t="str">
            <v>Dca</v>
          </cell>
          <cell r="N94" t="str">
            <v>China</v>
          </cell>
          <cell r="O94">
            <v>17.8</v>
          </cell>
          <cell r="P94" t="str">
            <v>500m drum</v>
          </cell>
          <cell r="Q94" t="str">
            <v>50 km</v>
          </cell>
          <cell r="R94">
            <v>8</v>
          </cell>
          <cell r="S94" t="str">
            <v>4897108882425</v>
          </cell>
          <cell r="T94" t="str">
            <v>854449 1100</v>
          </cell>
          <cell r="U94">
            <v>0</v>
          </cell>
          <cell r="V94">
            <v>45</v>
          </cell>
          <cell r="W94">
            <v>45</v>
          </cell>
          <cell r="X94">
            <v>55</v>
          </cell>
          <cell r="Y94" t="str">
            <v>T/T 60 days</v>
          </cell>
          <cell r="Z94">
            <v>561.42768940219355</v>
          </cell>
          <cell r="AA94">
            <v>491.61804101490333</v>
          </cell>
          <cell r="AB94">
            <v>0.09</v>
          </cell>
          <cell r="AC94">
            <v>0.09</v>
          </cell>
          <cell r="AD94">
            <v>0.2</v>
          </cell>
          <cell r="AE94" t="str">
            <v>C</v>
          </cell>
          <cell r="AF94">
            <v>491.61804101490333</v>
          </cell>
          <cell r="AG94">
            <v>0.19999999999999996</v>
          </cell>
          <cell r="AH94">
            <v>487.51</v>
          </cell>
          <cell r="AI94">
            <v>481.22373377330877</v>
          </cell>
          <cell r="AJ94">
            <v>432.19168440870618</v>
          </cell>
          <cell r="AK94">
            <v>0.14285714285714279</v>
          </cell>
          <cell r="AL94">
            <v>0.120879120879121</v>
          </cell>
          <cell r="AN94" t="str">
            <v>HT</v>
          </cell>
          <cell r="AO94">
            <v>20.22</v>
          </cell>
          <cell r="AP94">
            <v>2889.47</v>
          </cell>
          <cell r="AQ94"/>
          <cell r="AR94">
            <v>0</v>
          </cell>
          <cell r="AS94">
            <v>3091.6699999999996</v>
          </cell>
          <cell r="AT94">
            <v>3091.6699999999996</v>
          </cell>
          <cell r="AU94">
            <v>437.91359773371101</v>
          </cell>
          <cell r="AV94">
            <v>393.29443281192266</v>
          </cell>
          <cell r="AW94" t="str">
            <v>3P 0.51/1P0.58</v>
          </cell>
          <cell r="AX94" t="str">
            <v>854449 1100</v>
          </cell>
          <cell r="AZ94">
            <v>1638.7268033830112</v>
          </cell>
          <cell r="BA94">
            <v>983.23608202980665</v>
          </cell>
          <cell r="BB94">
            <v>819.3634016915056</v>
          </cell>
          <cell r="BC94">
            <v>655.49072135320455</v>
          </cell>
          <cell r="BE94">
            <v>367.0180410149033</v>
          </cell>
          <cell r="BF94">
            <v>491.61804101490333</v>
          </cell>
          <cell r="BG94">
            <v>518.31804101490332</v>
          </cell>
          <cell r="BH94">
            <v>545.01804101490325</v>
          </cell>
          <cell r="BK94">
            <v>414.13268940219353</v>
          </cell>
        </row>
        <row r="95">
          <cell r="I95" t="str">
            <v>OEG3TVs4DT40</v>
          </cell>
          <cell r="J95" t="str">
            <v>O0101001</v>
          </cell>
          <cell r="K95" t="str">
            <v>G3TV CABLE F/FTP 1x4 PAIRS AWG23 2200MHz LSZH CPR DCA WHITE RAL9003 4000M 85dB</v>
          </cell>
          <cell r="L95" t="str">
            <v>CÂBLE G3TV F/FTP 4 PAIRES AWG23 TEST A 2200MHz LSZH CPR CCA BLANC RAL90033 4000M 85dB</v>
          </cell>
          <cell r="M95" t="str">
            <v>Dca</v>
          </cell>
          <cell r="N95" t="str">
            <v>China</v>
          </cell>
          <cell r="O95">
            <v>17.8</v>
          </cell>
          <cell r="P95" t="str">
            <v>4000m drum</v>
          </cell>
          <cell r="Q95" t="str">
            <v>50 km</v>
          </cell>
          <cell r="R95">
            <v>8</v>
          </cell>
          <cell r="S95" t="str">
            <v>4897108882432</v>
          </cell>
          <cell r="T95" t="str">
            <v>854449 1100</v>
          </cell>
          <cell r="U95">
            <v>0</v>
          </cell>
          <cell r="V95">
            <v>45</v>
          </cell>
          <cell r="W95">
            <v>45</v>
          </cell>
          <cell r="X95">
            <v>55</v>
          </cell>
          <cell r="Y95" t="str">
            <v>T/T 60 days</v>
          </cell>
          <cell r="Z95">
            <v>561.42768940219355</v>
          </cell>
          <cell r="AA95">
            <v>491.61804101490333</v>
          </cell>
          <cell r="AB95">
            <v>0.09</v>
          </cell>
          <cell r="AC95">
            <v>0.09</v>
          </cell>
          <cell r="AD95">
            <v>0.2</v>
          </cell>
          <cell r="AE95" t="str">
            <v>C</v>
          </cell>
          <cell r="AF95">
            <v>491.61804101490333</v>
          </cell>
          <cell r="AG95">
            <v>0.19999999999999996</v>
          </cell>
          <cell r="AH95">
            <v>487.51</v>
          </cell>
          <cell r="AI95">
            <v>481.22373377330877</v>
          </cell>
          <cell r="AJ95">
            <v>432.19168440870618</v>
          </cell>
          <cell r="AK95">
            <v>0.14285714285714279</v>
          </cell>
          <cell r="AL95">
            <v>0.120879120879121</v>
          </cell>
          <cell r="AN95" t="str">
            <v>HT</v>
          </cell>
          <cell r="AO95">
            <v>20.22</v>
          </cell>
          <cell r="AP95">
            <v>2889.47</v>
          </cell>
          <cell r="AQ95"/>
          <cell r="AR95">
            <v>0</v>
          </cell>
          <cell r="AS95">
            <v>3091.6699999999996</v>
          </cell>
          <cell r="AT95">
            <v>3091.6699999999996</v>
          </cell>
          <cell r="AU95">
            <v>437.91359773371101</v>
          </cell>
          <cell r="AV95">
            <v>393.29443281192266</v>
          </cell>
          <cell r="AW95" t="str">
            <v>3P 0.51/1P0.58</v>
          </cell>
          <cell r="AX95" t="str">
            <v>854449 1100</v>
          </cell>
          <cell r="AZ95">
            <v>1638.7268033830112</v>
          </cell>
          <cell r="BA95">
            <v>983.23608202980665</v>
          </cell>
          <cell r="BB95">
            <v>819.3634016915056</v>
          </cell>
          <cell r="BC95">
            <v>655.49072135320455</v>
          </cell>
          <cell r="BE95">
            <v>367.0180410149033</v>
          </cell>
          <cell r="BF95">
            <v>491.61804101490333</v>
          </cell>
          <cell r="BG95">
            <v>518.31804101490332</v>
          </cell>
          <cell r="BH95">
            <v>545.01804101490325</v>
          </cell>
          <cell r="BK95">
            <v>414.13268940219353</v>
          </cell>
        </row>
        <row r="96">
          <cell r="I96" t="str">
            <v>OEG3TVs4DT5</v>
          </cell>
          <cell r="J96" t="str">
            <v>O0101002</v>
          </cell>
          <cell r="K96" t="str">
            <v>G3TV CABLE F/FTP 1x4 PAIRS AWG23 2200MHz LSZH CPR DCA WHITE RAL9003 500M 85dB</v>
          </cell>
          <cell r="L96" t="str">
            <v>CÂBLE G3TV F/FTP 4 PAIRES AWG23 TEST A 2200MHz LSZH CPR DCA BLANC RAL90033 500M 85dB</v>
          </cell>
          <cell r="M96" t="str">
            <v>Dca</v>
          </cell>
          <cell r="N96" t="str">
            <v>Turkey</v>
          </cell>
          <cell r="O96">
            <v>23</v>
          </cell>
          <cell r="P96" t="str">
            <v>500m drum</v>
          </cell>
          <cell r="Q96" t="str">
            <v>50 km</v>
          </cell>
          <cell r="R96">
            <v>6</v>
          </cell>
          <cell r="S96" t="str">
            <v>4897108882425</v>
          </cell>
          <cell r="T96" t="str">
            <v>854449 2000</v>
          </cell>
          <cell r="U96">
            <v>0</v>
          </cell>
          <cell r="V96">
            <v>45</v>
          </cell>
          <cell r="W96">
            <v>45</v>
          </cell>
          <cell r="X96">
            <v>55</v>
          </cell>
          <cell r="Y96" t="str">
            <v>T/T 30 days</v>
          </cell>
          <cell r="Z96">
            <v>628.07692307692309</v>
          </cell>
          <cell r="AA96">
            <v>546.08695652173913</v>
          </cell>
          <cell r="AB96">
            <v>7.0000000000000007E-2</v>
          </cell>
          <cell r="AC96">
            <v>7.0000000000000007E-2</v>
          </cell>
          <cell r="AD96">
            <v>0.2</v>
          </cell>
          <cell r="AE96" t="str">
            <v>C</v>
          </cell>
          <cell r="AF96">
            <v>546.08695652173913</v>
          </cell>
          <cell r="AG96">
            <v>0.19999999999999996</v>
          </cell>
          <cell r="AH96">
            <v>487.51</v>
          </cell>
          <cell r="AI96">
            <v>526.77419354838707</v>
          </cell>
          <cell r="AJ96">
            <v>469.75222066386164</v>
          </cell>
          <cell r="AK96">
            <v>0.16129032258064524</v>
          </cell>
          <cell r="AL96">
            <v>0.13978494623655913</v>
          </cell>
          <cell r="AN96" t="str">
            <v>KK</v>
          </cell>
          <cell r="AO96"/>
          <cell r="AP96"/>
          <cell r="AQ96">
            <v>265</v>
          </cell>
          <cell r="AR96"/>
          <cell r="AS96"/>
          <cell r="AT96"/>
          <cell r="AU96">
            <v>426</v>
          </cell>
          <cell r="AV96">
            <v>436.86956521739131</v>
          </cell>
          <cell r="AW96" t="str">
            <v>3P 0.51/1P0.58</v>
          </cell>
          <cell r="AX96" t="str">
            <v>854449 1100</v>
          </cell>
          <cell r="AZ96">
            <v>1820.2898550724638</v>
          </cell>
          <cell r="BA96">
            <v>1092.1739130434783</v>
          </cell>
          <cell r="BB96">
            <v>910.14492753623188</v>
          </cell>
          <cell r="BC96">
            <v>728.1159420289855</v>
          </cell>
          <cell r="BE96">
            <v>385.08695652173913</v>
          </cell>
          <cell r="BF96">
            <v>546.08695652173913</v>
          </cell>
          <cell r="BG96">
            <v>580.58695652173913</v>
          </cell>
          <cell r="BH96">
            <v>615.08695652173913</v>
          </cell>
          <cell r="BK96">
            <v>437.75192307692305</v>
          </cell>
        </row>
        <row r="97">
          <cell r="I97" t="str">
            <v>OEG3TVs4DT40</v>
          </cell>
          <cell r="J97" t="str">
            <v>O0101001</v>
          </cell>
          <cell r="K97" t="str">
            <v>G3TV CABLE F/FTP 1x4 PAIRS AWG23 2200MHz LSZH CPR DCA WHITE RAL9003 4000M 85dB</v>
          </cell>
          <cell r="L97" t="str">
            <v>CÂBLE G3TV F/FTP 4 PAIRES AWG23 TEST A 2200MHz LSZH CPR DCA BLANC RAL90033 4000M 85dB</v>
          </cell>
          <cell r="M97" t="str">
            <v>Dca</v>
          </cell>
          <cell r="N97" t="str">
            <v>Turkey</v>
          </cell>
          <cell r="O97">
            <v>23</v>
          </cell>
          <cell r="P97" t="str">
            <v>4000m drum</v>
          </cell>
          <cell r="Q97" t="str">
            <v>50 km</v>
          </cell>
          <cell r="R97">
            <v>4</v>
          </cell>
          <cell r="S97" t="str">
            <v>4897108882432</v>
          </cell>
          <cell r="T97" t="str">
            <v>854449 2000</v>
          </cell>
          <cell r="U97">
            <v>0</v>
          </cell>
          <cell r="V97">
            <v>45</v>
          </cell>
          <cell r="W97">
            <v>45</v>
          </cell>
          <cell r="X97">
            <v>55</v>
          </cell>
          <cell r="Y97" t="str">
            <v>T/T 30 days</v>
          </cell>
          <cell r="Z97">
            <v>628.07692307692309</v>
          </cell>
          <cell r="AA97">
            <v>552.88043478260863</v>
          </cell>
          <cell r="AB97">
            <v>7.0000000000000007E-2</v>
          </cell>
          <cell r="AC97">
            <v>7.0000000000000007E-2</v>
          </cell>
          <cell r="AD97">
            <v>0.2</v>
          </cell>
          <cell r="AE97" t="str">
            <v>C</v>
          </cell>
          <cell r="AF97">
            <v>552.88043478260863</v>
          </cell>
          <cell r="AG97">
            <v>0.19999999999999996</v>
          </cell>
          <cell r="AH97">
            <v>487.51</v>
          </cell>
          <cell r="AI97">
            <v>526.77419354838707</v>
          </cell>
          <cell r="AJ97">
            <v>475.5960729312763</v>
          </cell>
          <cell r="AK97">
            <v>0.16129032258064524</v>
          </cell>
          <cell r="AL97">
            <v>0.13978494623655902</v>
          </cell>
          <cell r="AN97" t="str">
            <v>KK</v>
          </cell>
          <cell r="AO97"/>
          <cell r="AP97"/>
          <cell r="AQ97">
            <v>265</v>
          </cell>
          <cell r="AR97"/>
          <cell r="AS97"/>
          <cell r="AT97"/>
          <cell r="AU97">
            <v>426</v>
          </cell>
          <cell r="AV97">
            <v>442.30434782608694</v>
          </cell>
          <cell r="AW97" t="str">
            <v>3P 0.51/1P0.58</v>
          </cell>
          <cell r="AX97" t="str">
            <v>854449 1100</v>
          </cell>
          <cell r="AZ97">
            <v>1842.9347826086955</v>
          </cell>
          <cell r="BA97">
            <v>1105.7608695652173</v>
          </cell>
          <cell r="BB97">
            <v>921.46739130434776</v>
          </cell>
          <cell r="BC97">
            <v>737.17391304347825</v>
          </cell>
          <cell r="BE97">
            <v>391.88043478260863</v>
          </cell>
          <cell r="BF97">
            <v>552.88043478260863</v>
          </cell>
          <cell r="BG97">
            <v>587.38043478260863</v>
          </cell>
          <cell r="BH97">
            <v>621.88043478260863</v>
          </cell>
          <cell r="BK97">
            <v>437.75192307692305</v>
          </cell>
        </row>
        <row r="98">
          <cell r="I98" t="str">
            <v>OEG3TVs4CT40</v>
          </cell>
          <cell r="J98" t="str">
            <v/>
          </cell>
          <cell r="K98" t="str">
            <v>G3TV CABLE F/FTP 1x4 PAIRS AWG23 2200MHz LSZH CPR CCA WHITE RAL9003 4000M 85dB</v>
          </cell>
          <cell r="L98" t="str">
            <v>CÂBLE G3TV F/FTP 4 PAIRES AWG23 TEST A 2200MHz LSZH CPR CCA BLANC RAL90033 4000M 85dB</v>
          </cell>
          <cell r="M98" t="str">
            <v>Cca</v>
          </cell>
          <cell r="N98" t="str">
            <v>China</v>
          </cell>
          <cell r="O98">
            <v>17.8</v>
          </cell>
          <cell r="P98" t="str">
            <v>500m drum</v>
          </cell>
          <cell r="Q98" t="str">
            <v>50 km</v>
          </cell>
          <cell r="R98">
            <v>8</v>
          </cell>
          <cell r="S98" t="str">
            <v>4897108882449</v>
          </cell>
          <cell r="T98" t="str">
            <v>854449 1100</v>
          </cell>
          <cell r="U98">
            <v>0</v>
          </cell>
          <cell r="V98">
            <v>45</v>
          </cell>
          <cell r="W98">
            <v>45</v>
          </cell>
          <cell r="X98">
            <v>55</v>
          </cell>
          <cell r="Y98" t="str">
            <v>T/T 60 days</v>
          </cell>
          <cell r="Z98">
            <v>588.93731386649233</v>
          </cell>
          <cell r="AA98">
            <v>514.94141827811313</v>
          </cell>
          <cell r="AB98">
            <v>0.09</v>
          </cell>
          <cell r="AC98">
            <v>0.09</v>
          </cell>
          <cell r="AD98">
            <v>0.2</v>
          </cell>
          <cell r="AE98" t="str">
            <v>C</v>
          </cell>
          <cell r="AF98">
            <v>514.94141827811313</v>
          </cell>
          <cell r="AG98">
            <v>0.20000000000000007</v>
          </cell>
          <cell r="AH98">
            <v>510.64</v>
          </cell>
          <cell r="AI98">
            <v>504.80341188556486</v>
          </cell>
          <cell r="AJ98">
            <v>452.6957523324071</v>
          </cell>
          <cell r="AK98">
            <v>0.1428571428571429</v>
          </cell>
          <cell r="AL98">
            <v>0.120879120879121</v>
          </cell>
          <cell r="AM98"/>
          <cell r="AN98" t="str">
            <v>HT</v>
          </cell>
          <cell r="AO98">
            <v>20.22</v>
          </cell>
          <cell r="AP98">
            <v>3040.96</v>
          </cell>
          <cell r="AQ98"/>
          <cell r="AR98">
            <v>0</v>
          </cell>
          <cell r="AS98">
            <v>3243.16</v>
          </cell>
          <cell r="AT98">
            <v>3243.16</v>
          </cell>
          <cell r="AU98">
            <v>459.37110481586404</v>
          </cell>
          <cell r="AV98">
            <v>411.9531346224905</v>
          </cell>
          <cell r="AW98" t="str">
            <v>3P 0.51/1P0.58</v>
          </cell>
          <cell r="AX98" t="str">
            <v>854449 1100</v>
          </cell>
          <cell r="AY98"/>
          <cell r="AZ98">
            <v>1716.4713942603771</v>
          </cell>
          <cell r="BA98">
            <v>1029.8828365562263</v>
          </cell>
          <cell r="BB98">
            <v>858.23569713018856</v>
          </cell>
          <cell r="BC98">
            <v>686.58855770415084</v>
          </cell>
          <cell r="BE98">
            <v>390.34141827811311</v>
          </cell>
          <cell r="BF98">
            <v>514.94141827811313</v>
          </cell>
          <cell r="BG98">
            <v>541.64141827811318</v>
          </cell>
          <cell r="BH98">
            <v>568.34141827811311</v>
          </cell>
          <cell r="BK98">
            <v>441.64231386649232</v>
          </cell>
        </row>
        <row r="99">
          <cell r="I99" t="str">
            <v>OEG3TVs4CT5</v>
          </cell>
          <cell r="J99" t="str">
            <v/>
          </cell>
          <cell r="K99" t="str">
            <v>G3TV CABLE F/FTP 1x4 PAIRS AWG23 2200MHz LSZH CPR CCA WHITE RAL9003 500M 85dB</v>
          </cell>
          <cell r="L99" t="str">
            <v>CÂBLE G3TV F/FTP 4 PAIRES AWG23 TEST A 2200MHz LSZH CPR CCA BLANC RAL9003 500M 85dB</v>
          </cell>
          <cell r="M99" t="str">
            <v>Cca</v>
          </cell>
          <cell r="N99" t="str">
            <v>China</v>
          </cell>
          <cell r="O99">
            <v>17.8</v>
          </cell>
          <cell r="P99" t="str">
            <v>4000m drum</v>
          </cell>
          <cell r="Q99" t="str">
            <v>50 km</v>
          </cell>
          <cell r="R99">
            <v>8</v>
          </cell>
          <cell r="S99" t="str">
            <v>4897108882456</v>
          </cell>
          <cell r="T99" t="str">
            <v>854449 1100</v>
          </cell>
          <cell r="U99">
            <v>0</v>
          </cell>
          <cell r="V99">
            <v>45</v>
          </cell>
          <cell r="W99">
            <v>45</v>
          </cell>
          <cell r="X99">
            <v>55</v>
          </cell>
          <cell r="Y99" t="str">
            <v>T/T 60 days</v>
          </cell>
          <cell r="Z99">
            <v>588.93731386649233</v>
          </cell>
          <cell r="AA99">
            <v>514.94141827811313</v>
          </cell>
          <cell r="AB99">
            <v>0.09</v>
          </cell>
          <cell r="AC99">
            <v>0.09</v>
          </cell>
          <cell r="AD99">
            <v>0.2</v>
          </cell>
          <cell r="AE99" t="str">
            <v>C</v>
          </cell>
          <cell r="AF99">
            <v>514.94141827811313</v>
          </cell>
          <cell r="AG99">
            <v>0.20000000000000007</v>
          </cell>
          <cell r="AH99">
            <v>510.64</v>
          </cell>
          <cell r="AI99">
            <v>504.80341188556486</v>
          </cell>
          <cell r="AJ99">
            <v>452.6957523324071</v>
          </cell>
          <cell r="AK99">
            <v>0.1428571428571429</v>
          </cell>
          <cell r="AL99">
            <v>0.120879120879121</v>
          </cell>
          <cell r="AN99" t="str">
            <v>HT</v>
          </cell>
          <cell r="AO99">
            <v>20.22</v>
          </cell>
          <cell r="AP99">
            <v>3040.96</v>
          </cell>
          <cell r="AQ99"/>
          <cell r="AR99">
            <v>0</v>
          </cell>
          <cell r="AS99">
            <v>3243.16</v>
          </cell>
          <cell r="AT99">
            <v>3243.16</v>
          </cell>
          <cell r="AU99">
            <v>459.37110481586404</v>
          </cell>
          <cell r="AV99">
            <v>411.9531346224905</v>
          </cell>
          <cell r="AW99" t="str">
            <v>3P 0.51/1P0.58</v>
          </cell>
          <cell r="AX99" t="str">
            <v>854449 1100</v>
          </cell>
          <cell r="AZ99">
            <v>1716.4713942603771</v>
          </cell>
          <cell r="BA99">
            <v>1029.8828365562263</v>
          </cell>
          <cell r="BB99">
            <v>858.23569713018856</v>
          </cell>
          <cell r="BC99">
            <v>686.58855770415084</v>
          </cell>
          <cell r="BE99">
            <v>390.34141827811311</v>
          </cell>
          <cell r="BF99">
            <v>514.94141827811313</v>
          </cell>
          <cell r="BG99">
            <v>541.64141827811318</v>
          </cell>
          <cell r="BH99">
            <v>568.34141827811311</v>
          </cell>
          <cell r="BK99">
            <v>441.64231386649232</v>
          </cell>
        </row>
        <row r="100">
          <cell r="I100" t="str">
            <v>OEG3TVs4CT40</v>
          </cell>
          <cell r="J100" t="str">
            <v/>
          </cell>
          <cell r="K100" t="str">
            <v>G3TV CABLE F/FTP 1x4 PAIRS AWG23 2200MHz LSZH CPR CCA WHITE RAL9003 4000M 85dB</v>
          </cell>
          <cell r="L100" t="str">
            <v>CÂBLE G3TV  F/FTP 1x4 PAIRES AWG23 2200MHz LSZH CPR CCA WHITE RAL9003 4000M 85dB</v>
          </cell>
          <cell r="M100" t="str">
            <v>Cca</v>
          </cell>
          <cell r="N100" t="str">
            <v>Turkey</v>
          </cell>
          <cell r="O100">
            <v>23</v>
          </cell>
          <cell r="P100" t="str">
            <v>500m drum</v>
          </cell>
          <cell r="Q100" t="str">
            <v>50 km</v>
          </cell>
          <cell r="R100">
            <v>6</v>
          </cell>
          <cell r="S100" t="str">
            <v>4897108882449</v>
          </cell>
          <cell r="T100" t="str">
            <v>854449 2000</v>
          </cell>
          <cell r="U100">
            <v>0</v>
          </cell>
          <cell r="V100">
            <v>45</v>
          </cell>
          <cell r="W100">
            <v>45</v>
          </cell>
          <cell r="X100">
            <v>55</v>
          </cell>
          <cell r="Y100" t="str">
            <v>T/T 30 days</v>
          </cell>
          <cell r="Z100">
            <v>635.4487179487179</v>
          </cell>
          <cell r="AA100">
            <v>552.33695652173913</v>
          </cell>
          <cell r="AB100">
            <v>7.0000000000000007E-2</v>
          </cell>
          <cell r="AC100">
            <v>7.0000000000000007E-2</v>
          </cell>
          <cell r="AD100">
            <v>0.2</v>
          </cell>
          <cell r="AE100" t="str">
            <v>C</v>
          </cell>
          <cell r="AF100">
            <v>552.33695652173913</v>
          </cell>
          <cell r="AG100">
            <v>0.19999999999999996</v>
          </cell>
          <cell r="AH100">
            <v>510.64</v>
          </cell>
          <cell r="AI100">
            <v>532.95698924731187</v>
          </cell>
          <cell r="AJ100">
            <v>475.12856474988314</v>
          </cell>
          <cell r="AK100">
            <v>0.16129032258064502</v>
          </cell>
          <cell r="AL100">
            <v>0.13978494623655913</v>
          </cell>
          <cell r="AM100"/>
          <cell r="AN100" t="str">
            <v>KK</v>
          </cell>
          <cell r="AO100"/>
          <cell r="AP100"/>
          <cell r="AQ100">
            <v>270</v>
          </cell>
          <cell r="AR100"/>
          <cell r="AS100"/>
          <cell r="AT100"/>
          <cell r="AU100">
            <v>431</v>
          </cell>
          <cell r="AV100">
            <v>441.86956521739131</v>
          </cell>
          <cell r="AW100" t="str">
            <v>3P 0.51/1P0.58</v>
          </cell>
          <cell r="AX100" t="str">
            <v>854449 1100</v>
          </cell>
          <cell r="AY100"/>
          <cell r="AZ100">
            <v>1841.1231884057972</v>
          </cell>
          <cell r="BA100">
            <v>1104.6739130434783</v>
          </cell>
          <cell r="BB100">
            <v>920.56159420289862</v>
          </cell>
          <cell r="BC100">
            <v>736.44927536231899</v>
          </cell>
          <cell r="BE100">
            <v>391.33695652173913</v>
          </cell>
          <cell r="BF100">
            <v>552.33695652173913</v>
          </cell>
          <cell r="BG100">
            <v>586.83695652173913</v>
          </cell>
          <cell r="BH100">
            <v>621.33695652173913</v>
          </cell>
          <cell r="BK100">
            <v>445.12371794871785</v>
          </cell>
        </row>
        <row r="101">
          <cell r="I101" t="str">
            <v>OEG3TVs4CT5</v>
          </cell>
          <cell r="J101" t="str">
            <v/>
          </cell>
          <cell r="K101" t="str">
            <v>G3TV CABLE F/FTP 1x4 PAIRS AWG23 2200MHz LSZH CPR CCA WHITE RAL9003 500M 85dB</v>
          </cell>
          <cell r="L101" t="str">
            <v>CÂBLE G3TV  F/FTP 1x4 PAIRES AWG23 2200MHz LSZH CPR CCA WHITE RAL9003 500M 85dB</v>
          </cell>
          <cell r="M101" t="str">
            <v>Cca</v>
          </cell>
          <cell r="N101" t="str">
            <v>Turkey</v>
          </cell>
          <cell r="O101">
            <v>23</v>
          </cell>
          <cell r="P101" t="str">
            <v>4000m drum</v>
          </cell>
          <cell r="Q101" t="str">
            <v>50 km</v>
          </cell>
          <cell r="R101">
            <v>4</v>
          </cell>
          <cell r="S101" t="str">
            <v>4897108882456</v>
          </cell>
          <cell r="T101" t="str">
            <v>854449 2000</v>
          </cell>
          <cell r="U101">
            <v>0</v>
          </cell>
          <cell r="V101">
            <v>45</v>
          </cell>
          <cell r="W101">
            <v>45</v>
          </cell>
          <cell r="X101">
            <v>55</v>
          </cell>
          <cell r="Y101" t="str">
            <v>T/T 30 days</v>
          </cell>
          <cell r="Z101">
            <v>635.4487179487179</v>
          </cell>
          <cell r="AA101">
            <v>559.13043478260863</v>
          </cell>
          <cell r="AB101">
            <v>7.0000000000000007E-2</v>
          </cell>
          <cell r="AC101">
            <v>7.0000000000000007E-2</v>
          </cell>
          <cell r="AD101">
            <v>0.2</v>
          </cell>
          <cell r="AE101" t="str">
            <v>C</v>
          </cell>
          <cell r="AF101">
            <v>559.13043478260863</v>
          </cell>
          <cell r="AG101">
            <v>0.19999999999999996</v>
          </cell>
          <cell r="AH101">
            <v>510.64</v>
          </cell>
          <cell r="AI101">
            <v>532.95698924731187</v>
          </cell>
          <cell r="AJ101">
            <v>480.9724170172978</v>
          </cell>
          <cell r="AK101">
            <v>0.16129032258064502</v>
          </cell>
          <cell r="AL101">
            <v>0.13978494623655902</v>
          </cell>
          <cell r="AN101" t="str">
            <v>KK</v>
          </cell>
          <cell r="AO101"/>
          <cell r="AP101"/>
          <cell r="AQ101">
            <v>270</v>
          </cell>
          <cell r="AR101"/>
          <cell r="AS101"/>
          <cell r="AT101"/>
          <cell r="AU101">
            <v>431</v>
          </cell>
          <cell r="AV101">
            <v>447.30434782608694</v>
          </cell>
          <cell r="AW101" t="str">
            <v>3P 0.51/1P0.58</v>
          </cell>
          <cell r="AX101" t="str">
            <v>854449 1100</v>
          </cell>
          <cell r="AZ101">
            <v>1863.7681159420288</v>
          </cell>
          <cell r="BA101">
            <v>1118.2608695652173</v>
          </cell>
          <cell r="BB101">
            <v>931.88405797101439</v>
          </cell>
          <cell r="BC101">
            <v>745.50724637681151</v>
          </cell>
          <cell r="BE101">
            <v>398.13043478260863</v>
          </cell>
          <cell r="BF101">
            <v>559.13043478260863</v>
          </cell>
          <cell r="BG101">
            <v>593.63043478260863</v>
          </cell>
          <cell r="BH101">
            <v>628.13043478260863</v>
          </cell>
          <cell r="BK101">
            <v>445.12371794871785</v>
          </cell>
        </row>
        <row r="102">
          <cell r="I102" t="str">
            <v>KFP45451PANGEF8</v>
          </cell>
          <cell r="J102" t="str">
            <v>U0301003</v>
          </cell>
          <cell r="K102" t="str">
            <v>45X45 FACE PLATE 1 PORT ANGLED 45° 8PCS PER ECO FRIENDLY CARTON</v>
          </cell>
          <cell r="L102" t="str">
            <v>PLASTRON 45X45 1 PORT INCLINÉ 45° 8PCS PAR CARTON ÉCOLOGIQUE</v>
          </cell>
          <cell r="M102"/>
          <cell r="N102" t="str">
            <v>China</v>
          </cell>
          <cell r="O102"/>
          <cell r="P102" t="str">
            <v>8 pcs eco friendly box</v>
          </cell>
          <cell r="Q102" t="str">
            <v>5000 pcs</v>
          </cell>
          <cell r="R102">
            <v>8640</v>
          </cell>
          <cell r="S102" t="str">
            <v>4897108882296</v>
          </cell>
          <cell r="T102" t="str">
            <v>853669 9000</v>
          </cell>
          <cell r="U102">
            <v>2.3E-2</v>
          </cell>
          <cell r="V102">
            <v>45</v>
          </cell>
          <cell r="W102">
            <v>45</v>
          </cell>
          <cell r="X102">
            <v>55</v>
          </cell>
          <cell r="Y102" t="str">
            <v>T/T 30 days</v>
          </cell>
          <cell r="Z102">
            <v>0.49181617878501738</v>
          </cell>
          <cell r="AA102">
            <v>0.44275438451137439</v>
          </cell>
          <cell r="AB102">
            <v>0.1</v>
          </cell>
          <cell r="AC102">
            <v>0.1</v>
          </cell>
          <cell r="AD102">
            <v>0.26</v>
          </cell>
          <cell r="AE102" t="str">
            <v>A</v>
          </cell>
          <cell r="AF102">
            <v>0.39847894606023698</v>
          </cell>
          <cell r="AG102">
            <v>0.17777777777777781</v>
          </cell>
          <cell r="AH102">
            <v>0.44</v>
          </cell>
          <cell r="AI102">
            <v>0.39345294302801387</v>
          </cell>
          <cell r="AJ102">
            <v>0.36404249393157451</v>
          </cell>
          <cell r="AK102">
            <v>0.20000000000000007</v>
          </cell>
          <cell r="AL102">
            <v>0.1777777777777777</v>
          </cell>
          <cell r="AM102"/>
          <cell r="AN102" t="str">
            <v>LY</v>
          </cell>
          <cell r="AO102">
            <v>51840</v>
          </cell>
          <cell r="AP102"/>
          <cell r="AQ102"/>
          <cell r="AR102">
            <v>0.94</v>
          </cell>
          <cell r="AS102">
            <v>1.56</v>
          </cell>
          <cell r="AT102">
            <v>2.5</v>
          </cell>
          <cell r="AU102">
            <v>0.3541076487252125</v>
          </cell>
          <cell r="AV102">
            <v>0.32763824453841706</v>
          </cell>
          <cell r="AW102"/>
          <cell r="AX102"/>
          <cell r="AZ102">
            <v>1.4758479483712481</v>
          </cell>
          <cell r="BA102">
            <v>0.88550876902274889</v>
          </cell>
          <cell r="BB102">
            <v>0.73792397418562405</v>
          </cell>
          <cell r="BC102">
            <v>0.59033917934849922</v>
          </cell>
        </row>
        <row r="103">
          <cell r="I103" t="str">
            <v>KFP45452PANGEF8</v>
          </cell>
          <cell r="J103" t="str">
            <v>U0301006</v>
          </cell>
          <cell r="K103" t="str">
            <v>45X45 FACE PLATE 2 PORTS ANGLED 45° 8PCS PER ECO FRIENDLY CARTON</v>
          </cell>
          <cell r="L103" t="str">
            <v>PLASTRON 45X45 2 PORTS ANGLE 45° 8PCS PAR CARTON ÉCOLOGIQUE</v>
          </cell>
          <cell r="M103"/>
          <cell r="N103" t="str">
            <v>China</v>
          </cell>
          <cell r="O103"/>
          <cell r="P103" t="str">
            <v xml:space="preserve">8 pcs eco friendly box </v>
          </cell>
          <cell r="Q103" t="str">
            <v>5000 pcs</v>
          </cell>
          <cell r="R103">
            <v>8640</v>
          </cell>
          <cell r="S103" t="str">
            <v>4897108882302</v>
          </cell>
          <cell r="T103" t="str">
            <v>853669 9000</v>
          </cell>
          <cell r="U103">
            <v>2.3E-2</v>
          </cell>
          <cell r="V103">
            <v>45</v>
          </cell>
          <cell r="W103">
            <v>45</v>
          </cell>
          <cell r="X103">
            <v>55</v>
          </cell>
          <cell r="Y103" t="str">
            <v>T/T 30 days</v>
          </cell>
          <cell r="Z103">
            <v>0.5311614730878188</v>
          </cell>
          <cell r="AA103">
            <v>0.47692348402103307</v>
          </cell>
          <cell r="AB103">
            <v>0.1</v>
          </cell>
          <cell r="AC103">
            <v>0.1</v>
          </cell>
          <cell r="AD103">
            <v>0.26</v>
          </cell>
          <cell r="AE103" t="str">
            <v>A</v>
          </cell>
          <cell r="AF103">
            <v>0.42923113561892978</v>
          </cell>
          <cell r="AG103">
            <v>0.17777777777777781</v>
          </cell>
          <cell r="AH103">
            <v>0.47</v>
          </cell>
          <cell r="AI103">
            <v>0.42492917847025496</v>
          </cell>
          <cell r="AJ103">
            <v>0.39213708686173826</v>
          </cell>
          <cell r="AK103">
            <v>0.20000000000000018</v>
          </cell>
          <cell r="AL103">
            <v>0.17777777777777792</v>
          </cell>
          <cell r="AM103"/>
          <cell r="AN103" t="str">
            <v>LY</v>
          </cell>
          <cell r="AO103">
            <v>25920</v>
          </cell>
          <cell r="AP103"/>
          <cell r="AQ103"/>
          <cell r="AR103">
            <v>0.94</v>
          </cell>
          <cell r="AS103">
            <v>1.76</v>
          </cell>
          <cell r="AT103">
            <v>2.7</v>
          </cell>
          <cell r="AU103">
            <v>0.3824362606232295</v>
          </cell>
          <cell r="AV103">
            <v>0.35292337817556446</v>
          </cell>
          <cell r="AW103"/>
          <cell r="AX103"/>
          <cell r="AZ103">
            <v>1.589744946736777</v>
          </cell>
          <cell r="BA103">
            <v>0.95384696804206615</v>
          </cell>
          <cell r="BB103">
            <v>0.79487247336838851</v>
          </cell>
          <cell r="BC103">
            <v>0.63589797869471087</v>
          </cell>
        </row>
        <row r="104">
          <cell r="I104" t="str">
            <v>KFP45451PEF8</v>
          </cell>
          <cell r="J104" t="str">
            <v>U0301004</v>
          </cell>
          <cell r="K104" t="str">
            <v>45X45 FACE PLATE 1 PORT FLAT 8PCS PER ECO FRIENDLY CARTON</v>
          </cell>
          <cell r="L104" t="str">
            <v>PLASTRON 45X45 1 PORT PLAT 8PCS PAR CARTON ÉCOLOGIQUE</v>
          </cell>
          <cell r="M104"/>
          <cell r="N104" t="str">
            <v>China</v>
          </cell>
          <cell r="O104"/>
          <cell r="P104" t="str">
            <v>8 pcs eco friendly box</v>
          </cell>
          <cell r="Q104" t="str">
            <v>5000 pcs</v>
          </cell>
          <cell r="R104">
            <v>11520</v>
          </cell>
          <cell r="S104" t="str">
            <v>4897108881824</v>
          </cell>
          <cell r="T104" t="str">
            <v>853669 9000</v>
          </cell>
          <cell r="U104">
            <v>2.3E-2</v>
          </cell>
          <cell r="V104">
            <v>45</v>
          </cell>
          <cell r="W104">
            <v>45</v>
          </cell>
          <cell r="X104">
            <v>55</v>
          </cell>
          <cell r="Y104" t="str">
            <v>T/T 30 days</v>
          </cell>
          <cell r="Z104">
            <v>0.44487890515899936</v>
          </cell>
          <cell r="AA104">
            <v>0.39809561042431435</v>
          </cell>
          <cell r="AB104">
            <v>0.1</v>
          </cell>
          <cell r="AC104">
            <v>0.1</v>
          </cell>
          <cell r="AD104">
            <v>0.27</v>
          </cell>
          <cell r="AE104" t="str">
            <v>A</v>
          </cell>
          <cell r="AF104">
            <v>0.35828604938188291</v>
          </cell>
          <cell r="AG104">
            <v>0.18888888888888888</v>
          </cell>
          <cell r="AH104">
            <v>0.39</v>
          </cell>
          <cell r="AI104">
            <v>0.3509600251809884</v>
          </cell>
          <cell r="AJ104">
            <v>0.32289977289972166</v>
          </cell>
          <cell r="AK104">
            <v>0.21111111111111103</v>
          </cell>
          <cell r="AL104">
            <v>0.18888888888888888</v>
          </cell>
          <cell r="AM104"/>
          <cell r="AN104" t="str">
            <v>LY</v>
          </cell>
          <cell r="AO104"/>
          <cell r="AP104"/>
          <cell r="AQ104"/>
          <cell r="AR104">
            <v>0.9</v>
          </cell>
          <cell r="AS104">
            <v>1.33</v>
          </cell>
          <cell r="AT104">
            <v>2.23</v>
          </cell>
          <cell r="AU104">
            <v>0.31586402266288954</v>
          </cell>
          <cell r="AV104">
            <v>0.29060979560974948</v>
          </cell>
          <cell r="AW104"/>
          <cell r="AX104"/>
          <cell r="AZ104">
            <v>1.3269853680810479</v>
          </cell>
          <cell r="BA104">
            <v>0.7961912208486287</v>
          </cell>
          <cell r="BB104">
            <v>0.66349268404052397</v>
          </cell>
          <cell r="BC104">
            <v>0.53079414723241924</v>
          </cell>
        </row>
        <row r="105">
          <cell r="I105" t="str">
            <v>KFP45452PEF8</v>
          </cell>
          <cell r="J105" t="str">
            <v>U0301007</v>
          </cell>
          <cell r="K105" t="str">
            <v>45X45 FACE PLATE 2 PORTS FLAT 8PCS PER ECO FRIENDLY CARTON</v>
          </cell>
          <cell r="L105" t="str">
            <v>PLASTRON 45X45 2 PORTS PLAT 8PCS PAR CARTON ÉCOLOGIQUE</v>
          </cell>
          <cell r="M105"/>
          <cell r="N105" t="str">
            <v>China</v>
          </cell>
          <cell r="O105"/>
          <cell r="P105" t="str">
            <v xml:space="preserve">8 pcs eco friendly box </v>
          </cell>
          <cell r="Q105" t="str">
            <v>5000 pcs</v>
          </cell>
          <cell r="R105">
            <v>11520</v>
          </cell>
          <cell r="S105" t="str">
            <v>4897108881831</v>
          </cell>
          <cell r="T105" t="str">
            <v>853669 9000</v>
          </cell>
          <cell r="U105">
            <v>2.3E-2</v>
          </cell>
          <cell r="V105">
            <v>45</v>
          </cell>
          <cell r="W105">
            <v>45</v>
          </cell>
          <cell r="X105">
            <v>55</v>
          </cell>
          <cell r="Y105" t="str">
            <v>T/T 30 days</v>
          </cell>
          <cell r="Z105">
            <v>0.47143883979535756</v>
          </cell>
          <cell r="AA105">
            <v>0.42117361682572391</v>
          </cell>
          <cell r="AB105">
            <v>0.1</v>
          </cell>
          <cell r="AC105">
            <v>0.1</v>
          </cell>
          <cell r="AD105">
            <v>0.31</v>
          </cell>
          <cell r="AE105" t="str">
            <v>A</v>
          </cell>
          <cell r="AF105">
            <v>0.3790562551431515</v>
          </cell>
          <cell r="AG105">
            <v>0.23333333333333339</v>
          </cell>
          <cell r="AH105">
            <v>0.42</v>
          </cell>
          <cell r="AI105">
            <v>0.3509600251809884</v>
          </cell>
          <cell r="AJ105">
            <v>0.32289977289972166</v>
          </cell>
          <cell r="AK105">
            <v>0.25555555555555554</v>
          </cell>
          <cell r="AL105">
            <v>0.23333333333333339</v>
          </cell>
          <cell r="AM105"/>
          <cell r="AN105" t="str">
            <v>LY</v>
          </cell>
          <cell r="AO105"/>
          <cell r="AP105"/>
          <cell r="AQ105"/>
          <cell r="AR105">
            <v>0.9</v>
          </cell>
          <cell r="AS105">
            <v>1.33</v>
          </cell>
          <cell r="AT105">
            <v>2.23</v>
          </cell>
          <cell r="AU105">
            <v>0.31586402266288954</v>
          </cell>
          <cell r="AV105">
            <v>0.29060979560974948</v>
          </cell>
          <cell r="AW105"/>
          <cell r="AX105"/>
          <cell r="AZ105">
            <v>1.4039120560857463</v>
          </cell>
          <cell r="BA105">
            <v>0.84234723365144781</v>
          </cell>
          <cell r="BB105">
            <v>0.70195602804287316</v>
          </cell>
          <cell r="BC105">
            <v>0.56156482243429851</v>
          </cell>
        </row>
        <row r="106">
          <cell r="I106" t="str">
            <v>KFP45451PABEF8</v>
          </cell>
          <cell r="J106" t="str">
            <v>U0301002</v>
          </cell>
          <cell r="K106" t="str">
            <v>45X45 FACE PLATE 1 PORT FLAT ANTIBACTERIAL SGS VERIFIED 8PCS PER ECO FRIENDLY CARTON</v>
          </cell>
          <cell r="L106" t="str">
            <v>PLASTRON 45X45 1 PORT PLAT ANTIBACTÉRIEN SGS VÉRIFIÉ 8PCS PAR CARTON ÉCOLOGIQUE</v>
          </cell>
          <cell r="M106"/>
          <cell r="N106" t="str">
            <v>China</v>
          </cell>
          <cell r="O106"/>
          <cell r="P106" t="str">
            <v xml:space="preserve">8 pcs eco friendly box </v>
          </cell>
          <cell r="Q106" t="str">
            <v>5000 pcs</v>
          </cell>
          <cell r="R106">
            <v>11520</v>
          </cell>
          <cell r="S106" t="str">
            <v>4897108882739</v>
          </cell>
          <cell r="T106" t="str">
            <v>853669 9000</v>
          </cell>
          <cell r="U106">
            <v>2.3E-2</v>
          </cell>
          <cell r="V106">
            <v>45</v>
          </cell>
          <cell r="W106">
            <v>45</v>
          </cell>
          <cell r="X106">
            <v>55</v>
          </cell>
          <cell r="Y106" t="str">
            <v>T/T 30 days</v>
          </cell>
          <cell r="Z106">
            <v>0.61462970457304733</v>
          </cell>
          <cell r="AA106">
            <v>0.54464642973602906</v>
          </cell>
          <cell r="AB106">
            <v>0.1</v>
          </cell>
          <cell r="AC106">
            <v>0.1</v>
          </cell>
          <cell r="AD106">
            <v>0.42</v>
          </cell>
          <cell r="AE106" t="str">
            <v>A</v>
          </cell>
          <cell r="AF106">
            <v>0.49018178676242619</v>
          </cell>
          <cell r="AG106">
            <v>0.35555555555555551</v>
          </cell>
          <cell r="AH106">
            <v>0.54</v>
          </cell>
          <cell r="AI106">
            <v>0.3824362606232295</v>
          </cell>
          <cell r="AJ106">
            <v>0.35099436582988541</v>
          </cell>
          <cell r="AK106">
            <v>0.37777777777777766</v>
          </cell>
          <cell r="AL106">
            <v>0.35555555555555551</v>
          </cell>
          <cell r="AM106"/>
          <cell r="AN106" t="str">
            <v>LY</v>
          </cell>
          <cell r="AO106"/>
          <cell r="AP106"/>
          <cell r="AQ106"/>
          <cell r="AR106">
            <v>0.1</v>
          </cell>
          <cell r="AS106">
            <v>2.33</v>
          </cell>
          <cell r="AT106">
            <v>2.4300000000000002</v>
          </cell>
          <cell r="AU106">
            <v>0.34419263456090654</v>
          </cell>
          <cell r="AV106">
            <v>0.31589492924689688</v>
          </cell>
          <cell r="AW106"/>
          <cell r="AX106"/>
          <cell r="AZ106">
            <v>1.815488099120097</v>
          </cell>
          <cell r="BA106">
            <v>1.0892928594720581</v>
          </cell>
          <cell r="BB106">
            <v>0.9077440495600485</v>
          </cell>
          <cell r="BC106">
            <v>0.72619523964803889</v>
          </cell>
        </row>
        <row r="107">
          <cell r="I107" t="str">
            <v>KFP45452PABEF8</v>
          </cell>
          <cell r="J107" t="str">
            <v>U0301005</v>
          </cell>
          <cell r="K107" t="str">
            <v>45X45 FACE PLATE 2 PORTS FLAT ANTIBACTERIAL SGS VERIFIED 8PCS PER ECO FRIENDLY CARTON</v>
          </cell>
          <cell r="L107" t="str">
            <v>PLASTRON 45X45 2 PORTS PLAT ANTIBACTÉRIEN SGS VÉRIFIÉ 8PCS PAR CARTON ÉCOLOGIQUE</v>
          </cell>
          <cell r="M107"/>
          <cell r="N107" t="str">
            <v>China</v>
          </cell>
          <cell r="O107"/>
          <cell r="P107" t="str">
            <v xml:space="preserve">8 pcs eco friendly box </v>
          </cell>
          <cell r="Q107" t="str">
            <v>5000 pcs</v>
          </cell>
          <cell r="R107">
            <v>11520</v>
          </cell>
          <cell r="S107" t="str">
            <v>4897108882746</v>
          </cell>
          <cell r="T107" t="str">
            <v>853669 9000</v>
          </cell>
          <cell r="U107">
            <v>2.3E-2</v>
          </cell>
          <cell r="V107">
            <v>45</v>
          </cell>
          <cell r="W107">
            <v>45</v>
          </cell>
          <cell r="X107">
            <v>55</v>
          </cell>
          <cell r="Y107" t="str">
            <v>T/T 30 days</v>
          </cell>
          <cell r="Z107">
            <v>0.64942006520925755</v>
          </cell>
          <cell r="AA107">
            <v>0.57435441681253974</v>
          </cell>
          <cell r="AB107">
            <v>0.1</v>
          </cell>
          <cell r="AC107">
            <v>0.1</v>
          </cell>
          <cell r="AD107">
            <v>0.45</v>
          </cell>
          <cell r="AE107" t="str">
            <v>A</v>
          </cell>
          <cell r="AF107">
            <v>0.51691897513128582</v>
          </cell>
          <cell r="AG107">
            <v>0.38888888888888895</v>
          </cell>
          <cell r="AH107">
            <v>0.56999999999999995</v>
          </cell>
          <cell r="AI107">
            <v>0.3824362606232295</v>
          </cell>
          <cell r="AJ107">
            <v>0.35099436582988541</v>
          </cell>
          <cell r="AK107">
            <v>0.41111111111111098</v>
          </cell>
          <cell r="AL107">
            <v>0.38888888888888884</v>
          </cell>
          <cell r="AM107"/>
          <cell r="AN107" t="str">
            <v>LY</v>
          </cell>
          <cell r="AO107"/>
          <cell r="AP107"/>
          <cell r="AQ107"/>
          <cell r="AR107">
            <v>0.1</v>
          </cell>
          <cell r="AS107">
            <v>2.33</v>
          </cell>
          <cell r="AT107">
            <v>2.4300000000000002</v>
          </cell>
          <cell r="AU107">
            <v>0.34419263456090654</v>
          </cell>
          <cell r="AV107">
            <v>0.31589492924689688</v>
          </cell>
          <cell r="AW107"/>
          <cell r="AX107"/>
          <cell r="AZ107">
            <v>1.9145147227084658</v>
          </cell>
          <cell r="BA107">
            <v>1.1487088336250795</v>
          </cell>
          <cell r="BB107">
            <v>0.95725736135423289</v>
          </cell>
          <cell r="BC107">
            <v>0.76580588908338632</v>
          </cell>
        </row>
        <row r="108">
          <cell r="I108" t="str">
            <v>KWP86861PEF8</v>
          </cell>
          <cell r="J108" t="str">
            <v>U0301010</v>
          </cell>
          <cell r="K108" t="str">
            <v>86X86 WALL PLATE 1 PORT 8PCS PER ECO FRIENDLY CARTON</v>
          </cell>
          <cell r="L108" t="str">
            <v>PLAQUE MURALE 86X86 1 PORT 8PCS PAR CARTON ÉCOLOGIQUE</v>
          </cell>
          <cell r="M108"/>
          <cell r="N108" t="str">
            <v>China</v>
          </cell>
          <cell r="O108"/>
          <cell r="P108" t="str">
            <v xml:space="preserve">8 pcs eco friendly box </v>
          </cell>
          <cell r="Q108" t="str">
            <v>5000 pcs</v>
          </cell>
          <cell r="R108">
            <v>4320</v>
          </cell>
          <cell r="S108" t="e">
            <v>#N/A</v>
          </cell>
          <cell r="T108" t="str">
            <v>853669 9000</v>
          </cell>
          <cell r="U108">
            <v>2.3E-2</v>
          </cell>
          <cell r="V108">
            <v>45</v>
          </cell>
          <cell r="W108">
            <v>45</v>
          </cell>
          <cell r="X108">
            <v>55</v>
          </cell>
          <cell r="Y108" t="str">
            <v>T/T 30 days</v>
          </cell>
          <cell r="Z108">
            <v>0.63310155378144062</v>
          </cell>
          <cell r="AA108">
            <v>0.58250569014128362</v>
          </cell>
          <cell r="AB108">
            <v>0.1</v>
          </cell>
          <cell r="AC108">
            <v>0.1</v>
          </cell>
          <cell r="AD108">
            <v>0.32</v>
          </cell>
          <cell r="AE108" t="str">
            <v>C</v>
          </cell>
          <cell r="AF108">
            <v>0.58250569014128362</v>
          </cell>
          <cell r="AG108">
            <v>0.32000000000000006</v>
          </cell>
          <cell r="AH108" t="e">
            <v>#N/A</v>
          </cell>
          <cell r="AI108">
            <v>0.46427447277305639</v>
          </cell>
          <cell r="AJ108">
            <v>0.44011541032896978</v>
          </cell>
          <cell r="AK108">
            <v>0.26666666666666672</v>
          </cell>
          <cell r="AL108">
            <v>0.24444444444444458</v>
          </cell>
          <cell r="AM108"/>
          <cell r="AN108" t="str">
            <v>DOPPLER</v>
          </cell>
          <cell r="AO108"/>
          <cell r="AP108"/>
          <cell r="AQ108"/>
          <cell r="AR108">
            <v>0.25</v>
          </cell>
          <cell r="AS108">
            <v>2.7</v>
          </cell>
          <cell r="AT108">
            <v>2.95</v>
          </cell>
          <cell r="AU108">
            <v>0.41784702549575076</v>
          </cell>
          <cell r="AV108">
            <v>0.39610386929607283</v>
          </cell>
          <cell r="AW108" t="str">
            <v>LOD 141</v>
          </cell>
          <cell r="AX108"/>
          <cell r="AZ108">
            <v>1.9416856338042787</v>
          </cell>
          <cell r="BA108">
            <v>1.1650113802825672</v>
          </cell>
          <cell r="BB108">
            <v>0.97084281690213936</v>
          </cell>
          <cell r="BC108">
            <v>0.77667425352171149</v>
          </cell>
        </row>
        <row r="109">
          <cell r="I109" t="str">
            <v>KWP86862PEF8</v>
          </cell>
          <cell r="J109" t="str">
            <v>U0301011</v>
          </cell>
          <cell r="K109" t="str">
            <v>86X86 WALL PLATE 2 PORTS 8PCS PER ECO FRIENDLY CARTON</v>
          </cell>
          <cell r="L109" t="str">
            <v>PLAQUE MURALE 86X86 2 PORTS 8PCS PAR CARTON ÉCOLOGIQUE</v>
          </cell>
          <cell r="M109"/>
          <cell r="N109" t="str">
            <v>China</v>
          </cell>
          <cell r="O109"/>
          <cell r="P109" t="str">
            <v xml:space="preserve">8 pcs eco friendly box </v>
          </cell>
          <cell r="Q109" t="str">
            <v>5000 pcs</v>
          </cell>
          <cell r="R109">
            <v>4320</v>
          </cell>
          <cell r="S109" t="e">
            <v>#N/A</v>
          </cell>
          <cell r="T109" t="str">
            <v>853669 9000</v>
          </cell>
          <cell r="U109">
            <v>2.3E-2</v>
          </cell>
          <cell r="V109">
            <v>45</v>
          </cell>
          <cell r="W109">
            <v>45</v>
          </cell>
          <cell r="X109">
            <v>55</v>
          </cell>
          <cell r="Y109" t="str">
            <v>T/T 30 days</v>
          </cell>
          <cell r="Z109">
            <v>0.72967636707013483</v>
          </cell>
          <cell r="AA109">
            <v>0.66616973526419787</v>
          </cell>
          <cell r="AB109">
            <v>0.1</v>
          </cell>
          <cell r="AC109">
            <v>0.1</v>
          </cell>
          <cell r="AD109">
            <v>0.32</v>
          </cell>
          <cell r="AE109" t="str">
            <v>C</v>
          </cell>
          <cell r="AF109">
            <v>0.66616973526419787</v>
          </cell>
          <cell r="AG109">
            <v>0.32000000000000006</v>
          </cell>
          <cell r="AH109" t="e">
            <v>#N/A</v>
          </cell>
          <cell r="AI109">
            <v>0.53509600251809886</v>
          </cell>
          <cell r="AJ109">
            <v>0.50332824442183832</v>
          </cell>
          <cell r="AK109">
            <v>0.26666666666666672</v>
          </cell>
          <cell r="AL109">
            <v>0.24444444444444458</v>
          </cell>
          <cell r="AM109"/>
          <cell r="AN109" t="str">
            <v>DOPPLER</v>
          </cell>
          <cell r="AO109"/>
          <cell r="AP109"/>
          <cell r="AQ109"/>
          <cell r="AR109">
            <v>0.25</v>
          </cell>
          <cell r="AS109">
            <v>3.15</v>
          </cell>
          <cell r="AT109">
            <v>3.4</v>
          </cell>
          <cell r="AU109">
            <v>0.48158640226628896</v>
          </cell>
          <cell r="AV109">
            <v>0.45299541997965448</v>
          </cell>
          <cell r="AW109" t="str">
            <v>LOD 142</v>
          </cell>
          <cell r="AX109"/>
          <cell r="AZ109">
            <v>2.220565784213993</v>
          </cell>
          <cell r="BA109">
            <v>1.3323394705283957</v>
          </cell>
          <cell r="BB109">
            <v>1.1102828921069965</v>
          </cell>
          <cell r="BC109">
            <v>0.88822631368559724</v>
          </cell>
        </row>
        <row r="110">
          <cell r="I110" t="str">
            <v>KSB868645EF</v>
          </cell>
          <cell r="J110" t="str">
            <v>U0301009</v>
          </cell>
          <cell r="K110" t="str">
            <v>86X86 SURFACE MOUNTING BOX DEPTH 45MM ECO FRIENDLY CARTON</v>
          </cell>
          <cell r="L110" t="str">
            <v>BOÎTIER DE MONTAGE EN SAILLIE 86X86 PROFONDEUR 45MM CARTON ÉCOLOGIQUE</v>
          </cell>
          <cell r="M110"/>
          <cell r="N110" t="str">
            <v>China</v>
          </cell>
          <cell r="O110"/>
          <cell r="P110" t="str">
            <v>1 pc eco friendly box</v>
          </cell>
          <cell r="Q110" t="str">
            <v>1000 pcs</v>
          </cell>
          <cell r="R110">
            <v>2000</v>
          </cell>
          <cell r="S110" t="e">
            <v>#N/A</v>
          </cell>
          <cell r="T110" t="str">
            <v>853669 9000</v>
          </cell>
          <cell r="U110">
            <v>2.3E-2</v>
          </cell>
          <cell r="V110">
            <v>45</v>
          </cell>
          <cell r="W110">
            <v>45</v>
          </cell>
          <cell r="X110">
            <v>55</v>
          </cell>
          <cell r="Y110" t="str">
            <v>T/T 30 days</v>
          </cell>
          <cell r="Z110">
            <v>0.69319254871662817</v>
          </cell>
          <cell r="AA110">
            <v>0.67405133564695752</v>
          </cell>
          <cell r="AB110">
            <v>0.1</v>
          </cell>
          <cell r="AC110">
            <v>0.1</v>
          </cell>
          <cell r="AD110">
            <v>0.32</v>
          </cell>
          <cell r="AE110" t="str">
            <v>C</v>
          </cell>
          <cell r="AF110">
            <v>0.67405133564695752</v>
          </cell>
          <cell r="AG110">
            <v>0.32000000000000006</v>
          </cell>
          <cell r="AH110" t="e">
            <v>#N/A</v>
          </cell>
          <cell r="AI110">
            <v>0.50834120239219394</v>
          </cell>
          <cell r="AJ110">
            <v>0.50928323137770115</v>
          </cell>
          <cell r="AK110">
            <v>0.26666666666666672</v>
          </cell>
          <cell r="AL110">
            <v>0.24444444444444458</v>
          </cell>
          <cell r="AM110"/>
          <cell r="AN110" t="str">
            <v>LY</v>
          </cell>
          <cell r="AO110"/>
          <cell r="AP110"/>
          <cell r="AQ110"/>
          <cell r="AR110">
            <v>0.5</v>
          </cell>
          <cell r="AS110">
            <v>2.73</v>
          </cell>
          <cell r="AT110">
            <v>3.23</v>
          </cell>
          <cell r="AU110">
            <v>0.45750708215297453</v>
          </cell>
          <cell r="AV110">
            <v>0.45835490823993108</v>
          </cell>
          <cell r="AW110" t="str">
            <v>LY-FP109 45MM</v>
          </cell>
          <cell r="AX110"/>
          <cell r="AZ110">
            <v>2.2468377854898587</v>
          </cell>
          <cell r="BA110">
            <v>1.3481026712939153</v>
          </cell>
          <cell r="BB110">
            <v>1.1234188927449293</v>
          </cell>
          <cell r="BC110">
            <v>0.89873511419594354</v>
          </cell>
        </row>
        <row r="111">
          <cell r="I111" t="str">
            <v>KSB868636EF</v>
          </cell>
          <cell r="J111" t="str">
            <v>U0301008</v>
          </cell>
          <cell r="K111" t="str">
            <v>86X86 SURFACE MOUNTING BOX DEPTH 36MM ECO FRIENDLY CARTON</v>
          </cell>
          <cell r="L111" t="str">
            <v>BOÎTIER DE MONTAGE EN SAILLIE 86X86 PROFONDEUR 36MM CARTON ÉCOLOGIQUE</v>
          </cell>
          <cell r="M111"/>
          <cell r="N111" t="str">
            <v>China</v>
          </cell>
          <cell r="O111"/>
          <cell r="P111" t="str">
            <v>1 pc eco friendly box</v>
          </cell>
          <cell r="Q111" t="str">
            <v>1000 pcs</v>
          </cell>
          <cell r="R111">
            <v>2000</v>
          </cell>
          <cell r="S111" t="e">
            <v>#N/A</v>
          </cell>
          <cell r="T111" t="str">
            <v>853669 9000</v>
          </cell>
          <cell r="U111">
            <v>2.3E-2</v>
          </cell>
          <cell r="V111">
            <v>45</v>
          </cell>
          <cell r="W111">
            <v>45</v>
          </cell>
          <cell r="X111">
            <v>55</v>
          </cell>
          <cell r="Y111" t="str">
            <v>T/T 30 days</v>
          </cell>
          <cell r="Z111">
            <v>0.56657223796034017</v>
          </cell>
          <cell r="AA111">
            <v>0.57217925031818384</v>
          </cell>
          <cell r="AB111">
            <v>0.1</v>
          </cell>
          <cell r="AC111">
            <v>0.1</v>
          </cell>
          <cell r="AD111">
            <v>0.4</v>
          </cell>
          <cell r="AE111" t="str">
            <v>C</v>
          </cell>
          <cell r="AF111">
            <v>0.57217925031818384</v>
          </cell>
          <cell r="AG111">
            <v>0.4</v>
          </cell>
          <cell r="AH111" t="e">
            <v>#N/A</v>
          </cell>
          <cell r="AI111">
            <v>0.36512433112999693</v>
          </cell>
          <cell r="AJ111">
            <v>0.38145283354545589</v>
          </cell>
          <cell r="AK111">
            <v>0.35555555555555574</v>
          </cell>
          <cell r="AL111">
            <v>0.33333333333333337</v>
          </cell>
          <cell r="AM111"/>
          <cell r="AN111" t="str">
            <v>LY</v>
          </cell>
          <cell r="AO111"/>
          <cell r="AP111"/>
          <cell r="AQ111"/>
          <cell r="AR111">
            <v>0.5</v>
          </cell>
          <cell r="AS111">
            <v>1.82</v>
          </cell>
          <cell r="AT111">
            <v>2.3200000000000003</v>
          </cell>
          <cell r="AU111">
            <v>0.32861189801699725</v>
          </cell>
          <cell r="AV111">
            <v>0.3433075501909103</v>
          </cell>
          <cell r="AW111" t="str">
            <v>LY-FP108 37MM</v>
          </cell>
          <cell r="AX111"/>
          <cell r="AZ111">
            <v>1.9072641677272795</v>
          </cell>
          <cell r="BA111">
            <v>1.1443585006363677</v>
          </cell>
          <cell r="BB111">
            <v>0.95363208386363973</v>
          </cell>
          <cell r="BC111">
            <v>0.76290566709091179</v>
          </cell>
        </row>
        <row r="112">
          <cell r="I112" t="str">
            <v>KFP225451PEF12</v>
          </cell>
          <cell r="J112" t="str">
            <v/>
          </cell>
          <cell r="K112" t="str">
            <v>22.5X45 FACE PLATE 1 PORT FLAT 12PCS PER ECO FRIENDLY CARTON</v>
          </cell>
          <cell r="L112" t="str">
            <v>PLASTRON 22.5X45 1 PORT PLAT 12PCS PAR CARTON ÉCOLOGIQUE</v>
          </cell>
          <cell r="M112"/>
          <cell r="N112" t="str">
            <v>China</v>
          </cell>
          <cell r="O112"/>
          <cell r="P112" t="str">
            <v>12 pcs eco friendly box</v>
          </cell>
          <cell r="Q112" t="str">
            <v>5000 pcs</v>
          </cell>
          <cell r="R112">
            <v>12960</v>
          </cell>
          <cell r="S112" t="e">
            <v>#N/A</v>
          </cell>
          <cell r="T112" t="str">
            <v>853669 9000</v>
          </cell>
          <cell r="U112">
            <v>2.3E-2</v>
          </cell>
          <cell r="V112">
            <v>45</v>
          </cell>
          <cell r="W112">
            <v>45</v>
          </cell>
          <cell r="X112">
            <v>55</v>
          </cell>
          <cell r="Y112" t="str">
            <v>T/T 30 days</v>
          </cell>
          <cell r="Z112">
            <v>0.24036397974075036</v>
          </cell>
          <cell r="AA112">
            <v>0.21957764375109079</v>
          </cell>
          <cell r="AB112">
            <v>0.1</v>
          </cell>
          <cell r="AC112">
            <v>0.1</v>
          </cell>
          <cell r="AD112">
            <v>0.32</v>
          </cell>
          <cell r="AE112" t="str">
            <v>A</v>
          </cell>
          <cell r="AF112">
            <v>0.19761987937598172</v>
          </cell>
          <cell r="AG112">
            <v>0.24444444444444458</v>
          </cell>
          <cell r="AH112" t="e">
            <v>#N/A</v>
          </cell>
          <cell r="AI112">
            <v>0.17626691847655024</v>
          </cell>
          <cell r="AJ112">
            <v>0.16590310861193525</v>
          </cell>
          <cell r="AK112">
            <v>0.26666666666666672</v>
          </cell>
          <cell r="AL112">
            <v>0.24444444444444458</v>
          </cell>
          <cell r="AM112"/>
          <cell r="AN112" t="str">
            <v>LY</v>
          </cell>
          <cell r="AO112"/>
          <cell r="AP112"/>
          <cell r="AQ112"/>
          <cell r="AR112"/>
          <cell r="AS112">
            <v>1.1200000000000001</v>
          </cell>
          <cell r="AT112">
            <v>1.1200000000000001</v>
          </cell>
          <cell r="AU112">
            <v>0.15864022662889521</v>
          </cell>
          <cell r="AV112">
            <v>0.14931279775074172</v>
          </cell>
          <cell r="AW112" t="str">
            <v>LY-FP48</v>
          </cell>
          <cell r="AX112"/>
          <cell r="AZ112">
            <v>0.73192547917030271</v>
          </cell>
          <cell r="BA112">
            <v>0.43915528750218163</v>
          </cell>
          <cell r="BB112">
            <v>0.36596273958515135</v>
          </cell>
          <cell r="BC112">
            <v>0.29277019166812107</v>
          </cell>
        </row>
        <row r="113">
          <cell r="I113" t="str">
            <v>KMP6AUXSEF1</v>
          </cell>
          <cell r="J113" t="str">
            <v/>
          </cell>
          <cell r="K113" t="str">
            <v>CAT6A RJ45 MINI PLUG UNSHIELDED TOOLESS 1PCS PER ECO FRIENDLY BAG</v>
          </cell>
          <cell r="L113" t="str">
            <v>MINI CONNECTEUR DE TERRAIN CAT6A RJ45 NON BLINDÉE SANS OUTIL 1PCS PAR SAC ÉCOLOGIQUE</v>
          </cell>
          <cell r="M113"/>
          <cell r="N113" t="str">
            <v>China</v>
          </cell>
          <cell r="O113"/>
          <cell r="P113" t="str">
            <v xml:space="preserve">1 pcs eco friendly box </v>
          </cell>
          <cell r="Q113" t="str">
            <v>10 000pcs</v>
          </cell>
          <cell r="R113">
            <v>8064</v>
          </cell>
          <cell r="S113" t="e">
            <v>#N/A</v>
          </cell>
          <cell r="T113" t="str">
            <v>853669 9099</v>
          </cell>
          <cell r="U113">
            <v>2.3E-2</v>
          </cell>
          <cell r="V113">
            <v>45</v>
          </cell>
          <cell r="W113">
            <v>45</v>
          </cell>
          <cell r="X113">
            <v>55</v>
          </cell>
          <cell r="Y113" t="str">
            <v>T/T 30days</v>
          </cell>
          <cell r="Z113">
            <v>0</v>
          </cell>
          <cell r="AA113">
            <v>1.6757829257829256E-2</v>
          </cell>
          <cell r="AB113">
            <v>0.1</v>
          </cell>
          <cell r="AC113">
            <v>0.1</v>
          </cell>
          <cell r="AD113">
            <v>0.26</v>
          </cell>
          <cell r="AE113" t="str">
            <v>C</v>
          </cell>
          <cell r="AF113">
            <v>1.6757829257829256E-2</v>
          </cell>
          <cell r="AG113">
            <v>0.26</v>
          </cell>
          <cell r="AH113" t="e">
            <v>#N/A</v>
          </cell>
          <cell r="AI113">
            <v>0</v>
          </cell>
          <cell r="AJ113">
            <v>1.3778659611992945E-2</v>
          </cell>
          <cell r="AK113" t="e">
            <v>#DIV/0!</v>
          </cell>
          <cell r="AL113">
            <v>0.1777777777777777</v>
          </cell>
          <cell r="AM113"/>
          <cell r="AN113" t="str">
            <v>LY</v>
          </cell>
          <cell r="AO113"/>
          <cell r="AP113"/>
          <cell r="AQ113"/>
          <cell r="AR113"/>
          <cell r="AS113"/>
          <cell r="AT113">
            <v>0</v>
          </cell>
          <cell r="AU113">
            <v>0</v>
          </cell>
          <cell r="AV113">
            <v>1.240079365079365E-2</v>
          </cell>
          <cell r="AW113"/>
          <cell r="AX113" t="str">
            <v>863690 1100</v>
          </cell>
          <cell r="AZ113">
            <v>5.5859430859430854E-2</v>
          </cell>
          <cell r="BA113">
            <v>3.3515658515658513E-2</v>
          </cell>
          <cell r="BB113">
            <v>2.7929715429715427E-2</v>
          </cell>
          <cell r="BC113">
            <v>2.2343772343772342E-2</v>
          </cell>
        </row>
        <row r="114">
          <cell r="I114" t="str">
            <v>KMP6AFSXSEF1</v>
          </cell>
          <cell r="J114" t="str">
            <v/>
          </cell>
          <cell r="K114" t="str">
            <v>CAT6A RJ45 MINI PLUG SHIELDED TOOLESS 1PCS PER ECO FRIENDLY BAG</v>
          </cell>
          <cell r="L114" t="str">
            <v>MINI CONNECTEUR DE TERRAIN CAT6A RJ45 BLINDÉE SANS OUTIL 1PCS PAR SAC ÉCOLOGIQUE</v>
          </cell>
          <cell r="M114"/>
          <cell r="N114" t="str">
            <v>China</v>
          </cell>
          <cell r="O114"/>
          <cell r="P114" t="str">
            <v xml:space="preserve">1 pcs eco friendly box </v>
          </cell>
          <cell r="Q114" t="str">
            <v>10 000pcs</v>
          </cell>
          <cell r="R114">
            <v>8064</v>
          </cell>
          <cell r="S114" t="e">
            <v>#N/A</v>
          </cell>
          <cell r="T114" t="str">
            <v>853669 9099</v>
          </cell>
          <cell r="U114">
            <v>2.3E-2</v>
          </cell>
          <cell r="V114">
            <v>45</v>
          </cell>
          <cell r="W114">
            <v>45</v>
          </cell>
          <cell r="X114">
            <v>55</v>
          </cell>
          <cell r="Y114" t="str">
            <v>T/T 30days</v>
          </cell>
          <cell r="Z114">
            <v>1.6761095372993393</v>
          </cell>
          <cell r="AA114">
            <v>1.4702724443844133</v>
          </cell>
          <cell r="AB114">
            <v>0.1</v>
          </cell>
          <cell r="AC114">
            <v>0.1</v>
          </cell>
          <cell r="AD114">
            <v>0.32</v>
          </cell>
          <cell r="AE114" t="str">
            <v>C</v>
          </cell>
          <cell r="AF114">
            <v>1.4702724443844133</v>
          </cell>
          <cell r="AG114">
            <v>0.32000000000000006</v>
          </cell>
          <cell r="AH114">
            <v>1.46</v>
          </cell>
          <cell r="AI114">
            <v>1.2291469940195152</v>
          </cell>
          <cell r="AJ114">
            <v>1.11087251353489</v>
          </cell>
          <cell r="AK114">
            <v>0.26666666666666683</v>
          </cell>
          <cell r="AL114">
            <v>0.24444444444444446</v>
          </cell>
          <cell r="AM114"/>
          <cell r="AN114" t="str">
            <v>LY</v>
          </cell>
          <cell r="AO114"/>
          <cell r="AP114"/>
          <cell r="AQ114"/>
          <cell r="AR114">
            <v>0.35</v>
          </cell>
          <cell r="AS114">
            <v>7.46</v>
          </cell>
          <cell r="AT114">
            <v>7.81</v>
          </cell>
          <cell r="AU114">
            <v>1.1062322946175638</v>
          </cell>
          <cell r="AV114">
            <v>0.99978526218140096</v>
          </cell>
          <cell r="AW114"/>
          <cell r="AX114" t="str">
            <v>863690 1100</v>
          </cell>
          <cell r="AZ114">
            <v>4.9009081479480443</v>
          </cell>
          <cell r="BA114">
            <v>2.9405448887688266</v>
          </cell>
          <cell r="BB114">
            <v>2.4504540739740222</v>
          </cell>
          <cell r="BC114">
            <v>1.9603632591792177</v>
          </cell>
        </row>
        <row r="115">
          <cell r="I115" t="str">
            <v>KMP6AUEF1</v>
          </cell>
          <cell r="J115" t="str">
            <v/>
          </cell>
          <cell r="K115" t="str">
            <v>CAT6A RJ45 FIELD PLUG UNSHIELDED TOOLESS 1PCS PER ECO FRIENDLY BAG</v>
          </cell>
          <cell r="L115" t="str">
            <v>CONNECTEUR DE TERRAIN CAT6A RJ45 NON BLINDÉE SANS OUTIL 1PCS PAR SAC ÉCOLOGIQUE</v>
          </cell>
          <cell r="M115"/>
          <cell r="N115" t="str">
            <v>China</v>
          </cell>
          <cell r="O115"/>
          <cell r="P115" t="str">
            <v xml:space="preserve">1 pcs eco friendly box </v>
          </cell>
          <cell r="Q115" t="str">
            <v>10 000pcs</v>
          </cell>
          <cell r="R115">
            <v>8064</v>
          </cell>
          <cell r="S115" t="e">
            <v>#N/A</v>
          </cell>
          <cell r="T115" t="str">
            <v>853669 9099</v>
          </cell>
          <cell r="U115">
            <v>2.3E-2</v>
          </cell>
          <cell r="V115">
            <v>45</v>
          </cell>
          <cell r="W115">
            <v>45</v>
          </cell>
          <cell r="X115">
            <v>55</v>
          </cell>
          <cell r="Y115" t="str">
            <v>T/T 30days</v>
          </cell>
          <cell r="Z115">
            <v>0.86443926012331285</v>
          </cell>
          <cell r="AA115">
            <v>0.76723902374514685</v>
          </cell>
          <cell r="AB115">
            <v>0.1</v>
          </cell>
          <cell r="AC115">
            <v>0.1</v>
          </cell>
          <cell r="AD115">
            <v>0.3</v>
          </cell>
          <cell r="AE115" t="str">
            <v>C</v>
          </cell>
          <cell r="AF115">
            <v>0.76723902374514685</v>
          </cell>
          <cell r="AG115">
            <v>0.30000000000000004</v>
          </cell>
          <cell r="AH115">
            <v>0.76</v>
          </cell>
          <cell r="AI115">
            <v>0.65313188542650302</v>
          </cell>
          <cell r="AJ115">
            <v>0.59674146291289198</v>
          </cell>
          <cell r="AK115">
            <v>0.24444444444444446</v>
          </cell>
          <cell r="AL115">
            <v>0.22222222222222221</v>
          </cell>
          <cell r="AM115"/>
          <cell r="AN115" t="str">
            <v>LY</v>
          </cell>
          <cell r="AO115"/>
          <cell r="AP115"/>
          <cell r="AQ115"/>
          <cell r="AR115">
            <v>0.35</v>
          </cell>
          <cell r="AS115">
            <v>3.8</v>
          </cell>
          <cell r="AT115">
            <v>4.1499999999999995</v>
          </cell>
          <cell r="AU115">
            <v>0.58781869688385269</v>
          </cell>
          <cell r="AV115">
            <v>0.53706731662160279</v>
          </cell>
          <cell r="AW115"/>
          <cell r="AX115" t="str">
            <v>863690 1100</v>
          </cell>
          <cell r="AZ115">
            <v>2.5574634124838229</v>
          </cell>
          <cell r="BA115">
            <v>1.5344780474902937</v>
          </cell>
          <cell r="BB115">
            <v>1.2787317062419115</v>
          </cell>
          <cell r="BC115">
            <v>1.0229853649935292</v>
          </cell>
        </row>
        <row r="116">
          <cell r="I116" t="str">
            <v>KMP6AFSEF1</v>
          </cell>
          <cell r="J116" t="str">
            <v/>
          </cell>
          <cell r="K116" t="str">
            <v>CAT6A RJ45 FIELD PLUG SHIELDED TOOLESS 1PCS PER ECO FRIENDLY BAG</v>
          </cell>
          <cell r="L116" t="str">
            <v>CONNECTEUR DE TERRAIN CAT6A RJ45 BLINDÉE SANS OUTIL 1PCS PAR SAC ÉCOLOGIQUE</v>
          </cell>
          <cell r="M116"/>
          <cell r="N116" t="str">
            <v>China</v>
          </cell>
          <cell r="O116"/>
          <cell r="P116" t="str">
            <v xml:space="preserve">1 pcs eco friendly box </v>
          </cell>
          <cell r="Q116" t="str">
            <v>10 000pcs</v>
          </cell>
          <cell r="R116">
            <v>8064</v>
          </cell>
          <cell r="S116" t="e">
            <v>#N/A</v>
          </cell>
          <cell r="T116" t="str">
            <v>853669 9099</v>
          </cell>
          <cell r="U116">
            <v>2.3E-2</v>
          </cell>
          <cell r="V116">
            <v>45</v>
          </cell>
          <cell r="W116">
            <v>45</v>
          </cell>
          <cell r="X116">
            <v>55</v>
          </cell>
          <cell r="Y116" t="str">
            <v>T/T 30days</v>
          </cell>
          <cell r="Z116">
            <v>1.7289446467916723</v>
          </cell>
          <cell r="AA116">
            <v>1.5147910492294037</v>
          </cell>
          <cell r="AB116">
            <v>0.1</v>
          </cell>
          <cell r="AC116">
            <v>0.1</v>
          </cell>
          <cell r="AD116">
            <v>0.35</v>
          </cell>
          <cell r="AE116" t="str">
            <v>C</v>
          </cell>
          <cell r="AF116">
            <v>1.5147910492294037</v>
          </cell>
          <cell r="AG116">
            <v>0.35</v>
          </cell>
          <cell r="AH116">
            <v>1.5</v>
          </cell>
          <cell r="AI116">
            <v>1.2102612527541705</v>
          </cell>
          <cell r="AJ116">
            <v>1.0940157577767915</v>
          </cell>
          <cell r="AK116">
            <v>0.30000000000000004</v>
          </cell>
          <cell r="AL116">
            <v>0.27777777777777779</v>
          </cell>
          <cell r="AM116"/>
          <cell r="AN116" t="str">
            <v>LY</v>
          </cell>
          <cell r="AO116"/>
          <cell r="AP116"/>
          <cell r="AQ116"/>
          <cell r="AR116">
            <v>0.35</v>
          </cell>
          <cell r="AS116">
            <v>7.34</v>
          </cell>
          <cell r="AT116">
            <v>7.6899999999999995</v>
          </cell>
          <cell r="AU116">
            <v>1.0892351274787535</v>
          </cell>
          <cell r="AV116">
            <v>0.98461418199911244</v>
          </cell>
          <cell r="AW116" t="str">
            <v>1pc per eco bag -&gt; 24pcs per transparent polybag</v>
          </cell>
          <cell r="AX116" t="str">
            <v>863690 1100</v>
          </cell>
          <cell r="AZ116">
            <v>5.049303497431346</v>
          </cell>
          <cell r="BA116">
            <v>3.0295820984588073</v>
          </cell>
          <cell r="BB116">
            <v>2.524651748715673</v>
          </cell>
          <cell r="BC116">
            <v>2.0197213989725387</v>
          </cell>
        </row>
        <row r="117">
          <cell r="I117" t="str">
            <v>KMPFF6AFSEF1</v>
          </cell>
          <cell r="J117" t="str">
            <v/>
          </cell>
          <cell r="K117" t="str">
            <v>CAT6A FIELD EXTENDER FEMALE/FEMALE SHIELDED TOOLESS WITH SHUTTER 1PCS PER ECO FRIENDLY BAG</v>
          </cell>
          <cell r="L117" t="str">
            <v>TRAVERSEE DE TERRAIN CAT6A FEMELLE/FEMELLE BLINDÉE SANS OUTIL AVEC ANTI-POUSSIÈRE 1PCS PAR SAC ÉCOLOGIQUE</v>
          </cell>
          <cell r="M117"/>
          <cell r="N117" t="str">
            <v>China</v>
          </cell>
          <cell r="O117"/>
          <cell r="P117" t="str">
            <v xml:space="preserve">1 pcs eco friendly box </v>
          </cell>
          <cell r="Q117" t="str">
            <v>10 000pcs</v>
          </cell>
          <cell r="R117">
            <v>8064</v>
          </cell>
          <cell r="S117" t="e">
            <v>#N/A</v>
          </cell>
          <cell r="T117" t="str">
            <v>853669 9099</v>
          </cell>
          <cell r="U117">
            <v>2.3E-2</v>
          </cell>
          <cell r="V117">
            <v>45</v>
          </cell>
          <cell r="W117">
            <v>45</v>
          </cell>
          <cell r="X117">
            <v>55</v>
          </cell>
          <cell r="Y117" t="str">
            <v>T/T 30days</v>
          </cell>
          <cell r="Z117">
            <v>1.5400872341382257</v>
          </cell>
          <cell r="AA117">
            <v>1.3514101857278358</v>
          </cell>
          <cell r="AB117">
            <v>0.1</v>
          </cell>
          <cell r="AC117">
            <v>0.1</v>
          </cell>
          <cell r="AD117">
            <v>0.35</v>
          </cell>
          <cell r="AE117" t="str">
            <v>C</v>
          </cell>
          <cell r="AF117">
            <v>1.3514101857278358</v>
          </cell>
          <cell r="AG117">
            <v>0.35</v>
          </cell>
          <cell r="AH117">
            <v>1.34</v>
          </cell>
          <cell r="AI117">
            <v>1.0780610638967578</v>
          </cell>
          <cell r="AJ117">
            <v>0.97601846747010357</v>
          </cell>
          <cell r="AK117">
            <v>0.30000000000000016</v>
          </cell>
          <cell r="AL117">
            <v>0.27777777777777779</v>
          </cell>
          <cell r="AM117"/>
          <cell r="AN117" t="str">
            <v>LY</v>
          </cell>
          <cell r="AO117"/>
          <cell r="AP117"/>
          <cell r="AQ117"/>
          <cell r="AR117">
            <v>0.35</v>
          </cell>
          <cell r="AS117">
            <v>6.5</v>
          </cell>
          <cell r="AT117">
            <v>6.85</v>
          </cell>
          <cell r="AU117">
            <v>0.97025495750708213</v>
          </cell>
          <cell r="AV117">
            <v>0.87841662072309323</v>
          </cell>
          <cell r="AW117" t="str">
            <v>LY-KJ-AP016-S6A w/shutter</v>
          </cell>
          <cell r="AX117" t="str">
            <v>863690 1100</v>
          </cell>
          <cell r="AZ117">
            <v>4.5047006190927865</v>
          </cell>
          <cell r="BA117">
            <v>2.702820371455672</v>
          </cell>
          <cell r="BB117">
            <v>2.2523503095463933</v>
          </cell>
          <cell r="BC117">
            <v>1.8018802476371147</v>
          </cell>
        </row>
        <row r="118">
          <cell r="I118" t="str">
            <v>KMP6AFSHQEF1</v>
          </cell>
          <cell r="J118" t="str">
            <v/>
          </cell>
          <cell r="K118" t="str">
            <v>CAT6A RJ45 FIELD PLUG SHIELDED TOOLESS DELTA FORCE CERTIFIED 1PCS PER ECO FRIENDLY BAG</v>
          </cell>
          <cell r="L118" t="str">
            <v>CONNECTEUR DE TERRAIN CAT6A RJ45 BLINDÉE SANS OUTIL CERTIFIÉE DELTA FORCE 1PCS PAR SAC ÉCOLOGIQUE</v>
          </cell>
          <cell r="M118"/>
          <cell r="N118" t="str">
            <v>China</v>
          </cell>
          <cell r="O118"/>
          <cell r="P118" t="str">
            <v xml:space="preserve">1 pcs eco friendly box </v>
          </cell>
          <cell r="Q118" t="str">
            <v>10 000pcs</v>
          </cell>
          <cell r="R118">
            <v>8064</v>
          </cell>
          <cell r="S118" t="e">
            <v>#N/A</v>
          </cell>
          <cell r="T118">
            <v>8536699099</v>
          </cell>
          <cell r="U118">
            <v>2.3E-2</v>
          </cell>
          <cell r="V118">
            <v>30</v>
          </cell>
          <cell r="W118">
            <v>45</v>
          </cell>
          <cell r="X118">
            <v>55</v>
          </cell>
          <cell r="Y118" t="str">
            <v>T/T 35 days</v>
          </cell>
          <cell r="Z118">
            <v>4.4097068159322843</v>
          </cell>
          <cell r="AA118">
            <v>3.8579294818473437</v>
          </cell>
          <cell r="AB118">
            <v>0.1</v>
          </cell>
          <cell r="AC118">
            <v>0.1</v>
          </cell>
          <cell r="AD118">
            <v>0.15</v>
          </cell>
          <cell r="AE118" t="str">
            <v>C</v>
          </cell>
          <cell r="AF118">
            <v>3.8579294818473437</v>
          </cell>
          <cell r="AG118">
            <v>0.15000000000000002</v>
          </cell>
          <cell r="AH118" t="e">
            <v>#N/A</v>
          </cell>
          <cell r="AI118">
            <v>4.0667296191375515</v>
          </cell>
          <cell r="AJ118">
            <v>3.6436000661891579</v>
          </cell>
          <cell r="AK118">
            <v>7.7777777777777724E-2</v>
          </cell>
          <cell r="AL118">
            <v>5.555555555555558E-2</v>
          </cell>
          <cell r="AM118"/>
          <cell r="AN118" t="str">
            <v>EXW</v>
          </cell>
          <cell r="AO118"/>
          <cell r="AP118"/>
          <cell r="AQ118"/>
          <cell r="AR118"/>
          <cell r="AS118">
            <v>25.84</v>
          </cell>
          <cell r="AT118">
            <v>25.84</v>
          </cell>
          <cell r="AU118">
            <v>3.6600566572237963</v>
          </cell>
          <cell r="AV118">
            <v>3.2792400595702422</v>
          </cell>
          <cell r="AW118"/>
          <cell r="AX118" t="str">
            <v>863690 1100</v>
          </cell>
          <cell r="AZ118">
            <v>12.859764939491146</v>
          </cell>
          <cell r="BA118">
            <v>7.7158589636946875</v>
          </cell>
          <cell r="BB118">
            <v>6.4298824697455732</v>
          </cell>
          <cell r="BC118">
            <v>5.1439059757964589</v>
          </cell>
        </row>
        <row r="119">
          <cell r="I119" t="str">
            <v>KMP8FSEF8</v>
          </cell>
          <cell r="J119" t="str">
            <v/>
          </cell>
          <cell r="K119" t="str">
            <v>CAT8 RJ45 FIELD PLUG SHIELDED TOOLESS 1PCS PER ECO FRIENDLY BAG</v>
          </cell>
          <cell r="L119" t="str">
            <v>CONNECTEUR DE TERRAIN CAT8 RJ45 BLINDÉE SANS OUTIL 1PCS PAR SAC ÉCOLOGIQUE</v>
          </cell>
          <cell r="M119"/>
          <cell r="N119" t="str">
            <v>China</v>
          </cell>
          <cell r="O119"/>
          <cell r="P119" t="str">
            <v xml:space="preserve">1 pcs eco friendly box </v>
          </cell>
          <cell r="Q119" t="str">
            <v>5000pcs</v>
          </cell>
          <cell r="R119">
            <v>8064</v>
          </cell>
          <cell r="S119"/>
          <cell r="T119"/>
          <cell r="U119">
            <v>2.3E-2</v>
          </cell>
          <cell r="V119">
            <v>45</v>
          </cell>
          <cell r="W119">
            <v>45</v>
          </cell>
          <cell r="X119">
            <v>55</v>
          </cell>
          <cell r="Y119" t="str">
            <v>T/T 35 days</v>
          </cell>
          <cell r="Z119">
            <v>3.35286584655982</v>
          </cell>
          <cell r="AA119">
            <v>2.9293817865337761</v>
          </cell>
          <cell r="AB119">
            <v>0.1</v>
          </cell>
          <cell r="AC119">
            <v>0.1</v>
          </cell>
          <cell r="AD119">
            <v>0.25</v>
          </cell>
          <cell r="AE119" t="str">
            <v>C</v>
          </cell>
          <cell r="AF119">
            <v>2.9293817865337761</v>
          </cell>
          <cell r="AG119">
            <v>0.25</v>
          </cell>
          <cell r="AH119">
            <v>2.9</v>
          </cell>
          <cell r="AI119">
            <v>2.7195467422096318</v>
          </cell>
          <cell r="AJ119">
            <v>2.4411514887781469</v>
          </cell>
          <cell r="AK119">
            <v>0.18888888888888888</v>
          </cell>
          <cell r="AL119">
            <v>0.16666666666666663</v>
          </cell>
          <cell r="AM119"/>
          <cell r="AN119" t="str">
            <v>CTK</v>
          </cell>
          <cell r="AO119"/>
          <cell r="AP119"/>
          <cell r="AQ119"/>
          <cell r="AR119"/>
          <cell r="AS119">
            <v>17.28</v>
          </cell>
          <cell r="AT119">
            <v>17.28</v>
          </cell>
          <cell r="AU119">
            <v>2.4475920679886687</v>
          </cell>
          <cell r="AV119">
            <v>2.1970363399003321</v>
          </cell>
          <cell r="AW119" t="str">
            <v>2.4USD, outsource by CTK</v>
          </cell>
          <cell r="AX119" t="str">
            <v>863690 1100</v>
          </cell>
          <cell r="AZ119">
            <v>9.7646059551125877</v>
          </cell>
          <cell r="BA119">
            <v>5.8587635730675522</v>
          </cell>
          <cell r="BB119">
            <v>4.8823029775562938</v>
          </cell>
          <cell r="BC119">
            <v>3.9058423820450354</v>
          </cell>
        </row>
        <row r="120">
          <cell r="I120" t="str">
            <v>KJ5EU180DEF24</v>
          </cell>
          <cell r="J120" t="str">
            <v>U0201002</v>
          </cell>
          <cell r="K120" t="str">
            <v>CAT5E RJ45 KESYTONE JACK UNSHIELDED 180° DUAL IDC 24PCS PER ECO FRIENDLY CARTON</v>
          </cell>
          <cell r="L120" t="str">
            <v>EMBASE KESYTONE CAT5E RJ45 NON BLINDÉ 180° DOUBLE IDC 24PCS PAR CARTON ÉCOLOGIQUE</v>
          </cell>
          <cell r="M120"/>
          <cell r="N120" t="str">
            <v>China</v>
          </cell>
          <cell r="O120"/>
          <cell r="P120" t="str">
            <v xml:space="preserve">24 pcs eco friendly box </v>
          </cell>
          <cell r="Q120" t="str">
            <v>10 000pcs</v>
          </cell>
          <cell r="R120">
            <v>10368</v>
          </cell>
          <cell r="S120" t="e">
            <v>#N/A</v>
          </cell>
          <cell r="T120" t="str">
            <v>853669 9099</v>
          </cell>
          <cell r="U120">
            <v>2.3E-2</v>
          </cell>
          <cell r="V120">
            <v>45</v>
          </cell>
          <cell r="W120">
            <v>45</v>
          </cell>
          <cell r="X120">
            <v>55</v>
          </cell>
          <cell r="Y120" t="str">
            <v>T/T 35 days</v>
          </cell>
          <cell r="Z120">
            <v>0.56240626562239626</v>
          </cell>
          <cell r="AA120">
            <v>0.50142052261412207</v>
          </cell>
          <cell r="AB120">
            <v>0.1</v>
          </cell>
          <cell r="AC120">
            <v>0.1</v>
          </cell>
          <cell r="AD120">
            <v>0.3</v>
          </cell>
          <cell r="AE120" t="str">
            <v>C</v>
          </cell>
          <cell r="AF120">
            <v>0.50142052261412207</v>
          </cell>
          <cell r="AG120">
            <v>0.30000000000000004</v>
          </cell>
          <cell r="AH120" t="e">
            <v>#N/A</v>
          </cell>
          <cell r="AI120">
            <v>0.42492917847025491</v>
          </cell>
          <cell r="AJ120">
            <v>0.38999373981098379</v>
          </cell>
          <cell r="AK120">
            <v>0.24444444444444458</v>
          </cell>
          <cell r="AL120">
            <v>0.22222222222222232</v>
          </cell>
          <cell r="AM120"/>
          <cell r="AN120" t="str">
            <v>LY</v>
          </cell>
          <cell r="AO120"/>
          <cell r="AP120"/>
          <cell r="AQ120"/>
          <cell r="AR120">
            <v>0.17</v>
          </cell>
          <cell r="AS120">
            <v>2.5299999999999998</v>
          </cell>
          <cell r="AT120">
            <v>2.6999999999999997</v>
          </cell>
          <cell r="AU120">
            <v>0.38243626062322944</v>
          </cell>
          <cell r="AV120">
            <v>0.35099436582988541</v>
          </cell>
          <cell r="AW120" t="str">
            <v>LY-KJ5-42</v>
          </cell>
          <cell r="AX120" t="str">
            <v>863690 1100</v>
          </cell>
          <cell r="AZ120">
            <v>1.6714017420470737</v>
          </cell>
          <cell r="BA120">
            <v>1.0028410452282441</v>
          </cell>
          <cell r="BB120">
            <v>0.83570087102353685</v>
          </cell>
          <cell r="BC120">
            <v>0.66856069681882957</v>
          </cell>
        </row>
        <row r="121">
          <cell r="I121" t="str">
            <v>KJ5EFSEF24</v>
          </cell>
          <cell r="J121" t="str">
            <v>U0201001</v>
          </cell>
          <cell r="K121" t="str">
            <v>CAT5E RJ45 KEYSTONE JACK SHIELDED TOOLESS 24PCS PER ECO FRIENDLY CARTON</v>
          </cell>
          <cell r="L121" t="str">
            <v>EMBASE KEYSTONE CAT5E RJ45 BLINDÉ SANS OUTIL 24PCS PAR CARTON ÉCOLOGIQUE</v>
          </cell>
          <cell r="M121"/>
          <cell r="N121" t="str">
            <v>China</v>
          </cell>
          <cell r="O121"/>
          <cell r="P121" t="str">
            <v>24 pcs eco friendly box</v>
          </cell>
          <cell r="Q121" t="str">
            <v>10 000pcs</v>
          </cell>
          <cell r="R121">
            <v>10368</v>
          </cell>
          <cell r="S121" t="e">
            <v>#N/A</v>
          </cell>
          <cell r="T121" t="str">
            <v>853669 9099</v>
          </cell>
          <cell r="U121">
            <v>2.3E-2</v>
          </cell>
          <cell r="V121">
            <v>45</v>
          </cell>
          <cell r="W121">
            <v>45</v>
          </cell>
          <cell r="X121">
            <v>55</v>
          </cell>
          <cell r="Y121" t="str">
            <v>T/T 35 days</v>
          </cell>
          <cell r="Z121">
            <v>1.2706215630728215</v>
          </cell>
          <cell r="AA121">
            <v>1.1154880538019885</v>
          </cell>
          <cell r="AB121">
            <v>0.1</v>
          </cell>
          <cell r="AC121">
            <v>0.1</v>
          </cell>
          <cell r="AD121">
            <v>0.3</v>
          </cell>
          <cell r="AE121" t="str">
            <v>C</v>
          </cell>
          <cell r="AF121">
            <v>1.1154880538019885</v>
          </cell>
          <cell r="AG121">
            <v>0.30000000000000004</v>
          </cell>
          <cell r="AH121" t="e">
            <v>#N/A</v>
          </cell>
          <cell r="AI121">
            <v>0.96002518098835377</v>
          </cell>
          <cell r="AJ121">
            <v>0.8676018196237687</v>
          </cell>
          <cell r="AK121">
            <v>0.24444444444444469</v>
          </cell>
          <cell r="AL121">
            <v>0.22222222222222232</v>
          </cell>
          <cell r="AM121"/>
          <cell r="AN121" t="str">
            <v>LY</v>
          </cell>
          <cell r="AO121"/>
          <cell r="AP121"/>
          <cell r="AQ121"/>
          <cell r="AR121">
            <v>0.17</v>
          </cell>
          <cell r="AS121">
            <v>5.93</v>
          </cell>
          <cell r="AT121">
            <v>6.1</v>
          </cell>
          <cell r="AU121">
            <v>0.86402266288951846</v>
          </cell>
          <cell r="AV121">
            <v>0.78084163766139181</v>
          </cell>
          <cell r="AW121" t="str">
            <v>LY-KJ5-64</v>
          </cell>
          <cell r="AX121" t="str">
            <v>863690 1100</v>
          </cell>
          <cell r="AZ121">
            <v>3.718293512673295</v>
          </cell>
          <cell r="BA121">
            <v>2.2309761076039769</v>
          </cell>
          <cell r="BB121">
            <v>1.8591467563366475</v>
          </cell>
          <cell r="BC121">
            <v>1.4873174050693181</v>
          </cell>
        </row>
        <row r="122">
          <cell r="I122" t="str">
            <v>KJ5EUEF24</v>
          </cell>
          <cell r="J122" t="str">
            <v/>
          </cell>
          <cell r="K122" t="str">
            <v>CAT5E RJ45 KEYSTONE JACK UNSHIELDED TOOLESS 24PCS PER ECO FRIENDLY CARTON</v>
          </cell>
          <cell r="L122" t="str">
            <v>EMBASE KEYSTONE CAT5E RJ45 NON BLINDÉ SANS OUTIL 24PCS PAR CARTON ÉCOLOGIQUE</v>
          </cell>
          <cell r="M122"/>
          <cell r="N122" t="str">
            <v>China</v>
          </cell>
          <cell r="O122"/>
          <cell r="P122" t="str">
            <v>24 pcs eco friendly box</v>
          </cell>
          <cell r="Q122" t="str">
            <v>10 000pcs</v>
          </cell>
          <cell r="R122">
            <v>10368</v>
          </cell>
          <cell r="S122" t="e">
            <v>#N/A</v>
          </cell>
          <cell r="T122" t="str">
            <v>853669 9099</v>
          </cell>
          <cell r="U122">
            <v>2.3E-2</v>
          </cell>
          <cell r="V122">
            <v>45</v>
          </cell>
          <cell r="W122">
            <v>45</v>
          </cell>
          <cell r="X122">
            <v>55</v>
          </cell>
          <cell r="Y122" t="str">
            <v>T/T 35 days</v>
          </cell>
          <cell r="Z122">
            <v>0.59365105815697394</v>
          </cell>
          <cell r="AA122">
            <v>0.5285117372253515</v>
          </cell>
          <cell r="AB122">
            <v>0.1</v>
          </cell>
          <cell r="AC122">
            <v>0.1</v>
          </cell>
          <cell r="AD122">
            <v>0.3</v>
          </cell>
          <cell r="AE122" t="str">
            <v>C</v>
          </cell>
          <cell r="AF122">
            <v>0.5285117372253515</v>
          </cell>
          <cell r="AG122">
            <v>0.30000000000000004</v>
          </cell>
          <cell r="AH122" t="e">
            <v>#N/A</v>
          </cell>
          <cell r="AI122">
            <v>0.44853635505193579</v>
          </cell>
          <cell r="AJ122">
            <v>0.41106468450860667</v>
          </cell>
          <cell r="AK122">
            <v>0.24444444444444458</v>
          </cell>
          <cell r="AL122">
            <v>0.22222222222222232</v>
          </cell>
          <cell r="AM122"/>
          <cell r="AN122" t="str">
            <v>LY</v>
          </cell>
          <cell r="AO122"/>
          <cell r="AP122"/>
          <cell r="AQ122"/>
          <cell r="AR122">
            <v>0.17</v>
          </cell>
          <cell r="AS122">
            <v>2.68</v>
          </cell>
          <cell r="AT122">
            <v>2.85</v>
          </cell>
          <cell r="AU122">
            <v>0.40368271954674223</v>
          </cell>
          <cell r="AV122">
            <v>0.36995821605774604</v>
          </cell>
          <cell r="AW122"/>
          <cell r="AX122" t="str">
            <v>863690 1100</v>
          </cell>
          <cell r="AZ122">
            <v>1.7617057907511717</v>
          </cell>
          <cell r="BA122">
            <v>1.057023474450703</v>
          </cell>
          <cell r="BB122">
            <v>0.88085289537558586</v>
          </cell>
          <cell r="BC122">
            <v>0.70468231630046874</v>
          </cell>
        </row>
        <row r="123">
          <cell r="I123" t="str">
            <v>KJ6U90DEF24</v>
          </cell>
          <cell r="J123" t="str">
            <v>U0202007</v>
          </cell>
          <cell r="K123" t="str">
            <v xml:space="preserve">CAT6 RJ45 KEYSTONE JACK UNSHIELDED 90° DUAL IDC 24PCS PER ECO FRIENDLY CARTON </v>
          </cell>
          <cell r="L123" t="str">
            <v>EMBASE KEYSTONE CAT6 RJ45 NON BLINDÉ 90° DOUBLE IDC 24PCS PAR CARTON ÉCOLOGIQUE</v>
          </cell>
          <cell r="M123"/>
          <cell r="N123" t="str">
            <v>China</v>
          </cell>
          <cell r="O123"/>
          <cell r="P123" t="str">
            <v xml:space="preserve">24 pcs eco friendly box </v>
          </cell>
          <cell r="Q123" t="str">
            <v>10 000pcs</v>
          </cell>
          <cell r="R123">
            <v>10368</v>
          </cell>
          <cell r="S123" t="str">
            <v>4897108881916</v>
          </cell>
          <cell r="T123" t="str">
            <v>853669 9099</v>
          </cell>
          <cell r="U123">
            <v>2.3E-2</v>
          </cell>
          <cell r="V123">
            <v>45</v>
          </cell>
          <cell r="W123">
            <v>45</v>
          </cell>
          <cell r="X123">
            <v>55</v>
          </cell>
          <cell r="Y123" t="str">
            <v>T/T 35 days</v>
          </cell>
          <cell r="Z123">
            <v>0.70196633894350957</v>
          </cell>
          <cell r="AA123">
            <v>0.62242794787761346</v>
          </cell>
          <cell r="AB123">
            <v>0.1</v>
          </cell>
          <cell r="AC123">
            <v>0.1</v>
          </cell>
          <cell r="AD123">
            <v>0.3</v>
          </cell>
          <cell r="AE123" t="str">
            <v>C</v>
          </cell>
          <cell r="AF123">
            <v>0.62242794787761346</v>
          </cell>
          <cell r="AG123">
            <v>0.30000000000000004</v>
          </cell>
          <cell r="AH123" t="e">
            <v>#N/A</v>
          </cell>
          <cell r="AI123">
            <v>0.53037456720176268</v>
          </cell>
          <cell r="AJ123">
            <v>0.4841106261270326</v>
          </cell>
          <cell r="AK123">
            <v>0.24444444444444458</v>
          </cell>
          <cell r="AL123">
            <v>0.22222222222222243</v>
          </cell>
          <cell r="AM123"/>
          <cell r="AN123" t="str">
            <v>CTK</v>
          </cell>
          <cell r="AO123"/>
          <cell r="AP123"/>
          <cell r="AQ123"/>
          <cell r="AR123">
            <v>0.17</v>
          </cell>
          <cell r="AS123">
            <v>3.2</v>
          </cell>
          <cell r="AT123">
            <v>3.37</v>
          </cell>
          <cell r="AU123">
            <v>0.47733711048158645</v>
          </cell>
          <cell r="AV123">
            <v>0.43569956351432937</v>
          </cell>
          <cell r="AW123"/>
          <cell r="AX123" t="str">
            <v>863690 1100</v>
          </cell>
          <cell r="AZ123">
            <v>2.0747598262587115</v>
          </cell>
          <cell r="BA123">
            <v>1.2448558957552269</v>
          </cell>
          <cell r="BB123">
            <v>1.0373799131293557</v>
          </cell>
          <cell r="BC123">
            <v>0.82990393050348465</v>
          </cell>
        </row>
        <row r="124">
          <cell r="I124" t="str">
            <v>KJ6U180DEF24</v>
          </cell>
          <cell r="J124" t="str">
            <v>U0202006</v>
          </cell>
          <cell r="K124" t="str">
            <v>CAT6 RJ45 KESYTONE JACK UNSHIELDED 180° DUAL IDC 24PCS PER ECO FRIENDLY CARTON</v>
          </cell>
          <cell r="L124" t="str">
            <v>EMBASE KESYTONE CAT6 RJ45 NON BLINDÉ 180° DOUBLE IDC 24PCS PAR CARTON ÉCOLOGIQUE</v>
          </cell>
          <cell r="M124"/>
          <cell r="N124" t="str">
            <v>China</v>
          </cell>
          <cell r="O124"/>
          <cell r="P124" t="str">
            <v xml:space="preserve">24 pcs eco friendly box </v>
          </cell>
          <cell r="Q124" t="str">
            <v>10 000pcs</v>
          </cell>
          <cell r="R124">
            <v>10368</v>
          </cell>
          <cell r="S124" t="str">
            <v>4897108881923</v>
          </cell>
          <cell r="T124" t="str">
            <v>853669 9099</v>
          </cell>
          <cell r="U124">
            <v>2.3E-2</v>
          </cell>
          <cell r="V124">
            <v>45</v>
          </cell>
          <cell r="W124">
            <v>45</v>
          </cell>
          <cell r="X124">
            <v>55</v>
          </cell>
          <cell r="Y124" t="str">
            <v>T/T 35 days</v>
          </cell>
          <cell r="Z124">
            <v>0.70196633894350957</v>
          </cell>
          <cell r="AA124">
            <v>0.62242794787761346</v>
          </cell>
          <cell r="AB124">
            <v>0.1</v>
          </cell>
          <cell r="AC124">
            <v>0.1</v>
          </cell>
          <cell r="AD124">
            <v>0.3</v>
          </cell>
          <cell r="AE124" t="str">
            <v>C</v>
          </cell>
          <cell r="AF124">
            <v>0.62242794787761346</v>
          </cell>
          <cell r="AG124">
            <v>0.30000000000000004</v>
          </cell>
          <cell r="AH124" t="e">
            <v>#N/A</v>
          </cell>
          <cell r="AI124">
            <v>0.53037456720176268</v>
          </cell>
          <cell r="AJ124">
            <v>0.4841106261270326</v>
          </cell>
          <cell r="AK124">
            <v>0.24444444444444458</v>
          </cell>
          <cell r="AL124">
            <v>0.22222222222222243</v>
          </cell>
          <cell r="AM124"/>
          <cell r="AN124" t="str">
            <v>CTK</v>
          </cell>
          <cell r="AO124"/>
          <cell r="AP124"/>
          <cell r="AQ124"/>
          <cell r="AR124">
            <v>0.17</v>
          </cell>
          <cell r="AS124">
            <v>3.2</v>
          </cell>
          <cell r="AT124">
            <v>3.37</v>
          </cell>
          <cell r="AU124">
            <v>0.47733711048158645</v>
          </cell>
          <cell r="AV124">
            <v>0.43569956351432937</v>
          </cell>
          <cell r="AW124"/>
          <cell r="AX124" t="str">
            <v>863690 1100</v>
          </cell>
          <cell r="AZ124">
            <v>2.0747598262587115</v>
          </cell>
          <cell r="BA124">
            <v>1.2448558957552269</v>
          </cell>
          <cell r="BB124">
            <v>1.0373799131293557</v>
          </cell>
          <cell r="BC124">
            <v>0.82990393050348465</v>
          </cell>
        </row>
        <row r="125">
          <cell r="I125" t="str">
            <v>KJ6UEF24</v>
          </cell>
          <cell r="J125" t="str">
            <v>U0202008</v>
          </cell>
          <cell r="K125" t="str">
            <v>CAT6 RJ45 KEYSTONE JACK UNSHIELDED TOOLESS 24PCS PER ECO FRIENDLY CARTON</v>
          </cell>
          <cell r="L125" t="str">
            <v>EMBASE KEYSTONE CAT6 RJ45 NON BLINDÉ SANS OUTIL 24PCS PAR CARTON ÉCOLOGIQUE</v>
          </cell>
          <cell r="M125"/>
          <cell r="N125" t="str">
            <v>China</v>
          </cell>
          <cell r="O125"/>
          <cell r="P125" t="str">
            <v xml:space="preserve">24 pcs eco friendly box </v>
          </cell>
          <cell r="Q125" t="str">
            <v>10 000pcs</v>
          </cell>
          <cell r="R125">
            <v>10368</v>
          </cell>
          <cell r="S125" t="str">
            <v>4897108881930</v>
          </cell>
          <cell r="T125" t="str">
            <v>853669 9099</v>
          </cell>
          <cell r="U125">
            <v>2.3E-2</v>
          </cell>
          <cell r="V125">
            <v>45</v>
          </cell>
          <cell r="W125">
            <v>45</v>
          </cell>
          <cell r="X125">
            <v>55</v>
          </cell>
          <cell r="Y125" t="str">
            <v>T/T 35 days</v>
          </cell>
          <cell r="Z125">
            <v>0.72323804618422194</v>
          </cell>
          <cell r="AA125">
            <v>0.64073465222695503</v>
          </cell>
          <cell r="AB125">
            <v>0.1</v>
          </cell>
          <cell r="AC125">
            <v>0.1</v>
          </cell>
          <cell r="AD125">
            <v>0.32</v>
          </cell>
          <cell r="AE125" t="str">
            <v>C</v>
          </cell>
          <cell r="AF125">
            <v>0.64073465222695503</v>
          </cell>
          <cell r="AG125">
            <v>0.32000000000000006</v>
          </cell>
          <cell r="AH125" t="e">
            <v>#N/A</v>
          </cell>
          <cell r="AI125">
            <v>0.53037456720176268</v>
          </cell>
          <cell r="AJ125">
            <v>0.4841106261270326</v>
          </cell>
          <cell r="AK125">
            <v>0.26666666666666672</v>
          </cell>
          <cell r="AL125">
            <v>0.24444444444444458</v>
          </cell>
          <cell r="AM125"/>
          <cell r="AN125" t="str">
            <v>CTK</v>
          </cell>
          <cell r="AO125"/>
          <cell r="AP125"/>
          <cell r="AQ125"/>
          <cell r="AR125">
            <v>0.17</v>
          </cell>
          <cell r="AS125">
            <v>3.2</v>
          </cell>
          <cell r="AT125">
            <v>3.37</v>
          </cell>
          <cell r="AU125">
            <v>0.47733711048158645</v>
          </cell>
          <cell r="AV125">
            <v>0.43569956351432937</v>
          </cell>
          <cell r="AW125"/>
          <cell r="AX125" t="str">
            <v>863690 1100</v>
          </cell>
          <cell r="AZ125">
            <v>2.1357821740898504</v>
          </cell>
          <cell r="BA125">
            <v>1.2814693044539103</v>
          </cell>
          <cell r="BB125">
            <v>1.0678910870449252</v>
          </cell>
          <cell r="BC125">
            <v>0.85431286963594022</v>
          </cell>
        </row>
        <row r="126">
          <cell r="I126" t="str">
            <v>KJ6UHQEF24</v>
          </cell>
          <cell r="J126" t="str">
            <v>U0202009</v>
          </cell>
          <cell r="K126" t="str">
            <v>CAT6 RJ45 KEYSTONE JACK UNSHIELDED TOOLESS INTERTEK CERTIFIED 24PCS PER ECO FRIENDLY CARTON</v>
          </cell>
          <cell r="L126" t="str">
            <v>EMBASE KEYSTONE CAT6 RJ45 NON BLINDÉ SANS OUTIL CERTIFIÉ INTERTEK 24PCS PAR CARTON ÉCOLOGIQUE</v>
          </cell>
          <cell r="M126" t="str">
            <v>Certified</v>
          </cell>
          <cell r="N126" t="str">
            <v>China</v>
          </cell>
          <cell r="O126"/>
          <cell r="P126" t="str">
            <v xml:space="preserve">24 pcs eco friendly box </v>
          </cell>
          <cell r="Q126" t="str">
            <v>10 000pcs</v>
          </cell>
          <cell r="R126">
            <v>10368</v>
          </cell>
          <cell r="S126" t="str">
            <v>4897108881947</v>
          </cell>
          <cell r="T126" t="str">
            <v>853669 9099</v>
          </cell>
          <cell r="U126">
            <v>2.3E-2</v>
          </cell>
          <cell r="V126">
            <v>45</v>
          </cell>
          <cell r="W126">
            <v>45</v>
          </cell>
          <cell r="X126">
            <v>55</v>
          </cell>
          <cell r="Y126" t="str">
            <v>T/T 35 days</v>
          </cell>
          <cell r="Z126">
            <v>0.93570263541934962</v>
          </cell>
          <cell r="AA126">
            <v>0.82479555149736672</v>
          </cell>
          <cell r="AB126">
            <v>0.1</v>
          </cell>
          <cell r="AC126">
            <v>0.1</v>
          </cell>
          <cell r="AD126">
            <v>0.32</v>
          </cell>
          <cell r="AE126" t="str">
            <v>C</v>
          </cell>
          <cell r="AF126">
            <v>0.82479555149736672</v>
          </cell>
          <cell r="AG126">
            <v>0.32000000000000006</v>
          </cell>
          <cell r="AH126" t="e">
            <v>#N/A</v>
          </cell>
          <cell r="AI126">
            <v>0.68618193264085625</v>
          </cell>
          <cell r="AJ126">
            <v>0.62317886113134369</v>
          </cell>
          <cell r="AK126">
            <v>0.26666666666666683</v>
          </cell>
          <cell r="AL126">
            <v>0.24444444444444446</v>
          </cell>
          <cell r="AM126"/>
          <cell r="AN126" t="str">
            <v>CTK</v>
          </cell>
          <cell r="AO126"/>
          <cell r="AP126"/>
          <cell r="AQ126"/>
          <cell r="AR126">
            <v>0.17</v>
          </cell>
          <cell r="AS126">
            <v>4.1900000000000004</v>
          </cell>
          <cell r="AT126">
            <v>4.3600000000000003</v>
          </cell>
          <cell r="AU126">
            <v>0.61756373937677067</v>
          </cell>
          <cell r="AV126">
            <v>0.56086097501820931</v>
          </cell>
          <cell r="AW126"/>
          <cell r="AX126" t="str">
            <v>863690 1100</v>
          </cell>
          <cell r="AZ126">
            <v>2.7493185049912223</v>
          </cell>
          <cell r="BA126">
            <v>1.6495911029947334</v>
          </cell>
          <cell r="BB126">
            <v>1.3746592524956112</v>
          </cell>
          <cell r="BC126">
            <v>1.0997274019964889</v>
          </cell>
        </row>
        <row r="127">
          <cell r="I127" t="str">
            <v>KJ6FSEF1</v>
          </cell>
          <cell r="J127" t="str">
            <v>U0202001</v>
          </cell>
          <cell r="K127" t="str">
            <v>CAT6 RJ45 KEYSTONE JACK SHIELDED TOOLESS 1PCS PER ECO FRIENDLY BAG</v>
          </cell>
          <cell r="L127" t="str">
            <v>EMBASE KEYSTONE CAT6 RJ45 BLINDÉ SANS OUTIL 1 PIÈCES PAR SAC ÉCOLOGIQUE</v>
          </cell>
          <cell r="M127"/>
          <cell r="N127" t="str">
            <v>China</v>
          </cell>
          <cell r="O127"/>
          <cell r="P127" t="str">
            <v>1 pcs eco friendly bag/24pcs per big bag</v>
          </cell>
          <cell r="Q127" t="str">
            <v>10 000pcs</v>
          </cell>
          <cell r="R127">
            <v>6912</v>
          </cell>
          <cell r="S127" t="str">
            <v>4897108881954</v>
          </cell>
          <cell r="T127" t="str">
            <v>853669 9099</v>
          </cell>
          <cell r="U127">
            <v>2.3E-2</v>
          </cell>
          <cell r="V127">
            <v>45</v>
          </cell>
          <cell r="W127">
            <v>45</v>
          </cell>
          <cell r="X127">
            <v>55</v>
          </cell>
          <cell r="Y127" t="str">
            <v>T/T 35 days</v>
          </cell>
          <cell r="Z127">
            <v>1.5556315326755885</v>
          </cell>
          <cell r="AA127">
            <v>1.3663318315595638</v>
          </cell>
          <cell r="AB127">
            <v>0.1</v>
          </cell>
          <cell r="AC127">
            <v>0.1</v>
          </cell>
          <cell r="AD127">
            <v>0.4</v>
          </cell>
          <cell r="AE127" t="str">
            <v>A</v>
          </cell>
          <cell r="AF127">
            <v>1.2296986484036074</v>
          </cell>
          <cell r="AG127">
            <v>0.33333333333333337</v>
          </cell>
          <cell r="AH127">
            <v>1.36</v>
          </cell>
          <cell r="AI127">
            <v>1.0025180988353792</v>
          </cell>
          <cell r="AJ127">
            <v>0.91088788770637574</v>
          </cell>
          <cell r="AK127">
            <v>0.35555555555555562</v>
          </cell>
          <cell r="AL127">
            <v>0.33333333333333348</v>
          </cell>
          <cell r="AM127"/>
          <cell r="AN127" t="str">
            <v>CTK</v>
          </cell>
          <cell r="AO127"/>
          <cell r="AP127"/>
          <cell r="AQ127"/>
          <cell r="AR127">
            <v>0.35</v>
          </cell>
          <cell r="AS127">
            <v>6.02</v>
          </cell>
          <cell r="AT127">
            <v>6.3699999999999992</v>
          </cell>
          <cell r="AU127">
            <v>0.90226628895184124</v>
          </cell>
          <cell r="AV127">
            <v>0.81979909893573821</v>
          </cell>
          <cell r="AW127"/>
          <cell r="AX127" t="str">
            <v>863690 1100</v>
          </cell>
          <cell r="AZ127">
            <v>4.5544394385318796</v>
          </cell>
          <cell r="BA127">
            <v>2.7326636631191277</v>
          </cell>
          <cell r="BB127">
            <v>2.2772197192659398</v>
          </cell>
          <cell r="BC127">
            <v>1.8217757754127519</v>
          </cell>
        </row>
        <row r="128">
          <cell r="I128" t="str">
            <v>KJ6FSEF8</v>
          </cell>
          <cell r="J128" t="str">
            <v>U0202003</v>
          </cell>
          <cell r="K128" t="str">
            <v>CAT6 RJ45 KEYSTONE JACK SHIELDED TOOLESS 8PCS PER ECO FRIENDLY CARTON</v>
          </cell>
          <cell r="L128" t="str">
            <v>EMBASE KEYSTONE CAT6 RJ45 BLINDÉ SANS OUTIL 8PCS PAR CARTON ÉCOLOGIQUE</v>
          </cell>
          <cell r="M128"/>
          <cell r="N128" t="str">
            <v>China</v>
          </cell>
          <cell r="O128"/>
          <cell r="P128" t="str">
            <v>8 pcs eco friendly box</v>
          </cell>
          <cell r="Q128" t="str">
            <v>10 000pcs</v>
          </cell>
          <cell r="R128">
            <v>8064</v>
          </cell>
          <cell r="S128" t="str">
            <v>4897108881961</v>
          </cell>
          <cell r="T128" t="str">
            <v>853669 9099</v>
          </cell>
          <cell r="U128">
            <v>2.3E-2</v>
          </cell>
          <cell r="V128">
            <v>45</v>
          </cell>
          <cell r="W128">
            <v>45</v>
          </cell>
          <cell r="X128">
            <v>55</v>
          </cell>
          <cell r="Y128" t="str">
            <v>T/T 35 days</v>
          </cell>
          <cell r="Z128">
            <v>1.5360945589528181</v>
          </cell>
          <cell r="AA128">
            <v>1.3460304108984673</v>
          </cell>
          <cell r="AB128">
            <v>0.1</v>
          </cell>
          <cell r="AC128">
            <v>0.1</v>
          </cell>
          <cell r="AD128">
            <v>0.4</v>
          </cell>
          <cell r="AE128" t="str">
            <v>A</v>
          </cell>
          <cell r="AF128">
            <v>1.2114273698086206</v>
          </cell>
          <cell r="AG128">
            <v>0.33333333333333337</v>
          </cell>
          <cell r="AH128" t="e">
            <v>#N/A</v>
          </cell>
          <cell r="AI128">
            <v>0.98992760465848273</v>
          </cell>
          <cell r="AJ128">
            <v>0.89735360726564473</v>
          </cell>
          <cell r="AK128">
            <v>0.35555555555555562</v>
          </cell>
          <cell r="AL128">
            <v>0.33333333333333348</v>
          </cell>
          <cell r="AM128"/>
          <cell r="AN128" t="str">
            <v>CTK</v>
          </cell>
          <cell r="AO128"/>
          <cell r="AP128"/>
          <cell r="AQ128"/>
          <cell r="AR128">
            <v>0.27</v>
          </cell>
          <cell r="AS128">
            <v>6.02</v>
          </cell>
          <cell r="AT128">
            <v>6.2899999999999991</v>
          </cell>
          <cell r="AU128">
            <v>0.89093484419263447</v>
          </cell>
          <cell r="AV128">
            <v>0.80761824653908032</v>
          </cell>
          <cell r="AW128"/>
          <cell r="AX128" t="str">
            <v>863690 1100</v>
          </cell>
          <cell r="AZ128">
            <v>4.4867680363282245</v>
          </cell>
          <cell r="BA128">
            <v>2.6920608217969346</v>
          </cell>
          <cell r="BB128">
            <v>2.2433840181641123</v>
          </cell>
          <cell r="BC128">
            <v>1.7947072145312899</v>
          </cell>
        </row>
        <row r="129">
          <cell r="I129" t="str">
            <v>KJ6FSEF24</v>
          </cell>
          <cell r="J129" t="str">
            <v>U0202002</v>
          </cell>
          <cell r="K129" t="str">
            <v>CAT6 RJ45 KEYSTONE JACK SHIELDED TOOLESS 24PCS PER ECO FRIENDLY CARTON</v>
          </cell>
          <cell r="L129" t="str">
            <v>EMBASE KEYSTONE CAT6 RJ45 BLINDÉ SANS OUTIL 24PCS PAR CARTON ÉCOLOGIQUE</v>
          </cell>
          <cell r="M129"/>
          <cell r="N129" t="str">
            <v>China</v>
          </cell>
          <cell r="O129"/>
          <cell r="P129" t="str">
            <v>24 pcs eco friendly box</v>
          </cell>
          <cell r="Q129" t="str">
            <v>10 000pcs</v>
          </cell>
          <cell r="R129">
            <v>10368</v>
          </cell>
          <cell r="S129" t="str">
            <v>4897108881978</v>
          </cell>
          <cell r="T129" t="str">
            <v>853669 9099</v>
          </cell>
          <cell r="U129">
            <v>2.3E-2</v>
          </cell>
          <cell r="V129">
            <v>45</v>
          </cell>
          <cell r="W129">
            <v>45</v>
          </cell>
          <cell r="X129">
            <v>55</v>
          </cell>
          <cell r="Y129" t="str">
            <v>T/T 35 days</v>
          </cell>
          <cell r="Z129">
            <v>1.5116733417993553</v>
          </cell>
          <cell r="AA129">
            <v>1.3203665796635136</v>
          </cell>
          <cell r="AB129">
            <v>0.1</v>
          </cell>
          <cell r="AC129">
            <v>0.1</v>
          </cell>
          <cell r="AD129">
            <v>0.4</v>
          </cell>
          <cell r="AE129" t="str">
            <v>A</v>
          </cell>
          <cell r="AF129">
            <v>1.1883299216971623</v>
          </cell>
          <cell r="AG129">
            <v>0.33333333333333348</v>
          </cell>
          <cell r="AH129">
            <v>1.31</v>
          </cell>
          <cell r="AI129">
            <v>0.97418948693736229</v>
          </cell>
          <cell r="AJ129">
            <v>0.88024438644234237</v>
          </cell>
          <cell r="AK129">
            <v>0.35555555555555551</v>
          </cell>
          <cell r="AL129">
            <v>0.33333333333333337</v>
          </cell>
          <cell r="AM129"/>
          <cell r="AN129" t="str">
            <v>CTK</v>
          </cell>
          <cell r="AO129"/>
          <cell r="AP129"/>
          <cell r="AQ129"/>
          <cell r="AR129">
            <v>0.17</v>
          </cell>
          <cell r="AS129">
            <v>6.02</v>
          </cell>
          <cell r="AT129">
            <v>6.1899999999999995</v>
          </cell>
          <cell r="AU129">
            <v>0.87677053824362605</v>
          </cell>
          <cell r="AV129">
            <v>0.79221994779810812</v>
          </cell>
          <cell r="AW129"/>
          <cell r="AX129" t="str">
            <v>863690 1100</v>
          </cell>
          <cell r="AZ129">
            <v>4.4012219322117119</v>
          </cell>
          <cell r="BA129">
            <v>2.6407331593270271</v>
          </cell>
          <cell r="BB129">
            <v>2.2006109661058559</v>
          </cell>
          <cell r="BC129">
            <v>1.7604887728846847</v>
          </cell>
        </row>
        <row r="130">
          <cell r="I130" t="str">
            <v>KJ6FSHQEF8</v>
          </cell>
          <cell r="J130" t="str">
            <v>U0202005</v>
          </cell>
          <cell r="K130" t="str">
            <v>CAT6 RJ45 KEYSTONE JACK SHIELDED TOOLESS INTERTEK CERTIFIED 8PCS PER ECO FRIENDLY CARTON</v>
          </cell>
          <cell r="L130" t="str">
            <v>EMBASE KEYSTONE CAT6 RJ45 BLINDÉ SANS OUTIL CERTIFIÉ INTERTEK 8PCS PAR CARTON ÉCOLOGIQUE</v>
          </cell>
          <cell r="M130" t="str">
            <v>Certified</v>
          </cell>
          <cell r="N130" t="str">
            <v>China</v>
          </cell>
          <cell r="O130"/>
          <cell r="P130" t="str">
            <v>8 pcs eco friendly box</v>
          </cell>
          <cell r="Q130" t="str">
            <v>10 000pcs</v>
          </cell>
          <cell r="R130">
            <v>8064</v>
          </cell>
          <cell r="S130" t="str">
            <v>4897108881985</v>
          </cell>
          <cell r="T130" t="str">
            <v>853669 9099</v>
          </cell>
          <cell r="U130">
            <v>2.3E-2</v>
          </cell>
          <cell r="V130">
            <v>45</v>
          </cell>
          <cell r="W130">
            <v>45</v>
          </cell>
          <cell r="X130">
            <v>55</v>
          </cell>
          <cell r="Y130" t="str">
            <v>T/T 35 days</v>
          </cell>
          <cell r="Z130">
            <v>1.6598796033994336</v>
          </cell>
          <cell r="AA130">
            <v>1.4554444015815491</v>
          </cell>
          <cell r="AB130">
            <v>0.1</v>
          </cell>
          <cell r="AC130">
            <v>0.1</v>
          </cell>
          <cell r="AD130">
            <v>0.34</v>
          </cell>
          <cell r="AE130" t="str">
            <v>A</v>
          </cell>
          <cell r="AF130">
            <v>1.3098999614233942</v>
          </cell>
          <cell r="AG130">
            <v>0.26666666666666672</v>
          </cell>
          <cell r="AH130" t="e">
            <v>#N/A</v>
          </cell>
          <cell r="AI130">
            <v>1.1803588290840414</v>
          </cell>
          <cell r="AJ130">
            <v>1.0673258944931359</v>
          </cell>
          <cell r="AK130">
            <v>0.28888888888888908</v>
          </cell>
          <cell r="AL130">
            <v>0.26666666666666672</v>
          </cell>
          <cell r="AM130"/>
          <cell r="AN130" t="str">
            <v>CTK</v>
          </cell>
          <cell r="AO130"/>
          <cell r="AP130"/>
          <cell r="AQ130"/>
          <cell r="AR130">
            <v>0.27</v>
          </cell>
          <cell r="AS130">
            <v>7.23</v>
          </cell>
          <cell r="AT130">
            <v>7.5</v>
          </cell>
          <cell r="AU130">
            <v>1.0623229461756374</v>
          </cell>
          <cell r="AV130">
            <v>0.96059330504382234</v>
          </cell>
          <cell r="AW130"/>
          <cell r="AX130" t="str">
            <v>863690 1100</v>
          </cell>
          <cell r="AZ130">
            <v>4.8514813386051641</v>
          </cell>
          <cell r="BA130">
            <v>2.9108888031630982</v>
          </cell>
          <cell r="BB130">
            <v>2.425740669302582</v>
          </cell>
          <cell r="BC130">
            <v>1.9405925354420657</v>
          </cell>
        </row>
        <row r="131">
          <cell r="I131" t="str">
            <v>KJ6FSHQEF24</v>
          </cell>
          <cell r="J131" t="str">
            <v>U0202004</v>
          </cell>
          <cell r="K131" t="str">
            <v>CAT6 RJ45 KEYSTONE JACK SHIELDED TOOLESS INTERTEK CERTIFIED 24PCS PER ECO FRIENDLY CARTON</v>
          </cell>
          <cell r="L131" t="str">
            <v>EMBASE KEYSTONE CAT6 RJ45 BLINDÉ SANS OUTIL CERTIFIÉ INTERTEK 24 PIÈCES PAR CARTON ÉCOLOGIQUE</v>
          </cell>
          <cell r="M131" t="str">
            <v>Certified</v>
          </cell>
          <cell r="N131" t="str">
            <v>China</v>
          </cell>
          <cell r="O131"/>
          <cell r="P131" t="str">
            <v>24 pcs eco friendly box</v>
          </cell>
          <cell r="Q131" t="str">
            <v>10 000pcs</v>
          </cell>
          <cell r="R131">
            <v>10368</v>
          </cell>
          <cell r="S131" t="str">
            <v>4897108881992</v>
          </cell>
          <cell r="T131" t="str">
            <v>853669 9099</v>
          </cell>
          <cell r="U131">
            <v>2.3E-2</v>
          </cell>
          <cell r="V131">
            <v>45</v>
          </cell>
          <cell r="W131">
            <v>45</v>
          </cell>
          <cell r="X131">
            <v>55</v>
          </cell>
          <cell r="Y131" t="str">
            <v>T/T 35 days</v>
          </cell>
          <cell r="Z131">
            <v>1.6377478753541079</v>
          </cell>
          <cell r="AA131">
            <v>1.4321136459134094</v>
          </cell>
          <cell r="AB131">
            <v>0.1</v>
          </cell>
          <cell r="AC131">
            <v>0.1</v>
          </cell>
          <cell r="AD131">
            <v>0.34</v>
          </cell>
          <cell r="AE131" t="str">
            <v>A</v>
          </cell>
          <cell r="AF131">
            <v>1.2889022813220685</v>
          </cell>
          <cell r="AG131">
            <v>0.26666666666666672</v>
          </cell>
          <cell r="AH131" t="e">
            <v>#N/A</v>
          </cell>
          <cell r="AI131">
            <v>1.164620711362921</v>
          </cell>
          <cell r="AJ131">
            <v>1.0502166736698335</v>
          </cell>
          <cell r="AK131">
            <v>0.28888888888888897</v>
          </cell>
          <cell r="AL131">
            <v>0.26666666666666672</v>
          </cell>
          <cell r="AM131"/>
          <cell r="AN131" t="str">
            <v>CTK</v>
          </cell>
          <cell r="AO131"/>
          <cell r="AP131"/>
          <cell r="AQ131"/>
          <cell r="AR131">
            <v>0.17</v>
          </cell>
          <cell r="AS131">
            <v>7.23</v>
          </cell>
          <cell r="AT131">
            <v>7.4</v>
          </cell>
          <cell r="AU131">
            <v>1.048158640226629</v>
          </cell>
          <cell r="AV131">
            <v>0.94519500630285014</v>
          </cell>
          <cell r="AW131"/>
          <cell r="AX131" t="str">
            <v>863690 1100</v>
          </cell>
          <cell r="AZ131">
            <v>4.7737121530446984</v>
          </cell>
          <cell r="BA131">
            <v>2.8642272918268188</v>
          </cell>
          <cell r="BB131">
            <v>2.3868560765223492</v>
          </cell>
          <cell r="BC131">
            <v>1.9094848612178794</v>
          </cell>
        </row>
        <row r="132">
          <cell r="I132" t="str">
            <v>KJ6AUEF24</v>
          </cell>
          <cell r="J132" t="str">
            <v>U0203011</v>
          </cell>
          <cell r="K132" t="str">
            <v>CAT6A RJ45 KEYSTONE JACK UNSHIELDED TOOLESS 24PCS PER ECO FRIENDLY CARTON</v>
          </cell>
          <cell r="L132" t="str">
            <v>EMBASE KEYSTONE CAT6A RJ45 NON BLINDÉ SANS OUTIL 24PCS PAR CARTON ÉCOLOGIQUE</v>
          </cell>
          <cell r="M132"/>
          <cell r="N132" t="str">
            <v>China</v>
          </cell>
          <cell r="O132"/>
          <cell r="P132" t="str">
            <v>24 pcs eco friendly box</v>
          </cell>
          <cell r="Q132" t="str">
            <v>10 000pcs</v>
          </cell>
          <cell r="R132">
            <v>10368</v>
          </cell>
          <cell r="S132" t="str">
            <v>4897108882005</v>
          </cell>
          <cell r="T132" t="str">
            <v>853669 9099</v>
          </cell>
          <cell r="U132">
            <v>2.3E-2</v>
          </cell>
          <cell r="V132">
            <v>45</v>
          </cell>
          <cell r="W132">
            <v>45</v>
          </cell>
          <cell r="X132">
            <v>55</v>
          </cell>
          <cell r="Y132" t="str">
            <v>T/T 35 days</v>
          </cell>
          <cell r="Z132">
            <v>1.0299317038891451</v>
          </cell>
          <cell r="AA132">
            <v>0.90613751205940207</v>
          </cell>
          <cell r="AB132">
            <v>0.1</v>
          </cell>
          <cell r="AC132">
            <v>0.1</v>
          </cell>
          <cell r="AD132">
            <v>0.33500000000000002</v>
          </cell>
          <cell r="AE132" t="str">
            <v>A</v>
          </cell>
          <cell r="AF132">
            <v>0.8155237608534619</v>
          </cell>
          <cell r="AG132">
            <v>0.26111111111111107</v>
          </cell>
          <cell r="AH132" t="e">
            <v>#N/A</v>
          </cell>
          <cell r="AI132">
            <v>0.73811772112055396</v>
          </cell>
          <cell r="AJ132">
            <v>0.66953493946611375</v>
          </cell>
          <cell r="AK132">
            <v>0.28333333333333333</v>
          </cell>
          <cell r="AL132">
            <v>0.26111111111111107</v>
          </cell>
          <cell r="AM132"/>
          <cell r="AN132" t="str">
            <v>CTK</v>
          </cell>
          <cell r="AO132"/>
          <cell r="AP132"/>
          <cell r="AQ132"/>
          <cell r="AR132">
            <v>0.17</v>
          </cell>
          <cell r="AS132">
            <v>4.5199999999999996</v>
          </cell>
          <cell r="AT132">
            <v>4.6899999999999995</v>
          </cell>
          <cell r="AU132">
            <v>0.6643059490084986</v>
          </cell>
          <cell r="AV132">
            <v>0.60258144551950243</v>
          </cell>
          <cell r="AW132"/>
          <cell r="AX132" t="str">
            <v>863690 1100</v>
          </cell>
          <cell r="AZ132">
            <v>3.0204583735313402</v>
          </cell>
          <cell r="BA132">
            <v>1.8122750241188039</v>
          </cell>
          <cell r="BB132">
            <v>1.5102291867656701</v>
          </cell>
          <cell r="BC132">
            <v>1.2081833494125362</v>
          </cell>
        </row>
        <row r="133">
          <cell r="I133" t="str">
            <v>KJ6AUHQEF24</v>
          </cell>
          <cell r="J133" t="str">
            <v>U0203012</v>
          </cell>
          <cell r="K133" t="str">
            <v>CAT6A RJ45 KEYSTONE JACK UNSHIELDED TOOLESS INTERTEK CERTIFIED 24PCS PER ECO FRIENDLY CARTON</v>
          </cell>
          <cell r="L133" t="str">
            <v>EMBASE KEYSTONE CAT6A RJ45 NON BLINDÉ SANS OUTIL CERTIFIÉ INTERTEK 24 PIÈCES PAR CARTON ÉCOLOGIQUE</v>
          </cell>
          <cell r="M133" t="str">
            <v>certified</v>
          </cell>
          <cell r="N133" t="str">
            <v>China</v>
          </cell>
          <cell r="O133"/>
          <cell r="P133" t="str">
            <v xml:space="preserve">24 pcs eco friendly box </v>
          </cell>
          <cell r="Q133" t="str">
            <v>10 000pcs</v>
          </cell>
          <cell r="R133">
            <v>10368</v>
          </cell>
          <cell r="S133" t="str">
            <v>4897108882012</v>
          </cell>
          <cell r="T133" t="str">
            <v>853669 9099</v>
          </cell>
          <cell r="U133">
            <v>2.3E-2</v>
          </cell>
          <cell r="V133">
            <v>45</v>
          </cell>
          <cell r="W133">
            <v>45</v>
          </cell>
          <cell r="X133">
            <v>55</v>
          </cell>
          <cell r="Y133" t="str">
            <v>T/T 35 days</v>
          </cell>
          <cell r="Z133">
            <v>1.3488777511440402</v>
          </cell>
          <cell r="AA133">
            <v>1.1824178325344898</v>
          </cell>
          <cell r="AB133">
            <v>0.1</v>
          </cell>
          <cell r="AC133">
            <v>0.1</v>
          </cell>
          <cell r="AD133">
            <v>0.33</v>
          </cell>
          <cell r="AE133" t="str">
            <v>A</v>
          </cell>
          <cell r="AF133">
            <v>1.0641760492810408</v>
          </cell>
          <cell r="AG133">
            <v>0.25555555555555565</v>
          </cell>
          <cell r="AH133" t="e">
            <v>#N/A</v>
          </cell>
          <cell r="AI133">
            <v>0.97418948693736229</v>
          </cell>
          <cell r="AJ133">
            <v>0.88024438644234237</v>
          </cell>
          <cell r="AK133">
            <v>0.27777777777777779</v>
          </cell>
          <cell r="AL133">
            <v>0.25555555555555565</v>
          </cell>
          <cell r="AM133"/>
          <cell r="AN133" t="str">
            <v>CTK</v>
          </cell>
          <cell r="AO133"/>
          <cell r="AP133"/>
          <cell r="AQ133"/>
          <cell r="AR133">
            <v>0.17</v>
          </cell>
          <cell r="AS133">
            <v>6.02</v>
          </cell>
          <cell r="AT133">
            <v>6.1899999999999995</v>
          </cell>
          <cell r="AU133">
            <v>0.87677053824362605</v>
          </cell>
          <cell r="AV133">
            <v>0.79221994779810812</v>
          </cell>
          <cell r="AW133"/>
          <cell r="AX133" t="str">
            <v>863690 1100</v>
          </cell>
          <cell r="AZ133">
            <v>3.9413927751149664</v>
          </cell>
          <cell r="BA133">
            <v>2.3648356650689797</v>
          </cell>
          <cell r="BB133">
            <v>1.9706963875574832</v>
          </cell>
          <cell r="BC133">
            <v>1.5765571100459868</v>
          </cell>
        </row>
        <row r="134">
          <cell r="I134" t="str">
            <v>KJ6AFSEF1</v>
          </cell>
          <cell r="J134" t="str">
            <v>U0203005</v>
          </cell>
          <cell r="K134" t="str">
            <v>CAT6A RJ45 KEYSTONE JACK SHIELDED TOOLESS 1PC PER ECO FRIENDLY BAG</v>
          </cell>
          <cell r="L134" t="str">
            <v>EMBASE KEYSTONE CAT6A RJ45 BLINDÉ SANS OUTIL 1PC PAR SAC ÉCOLOGIQUE</v>
          </cell>
          <cell r="M134"/>
          <cell r="N134" t="str">
            <v>China</v>
          </cell>
          <cell r="O134"/>
          <cell r="P134" t="str">
            <v>1 pcs eco friendly bag/24pcs per big bag</v>
          </cell>
          <cell r="Q134" t="str">
            <v>10 000pcs</v>
          </cell>
          <cell r="R134">
            <v>6912</v>
          </cell>
          <cell r="S134" t="str">
            <v>4897108880285</v>
          </cell>
          <cell r="T134" t="str">
            <v>853669 9099</v>
          </cell>
          <cell r="U134">
            <v>2.3E-2</v>
          </cell>
          <cell r="V134">
            <v>45</v>
          </cell>
          <cell r="W134">
            <v>45</v>
          </cell>
          <cell r="X134">
            <v>55</v>
          </cell>
          <cell r="Y134" t="str">
            <v>T/T 35 days</v>
          </cell>
          <cell r="Z134">
            <v>1.6643059490084988</v>
          </cell>
          <cell r="AA134">
            <v>1.4624069959838426</v>
          </cell>
          <cell r="AB134">
            <v>0.1</v>
          </cell>
          <cell r="AC134">
            <v>0.1</v>
          </cell>
          <cell r="AD134">
            <v>0.34</v>
          </cell>
          <cell r="AE134" t="str">
            <v>A</v>
          </cell>
          <cell r="AF134">
            <v>1.3161662963854583</v>
          </cell>
          <cell r="AG134">
            <v>0.26666666666666672</v>
          </cell>
          <cell r="AH134">
            <v>1.45</v>
          </cell>
          <cell r="AI134">
            <v>1.1835064526282655</v>
          </cell>
          <cell r="AJ134">
            <v>1.0724317970548178</v>
          </cell>
          <cell r="AK134">
            <v>0.28888888888888908</v>
          </cell>
          <cell r="AL134">
            <v>0.26666666666666672</v>
          </cell>
          <cell r="AM134"/>
          <cell r="AN134" t="str">
            <v>CTK</v>
          </cell>
          <cell r="AO134"/>
          <cell r="AP134"/>
          <cell r="AQ134"/>
          <cell r="AR134">
            <v>0.35</v>
          </cell>
          <cell r="AS134">
            <v>7.17</v>
          </cell>
          <cell r="AT134">
            <v>7.52</v>
          </cell>
          <cell r="AU134">
            <v>1.065155807365439</v>
          </cell>
          <cell r="AV134">
            <v>0.96518861734933603</v>
          </cell>
          <cell r="AW134"/>
          <cell r="AX134" t="str">
            <v>863690 1100</v>
          </cell>
          <cell r="AZ134">
            <v>4.8746899866128093</v>
          </cell>
          <cell r="BA134">
            <v>2.9248139919676857</v>
          </cell>
          <cell r="BB134">
            <v>2.4373449933064046</v>
          </cell>
          <cell r="BC134">
            <v>1.9498759946451238</v>
          </cell>
        </row>
        <row r="135">
          <cell r="I135" t="str">
            <v>KJ6AFSEF8</v>
          </cell>
          <cell r="J135" t="str">
            <v>U0203007</v>
          </cell>
          <cell r="K135" t="str">
            <v>CAT6A RJ45 KEYSTONE JACK SHIELDED TOOLESS 8PCS PER ECO FRIENDLY CARTON</v>
          </cell>
          <cell r="L135" t="str">
            <v>EMBASE KEYSTONE CAT6A RJ45 BLINDÉ SANS OUTIL 8PCS PAR CARTON ÉCOLOGIQUE</v>
          </cell>
          <cell r="M135"/>
          <cell r="N135" t="str">
            <v>China</v>
          </cell>
          <cell r="O135"/>
          <cell r="P135" t="str">
            <v>8 pcs eco friendly box</v>
          </cell>
          <cell r="Q135" t="str">
            <v>10 000pcs</v>
          </cell>
          <cell r="R135">
            <v>8064</v>
          </cell>
          <cell r="S135" t="str">
            <v>4897108882029</v>
          </cell>
          <cell r="T135" t="str">
            <v>853669 9099</v>
          </cell>
          <cell r="U135">
            <v>2.3E-2</v>
          </cell>
          <cell r="V135">
            <v>45</v>
          </cell>
          <cell r="W135">
            <v>45</v>
          </cell>
          <cell r="X135">
            <v>55</v>
          </cell>
          <cell r="Y135" t="str">
            <v>T/T 35 days</v>
          </cell>
          <cell r="Z135">
            <v>1.6466005665722381</v>
          </cell>
          <cell r="AA135">
            <v>1.4439511590192093</v>
          </cell>
          <cell r="AB135">
            <v>0.1</v>
          </cell>
          <cell r="AC135">
            <v>0.1</v>
          </cell>
          <cell r="AD135">
            <v>0.34</v>
          </cell>
          <cell r="AE135" t="str">
            <v>A</v>
          </cell>
          <cell r="AF135">
            <v>1.2995560431172883</v>
          </cell>
          <cell r="AG135">
            <v>0.26666666666666672</v>
          </cell>
          <cell r="AH135" t="e">
            <v>#N/A</v>
          </cell>
          <cell r="AI135">
            <v>1.1709159584513691</v>
          </cell>
          <cell r="AJ135">
            <v>1.0588975166140866</v>
          </cell>
          <cell r="AK135">
            <v>0.28888888888888897</v>
          </cell>
          <cell r="AL135">
            <v>0.26666666666666683</v>
          </cell>
          <cell r="AM135"/>
          <cell r="AN135" t="str">
            <v>CTK</v>
          </cell>
          <cell r="AO135"/>
          <cell r="AP135"/>
          <cell r="AQ135"/>
          <cell r="AR135">
            <v>0.27</v>
          </cell>
          <cell r="AS135">
            <v>7.17</v>
          </cell>
          <cell r="AT135">
            <v>7.4399999999999995</v>
          </cell>
          <cell r="AU135">
            <v>1.0538243626062322</v>
          </cell>
          <cell r="AV135">
            <v>0.95300776495267803</v>
          </cell>
          <cell r="AW135"/>
          <cell r="AX135" t="str">
            <v>863690 1100</v>
          </cell>
          <cell r="AZ135">
            <v>4.8131705300640313</v>
          </cell>
          <cell r="BA135">
            <v>2.8879023180384187</v>
          </cell>
          <cell r="BB135">
            <v>2.4065852650320156</v>
          </cell>
          <cell r="BC135">
            <v>1.9252682120256126</v>
          </cell>
        </row>
        <row r="136">
          <cell r="I136" t="str">
            <v>KJ6AFSEF24</v>
          </cell>
          <cell r="J136" t="str">
            <v>U0203006</v>
          </cell>
          <cell r="K136" t="str">
            <v>CAT6A RJ45 KEYSTONE JACK SHIELDED TOOLESS 24PCS PER ECO FRIENDLY CARTON</v>
          </cell>
          <cell r="L136" t="str">
            <v>EMBASE KEYSTONE CAT6A RJ45 BLINDÉ SANS OUTIL 24PCS PAR CARTON ÉCOLOGIQUE</v>
          </cell>
          <cell r="M136"/>
          <cell r="N136" t="str">
            <v>China</v>
          </cell>
          <cell r="O136"/>
          <cell r="P136" t="str">
            <v xml:space="preserve">24 pcs eco friendly box </v>
          </cell>
          <cell r="Q136" t="str">
            <v>10 000pcs</v>
          </cell>
          <cell r="R136">
            <v>10368</v>
          </cell>
          <cell r="S136" t="str">
            <v>4897108882036</v>
          </cell>
          <cell r="T136" t="str">
            <v>853669 9099</v>
          </cell>
          <cell r="U136">
            <v>2.3E-2</v>
          </cell>
          <cell r="V136">
            <v>45</v>
          </cell>
          <cell r="W136">
            <v>45</v>
          </cell>
          <cell r="X136">
            <v>55</v>
          </cell>
          <cell r="Y136" t="str">
            <v>T/T 35 days</v>
          </cell>
          <cell r="Z136">
            <v>1.6244688385269124</v>
          </cell>
          <cell r="AA136">
            <v>1.4206204033510699</v>
          </cell>
          <cell r="AB136">
            <v>0.1</v>
          </cell>
          <cell r="AC136">
            <v>0.1</v>
          </cell>
          <cell r="AD136">
            <v>0.34</v>
          </cell>
          <cell r="AE136" t="str">
            <v>A</v>
          </cell>
          <cell r="AF136">
            <v>1.2785583630159629</v>
          </cell>
          <cell r="AG136">
            <v>0.26666666666666683</v>
          </cell>
          <cell r="AH136">
            <v>1.41</v>
          </cell>
          <cell r="AI136">
            <v>1.1551778407302487</v>
          </cell>
          <cell r="AJ136">
            <v>1.0417882957907842</v>
          </cell>
          <cell r="AK136">
            <v>0.28888888888888897</v>
          </cell>
          <cell r="AL136">
            <v>0.26666666666666694</v>
          </cell>
          <cell r="AM136"/>
          <cell r="AN136" t="str">
            <v>CTK</v>
          </cell>
          <cell r="AO136"/>
          <cell r="AP136"/>
          <cell r="AQ136"/>
          <cell r="AR136">
            <v>0.17</v>
          </cell>
          <cell r="AS136">
            <v>7.17</v>
          </cell>
          <cell r="AT136">
            <v>7.34</v>
          </cell>
          <cell r="AU136">
            <v>1.0396600566572238</v>
          </cell>
          <cell r="AV136">
            <v>0.93760946621170593</v>
          </cell>
          <cell r="AW136"/>
          <cell r="AX136" t="str">
            <v>863690 1100</v>
          </cell>
          <cell r="AZ136">
            <v>4.7354013445035665</v>
          </cell>
          <cell r="BA136">
            <v>2.8412408067021397</v>
          </cell>
          <cell r="BB136">
            <v>2.3677006722517833</v>
          </cell>
          <cell r="BC136">
            <v>1.8941605378014268</v>
          </cell>
        </row>
        <row r="137">
          <cell r="I137" t="str">
            <v>KJ6AFSHQEF1</v>
          </cell>
          <cell r="J137" t="str">
            <v>U0203008</v>
          </cell>
          <cell r="K137" t="str">
            <v>CAT6A RJ45 KEYSTONE JACK SHIELDED TOOLESS DELTA &amp; INTERTEK CERTIFIED 1PCS PER ECO FRIENDLY BAG</v>
          </cell>
          <cell r="L137" t="str">
            <v>EMBASE KEYSTONE CAT6A RJ45 BLINDÉ SANS OUTIL CERTIFIÉ DELTA/INTERTEK 1 PIÈCE PAR SAC ÉCOLOGIQUE</v>
          </cell>
          <cell r="M137" t="str">
            <v>certified</v>
          </cell>
          <cell r="N137" t="str">
            <v>China</v>
          </cell>
          <cell r="O137"/>
          <cell r="P137" t="str">
            <v>1 pcs eco friendly bag/24pcs per big bag</v>
          </cell>
          <cell r="Q137" t="str">
            <v>10 000pcs</v>
          </cell>
          <cell r="R137">
            <v>6912</v>
          </cell>
          <cell r="S137" t="str">
            <v>4897108882043</v>
          </cell>
          <cell r="T137" t="str">
            <v>853669 9099</v>
          </cell>
          <cell r="U137">
            <v>2.3E-2</v>
          </cell>
          <cell r="V137">
            <v>45</v>
          </cell>
          <cell r="W137">
            <v>45</v>
          </cell>
          <cell r="X137">
            <v>55</v>
          </cell>
          <cell r="Y137" t="str">
            <v>T/T 35 days</v>
          </cell>
          <cell r="Z137">
            <v>1.9590324689474834</v>
          </cell>
          <cell r="AA137">
            <v>1.7179617157945821</v>
          </cell>
          <cell r="AB137">
            <v>0.1</v>
          </cell>
          <cell r="AC137">
            <v>0.1</v>
          </cell>
          <cell r="AD137">
            <v>0.33</v>
          </cell>
          <cell r="AE137" t="str">
            <v>A</v>
          </cell>
          <cell r="AF137">
            <v>1.5461655442151239</v>
          </cell>
          <cell r="AG137">
            <v>0.25555555555555565</v>
          </cell>
          <cell r="AH137" t="e">
            <v>#N/A</v>
          </cell>
          <cell r="AI137">
            <v>1.4148567831287377</v>
          </cell>
          <cell r="AJ137">
            <v>1.2789270550915219</v>
          </cell>
          <cell r="AK137">
            <v>0.2777777777777779</v>
          </cell>
          <cell r="AL137">
            <v>0.25555555555555576</v>
          </cell>
          <cell r="AM137"/>
          <cell r="AN137" t="str">
            <v>CTK</v>
          </cell>
          <cell r="AO137"/>
          <cell r="AP137"/>
          <cell r="AQ137"/>
          <cell r="AR137">
            <v>0.35</v>
          </cell>
          <cell r="AS137">
            <v>8.64</v>
          </cell>
          <cell r="AT137">
            <v>8.99</v>
          </cell>
          <cell r="AU137">
            <v>1.273371104815864</v>
          </cell>
          <cell r="AV137">
            <v>1.1510343495823698</v>
          </cell>
          <cell r="AW137"/>
          <cell r="AX137" t="str">
            <v>863690 1100</v>
          </cell>
          <cell r="AZ137">
            <v>5.7265390526486071</v>
          </cell>
          <cell r="BA137">
            <v>3.4359234315891642</v>
          </cell>
          <cell r="BB137">
            <v>2.8632695263243035</v>
          </cell>
          <cell r="BC137">
            <v>2.2906156210594428</v>
          </cell>
        </row>
        <row r="138">
          <cell r="I138" t="str">
            <v>KJ6AFSHQEF8</v>
          </cell>
          <cell r="J138" t="str">
            <v>U0203010</v>
          </cell>
          <cell r="K138" t="str">
            <v>CAT6A RJ45 KEYSTONE JACK SHIELDED TOOLESS DELTA &amp; INTERTEK CERTIFIED 8PCS PER ECO FRIENDLY CARTON</v>
          </cell>
          <cell r="L138" t="str">
            <v>EMBASE KEYSTONE CAT6A RJ45 BLINDÉ SANS OUTIL CERTIFIÉ DELTA/INTERTEK 8PCS PAR CARTON ÉCOLOGIQUE</v>
          </cell>
          <cell r="M138" t="str">
            <v>certified</v>
          </cell>
          <cell r="N138" t="str">
            <v>China</v>
          </cell>
          <cell r="O138"/>
          <cell r="P138" t="str">
            <v xml:space="preserve">8 pcs eco friendly box </v>
          </cell>
          <cell r="Q138" t="str">
            <v>10 000pcs</v>
          </cell>
          <cell r="R138">
            <v>8064</v>
          </cell>
          <cell r="S138" t="str">
            <v>4897108882050</v>
          </cell>
          <cell r="T138" t="str">
            <v>853669 9099</v>
          </cell>
          <cell r="U138">
            <v>2.3E-2</v>
          </cell>
          <cell r="V138">
            <v>45</v>
          </cell>
          <cell r="W138">
            <v>45</v>
          </cell>
          <cell r="X138">
            <v>55</v>
          </cell>
          <cell r="Y138" t="str">
            <v>T/T 35 days</v>
          </cell>
          <cell r="Z138">
            <v>1.9415994770102423</v>
          </cell>
          <cell r="AA138">
            <v>1.6997813390831524</v>
          </cell>
          <cell r="AB138">
            <v>0.1</v>
          </cell>
          <cell r="AC138">
            <v>0.1</v>
          </cell>
          <cell r="AD138">
            <v>0.33</v>
          </cell>
          <cell r="AE138" t="str">
            <v>A</v>
          </cell>
          <cell r="AF138">
            <v>1.5298032051748371</v>
          </cell>
          <cell r="AG138">
            <v>0.25555555555555554</v>
          </cell>
          <cell r="AH138" t="e">
            <v>#N/A</v>
          </cell>
          <cell r="AI138">
            <v>1.4022662889518414</v>
          </cell>
          <cell r="AJ138">
            <v>1.2653927746507911</v>
          </cell>
          <cell r="AK138">
            <v>0.2777777777777779</v>
          </cell>
          <cell r="AL138">
            <v>0.25555555555555565</v>
          </cell>
          <cell r="AM138"/>
          <cell r="AN138" t="str">
            <v>CTK</v>
          </cell>
          <cell r="AO138"/>
          <cell r="AP138"/>
          <cell r="AQ138"/>
          <cell r="AR138">
            <v>0.27</v>
          </cell>
          <cell r="AS138">
            <v>8.64</v>
          </cell>
          <cell r="AT138">
            <v>8.91</v>
          </cell>
          <cell r="AU138">
            <v>1.2620396600566572</v>
          </cell>
          <cell r="AV138">
            <v>1.138853497185712</v>
          </cell>
          <cell r="AW138"/>
          <cell r="AX138" t="str">
            <v>863690 1100</v>
          </cell>
          <cell r="AZ138">
            <v>5.665937796943842</v>
          </cell>
          <cell r="BA138">
            <v>3.3995626781663053</v>
          </cell>
          <cell r="BB138">
            <v>2.832968898471921</v>
          </cell>
          <cell r="BC138">
            <v>2.2663751187775367</v>
          </cell>
        </row>
        <row r="139">
          <cell r="I139" t="str">
            <v>KJ6AFSHQEF24</v>
          </cell>
          <cell r="J139" t="str">
            <v>U0203009</v>
          </cell>
          <cell r="K139" t="str">
            <v>CAT6A RJ45 KEYSTONE JACK SHIELDED TOOLESS DELTA &amp; INTERTEK CERTIFIED 24PCS PER ECO FRIENDLY CARTON</v>
          </cell>
          <cell r="L139" t="str">
            <v>EMBASE KEYSTONE CAT6A RJ45 BLINDÉ SANS OUTIL CERTIFIÉ DELTA/INTERTEK 24 PIÈCES PAR CARTON ÉCOLOGIQUE</v>
          </cell>
          <cell r="M139" t="str">
            <v>certified</v>
          </cell>
          <cell r="N139" t="str">
            <v>China</v>
          </cell>
          <cell r="O139"/>
          <cell r="P139" t="str">
            <v>24 pcs eco friendly box</v>
          </cell>
          <cell r="Q139" t="str">
            <v>10 000pcs</v>
          </cell>
          <cell r="R139">
            <v>10368</v>
          </cell>
          <cell r="S139" t="str">
            <v>4897108881800</v>
          </cell>
          <cell r="T139" t="str">
            <v>853669 9099</v>
          </cell>
          <cell r="U139">
            <v>2.3E-2</v>
          </cell>
          <cell r="V139">
            <v>45</v>
          </cell>
          <cell r="W139">
            <v>45</v>
          </cell>
          <cell r="X139">
            <v>55</v>
          </cell>
          <cell r="Y139" t="str">
            <v>T/T 35 days</v>
          </cell>
          <cell r="Z139">
            <v>1.9198082370886909</v>
          </cell>
          <cell r="AA139">
            <v>1.6767988036488652</v>
          </cell>
          <cell r="AB139">
            <v>0.1</v>
          </cell>
          <cell r="AC139">
            <v>0.1</v>
          </cell>
          <cell r="AD139">
            <v>0.33</v>
          </cell>
          <cell r="AE139" t="str">
            <v>A</v>
          </cell>
          <cell r="AF139">
            <v>1.5091189232839788</v>
          </cell>
          <cell r="AG139">
            <v>0.25555555555555565</v>
          </cell>
          <cell r="AH139">
            <v>1.66</v>
          </cell>
          <cell r="AI139">
            <v>1.3865281712307209</v>
          </cell>
          <cell r="AJ139">
            <v>1.2482835538274883</v>
          </cell>
          <cell r="AK139">
            <v>0.2777777777777779</v>
          </cell>
          <cell r="AL139">
            <v>0.25555555555555565</v>
          </cell>
          <cell r="AM139"/>
          <cell r="AN139" t="str">
            <v>CTK</v>
          </cell>
          <cell r="AO139"/>
          <cell r="AP139"/>
          <cell r="AQ139"/>
          <cell r="AR139">
            <v>0.17</v>
          </cell>
          <cell r="AS139">
            <v>8.64</v>
          </cell>
          <cell r="AT139">
            <v>8.81</v>
          </cell>
          <cell r="AU139">
            <v>1.2478753541076488</v>
          </cell>
          <cell r="AV139">
            <v>1.1234551984447396</v>
          </cell>
          <cell r="AW139"/>
          <cell r="AX139" t="str">
            <v>863690 1100</v>
          </cell>
          <cell r="AZ139">
            <v>5.5893293454962176</v>
          </cell>
          <cell r="BA139">
            <v>3.3535976072977305</v>
          </cell>
          <cell r="BB139">
            <v>2.7946646727481088</v>
          </cell>
          <cell r="BC139">
            <v>2.2357317381984871</v>
          </cell>
        </row>
        <row r="140">
          <cell r="I140" t="str">
            <v>KJ6AFF6AFSEF10</v>
          </cell>
          <cell r="J140" t="str">
            <v/>
          </cell>
          <cell r="K140" t="str">
            <v>CAT6A KEYSTONE EXTENDER FEMALE/FEMALE SHIELDED WITH SHUTTER 10PCS PER ECO FRIENDLY BAG</v>
          </cell>
          <cell r="L140" t="str">
            <v>EXTENSION KEYSTONE CAT6A FEMELLE/FEMELLE BLINDÉE AVEC OBTURATEUR 10 PIÈCES PAR SACHET ÉCOLOGIQUE</v>
          </cell>
          <cell r="M140"/>
          <cell r="N140" t="str">
            <v>China</v>
          </cell>
          <cell r="O140"/>
          <cell r="P140" t="str">
            <v>1 pc eco friendly box</v>
          </cell>
          <cell r="Q140" t="str">
            <v>1000 pcs</v>
          </cell>
          <cell r="R140">
            <v>1000</v>
          </cell>
          <cell r="S140" t="e">
            <v>#N/A</v>
          </cell>
          <cell r="T140"/>
          <cell r="U140">
            <v>0</v>
          </cell>
          <cell r="V140">
            <v>30</v>
          </cell>
          <cell r="W140">
            <v>45</v>
          </cell>
          <cell r="X140">
            <v>55</v>
          </cell>
          <cell r="Y140" t="str">
            <v>T/T 35days</v>
          </cell>
          <cell r="Z140">
            <v>0.8268747661553264</v>
          </cell>
          <cell r="AA140">
            <v>0.87469347994043167</v>
          </cell>
          <cell r="AB140">
            <v>0.1</v>
          </cell>
          <cell r="AC140">
            <v>0.1</v>
          </cell>
          <cell r="AD140">
            <v>0.45</v>
          </cell>
          <cell r="AE140" t="str">
            <v>C</v>
          </cell>
          <cell r="AF140">
            <v>0.87469347994043167</v>
          </cell>
          <cell r="AG140">
            <v>0.44999999999999996</v>
          </cell>
          <cell r="AH140" t="e">
            <v>#N/A</v>
          </cell>
          <cell r="AI140">
            <v>0.48693736229147</v>
          </cell>
          <cell r="AJ140">
            <v>0.53453490440804163</v>
          </cell>
          <cell r="AK140">
            <v>0.41111111111111109</v>
          </cell>
          <cell r="AL140">
            <v>0.38888888888888884</v>
          </cell>
          <cell r="AM140"/>
          <cell r="AN140" t="str">
            <v>LY</v>
          </cell>
          <cell r="AO140"/>
          <cell r="AP140"/>
          <cell r="AQ140"/>
          <cell r="AR140">
            <v>0.14400000000000002</v>
          </cell>
          <cell r="AS140">
            <v>2.95</v>
          </cell>
          <cell r="AT140">
            <v>3.0940000000000003</v>
          </cell>
          <cell r="AU140">
            <v>0.43824362606232303</v>
          </cell>
          <cell r="AV140">
            <v>0.48108141396723747</v>
          </cell>
          <cell r="AW140" t="str">
            <v>LY-KJ-AP016-S6A</v>
          </cell>
          <cell r="AX140"/>
          <cell r="AZ140">
            <v>2.9156449331347725</v>
          </cell>
          <cell r="BA140">
            <v>1.7493869598808633</v>
          </cell>
          <cell r="BB140">
            <v>1.4578224665673862</v>
          </cell>
          <cell r="BC140">
            <v>1.1662579732539091</v>
          </cell>
        </row>
        <row r="141">
          <cell r="I141" t="str">
            <v>KJ6AFF6AUEF10</v>
          </cell>
          <cell r="J141" t="str">
            <v/>
          </cell>
          <cell r="K141" t="str">
            <v>CAT6A KEYSTONE EXTENDER FEMALE/FEMALE UNSHIELDED 10PCS PER ECO FRIENDLY BAG</v>
          </cell>
          <cell r="L141" t="str">
            <v>EXTENSION KEYSTONE CAT6A FEMELLE/FEMELLE NON BLINDÉE AVEC OBTURATEUR 10 PIÈCES PAR SACHET ÉCOLOGIQUE</v>
          </cell>
          <cell r="M141"/>
          <cell r="N141" t="str">
            <v>China</v>
          </cell>
          <cell r="O141"/>
          <cell r="P141" t="str">
            <v>1 pc eco friendly box</v>
          </cell>
          <cell r="Q141" t="str">
            <v>1000 pcs</v>
          </cell>
          <cell r="R141">
            <v>1000</v>
          </cell>
          <cell r="S141" t="e">
            <v>#N/A</v>
          </cell>
          <cell r="T141"/>
          <cell r="U141">
            <v>0</v>
          </cell>
          <cell r="V141">
            <v>30</v>
          </cell>
          <cell r="W141">
            <v>45</v>
          </cell>
          <cell r="X141">
            <v>55</v>
          </cell>
          <cell r="Y141" t="str">
            <v>T/T 35days</v>
          </cell>
          <cell r="Z141">
            <v>1.6225456676760772</v>
          </cell>
          <cell r="AA141">
            <v>1.5305456336987315</v>
          </cell>
          <cell r="AB141">
            <v>0.1</v>
          </cell>
          <cell r="AC141">
            <v>0.1</v>
          </cell>
          <cell r="AD141">
            <v>0.4</v>
          </cell>
          <cell r="AE141" t="str">
            <v>C</v>
          </cell>
          <cell r="AF141">
            <v>1.5305456336987315</v>
          </cell>
          <cell r="AG141">
            <v>0.4</v>
          </cell>
          <cell r="AH141" t="e">
            <v>#N/A</v>
          </cell>
          <cell r="AI141">
            <v>1.0456405413912495</v>
          </cell>
          <cell r="AJ141">
            <v>1.0203637557991543</v>
          </cell>
          <cell r="AK141">
            <v>0.35555555555555574</v>
          </cell>
          <cell r="AL141">
            <v>0.33333333333333337</v>
          </cell>
          <cell r="AM141"/>
          <cell r="AN141" t="str">
            <v>LY</v>
          </cell>
          <cell r="AO141"/>
          <cell r="AP141"/>
          <cell r="AQ141"/>
          <cell r="AR141">
            <v>0.14400000000000002</v>
          </cell>
          <cell r="AS141">
            <v>6.5</v>
          </cell>
          <cell r="AT141">
            <v>6.6440000000000001</v>
          </cell>
          <cell r="AU141">
            <v>0.94107648725212467</v>
          </cell>
          <cell r="AV141">
            <v>0.91832738021923888</v>
          </cell>
          <cell r="AW141" t="str">
            <v>LY-KJ-AP009-S6A</v>
          </cell>
          <cell r="AX141"/>
          <cell r="AZ141">
            <v>5.1018187789957716</v>
          </cell>
          <cell r="BA141">
            <v>3.0610912673974631</v>
          </cell>
          <cell r="BB141">
            <v>2.5509093894978858</v>
          </cell>
          <cell r="BC141">
            <v>2.0407275115983086</v>
          </cell>
        </row>
        <row r="142">
          <cell r="I142" t="str">
            <v>KJ8FSHQEF24</v>
          </cell>
          <cell r="J142" t="str">
            <v>U0204001</v>
          </cell>
          <cell r="K142" t="str">
            <v>CAT8 RJ45 KEYSTONE JACK SHIELDED TOOLESS INTERTEK LINK CERTIFIED 24PCS PER ECO FRIENDLY CARTON</v>
          </cell>
          <cell r="L142" t="str">
            <v>EMBASE KEYSTONE CAT8 RJ45 BLINDÉ SANS OUTIL LIEN CERTIFIÉ INTERTEK 24PCS PAR CARTON ÉCOLOGIQUE</v>
          </cell>
          <cell r="M142"/>
          <cell r="N142" t="str">
            <v>China</v>
          </cell>
          <cell r="O142"/>
          <cell r="P142" t="str">
            <v>24 pcs eco friendly box</v>
          </cell>
          <cell r="Q142" t="str">
            <v>5000pcs</v>
          </cell>
          <cell r="R142">
            <v>10368</v>
          </cell>
          <cell r="S142" t="e">
            <v>#N/A</v>
          </cell>
          <cell r="T142" t="str">
            <v>853669 9099</v>
          </cell>
          <cell r="U142">
            <v>2.3E-2</v>
          </cell>
          <cell r="V142">
            <v>45</v>
          </cell>
          <cell r="W142">
            <v>45</v>
          </cell>
          <cell r="X142">
            <v>55</v>
          </cell>
          <cell r="Y142" t="str">
            <v>T/T 35 days</v>
          </cell>
          <cell r="Z142">
            <v>3.506246226721776</v>
          </cell>
          <cell r="AA142">
            <v>3.0455121449730576</v>
          </cell>
          <cell r="AB142">
            <v>0.1</v>
          </cell>
          <cell r="AC142">
            <v>0.1</v>
          </cell>
          <cell r="AD142">
            <v>0.37</v>
          </cell>
          <cell r="AE142" t="str">
            <v>C</v>
          </cell>
          <cell r="AF142">
            <v>3.0455121449730576</v>
          </cell>
          <cell r="AG142">
            <v>0.37</v>
          </cell>
          <cell r="AH142">
            <v>3.02</v>
          </cell>
          <cell r="AI142">
            <v>2.3764557758892035</v>
          </cell>
          <cell r="AJ142">
            <v>2.1318585014811404</v>
          </cell>
          <cell r="AK142">
            <v>0.3222222222222223</v>
          </cell>
          <cell r="AL142">
            <v>0.29999999999999993</v>
          </cell>
          <cell r="AM142"/>
          <cell r="AN142" t="str">
            <v>CTK</v>
          </cell>
          <cell r="AO142"/>
          <cell r="AP142"/>
          <cell r="AQ142"/>
          <cell r="AR142">
            <v>0.1</v>
          </cell>
          <cell r="AS142">
            <v>15</v>
          </cell>
          <cell r="AT142">
            <v>15.1</v>
          </cell>
          <cell r="AU142">
            <v>2.1388101983002832</v>
          </cell>
          <cell r="AV142">
            <v>1.9186726513330263</v>
          </cell>
          <cell r="AW142"/>
          <cell r="AX142"/>
          <cell r="AZ142">
            <v>10.151707149910193</v>
          </cell>
          <cell r="BA142">
            <v>6.0910242899461151</v>
          </cell>
          <cell r="BB142">
            <v>5.0758535749550964</v>
          </cell>
          <cell r="BC142">
            <v>4.0606828599640776</v>
          </cell>
        </row>
        <row r="143">
          <cell r="I143" t="str">
            <v>KJ6ADSRD</v>
          </cell>
          <cell r="J143" t="str">
            <v>U0203004</v>
          </cell>
          <cell r="K143" t="str">
            <v>CAT6A DUST SHUTTER RED RAL3027 100PCS PER ECO FRIENDLY BAG</v>
          </cell>
          <cell r="L143" t="str">
            <v>VOLET ANTI-POUSSIÈRE CAT6A ROUGE RAL3027 100PCS PAR SAC ÉCOLOGIQUE</v>
          </cell>
          <cell r="M143"/>
          <cell r="N143" t="str">
            <v>China</v>
          </cell>
          <cell r="O143"/>
          <cell r="P143" t="str">
            <v>100 pcs polybag</v>
          </cell>
          <cell r="Q143" t="str">
            <v>20 000pcs</v>
          </cell>
          <cell r="R143">
            <v>86400</v>
          </cell>
          <cell r="S143" t="str">
            <v>4897108882517</v>
          </cell>
          <cell r="T143" t="str">
            <v>853669 9099</v>
          </cell>
          <cell r="U143">
            <v>2.3E-2</v>
          </cell>
          <cell r="V143">
            <v>45</v>
          </cell>
          <cell r="W143">
            <v>45</v>
          </cell>
          <cell r="X143">
            <v>55</v>
          </cell>
          <cell r="Y143" t="str">
            <v>T/T 35days</v>
          </cell>
          <cell r="Z143">
            <v>5.0586806960744642E-2</v>
          </cell>
          <cell r="AA143">
            <v>4.5999914086603748E-2</v>
          </cell>
          <cell r="AB143">
            <v>0.1</v>
          </cell>
          <cell r="AC143">
            <v>0.1</v>
          </cell>
          <cell r="AD143">
            <v>0.7</v>
          </cell>
          <cell r="AE143" t="str">
            <v>C</v>
          </cell>
          <cell r="AF143">
            <v>4.5999914086603748E-2</v>
          </cell>
          <cell r="AG143">
            <v>0.7</v>
          </cell>
          <cell r="AH143">
            <v>0.05</v>
          </cell>
          <cell r="AI143">
            <v>1.5738117721120555E-2</v>
          </cell>
          <cell r="AJ143">
            <v>1.5333304695534584E-2</v>
          </cell>
          <cell r="AK143">
            <v>0.68888888888888888</v>
          </cell>
          <cell r="AL143">
            <v>0.66666666666666663</v>
          </cell>
          <cell r="AM143"/>
          <cell r="AN143" t="str">
            <v>CTK</v>
          </cell>
          <cell r="AO143"/>
          <cell r="AP143"/>
          <cell r="AQ143"/>
          <cell r="AR143"/>
          <cell r="AS143">
            <v>0.1</v>
          </cell>
          <cell r="AT143">
            <v>0.1</v>
          </cell>
          <cell r="AU143">
            <v>1.4164305949008501E-2</v>
          </cell>
          <cell r="AV143">
            <v>1.3799974225981126E-2</v>
          </cell>
          <cell r="AW143"/>
          <cell r="AX143" t="str">
            <v>863690 1100</v>
          </cell>
          <cell r="AZ143">
            <v>0.15333304695534583</v>
          </cell>
          <cell r="BA143">
            <v>9.1999828173207496E-2</v>
          </cell>
          <cell r="BB143">
            <v>7.6666523477672915E-2</v>
          </cell>
          <cell r="BC143">
            <v>6.1333218782138335E-2</v>
          </cell>
        </row>
        <row r="144">
          <cell r="I144" t="str">
            <v>KJ6ADSBL</v>
          </cell>
          <cell r="J144" t="str">
            <v>U0203001</v>
          </cell>
          <cell r="K144" t="str">
            <v>CAT6A DUST SHUTTER BLUE RAL5024 100PCS PER ECO FRIENDLY BAG</v>
          </cell>
          <cell r="L144" t="str">
            <v>VOLET ANTI-POUSSIÈRE CAT6A BLEU RAL5024 100PCS PAR SAC ÉCOLOGIQUE</v>
          </cell>
          <cell r="M144"/>
          <cell r="N144" t="str">
            <v>China</v>
          </cell>
          <cell r="O144"/>
          <cell r="P144" t="str">
            <v>100 pcs polybag</v>
          </cell>
          <cell r="Q144" t="str">
            <v>20 000pcs</v>
          </cell>
          <cell r="R144">
            <v>86400</v>
          </cell>
          <cell r="S144" t="str">
            <v>4897108882524</v>
          </cell>
          <cell r="T144" t="str">
            <v>853669 9099</v>
          </cell>
          <cell r="U144">
            <v>2.3E-2</v>
          </cell>
          <cell r="V144">
            <v>45</v>
          </cell>
          <cell r="W144">
            <v>45</v>
          </cell>
          <cell r="X144">
            <v>55</v>
          </cell>
          <cell r="Y144" t="str">
            <v>T/T 35days</v>
          </cell>
          <cell r="Z144">
            <v>5.0586806960744642E-2</v>
          </cell>
          <cell r="AA144">
            <v>4.5999914086603748E-2</v>
          </cell>
          <cell r="AB144">
            <v>0.1</v>
          </cell>
          <cell r="AC144">
            <v>0.1</v>
          </cell>
          <cell r="AD144">
            <v>0.7</v>
          </cell>
          <cell r="AE144" t="str">
            <v>C</v>
          </cell>
          <cell r="AF144">
            <v>4.5999914086603748E-2</v>
          </cell>
          <cell r="AG144">
            <v>0.7</v>
          </cell>
          <cell r="AH144">
            <v>0.05</v>
          </cell>
          <cell r="AI144">
            <v>1.5738117721120555E-2</v>
          </cell>
          <cell r="AJ144">
            <v>1.5333304695534584E-2</v>
          </cell>
          <cell r="AK144">
            <v>0.68888888888888888</v>
          </cell>
          <cell r="AL144">
            <v>0.66666666666666663</v>
          </cell>
          <cell r="AM144"/>
          <cell r="AN144" t="str">
            <v>CTK</v>
          </cell>
          <cell r="AO144"/>
          <cell r="AP144"/>
          <cell r="AQ144"/>
          <cell r="AR144"/>
          <cell r="AS144">
            <v>0.1</v>
          </cell>
          <cell r="AT144">
            <v>0.1</v>
          </cell>
          <cell r="AU144">
            <v>1.4164305949008501E-2</v>
          </cell>
          <cell r="AV144">
            <v>1.3799974225981126E-2</v>
          </cell>
          <cell r="AW144"/>
          <cell r="AX144" t="str">
            <v>863690 1100</v>
          </cell>
          <cell r="AZ144">
            <v>0.15333304695534583</v>
          </cell>
          <cell r="BA144">
            <v>9.1999828173207496E-2</v>
          </cell>
          <cell r="BB144">
            <v>7.6666523477672915E-2</v>
          </cell>
          <cell r="BC144">
            <v>6.1333218782138335E-2</v>
          </cell>
        </row>
        <row r="145">
          <cell r="I145" t="str">
            <v>KJ6ADSGE</v>
          </cell>
          <cell r="J145" t="str">
            <v>U0203002</v>
          </cell>
          <cell r="K145" t="str">
            <v>CAT6A DUST SHUTTER GREEN RAL6018 100PCS PER ECO FRIENDLY BAG</v>
          </cell>
          <cell r="L145" t="str">
            <v>VOLET ANTI-POUSSIÈRE CAT6A VERT RAL6018 100PCS PAR SAC ÉCOLOGIQUE</v>
          </cell>
          <cell r="M145"/>
          <cell r="N145" t="str">
            <v>China</v>
          </cell>
          <cell r="O145"/>
          <cell r="P145" t="str">
            <v>100 pcs polybag</v>
          </cell>
          <cell r="Q145" t="str">
            <v>20 000pcs</v>
          </cell>
          <cell r="R145">
            <v>86400</v>
          </cell>
          <cell r="S145" t="str">
            <v>4897108882531</v>
          </cell>
          <cell r="T145" t="str">
            <v>853669 9099</v>
          </cell>
          <cell r="U145">
            <v>2.3E-2</v>
          </cell>
          <cell r="V145">
            <v>45</v>
          </cell>
          <cell r="W145">
            <v>45</v>
          </cell>
          <cell r="X145">
            <v>55</v>
          </cell>
          <cell r="Y145" t="str">
            <v>T/T 35days</v>
          </cell>
          <cell r="Z145">
            <v>5.0586806960744642E-2</v>
          </cell>
          <cell r="AA145">
            <v>4.5999914086603748E-2</v>
          </cell>
          <cell r="AB145">
            <v>0.1</v>
          </cell>
          <cell r="AC145">
            <v>0.1</v>
          </cell>
          <cell r="AD145">
            <v>0.7</v>
          </cell>
          <cell r="AE145" t="str">
            <v>C</v>
          </cell>
          <cell r="AF145">
            <v>4.5999914086603748E-2</v>
          </cell>
          <cell r="AG145">
            <v>0.7</v>
          </cell>
          <cell r="AH145">
            <v>0.05</v>
          </cell>
          <cell r="AI145">
            <v>1.5738117721120555E-2</v>
          </cell>
          <cell r="AJ145">
            <v>1.5333304695534584E-2</v>
          </cell>
          <cell r="AK145">
            <v>0.68888888888888888</v>
          </cell>
          <cell r="AL145">
            <v>0.66666666666666663</v>
          </cell>
          <cell r="AM145"/>
          <cell r="AN145" t="str">
            <v>CTK</v>
          </cell>
          <cell r="AO145"/>
          <cell r="AP145"/>
          <cell r="AQ145"/>
          <cell r="AR145"/>
          <cell r="AS145">
            <v>0.1</v>
          </cell>
          <cell r="AT145">
            <v>0.1</v>
          </cell>
          <cell r="AU145">
            <v>1.4164305949008501E-2</v>
          </cell>
          <cell r="AV145">
            <v>1.3799974225981126E-2</v>
          </cell>
          <cell r="AW145"/>
          <cell r="AX145" t="str">
            <v>863690 1100</v>
          </cell>
          <cell r="AZ145">
            <v>0.15333304695534583</v>
          </cell>
          <cell r="BA145">
            <v>9.1999828173207496E-2</v>
          </cell>
          <cell r="BB145">
            <v>7.6666523477672915E-2</v>
          </cell>
          <cell r="BC145">
            <v>6.1333218782138335E-2</v>
          </cell>
        </row>
        <row r="146">
          <cell r="I146" t="str">
            <v>KJ6ADSOR</v>
          </cell>
          <cell r="J146" t="str">
            <v>U0203003</v>
          </cell>
          <cell r="K146" t="str">
            <v>CAT6A DUST SHUTTER ORANGE RAL2003 100PCS PER ECO FRIENDLY BAG</v>
          </cell>
          <cell r="L146" t="str">
            <v>VOLET ANTI-POUSSIÈRE CAT6A ORANGE RAL2003 100PCS PAR SAC ÉCOLOGIQUE</v>
          </cell>
          <cell r="M146"/>
          <cell r="N146" t="str">
            <v>China</v>
          </cell>
          <cell r="O146"/>
          <cell r="P146" t="str">
            <v>100 pcs polybag</v>
          </cell>
          <cell r="Q146" t="str">
            <v>20 000pcs</v>
          </cell>
          <cell r="R146">
            <v>86400</v>
          </cell>
          <cell r="S146" t="str">
            <v>4897108882548</v>
          </cell>
          <cell r="T146" t="str">
            <v>853669 9099</v>
          </cell>
          <cell r="U146">
            <v>2.3E-2</v>
          </cell>
          <cell r="V146">
            <v>45</v>
          </cell>
          <cell r="W146">
            <v>45</v>
          </cell>
          <cell r="X146">
            <v>55</v>
          </cell>
          <cell r="Y146" t="str">
            <v>T/T 35days</v>
          </cell>
          <cell r="Z146">
            <v>5.0586806960744642E-2</v>
          </cell>
          <cell r="AA146">
            <v>4.5999914086603748E-2</v>
          </cell>
          <cell r="AB146">
            <v>0.1</v>
          </cell>
          <cell r="AC146">
            <v>0.1</v>
          </cell>
          <cell r="AD146">
            <v>0.7</v>
          </cell>
          <cell r="AE146" t="str">
            <v>C</v>
          </cell>
          <cell r="AF146">
            <v>4.5999914086603748E-2</v>
          </cell>
          <cell r="AG146">
            <v>0.7</v>
          </cell>
          <cell r="AH146">
            <v>0.05</v>
          </cell>
          <cell r="AI146">
            <v>1.5738117721120555E-2</v>
          </cell>
          <cell r="AJ146">
            <v>1.5333304695534584E-2</v>
          </cell>
          <cell r="AK146">
            <v>0.68888888888888888</v>
          </cell>
          <cell r="AL146">
            <v>0.66666666666666663</v>
          </cell>
          <cell r="AM146"/>
          <cell r="AN146" t="str">
            <v>CTK</v>
          </cell>
          <cell r="AO146"/>
          <cell r="AP146"/>
          <cell r="AQ146"/>
          <cell r="AR146"/>
          <cell r="AS146">
            <v>0.1</v>
          </cell>
          <cell r="AT146">
            <v>0.1</v>
          </cell>
          <cell r="AU146">
            <v>1.4164305949008501E-2</v>
          </cell>
          <cell r="AV146">
            <v>1.3799974225981126E-2</v>
          </cell>
          <cell r="AW146"/>
          <cell r="AX146" t="str">
            <v>863690 1100</v>
          </cell>
          <cell r="AZ146">
            <v>0.15333304695534583</v>
          </cell>
          <cell r="BA146">
            <v>9.1999828173207496E-2</v>
          </cell>
          <cell r="BB146">
            <v>7.6666523477672915E-2</v>
          </cell>
          <cell r="BC146">
            <v>6.1333218782138335E-2</v>
          </cell>
        </row>
        <row r="147">
          <cell r="I147" t="str">
            <v>KPL45S6BI</v>
          </cell>
          <cell r="J147" t="str">
            <v>U0206005</v>
          </cell>
          <cell r="K147" t="str">
            <v>PLUG RJ45 8P8C SHIELDED CAT6 BIG WIRE INSERT 100PCS PER POLYBAG</v>
          </cell>
          <cell r="L147" t="str">
            <v>FICHE PLUG RJ45 8P8C BLINDÉ CAT6 GROS FIL INSERT 100PCS PAR POLYBAG</v>
          </cell>
          <cell r="M147"/>
          <cell r="N147" t="str">
            <v>China</v>
          </cell>
          <cell r="O147"/>
          <cell r="P147" t="str">
            <v>100 pcs polybag</v>
          </cell>
          <cell r="Q147" t="str">
            <v>5000 pcs</v>
          </cell>
          <cell r="R147">
            <v>60000</v>
          </cell>
          <cell r="S147" t="e">
            <v>#N/A</v>
          </cell>
          <cell r="T147">
            <v>8536699099</v>
          </cell>
          <cell r="U147">
            <v>0</v>
          </cell>
          <cell r="V147">
            <v>30</v>
          </cell>
          <cell r="W147">
            <v>45</v>
          </cell>
          <cell r="X147">
            <v>55</v>
          </cell>
          <cell r="Y147" t="str">
            <v>T/T 35 days</v>
          </cell>
          <cell r="Z147">
            <v>0.276692390348735</v>
          </cell>
          <cell r="AA147">
            <v>0.2353597870564246</v>
          </cell>
          <cell r="AB147">
            <v>0.1</v>
          </cell>
          <cell r="AC147">
            <v>0.1</v>
          </cell>
          <cell r="AD147">
            <v>0.4</v>
          </cell>
          <cell r="AE147" t="str">
            <v>C</v>
          </cell>
          <cell r="AF147">
            <v>0.2353597870564246</v>
          </cell>
          <cell r="AG147">
            <v>0.4</v>
          </cell>
          <cell r="AH147" t="e">
            <v>#N/A</v>
          </cell>
          <cell r="AI147">
            <v>0.17831287378029587</v>
          </cell>
          <cell r="AJ147">
            <v>0.15690652470428307</v>
          </cell>
          <cell r="AK147">
            <v>0.35555555555555562</v>
          </cell>
          <cell r="AL147">
            <v>0.33333333333333337</v>
          </cell>
          <cell r="AM147"/>
          <cell r="AN147" t="str">
            <v>EXW</v>
          </cell>
          <cell r="AO147"/>
          <cell r="AP147"/>
          <cell r="AQ147"/>
          <cell r="AR147"/>
          <cell r="AS147">
            <v>1.133</v>
          </cell>
          <cell r="AT147">
            <v>1.133</v>
          </cell>
          <cell r="AU147">
            <v>0.16048158640226629</v>
          </cell>
          <cell r="AV147">
            <v>0.14121587223385476</v>
          </cell>
          <cell r="AW147"/>
          <cell r="AX147"/>
          <cell r="AZ147">
            <v>0.7845326235214154</v>
          </cell>
          <cell r="BA147">
            <v>0.4707195741128492</v>
          </cell>
          <cell r="BB147">
            <v>0.3922663117607077</v>
          </cell>
          <cell r="BC147">
            <v>0.31381304940856619</v>
          </cell>
        </row>
        <row r="148">
          <cell r="I148" t="str">
            <v>KPL45BIBOGR</v>
          </cell>
          <cell r="J148" t="str">
            <v>U0206001</v>
          </cell>
          <cell r="K148" t="str">
            <v>BOOTS FOR RJ45 PLUG 8P8C BIG WIRE INSERT  GREY DIAM 8.5</v>
          </cell>
          <cell r="L148" t="str">
            <v>MANCHETTE POUR FICHE RJ45 8P8C INSERT GROS FIL GRIS DIAM 8.5</v>
          </cell>
          <cell r="M148"/>
          <cell r="N148" t="str">
            <v>China</v>
          </cell>
          <cell r="O148"/>
          <cell r="P148" t="str">
            <v>100 pcs polybag</v>
          </cell>
          <cell r="Q148" t="str">
            <v>5000 pcs</v>
          </cell>
          <cell r="R148">
            <v>60000</v>
          </cell>
          <cell r="S148" t="e">
            <v>#N/A</v>
          </cell>
          <cell r="T148">
            <v>3926909790</v>
          </cell>
          <cell r="U148">
            <v>0</v>
          </cell>
          <cell r="V148">
            <v>30</v>
          </cell>
          <cell r="W148">
            <v>45</v>
          </cell>
          <cell r="X148">
            <v>55</v>
          </cell>
          <cell r="Y148" t="str">
            <v>T/T 35 days</v>
          </cell>
          <cell r="Z148">
            <v>6.9703295064857618E-2</v>
          </cell>
          <cell r="AA148">
            <v>6.1747649546331655E-2</v>
          </cell>
          <cell r="AB148">
            <v>0.1</v>
          </cell>
          <cell r="AC148">
            <v>0.1</v>
          </cell>
          <cell r="AD148">
            <v>0.6</v>
          </cell>
          <cell r="AE148" t="str">
            <v>C</v>
          </cell>
          <cell r="AF148">
            <v>6.1747649546331655E-2</v>
          </cell>
          <cell r="AG148">
            <v>0.6</v>
          </cell>
          <cell r="AH148" t="e">
            <v>#N/A</v>
          </cell>
          <cell r="AI148">
            <v>2.9430280138495437E-2</v>
          </cell>
          <cell r="AJ148">
            <v>2.7443399798369628E-2</v>
          </cell>
          <cell r="AK148">
            <v>0.57777777777777772</v>
          </cell>
          <cell r="AL148">
            <v>0.55555555555555558</v>
          </cell>
          <cell r="AM148"/>
          <cell r="AN148" t="str">
            <v>EXW</v>
          </cell>
          <cell r="AO148"/>
          <cell r="AP148"/>
          <cell r="AQ148"/>
          <cell r="AR148"/>
          <cell r="AS148">
            <v>0.187</v>
          </cell>
          <cell r="AT148">
            <v>0.187</v>
          </cell>
          <cell r="AU148">
            <v>2.6487252124645894E-2</v>
          </cell>
          <cell r="AV148">
            <v>2.4699059818532664E-2</v>
          </cell>
          <cell r="AW148"/>
          <cell r="AX148"/>
          <cell r="AZ148">
            <v>0.20582549848777218</v>
          </cell>
          <cell r="BA148">
            <v>0.1234952990926633</v>
          </cell>
          <cell r="BB148">
            <v>0.10291274924388609</v>
          </cell>
          <cell r="BC148">
            <v>8.2330199395108883E-2</v>
          </cell>
        </row>
        <row r="149">
          <cell r="I149" t="str">
            <v>KPL45BITOOL</v>
          </cell>
          <cell r="J149" t="str">
            <v>U0206002</v>
          </cell>
          <cell r="K149" t="str">
            <v xml:space="preserve">CRIMPING TOOL FOR  RJ45 PLUG  8P8C BIG WIRE INSERT </v>
          </cell>
          <cell r="L149" t="str">
            <v>OUTIL DE SERTISSAGE POUR FICHE RJ45 8P8C INSERT GROS FIL</v>
          </cell>
          <cell r="M149"/>
          <cell r="N149" t="str">
            <v>China</v>
          </cell>
          <cell r="O149"/>
          <cell r="P149" t="str">
            <v>1 pc eco friendly box</v>
          </cell>
          <cell r="Q149" t="str">
            <v>200 pcs</v>
          </cell>
          <cell r="R149">
            <v>480</v>
          </cell>
          <cell r="S149" t="e">
            <v>#N/A</v>
          </cell>
          <cell r="T149">
            <v>8203200000</v>
          </cell>
          <cell r="U149">
            <v>0</v>
          </cell>
          <cell r="V149">
            <v>30</v>
          </cell>
          <cell r="W149">
            <v>45</v>
          </cell>
          <cell r="X149">
            <v>55</v>
          </cell>
          <cell r="Y149" t="str">
            <v>T/T 35days</v>
          </cell>
          <cell r="Z149">
            <v>14.53705084240346</v>
          </cell>
          <cell r="AA149">
            <v>12.529701420536192</v>
          </cell>
          <cell r="AB149">
            <v>0.1</v>
          </cell>
          <cell r="AC149">
            <v>0.1</v>
          </cell>
          <cell r="AD149">
            <v>0.6</v>
          </cell>
          <cell r="AE149" t="str">
            <v>C</v>
          </cell>
          <cell r="AF149">
            <v>12.529701420536192</v>
          </cell>
          <cell r="AG149">
            <v>0.6</v>
          </cell>
          <cell r="AH149" t="e">
            <v>#N/A</v>
          </cell>
          <cell r="AI149">
            <v>6.1378659112370162</v>
          </cell>
          <cell r="AJ149">
            <v>5.5687561869049746</v>
          </cell>
          <cell r="AK149">
            <v>0.57777777777777772</v>
          </cell>
          <cell r="AL149">
            <v>0.55555555555555558</v>
          </cell>
          <cell r="AM149"/>
          <cell r="AN149" t="str">
            <v>LY</v>
          </cell>
          <cell r="AO149"/>
          <cell r="AP149"/>
          <cell r="AQ149"/>
          <cell r="AR149"/>
          <cell r="AS149">
            <v>39</v>
          </cell>
          <cell r="AT149">
            <v>39</v>
          </cell>
          <cell r="AU149">
            <v>5.5240793201133149</v>
          </cell>
          <cell r="AV149">
            <v>5.0118805682144769</v>
          </cell>
          <cell r="AW149" t="str">
            <v>LY-TYB7088</v>
          </cell>
          <cell r="AX149"/>
          <cell r="AZ149">
            <v>41.765671401787309</v>
          </cell>
          <cell r="BA149">
            <v>25.059402841072384</v>
          </cell>
          <cell r="BB149">
            <v>20.882835700893654</v>
          </cell>
          <cell r="BC149">
            <v>16.706268560714925</v>
          </cell>
        </row>
        <row r="150">
          <cell r="I150" t="str">
            <v>KPL45U5E</v>
          </cell>
          <cell r="J150" t="str">
            <v>U0206006</v>
          </cell>
          <cell r="K150" t="str">
            <v>PLUG RJ45 8P8C UNSHIELDED CAT5E WITHOUT INSERT 100PCS PER POLYBAG</v>
          </cell>
          <cell r="L150" t="str">
            <v>FICHE PLUG RJ45 8P8C NON BLINDÉ CAT5E SANS INSERT 100PCS PAR POLYBAG</v>
          </cell>
          <cell r="M150"/>
          <cell r="N150" t="str">
            <v>China</v>
          </cell>
          <cell r="O150"/>
          <cell r="P150" t="str">
            <v>100 pcs polybag</v>
          </cell>
          <cell r="Q150" t="str">
            <v>5000 pcs</v>
          </cell>
          <cell r="R150">
            <v>60000</v>
          </cell>
          <cell r="S150" t="e">
            <v>#N/A</v>
          </cell>
          <cell r="T150">
            <v>8536699099</v>
          </cell>
          <cell r="U150">
            <v>0</v>
          </cell>
          <cell r="V150">
            <v>30</v>
          </cell>
          <cell r="W150">
            <v>45</v>
          </cell>
          <cell r="X150">
            <v>55</v>
          </cell>
          <cell r="Y150" t="str">
            <v>T/T 35 days</v>
          </cell>
          <cell r="Z150">
            <v>8.439972648236789E-2</v>
          </cell>
          <cell r="AA150">
            <v>7.3722475400637755E-2</v>
          </cell>
          <cell r="AB150">
            <v>0.1</v>
          </cell>
          <cell r="AC150">
            <v>0.1</v>
          </cell>
          <cell r="AD150">
            <v>0.4</v>
          </cell>
          <cell r="AE150" t="str">
            <v>C</v>
          </cell>
          <cell r="AF150">
            <v>7.3722475400637755E-2</v>
          </cell>
          <cell r="AG150">
            <v>0.4</v>
          </cell>
          <cell r="AH150" t="e">
            <v>#N/A</v>
          </cell>
          <cell r="AI150">
            <v>5.4390934844192634E-2</v>
          </cell>
          <cell r="AJ150">
            <v>4.9148316933758499E-2</v>
          </cell>
          <cell r="AK150">
            <v>0.35555555555555562</v>
          </cell>
          <cell r="AL150">
            <v>0.33333333333333337</v>
          </cell>
          <cell r="AM150"/>
          <cell r="AN150" t="str">
            <v>EXW</v>
          </cell>
          <cell r="AO150"/>
          <cell r="AP150"/>
          <cell r="AQ150"/>
          <cell r="AR150"/>
          <cell r="AS150">
            <v>0.34560000000000002</v>
          </cell>
          <cell r="AT150">
            <v>0.34560000000000002</v>
          </cell>
          <cell r="AU150">
            <v>4.8951841359773374E-2</v>
          </cell>
          <cell r="AV150">
            <v>4.4233485240382647E-2</v>
          </cell>
          <cell r="AW150" t="str">
            <v>P88RE50V2</v>
          </cell>
          <cell r="AX150"/>
          <cell r="AZ150">
            <v>0.24574158466879253</v>
          </cell>
          <cell r="BA150">
            <v>0.14744495080127551</v>
          </cell>
          <cell r="BB150">
            <v>0.12287079233439627</v>
          </cell>
          <cell r="BC150">
            <v>9.8296633867517025E-2</v>
          </cell>
        </row>
        <row r="151">
          <cell r="I151" t="str">
            <v>KPL45S5E</v>
          </cell>
          <cell r="J151" t="str">
            <v/>
          </cell>
          <cell r="K151" t="str">
            <v>PLUG RJ45 8P8C SHIELDED CAT5E WITHOUT INSERT 100PCS PER POLYBAG</v>
          </cell>
          <cell r="L151" t="str">
            <v>FICHE PLUG RJ45 8P8C BLINDÉ CAT5E SANS INSER 100PCS PAR POLYBAG</v>
          </cell>
          <cell r="M151"/>
          <cell r="N151" t="str">
            <v>China</v>
          </cell>
          <cell r="O151"/>
          <cell r="P151" t="str">
            <v>100 pcs polybag</v>
          </cell>
          <cell r="Q151" t="str">
            <v>5000 pcs</v>
          </cell>
          <cell r="R151">
            <v>60000</v>
          </cell>
          <cell r="S151" t="e">
            <v>#N/A</v>
          </cell>
          <cell r="T151">
            <v>8536699099</v>
          </cell>
          <cell r="U151">
            <v>0</v>
          </cell>
          <cell r="V151">
            <v>30</v>
          </cell>
          <cell r="W151">
            <v>45</v>
          </cell>
          <cell r="X151">
            <v>55</v>
          </cell>
          <cell r="Y151" t="str">
            <v>T/T 35 days</v>
          </cell>
          <cell r="Z151">
            <v>0.15473283188434112</v>
          </cell>
          <cell r="AA151">
            <v>0.13284305675302102</v>
          </cell>
          <cell r="AB151">
            <v>0.1</v>
          </cell>
          <cell r="AC151">
            <v>0.1</v>
          </cell>
          <cell r="AD151">
            <v>0.4</v>
          </cell>
          <cell r="AE151" t="str">
            <v>C</v>
          </cell>
          <cell r="AF151">
            <v>0.13284305675302102</v>
          </cell>
          <cell r="AG151">
            <v>0.4</v>
          </cell>
          <cell r="AH151" t="e">
            <v>#N/A</v>
          </cell>
          <cell r="AI151">
            <v>9.9716713881019825E-2</v>
          </cell>
          <cell r="AJ151">
            <v>8.8562037835347343E-2</v>
          </cell>
          <cell r="AK151">
            <v>0.35555555555555562</v>
          </cell>
          <cell r="AL151">
            <v>0.33333333333333337</v>
          </cell>
          <cell r="AM151"/>
          <cell r="AN151" t="str">
            <v>EXW</v>
          </cell>
          <cell r="AO151"/>
          <cell r="AP151"/>
          <cell r="AQ151"/>
          <cell r="AR151"/>
          <cell r="AS151">
            <v>0.63359999999999994</v>
          </cell>
          <cell r="AT151">
            <v>0.63359999999999994</v>
          </cell>
          <cell r="AU151">
            <v>8.9745042492917843E-2</v>
          </cell>
          <cell r="AV151">
            <v>7.9705834051812613E-2</v>
          </cell>
          <cell r="AW151" t="str">
            <v>P88RE50V2S</v>
          </cell>
          <cell r="AX151"/>
          <cell r="AZ151">
            <v>0.44281018917673676</v>
          </cell>
          <cell r="BA151">
            <v>0.26568611350604204</v>
          </cell>
          <cell r="BB151">
            <v>0.22140509458836838</v>
          </cell>
          <cell r="BC151">
            <v>0.17712407567069471</v>
          </cell>
        </row>
        <row r="152">
          <cell r="I152" t="str">
            <v>KPL45U6</v>
          </cell>
          <cell r="J152" t="str">
            <v>U0206007</v>
          </cell>
          <cell r="K152" t="str">
            <v>PLUG RJ45 8P8C UNSHIELDED CAT6 WITHOUT INSERT 4/4 100PCS PER POLYBAG</v>
          </cell>
          <cell r="L152" t="str">
            <v>FICHE PLUG RJ45 8P8C NON BLINDÉ CAT6 SANS INSERT 4/4 100PCS PAR POLYBAG</v>
          </cell>
          <cell r="M152"/>
          <cell r="N152" t="str">
            <v>China</v>
          </cell>
          <cell r="O152"/>
          <cell r="P152" t="str">
            <v>100 pcs polybag</v>
          </cell>
          <cell r="Q152" t="str">
            <v>5000 pcs</v>
          </cell>
          <cell r="R152">
            <v>60000</v>
          </cell>
          <cell r="S152" t="e">
            <v>#N/A</v>
          </cell>
          <cell r="T152">
            <v>8536699099</v>
          </cell>
          <cell r="U152">
            <v>0</v>
          </cell>
          <cell r="V152">
            <v>30</v>
          </cell>
          <cell r="W152">
            <v>45</v>
          </cell>
          <cell r="X152">
            <v>55</v>
          </cell>
          <cell r="Y152" t="str">
            <v>T/T 35 days</v>
          </cell>
          <cell r="Z152">
            <v>0.11429129627820654</v>
          </cell>
          <cell r="AA152">
            <v>9.8848722475400663E-2</v>
          </cell>
          <cell r="AB152">
            <v>0.1</v>
          </cell>
          <cell r="AC152">
            <v>0.1</v>
          </cell>
          <cell r="AD152">
            <v>0.4</v>
          </cell>
          <cell r="AE152" t="str">
            <v>C</v>
          </cell>
          <cell r="AF152">
            <v>9.8848722475400663E-2</v>
          </cell>
          <cell r="AG152">
            <v>0.4</v>
          </cell>
          <cell r="AH152" t="e">
            <v>#N/A</v>
          </cell>
          <cell r="AI152">
            <v>7.3654390934844202E-2</v>
          </cell>
          <cell r="AJ152">
            <v>6.5899148316933762E-2</v>
          </cell>
          <cell r="AK152">
            <v>0.35555555555555562</v>
          </cell>
          <cell r="AL152">
            <v>0.33333333333333348</v>
          </cell>
          <cell r="AM152"/>
          <cell r="AN152" t="str">
            <v>EXW</v>
          </cell>
          <cell r="AO152"/>
          <cell r="AP152"/>
          <cell r="AQ152"/>
          <cell r="AR152"/>
          <cell r="AS152">
            <v>0.46800000000000003</v>
          </cell>
          <cell r="AT152">
            <v>0.46800000000000003</v>
          </cell>
          <cell r="AU152">
            <v>6.6288951841359786E-2</v>
          </cell>
          <cell r="AV152">
            <v>5.9309233485240392E-2</v>
          </cell>
          <cell r="AW152" t="str">
            <v>P88F5Z50V2T-R</v>
          </cell>
          <cell r="AX152"/>
          <cell r="AZ152">
            <v>0.32949574158466888</v>
          </cell>
          <cell r="BA152">
            <v>0.19769744495080133</v>
          </cell>
          <cell r="BB152">
            <v>0.16474787079233444</v>
          </cell>
          <cell r="BC152">
            <v>0.13179829663386755</v>
          </cell>
        </row>
        <row r="153">
          <cell r="I153" t="str">
            <v>KPL45S6</v>
          </cell>
          <cell r="J153" t="str">
            <v>U0206003</v>
          </cell>
          <cell r="K153" t="str">
            <v>PLUG RJ45 8P8C SHIELDED CAT6 WITHOUT INSERT 4/4 100PCS PER POLYBAG</v>
          </cell>
          <cell r="L153" t="str">
            <v>FICHE PLUG RJ45 8P8C BLINDÉ CAT6 SANS INSERT 4/4 100PCS PAR POLYBAG</v>
          </cell>
          <cell r="M153"/>
          <cell r="N153" t="str">
            <v>China</v>
          </cell>
          <cell r="O153"/>
          <cell r="P153" t="str">
            <v>100 pcs polybag</v>
          </cell>
          <cell r="Q153" t="str">
            <v>5000 pcs</v>
          </cell>
          <cell r="R153">
            <v>60000</v>
          </cell>
          <cell r="S153" t="e">
            <v>#N/A</v>
          </cell>
          <cell r="T153">
            <v>8536699099</v>
          </cell>
          <cell r="U153">
            <v>0</v>
          </cell>
          <cell r="V153">
            <v>30</v>
          </cell>
          <cell r="W153">
            <v>45</v>
          </cell>
          <cell r="X153">
            <v>55</v>
          </cell>
          <cell r="Y153" t="str">
            <v>T/T 35 days</v>
          </cell>
          <cell r="Z153">
            <v>0.18462440168017977</v>
          </cell>
          <cell r="AA153">
            <v>0.15796930382778396</v>
          </cell>
          <cell r="AB153">
            <v>0.1</v>
          </cell>
          <cell r="AC153">
            <v>0.1</v>
          </cell>
          <cell r="AD153">
            <v>0.4</v>
          </cell>
          <cell r="AE153" t="str">
            <v>C</v>
          </cell>
          <cell r="AF153">
            <v>0.15796930382778396</v>
          </cell>
          <cell r="AG153">
            <v>0.4</v>
          </cell>
          <cell r="AH153" t="e">
            <v>#N/A</v>
          </cell>
          <cell r="AI153">
            <v>0.11898016997167139</v>
          </cell>
          <cell r="AJ153">
            <v>0.10531286921852263</v>
          </cell>
          <cell r="AK153">
            <v>0.35555555555555562</v>
          </cell>
          <cell r="AL153">
            <v>0.33333333333333337</v>
          </cell>
          <cell r="AM153"/>
          <cell r="AN153" t="str">
            <v>EXW</v>
          </cell>
          <cell r="AO153"/>
          <cell r="AP153"/>
          <cell r="AQ153"/>
          <cell r="AR153"/>
          <cell r="AS153">
            <v>0.75600000000000001</v>
          </cell>
          <cell r="AT153">
            <v>0.75600000000000001</v>
          </cell>
          <cell r="AU153">
            <v>0.10708215297450425</v>
          </cell>
          <cell r="AV153">
            <v>9.4781582296670372E-2</v>
          </cell>
          <cell r="AW153" t="str">
            <v>P88R5Z50V2ST</v>
          </cell>
          <cell r="AX153"/>
          <cell r="AZ153">
            <v>0.52656434609261327</v>
          </cell>
          <cell r="BA153">
            <v>0.31593860765556797</v>
          </cell>
          <cell r="BB153">
            <v>0.26328217304630663</v>
          </cell>
          <cell r="BC153">
            <v>0.21062573843704532</v>
          </cell>
        </row>
        <row r="154">
          <cell r="I154" t="str">
            <v>KPL45S6A</v>
          </cell>
          <cell r="J154" t="str">
            <v>U0206004</v>
          </cell>
          <cell r="K154" t="str">
            <v>PLUG RJ45 8P8C SHIELDED CAT6A WITH INSERT 6/2 100PCS PER POLYBAG</v>
          </cell>
          <cell r="L154" t="str">
            <v>FICHE PLUG RJ45 8P8C BLINDÉ CAT6A AVEC INSERT 6/2 100PCS PAR POLYBAG</v>
          </cell>
          <cell r="M154"/>
          <cell r="N154" t="str">
            <v>China</v>
          </cell>
          <cell r="O154"/>
          <cell r="P154" t="str">
            <v>100 pcs polybag</v>
          </cell>
          <cell r="Q154" t="str">
            <v>5000 pcs</v>
          </cell>
          <cell r="R154">
            <v>60000</v>
          </cell>
          <cell r="S154" t="e">
            <v>#N/A</v>
          </cell>
          <cell r="T154">
            <v>8536699099</v>
          </cell>
          <cell r="U154">
            <v>0</v>
          </cell>
          <cell r="V154">
            <v>30</v>
          </cell>
          <cell r="W154">
            <v>45</v>
          </cell>
          <cell r="X154">
            <v>55</v>
          </cell>
          <cell r="Y154" t="str">
            <v>T/T 35 days</v>
          </cell>
          <cell r="Z154">
            <v>0.21979095438116639</v>
          </cell>
          <cell r="AA154">
            <v>0.18752959450397561</v>
          </cell>
          <cell r="AB154">
            <v>0.1</v>
          </cell>
          <cell r="AC154">
            <v>0.1</v>
          </cell>
          <cell r="AD154">
            <v>0.4</v>
          </cell>
          <cell r="AE154" t="str">
            <v>C</v>
          </cell>
          <cell r="AF154">
            <v>0.18752959450397561</v>
          </cell>
          <cell r="AG154">
            <v>0.4</v>
          </cell>
          <cell r="AH154" t="e">
            <v>#N/A</v>
          </cell>
          <cell r="AI154">
            <v>0.14164305949008499</v>
          </cell>
          <cell r="AJ154">
            <v>0.12501972966931707</v>
          </cell>
          <cell r="AK154">
            <v>0.35555555555555562</v>
          </cell>
          <cell r="AL154">
            <v>0.33333333333333337</v>
          </cell>
          <cell r="AM154"/>
          <cell r="AN154" t="str">
            <v>EXW</v>
          </cell>
          <cell r="AO154"/>
          <cell r="AP154"/>
          <cell r="AQ154"/>
          <cell r="AR154"/>
          <cell r="AS154">
            <v>0.9</v>
          </cell>
          <cell r="AT154">
            <v>0.9</v>
          </cell>
          <cell r="AU154">
            <v>0.12747875354107649</v>
          </cell>
          <cell r="AV154">
            <v>0.11251775670238535</v>
          </cell>
          <cell r="AW154" t="str">
            <v>C6RH5Z50V2IL-2R(3D 1.1)</v>
          </cell>
          <cell r="AX154"/>
          <cell r="AZ154">
            <v>0.62509864834658535</v>
          </cell>
          <cell r="BA154">
            <v>0.37505918900795121</v>
          </cell>
          <cell r="BB154">
            <v>0.31254932417329268</v>
          </cell>
          <cell r="BC154">
            <v>0.25003945933863414</v>
          </cell>
        </row>
        <row r="155">
          <cell r="I155" t="str">
            <v>KPL45S6AEP</v>
          </cell>
          <cell r="J155" t="str">
            <v/>
          </cell>
          <cell r="K155" t="str">
            <v>PLUG RJ45 8P8C SHIELDED CAT6A WITH INSERT 100PCS PER POLYBAG</v>
          </cell>
          <cell r="L155" t="str">
            <v>FICHE PLUG RJ45 8P8C BLINDÉ CAT6A AVEC INSERT ET FACILE A PASSER PAR POLYBAG</v>
          </cell>
          <cell r="M155"/>
          <cell r="N155" t="str">
            <v>China</v>
          </cell>
          <cell r="O155"/>
          <cell r="P155" t="str">
            <v>100 pcs polybag</v>
          </cell>
          <cell r="Q155" t="str">
            <v>5000 pcs</v>
          </cell>
          <cell r="R155">
            <v>60000</v>
          </cell>
          <cell r="S155" t="e">
            <v>#N/A</v>
          </cell>
          <cell r="T155">
            <v>8536699099</v>
          </cell>
          <cell r="U155">
            <v>0</v>
          </cell>
          <cell r="V155">
            <v>30</v>
          </cell>
          <cell r="W155">
            <v>45</v>
          </cell>
          <cell r="X155">
            <v>55</v>
          </cell>
          <cell r="Y155" t="str">
            <v>T/T 35 days</v>
          </cell>
          <cell r="Z155">
            <v>0.28660740451304095</v>
          </cell>
          <cell r="AA155">
            <v>0.24369414678873977</v>
          </cell>
          <cell r="AB155">
            <v>0.1</v>
          </cell>
          <cell r="AC155">
            <v>0.1</v>
          </cell>
          <cell r="AD155">
            <v>0.4</v>
          </cell>
          <cell r="AE155" t="str">
            <v>C</v>
          </cell>
          <cell r="AF155">
            <v>0.24369414678873977</v>
          </cell>
          <cell r="AG155">
            <v>0.4</v>
          </cell>
          <cell r="AH155" t="e">
            <v>#N/A</v>
          </cell>
          <cell r="AI155">
            <v>0.18470254957507085</v>
          </cell>
          <cell r="AJ155">
            <v>0.1624627645258265</v>
          </cell>
          <cell r="AK155">
            <v>0.35555555555555551</v>
          </cell>
          <cell r="AL155">
            <v>0.33333333333333337</v>
          </cell>
          <cell r="AM155"/>
          <cell r="AN155" t="str">
            <v>EXW</v>
          </cell>
          <cell r="AO155"/>
          <cell r="AP155"/>
          <cell r="AQ155"/>
          <cell r="AR155"/>
          <cell r="AS155">
            <v>1.1736</v>
          </cell>
          <cell r="AT155">
            <v>1.1736</v>
          </cell>
          <cell r="AU155">
            <v>0.16623229461756375</v>
          </cell>
          <cell r="AV155">
            <v>0.14621648807324386</v>
          </cell>
          <cell r="AW155" t="str">
            <v>EZ-P88F5Z03MV2SIT-3Y</v>
          </cell>
          <cell r="AX155"/>
          <cell r="AZ155">
            <v>0.81231382262913254</v>
          </cell>
          <cell r="BA155">
            <v>0.48738829357747948</v>
          </cell>
          <cell r="BB155">
            <v>0.40615691131456627</v>
          </cell>
          <cell r="BC155">
            <v>0.32492552905165306</v>
          </cell>
        </row>
        <row r="156">
          <cell r="I156" t="str">
            <v>KPL45U6AEP</v>
          </cell>
          <cell r="J156" t="str">
            <v/>
          </cell>
          <cell r="K156" t="str">
            <v>PLUG RJ45 8P8C UNSHIELDED CAT6A WITH INSERT 100PCS PER POLYBAG</v>
          </cell>
          <cell r="L156" t="str">
            <v>FICHE PLUG RJ45 8P8C NON BLINDÉ CAT6A AVEC INSERT ET FACILE A PASSER PAR POLYBAG</v>
          </cell>
          <cell r="M156"/>
          <cell r="N156" t="str">
            <v>China</v>
          </cell>
          <cell r="O156"/>
          <cell r="P156" t="str">
            <v>100 pcs polybag</v>
          </cell>
          <cell r="Q156" t="str">
            <v>5000 pcs</v>
          </cell>
          <cell r="R156">
            <v>60000</v>
          </cell>
          <cell r="S156" t="e">
            <v>#N/A</v>
          </cell>
          <cell r="T156">
            <v>8536699099</v>
          </cell>
          <cell r="U156">
            <v>0</v>
          </cell>
          <cell r="V156">
            <v>30</v>
          </cell>
          <cell r="W156">
            <v>45</v>
          </cell>
          <cell r="X156">
            <v>55</v>
          </cell>
          <cell r="Y156" t="str">
            <v>T/T 35 days</v>
          </cell>
          <cell r="Z156">
            <v>0.11429129627820654</v>
          </cell>
          <cell r="AA156">
            <v>9.8848722475400663E-2</v>
          </cell>
          <cell r="AB156">
            <v>0.1</v>
          </cell>
          <cell r="AC156">
            <v>0.1</v>
          </cell>
          <cell r="AD156">
            <v>0.4</v>
          </cell>
          <cell r="AE156" t="str">
            <v>C</v>
          </cell>
          <cell r="AF156">
            <v>9.8848722475400663E-2</v>
          </cell>
          <cell r="AG156">
            <v>0.4</v>
          </cell>
          <cell r="AH156" t="e">
            <v>#N/A</v>
          </cell>
          <cell r="AI156">
            <v>7.3654390934844202E-2</v>
          </cell>
          <cell r="AJ156">
            <v>6.5899148316933762E-2</v>
          </cell>
          <cell r="AK156">
            <v>0.35555555555555562</v>
          </cell>
          <cell r="AL156">
            <v>0.33333333333333348</v>
          </cell>
          <cell r="AM156"/>
          <cell r="AN156" t="str">
            <v>EXW</v>
          </cell>
          <cell r="AO156"/>
          <cell r="AP156"/>
          <cell r="AQ156"/>
          <cell r="AR156"/>
          <cell r="AS156">
            <v>0.46800000000000003</v>
          </cell>
          <cell r="AT156">
            <v>0.46800000000000003</v>
          </cell>
          <cell r="AU156">
            <v>6.6288951841359786E-2</v>
          </cell>
          <cell r="AV156">
            <v>5.9309233485240392E-2</v>
          </cell>
          <cell r="AW156" t="str">
            <v>EZ-P88FZ03MV2-C6</v>
          </cell>
          <cell r="AX156"/>
          <cell r="AZ156">
            <v>0.32949574158466888</v>
          </cell>
          <cell r="BA156">
            <v>0.19769744495080133</v>
          </cell>
          <cell r="BB156">
            <v>0.16474787079233444</v>
          </cell>
          <cell r="BC156">
            <v>0.13179829663386755</v>
          </cell>
        </row>
        <row r="157">
          <cell r="I157" t="str">
            <v>KPL45EPBOGR</v>
          </cell>
          <cell r="J157" t="str">
            <v/>
          </cell>
          <cell r="K157" t="str">
            <v>BOOTS FOR RJ45 PLUG 3Y GREY DIAM 7.0/7.5/8.0</v>
          </cell>
          <cell r="L157" t="str">
            <v>MANCHETTE POUR FICHE RJ45 3Y GRIS DIAM 7.0/7.5/8.0</v>
          </cell>
          <cell r="M157"/>
          <cell r="N157" t="str">
            <v>China</v>
          </cell>
          <cell r="O157"/>
          <cell r="P157" t="str">
            <v>100 pcs polybag</v>
          </cell>
          <cell r="Q157" t="str">
            <v>5000 pcs</v>
          </cell>
          <cell r="R157">
            <v>60000</v>
          </cell>
          <cell r="S157" t="e">
            <v>#N/A</v>
          </cell>
          <cell r="T157">
            <v>3926909790</v>
          </cell>
          <cell r="U157">
            <v>0</v>
          </cell>
          <cell r="V157">
            <v>30</v>
          </cell>
          <cell r="W157">
            <v>45</v>
          </cell>
          <cell r="X157">
            <v>55</v>
          </cell>
          <cell r="Y157" t="str">
            <v>T/T 35 days</v>
          </cell>
          <cell r="Z157">
            <v>7.5145370508424042E-2</v>
          </cell>
          <cell r="AA157">
            <v>6.6243277086669133E-2</v>
          </cell>
          <cell r="AB157">
            <v>0.1</v>
          </cell>
          <cell r="AC157">
            <v>0.1</v>
          </cell>
          <cell r="AD157">
            <v>0.6</v>
          </cell>
          <cell r="AE157" t="str">
            <v>C</v>
          </cell>
          <cell r="AF157">
            <v>6.6243277086669133E-2</v>
          </cell>
          <cell r="AG157">
            <v>0.59999999999999987</v>
          </cell>
          <cell r="AH157" t="e">
            <v>#N/A</v>
          </cell>
          <cell r="AI157">
            <v>3.1728045325779039E-2</v>
          </cell>
          <cell r="AJ157">
            <v>2.9441456482964062E-2</v>
          </cell>
          <cell r="AK157">
            <v>0.57777777777777772</v>
          </cell>
          <cell r="AL157">
            <v>0.55555555555555558</v>
          </cell>
          <cell r="AM157"/>
          <cell r="AN157" t="str">
            <v>EXW</v>
          </cell>
          <cell r="AO157"/>
          <cell r="AP157"/>
          <cell r="AQ157"/>
          <cell r="AR157"/>
          <cell r="AS157">
            <v>0.2016</v>
          </cell>
          <cell r="AT157">
            <v>0.2016</v>
          </cell>
          <cell r="AU157">
            <v>2.8555240793201136E-2</v>
          </cell>
          <cell r="AV157">
            <v>2.6497310834667658E-2</v>
          </cell>
          <cell r="AW157"/>
          <cell r="AX157"/>
          <cell r="AZ157">
            <v>0.22081092362223045</v>
          </cell>
          <cell r="BA157">
            <v>0.13248655417333827</v>
          </cell>
          <cell r="BB157">
            <v>0.11040546181111523</v>
          </cell>
          <cell r="BC157">
            <v>8.8324369448892187E-2</v>
          </cell>
        </row>
        <row r="158">
          <cell r="I158" t="str">
            <v>KPL45EPTOOL</v>
          </cell>
          <cell r="J158" t="str">
            <v/>
          </cell>
          <cell r="K158" t="str">
            <v xml:space="preserve">CRIMPING TOOL FOR  RJ45 PLUG  8P8C BIG WIRE INSERT </v>
          </cell>
          <cell r="L158" t="str">
            <v>OUTIL DE SERTISSAGE POUR FICHE RJ45 8P8C INSERT GROS FIL</v>
          </cell>
          <cell r="M158"/>
          <cell r="N158" t="str">
            <v>China</v>
          </cell>
          <cell r="O158"/>
          <cell r="P158" t="str">
            <v>1 pc eco friendly box</v>
          </cell>
          <cell r="Q158" t="str">
            <v>1 pcs</v>
          </cell>
          <cell r="R158">
            <v>10</v>
          </cell>
          <cell r="S158" t="e">
            <v>#N/A</v>
          </cell>
          <cell r="T158"/>
          <cell r="U158">
            <v>0</v>
          </cell>
          <cell r="V158">
            <v>30</v>
          </cell>
          <cell r="W158">
            <v>45</v>
          </cell>
          <cell r="X158">
            <v>55</v>
          </cell>
          <cell r="Y158" t="str">
            <v>T/T 35days</v>
          </cell>
          <cell r="Z158">
            <v>49.148435100174069</v>
          </cell>
          <cell r="AA158">
            <v>53.496880954623506</v>
          </cell>
          <cell r="AB158">
            <v>0.1</v>
          </cell>
          <cell r="AC158">
            <v>0.1</v>
          </cell>
          <cell r="AD158">
            <v>0.15</v>
          </cell>
          <cell r="AE158" t="str">
            <v>C</v>
          </cell>
          <cell r="AF158">
            <v>53.496880954623506</v>
          </cell>
          <cell r="AG158">
            <v>0.15000000000000002</v>
          </cell>
          <cell r="AH158" t="e">
            <v>#N/A</v>
          </cell>
          <cell r="AI158">
            <v>45.3257790368272</v>
          </cell>
          <cell r="AJ158">
            <v>50.524832012699974</v>
          </cell>
          <cell r="AK158">
            <v>7.7777777777777724E-2</v>
          </cell>
          <cell r="AL158">
            <v>5.555555555555558E-2</v>
          </cell>
          <cell r="AM158"/>
          <cell r="AN158" t="str">
            <v>EXW</v>
          </cell>
          <cell r="AO158"/>
          <cell r="AP158"/>
          <cell r="AQ158"/>
          <cell r="AR158"/>
          <cell r="AS158">
            <v>288</v>
          </cell>
          <cell r="AT158">
            <v>288</v>
          </cell>
          <cell r="AU158">
            <v>40.793201133144478</v>
          </cell>
          <cell r="AV158">
            <v>45.472348811429981</v>
          </cell>
          <cell r="AW158"/>
          <cell r="AX158"/>
          <cell r="AZ158">
            <v>178.3229365154117</v>
          </cell>
          <cell r="BA158">
            <v>106.99376190924701</v>
          </cell>
          <cell r="BB158">
            <v>89.161468257705849</v>
          </cell>
          <cell r="BC158">
            <v>71.329174606164685</v>
          </cell>
        </row>
        <row r="159">
          <cell r="I159" t="str">
            <v>KPFU5EZH03EF</v>
          </cell>
          <cell r="J159" t="str">
            <v>U0401001</v>
          </cell>
          <cell r="K159" t="str">
            <v>CAT5E PATCH CORD F/UTP GREY LSZH 0.3M</v>
          </cell>
          <cell r="L159" t="str">
            <v>CORDON DE BRASSAGE CAT5E F/UTP GRIS LSZH 0,3M</v>
          </cell>
          <cell r="M159"/>
          <cell r="N159" t="str">
            <v>China</v>
          </cell>
          <cell r="O159"/>
          <cell r="P159" t="str">
            <v>1pc eco bag+10pcs PE bag+carton</v>
          </cell>
          <cell r="Q159" t="str">
            <v>3km of cable</v>
          </cell>
          <cell r="R159">
            <v>4800</v>
          </cell>
          <cell r="S159" t="e">
            <v>#N/A</v>
          </cell>
          <cell r="T159" t="str">
            <v>854442 1000</v>
          </cell>
          <cell r="U159">
            <v>0</v>
          </cell>
          <cell r="V159">
            <v>50</v>
          </cell>
          <cell r="W159">
            <v>45</v>
          </cell>
          <cell r="X159">
            <v>55</v>
          </cell>
          <cell r="Y159" t="str">
            <v>T/T 60 days</v>
          </cell>
          <cell r="Z159">
            <v>0.48352671814971476</v>
          </cell>
          <cell r="AA159">
            <v>0.43702357980594214</v>
          </cell>
          <cell r="AB159">
            <v>0.1</v>
          </cell>
          <cell r="AC159">
            <v>0.1</v>
          </cell>
          <cell r="AD159">
            <v>0.25</v>
          </cell>
          <cell r="AE159" t="str">
            <v>C</v>
          </cell>
          <cell r="AF159">
            <v>0.43702357980594214</v>
          </cell>
          <cell r="AG159">
            <v>0.25</v>
          </cell>
          <cell r="AH159" t="e">
            <v>#N/A</v>
          </cell>
          <cell r="AI159">
            <v>0.3921938936103242</v>
          </cell>
          <cell r="AJ159">
            <v>0.36418631650495181</v>
          </cell>
          <cell r="AK159">
            <v>0.18888888888888888</v>
          </cell>
          <cell r="AL159">
            <v>0.16666666666666663</v>
          </cell>
          <cell r="AM159"/>
          <cell r="AN159" t="str">
            <v>WEKINO/HONTO</v>
          </cell>
          <cell r="AO159">
            <v>6.0000000000000001E-3</v>
          </cell>
          <cell r="AP159">
            <v>2.302</v>
          </cell>
          <cell r="AQ159"/>
          <cell r="AR159">
            <v>0.16</v>
          </cell>
          <cell r="AS159">
            <v>2.3319999999999999</v>
          </cell>
          <cell r="AT159">
            <v>2.492</v>
          </cell>
          <cell r="AU159">
            <v>0.35297450424929178</v>
          </cell>
          <cell r="AV159">
            <v>0.32776768485445662</v>
          </cell>
          <cell r="AW159" t="str">
            <v>7x0.145BC RJ45  OD:5.0±0.3mm</v>
          </cell>
          <cell r="AX159" t="str">
            <v>863690 1100</v>
          </cell>
          <cell r="AZ159">
            <v>1.4567452660198073</v>
          </cell>
          <cell r="BA159">
            <v>0.87404715961188428</v>
          </cell>
          <cell r="BB159">
            <v>0.72837263300990363</v>
          </cell>
          <cell r="BC159">
            <v>0.58269810640792297</v>
          </cell>
        </row>
        <row r="160">
          <cell r="I160" t="str">
            <v>KPFU5EZH05EF</v>
          </cell>
          <cell r="J160" t="str">
            <v>U0401002</v>
          </cell>
          <cell r="K160" t="str">
            <v>CAT5E PATCH CORD F/UTP GREY LSZH 0.5M</v>
          </cell>
          <cell r="L160" t="str">
            <v>CORDON DE BRASSAGE CAT5E F/UTP GRIS LSZH 0,5M</v>
          </cell>
          <cell r="M160"/>
          <cell r="N160" t="str">
            <v>China</v>
          </cell>
          <cell r="O160"/>
          <cell r="P160" t="str">
            <v>1pc eco bag+10pcs PE bag+carton</v>
          </cell>
          <cell r="Q160" t="str">
            <v>3km of cable</v>
          </cell>
          <cell r="R160">
            <v>4800</v>
          </cell>
          <cell r="S160" t="e">
            <v>#N/A</v>
          </cell>
          <cell r="T160" t="str">
            <v>854442 1000</v>
          </cell>
          <cell r="U160">
            <v>0</v>
          </cell>
          <cell r="V160">
            <v>50</v>
          </cell>
          <cell r="W160">
            <v>45</v>
          </cell>
          <cell r="X160">
            <v>55</v>
          </cell>
          <cell r="Y160" t="str">
            <v>T/T 60 days</v>
          </cell>
          <cell r="Z160">
            <v>0.54542279483099854</v>
          </cell>
          <cell r="AA160">
            <v>0.48941098383763743</v>
          </cell>
          <cell r="AB160">
            <v>0.1</v>
          </cell>
          <cell r="AC160">
            <v>0.1</v>
          </cell>
          <cell r="AD160">
            <v>0.25</v>
          </cell>
          <cell r="AE160" t="str">
            <v>C</v>
          </cell>
          <cell r="AF160">
            <v>0.48941098383763743</v>
          </cell>
          <cell r="AG160">
            <v>0.25</v>
          </cell>
          <cell r="AH160" t="e">
            <v>#N/A</v>
          </cell>
          <cell r="AI160">
            <v>0.44239848914069874</v>
          </cell>
          <cell r="AJ160">
            <v>0.40784248653136451</v>
          </cell>
          <cell r="AK160">
            <v>0.18888888888888899</v>
          </cell>
          <cell r="AL160">
            <v>0.16666666666666674</v>
          </cell>
          <cell r="AM160"/>
          <cell r="AN160" t="str">
            <v>WEKINO/HONTO</v>
          </cell>
          <cell r="AO160">
            <v>8.9999999999999993E-3</v>
          </cell>
          <cell r="AP160">
            <v>2.6059999999999999</v>
          </cell>
          <cell r="AQ160"/>
          <cell r="AR160">
            <v>0.16</v>
          </cell>
          <cell r="AS160">
            <v>2.6509999999999998</v>
          </cell>
          <cell r="AT160">
            <v>2.8109999999999999</v>
          </cell>
          <cell r="AU160">
            <v>0.39815864022662889</v>
          </cell>
          <cell r="AV160">
            <v>0.36705823787822806</v>
          </cell>
          <cell r="AW160" t="str">
            <v>7x0.145BC RJ45  OD:5.0±0.3mm</v>
          </cell>
          <cell r="AX160" t="str">
            <v>863690 1100</v>
          </cell>
          <cell r="AZ160">
            <v>1.631369946125458</v>
          </cell>
          <cell r="BA160">
            <v>0.97882196767527474</v>
          </cell>
          <cell r="BB160">
            <v>0.81568497306272902</v>
          </cell>
          <cell r="BC160">
            <v>0.65254797845018331</v>
          </cell>
        </row>
        <row r="161">
          <cell r="I161" t="str">
            <v>KPFU5EZH1EF</v>
          </cell>
          <cell r="J161" t="str">
            <v>U0401004</v>
          </cell>
          <cell r="K161" t="str">
            <v>CAT5E PATCH CORD F/UTP GREY LSZH 1M</v>
          </cell>
          <cell r="L161" t="str">
            <v>CORDON DE BRASSAGE CAT5E F/UTP GRIS LSZH 1M</v>
          </cell>
          <cell r="M161"/>
          <cell r="N161" t="str">
            <v>China</v>
          </cell>
          <cell r="O161"/>
          <cell r="P161" t="str">
            <v>1pc eco bag+10pcs PE bag+carton</v>
          </cell>
          <cell r="Q161" t="str">
            <v>3km of cable</v>
          </cell>
          <cell r="R161">
            <v>3200</v>
          </cell>
          <cell r="S161" t="e">
            <v>#N/A</v>
          </cell>
          <cell r="T161" t="str">
            <v>854442 1000</v>
          </cell>
          <cell r="U161">
            <v>0</v>
          </cell>
          <cell r="V161">
            <v>50</v>
          </cell>
          <cell r="W161">
            <v>45</v>
          </cell>
          <cell r="X161">
            <v>55</v>
          </cell>
          <cell r="Y161" t="str">
            <v>T/T 60 days</v>
          </cell>
          <cell r="Z161">
            <v>0.6987077496216384</v>
          </cell>
          <cell r="AA161">
            <v>0.6330367040275896</v>
          </cell>
          <cell r="AB161">
            <v>0.1</v>
          </cell>
          <cell r="AC161">
            <v>0.1</v>
          </cell>
          <cell r="AD161">
            <v>0.25</v>
          </cell>
          <cell r="AE161" t="str">
            <v>C</v>
          </cell>
          <cell r="AF161">
            <v>0.6330367040275896</v>
          </cell>
          <cell r="AG161">
            <v>0.25</v>
          </cell>
          <cell r="AH161" t="e">
            <v>#N/A</v>
          </cell>
          <cell r="AI161">
            <v>0.56672961913755115</v>
          </cell>
          <cell r="AJ161">
            <v>0.52753058668965802</v>
          </cell>
          <cell r="AK161">
            <v>0.18888888888888888</v>
          </cell>
          <cell r="AL161">
            <v>0.16666666666666663</v>
          </cell>
          <cell r="AM161"/>
          <cell r="AN161" t="str">
            <v>WEKINO/HONTO</v>
          </cell>
          <cell r="AO161">
            <v>1.7999999999999999E-2</v>
          </cell>
          <cell r="AP161">
            <v>3.351</v>
          </cell>
          <cell r="AQ161"/>
          <cell r="AR161">
            <v>0.16</v>
          </cell>
          <cell r="AS161">
            <v>3.4409999999999998</v>
          </cell>
          <cell r="AT161">
            <v>3.601</v>
          </cell>
          <cell r="AU161">
            <v>0.51005665722379601</v>
          </cell>
          <cell r="AV161">
            <v>0.47477752802069223</v>
          </cell>
          <cell r="AW161" t="str">
            <v>7x0.145BC RJ45  OD:5.0±0.3mm</v>
          </cell>
          <cell r="AX161" t="str">
            <v>863690 1100</v>
          </cell>
          <cell r="AZ161">
            <v>2.1101223467586321</v>
          </cell>
          <cell r="BA161">
            <v>1.2660734080551792</v>
          </cell>
          <cell r="BB161">
            <v>1.055061173379316</v>
          </cell>
          <cell r="BC161">
            <v>0.84404893870345288</v>
          </cell>
        </row>
        <row r="162">
          <cell r="I162" t="str">
            <v>KPFU5EZH2EF</v>
          </cell>
          <cell r="J162" t="str">
            <v>U0401005</v>
          </cell>
          <cell r="K162" t="str">
            <v>CAT5E PATCH CORD F/UTP GREY LSZH 2M</v>
          </cell>
          <cell r="L162" t="str">
            <v>CORDON DE BRASSAGE CAT5E F/UTP GRIS LSZH 2M</v>
          </cell>
          <cell r="M162"/>
          <cell r="N162" t="str">
            <v>China</v>
          </cell>
          <cell r="O162"/>
          <cell r="P162" t="str">
            <v>1pc eco bag+10pcs PE bag+carton</v>
          </cell>
          <cell r="Q162" t="str">
            <v>3km of cable</v>
          </cell>
          <cell r="R162">
            <v>2240</v>
          </cell>
          <cell r="S162" t="e">
            <v>#N/A</v>
          </cell>
          <cell r="T162" t="str">
            <v>854442 1000</v>
          </cell>
          <cell r="U162">
            <v>0</v>
          </cell>
          <cell r="V162">
            <v>50</v>
          </cell>
          <cell r="W162">
            <v>45</v>
          </cell>
          <cell r="X162">
            <v>55</v>
          </cell>
          <cell r="Y162" t="str">
            <v>T/T 60 days</v>
          </cell>
          <cell r="Z162">
            <v>0.99732236408087238</v>
          </cell>
          <cell r="AA162">
            <v>0.90363433216617095</v>
          </cell>
          <cell r="AB162">
            <v>0.1</v>
          </cell>
          <cell r="AC162">
            <v>0.1</v>
          </cell>
          <cell r="AD162">
            <v>0.25</v>
          </cell>
          <cell r="AE162" t="str">
            <v>C</v>
          </cell>
          <cell r="AF162">
            <v>0.90363433216617095</v>
          </cell>
          <cell r="AG162">
            <v>0.25</v>
          </cell>
          <cell r="AH162" t="e">
            <v>#N/A</v>
          </cell>
          <cell r="AI162">
            <v>0.80893925086559637</v>
          </cell>
          <cell r="AJ162">
            <v>0.75302861013847577</v>
          </cell>
          <cell r="AK162">
            <v>0.18888888888888899</v>
          </cell>
          <cell r="AL162">
            <v>0.16666666666666674</v>
          </cell>
          <cell r="AM162"/>
          <cell r="AN162" t="str">
            <v>WEKINO/HONTO</v>
          </cell>
          <cell r="AO162">
            <v>3.5999999999999997E-2</v>
          </cell>
          <cell r="AP162">
            <v>4.8</v>
          </cell>
          <cell r="AQ162"/>
          <cell r="AR162">
            <v>0.16</v>
          </cell>
          <cell r="AS162">
            <v>4.9799999999999995</v>
          </cell>
          <cell r="AT162">
            <v>5.14</v>
          </cell>
          <cell r="AU162">
            <v>0.7280453257790368</v>
          </cell>
          <cell r="AV162">
            <v>0.67772574912462824</v>
          </cell>
          <cell r="AW162" t="str">
            <v>7x0.145BC RJ45  OD:5.0±0.3mm</v>
          </cell>
          <cell r="AX162" t="str">
            <v>863690 1100</v>
          </cell>
          <cell r="AZ162">
            <v>3.0121144405539031</v>
          </cell>
          <cell r="BA162">
            <v>1.8072686643323417</v>
          </cell>
          <cell r="BB162">
            <v>1.5060572202769515</v>
          </cell>
          <cell r="BC162">
            <v>1.2048457762215614</v>
          </cell>
        </row>
        <row r="163">
          <cell r="I163" t="str">
            <v>KPFU5EZH3EF</v>
          </cell>
          <cell r="J163" t="str">
            <v>U0401006</v>
          </cell>
          <cell r="K163" t="str">
            <v>CAT5E PATCH CORD F/UTP GREY LSZH 3M</v>
          </cell>
          <cell r="L163" t="str">
            <v>CORDON DE BRASSAGE CAT5E F/UTP GRIS LSZH 3M</v>
          </cell>
          <cell r="M163"/>
          <cell r="N163" t="str">
            <v>China</v>
          </cell>
          <cell r="O163"/>
          <cell r="P163" t="str">
            <v>1pc eco bag+10pcs PE bag+carton</v>
          </cell>
          <cell r="Q163" t="str">
            <v>3km of cable</v>
          </cell>
          <cell r="R163">
            <v>1600</v>
          </cell>
          <cell r="S163" t="e">
            <v>#N/A</v>
          </cell>
          <cell r="T163" t="str">
            <v>854442 1000</v>
          </cell>
          <cell r="U163">
            <v>0</v>
          </cell>
          <cell r="V163">
            <v>50</v>
          </cell>
          <cell r="W163">
            <v>45</v>
          </cell>
          <cell r="X163">
            <v>55</v>
          </cell>
          <cell r="Y163" t="str">
            <v>T/T 60 days</v>
          </cell>
          <cell r="Z163">
            <v>1.3029221157204394</v>
          </cell>
          <cell r="AA163">
            <v>1.1860963993923719</v>
          </cell>
          <cell r="AB163">
            <v>0.1</v>
          </cell>
          <cell r="AC163">
            <v>0.1</v>
          </cell>
          <cell r="AD163">
            <v>0.25</v>
          </cell>
          <cell r="AE163" t="str">
            <v>C</v>
          </cell>
          <cell r="AF163">
            <v>1.1860963993923719</v>
          </cell>
          <cell r="AG163">
            <v>0.25</v>
          </cell>
          <cell r="AH163" t="e">
            <v>#N/A</v>
          </cell>
          <cell r="AI163">
            <v>1.0568146049732452</v>
          </cell>
          <cell r="AJ163">
            <v>0.9884136661603099</v>
          </cell>
          <cell r="AK163">
            <v>0.18888888888888899</v>
          </cell>
          <cell r="AL163">
            <v>0.16666666666666663</v>
          </cell>
          <cell r="AM163"/>
          <cell r="AN163" t="str">
            <v>WEKINO/HONTO</v>
          </cell>
          <cell r="AO163">
            <v>5.3999999999999999E-2</v>
          </cell>
          <cell r="AP163">
            <v>6.2850000000000001</v>
          </cell>
          <cell r="AQ163"/>
          <cell r="AR163">
            <v>0.16</v>
          </cell>
          <cell r="AS163">
            <v>6.5549999999999997</v>
          </cell>
          <cell r="AT163">
            <v>6.7149999999999999</v>
          </cell>
          <cell r="AU163">
            <v>0.95113314447592068</v>
          </cell>
          <cell r="AV163">
            <v>0.88957229954427897</v>
          </cell>
          <cell r="AW163" t="str">
            <v>7x0.145BC RJ45  OD:5.0±0.3mm</v>
          </cell>
          <cell r="AX163" t="str">
            <v>863690 1100</v>
          </cell>
          <cell r="AZ163">
            <v>3.9536546646412396</v>
          </cell>
          <cell r="BA163">
            <v>2.3721927987847438</v>
          </cell>
          <cell r="BB163">
            <v>1.9768273323206198</v>
          </cell>
          <cell r="BC163">
            <v>1.5814618658564958</v>
          </cell>
        </row>
        <row r="164">
          <cell r="I164" t="str">
            <v>KPFU5EZH5EF</v>
          </cell>
          <cell r="J164" t="str">
            <v>U0401007</v>
          </cell>
          <cell r="K164" t="str">
            <v>CAT5E PATCH CORD F/UTP GREY LSZH 5M</v>
          </cell>
          <cell r="L164" t="str">
            <v>CORDON DE BRASSAGE CAT5E F/UTP GRIS LSZH 5M</v>
          </cell>
          <cell r="M164"/>
          <cell r="N164" t="str">
            <v>China</v>
          </cell>
          <cell r="O164"/>
          <cell r="P164" t="str">
            <v>1pc eco bag+10pcs PE bag+carton</v>
          </cell>
          <cell r="Q164" t="str">
            <v>3km of cable</v>
          </cell>
          <cell r="R164">
            <v>960</v>
          </cell>
          <cell r="S164" t="e">
            <v>#N/A</v>
          </cell>
          <cell r="T164" t="str">
            <v>854442 1000</v>
          </cell>
          <cell r="U164">
            <v>0</v>
          </cell>
          <cell r="V164">
            <v>50</v>
          </cell>
          <cell r="W164">
            <v>45</v>
          </cell>
          <cell r="X164">
            <v>55</v>
          </cell>
          <cell r="Y164" t="str">
            <v>T/T 60 days</v>
          </cell>
          <cell r="Z164">
            <v>1.9255694827117857</v>
          </cell>
          <cell r="AA164">
            <v>1.768646248169589</v>
          </cell>
          <cell r="AB164">
            <v>0.1</v>
          </cell>
          <cell r="AC164">
            <v>0.1</v>
          </cell>
          <cell r="AD164">
            <v>0.25</v>
          </cell>
          <cell r="AE164" t="str">
            <v>C</v>
          </cell>
          <cell r="AF164">
            <v>1.768646248169589</v>
          </cell>
          <cell r="AG164">
            <v>0.25</v>
          </cell>
          <cell r="AH164" t="e">
            <v>#N/A</v>
          </cell>
          <cell r="AI164">
            <v>1.5618508026440039</v>
          </cell>
          <cell r="AJ164">
            <v>1.4738718734746574</v>
          </cell>
          <cell r="AK164">
            <v>0.18888888888888899</v>
          </cell>
          <cell r="AL164">
            <v>0.16666666666666674</v>
          </cell>
          <cell r="AM164"/>
          <cell r="AN164" t="str">
            <v>WEKINO/HONTO</v>
          </cell>
          <cell r="AO164">
            <v>8.8999999999999996E-2</v>
          </cell>
          <cell r="AP164">
            <v>9.3190000000000008</v>
          </cell>
          <cell r="AQ164"/>
          <cell r="AR164">
            <v>0.16</v>
          </cell>
          <cell r="AS164">
            <v>9.7640000000000011</v>
          </cell>
          <cell r="AT164">
            <v>9.9240000000000013</v>
          </cell>
          <cell r="AU164">
            <v>1.4056657223796036</v>
          </cell>
          <cell r="AV164">
            <v>1.3264846861271917</v>
          </cell>
          <cell r="AW164" t="str">
            <v>7x0.145BC RJ45  OD:5.0±0.3mm</v>
          </cell>
          <cell r="AX164" t="str">
            <v>863690 1100</v>
          </cell>
          <cell r="AZ164">
            <v>5.8954874938986306</v>
          </cell>
          <cell r="BA164">
            <v>3.5372924963391781</v>
          </cell>
          <cell r="BB164">
            <v>2.9477437469493153</v>
          </cell>
          <cell r="BC164">
            <v>2.3581949975594525</v>
          </cell>
        </row>
        <row r="165">
          <cell r="I165" t="str">
            <v>KPFU5EZH10EF</v>
          </cell>
          <cell r="J165" t="str">
            <v>U0401003</v>
          </cell>
          <cell r="K165" t="str">
            <v>CAT5E PATCH CORD F/UTP GREY LSZH 10M</v>
          </cell>
          <cell r="L165" t="str">
            <v>CORDON DE BRASSAGE CAT5E F/UTP GRIS LSZH 10M</v>
          </cell>
          <cell r="M165"/>
          <cell r="N165" t="str">
            <v>China</v>
          </cell>
          <cell r="O165"/>
          <cell r="P165" t="str">
            <v>1pc eco bag+10pcs PE bag+carton</v>
          </cell>
          <cell r="Q165" t="str">
            <v>3km of cable</v>
          </cell>
          <cell r="R165">
            <v>640</v>
          </cell>
          <cell r="S165" t="e">
            <v>#N/A</v>
          </cell>
          <cell r="T165" t="str">
            <v>854442 1000</v>
          </cell>
          <cell r="U165">
            <v>0</v>
          </cell>
          <cell r="V165">
            <v>50</v>
          </cell>
          <cell r="W165">
            <v>45</v>
          </cell>
          <cell r="X165">
            <v>55</v>
          </cell>
          <cell r="Y165" t="str">
            <v>T/T 60 days</v>
          </cell>
          <cell r="Z165">
            <v>3.391090069463309</v>
          </cell>
          <cell r="AA165">
            <v>3.0784733341544528</v>
          </cell>
          <cell r="AB165">
            <v>0.1</v>
          </cell>
          <cell r="AC165">
            <v>0.1</v>
          </cell>
          <cell r="AD165">
            <v>0.25</v>
          </cell>
          <cell r="AE165" t="str">
            <v>C</v>
          </cell>
          <cell r="AF165">
            <v>3.0784733341544528</v>
          </cell>
          <cell r="AG165">
            <v>0.25</v>
          </cell>
          <cell r="AH165" t="e">
            <v>#N/A</v>
          </cell>
          <cell r="AI165">
            <v>2.7505508341202396</v>
          </cell>
          <cell r="AJ165">
            <v>2.5653944451287107</v>
          </cell>
          <cell r="AK165">
            <v>0.18888888888888888</v>
          </cell>
          <cell r="AL165">
            <v>0.16666666666666663</v>
          </cell>
          <cell r="AM165"/>
          <cell r="AN165" t="str">
            <v>WEKINO/HONTO</v>
          </cell>
          <cell r="AO165">
            <v>0.17799999999999999</v>
          </cell>
          <cell r="AP165">
            <v>16.427</v>
          </cell>
          <cell r="AQ165"/>
          <cell r="AR165">
            <v>0.16</v>
          </cell>
          <cell r="AS165">
            <v>17.317</v>
          </cell>
          <cell r="AT165">
            <v>17.477</v>
          </cell>
          <cell r="AU165">
            <v>2.4754957507082156</v>
          </cell>
          <cell r="AV165">
            <v>2.3088550006158397</v>
          </cell>
          <cell r="AW165" t="str">
            <v>7x0.145BC RJ45  OD:5.0±0.3mm</v>
          </cell>
          <cell r="AX165" t="str">
            <v>863690 1100</v>
          </cell>
          <cell r="AZ165">
            <v>10.261577780514843</v>
          </cell>
          <cell r="BA165">
            <v>6.1569466683089056</v>
          </cell>
          <cell r="BB165">
            <v>5.1307888902574215</v>
          </cell>
          <cell r="BC165">
            <v>4.1046311122059373</v>
          </cell>
        </row>
        <row r="166">
          <cell r="I166" t="str">
            <v>KPUU5EZH03EF</v>
          </cell>
          <cell r="J166" t="str">
            <v>U0402001</v>
          </cell>
          <cell r="K166" t="str">
            <v>CAT5E PATCH CORD U/UTP GREY LSZH 0.3M</v>
          </cell>
          <cell r="L166" t="str">
            <v>CORDON DE BRASSAGE CAT5E U/UTP GRIS LSZH 0,3M</v>
          </cell>
          <cell r="M166"/>
          <cell r="N166" t="str">
            <v>China</v>
          </cell>
          <cell r="O166"/>
          <cell r="P166" t="str">
            <v>1pc eco bag+10pcs PE bag+carton</v>
          </cell>
          <cell r="Q166" t="str">
            <v>3km of cable</v>
          </cell>
          <cell r="R166">
            <v>4800</v>
          </cell>
          <cell r="S166" t="e">
            <v>#N/A</v>
          </cell>
          <cell r="T166" t="str">
            <v>854442 1000</v>
          </cell>
          <cell r="U166">
            <v>0</v>
          </cell>
          <cell r="V166">
            <v>50</v>
          </cell>
          <cell r="W166">
            <v>45</v>
          </cell>
          <cell r="X166">
            <v>55</v>
          </cell>
          <cell r="Y166" t="str">
            <v>T/T 60 days</v>
          </cell>
          <cell r="Z166">
            <v>0.40397376692925613</v>
          </cell>
          <cell r="AA166">
            <v>0.36969180659906126</v>
          </cell>
          <cell r="AB166">
            <v>0.1</v>
          </cell>
          <cell r="AC166">
            <v>0.1</v>
          </cell>
          <cell r="AD166">
            <v>0.25</v>
          </cell>
          <cell r="AE166" t="str">
            <v>C</v>
          </cell>
          <cell r="AF166">
            <v>0.36969180659906126</v>
          </cell>
          <cell r="AG166">
            <v>0.25</v>
          </cell>
          <cell r="AH166" t="e">
            <v>#N/A</v>
          </cell>
          <cell r="AI166">
            <v>0.32766761095372993</v>
          </cell>
          <cell r="AJ166">
            <v>0.30807650549921767</v>
          </cell>
          <cell r="AK166">
            <v>0.18888888888888899</v>
          </cell>
          <cell r="AL166">
            <v>0.16666666666666674</v>
          </cell>
          <cell r="AM166"/>
          <cell r="AN166" t="str">
            <v>WEKINO/HONTO</v>
          </cell>
          <cell r="AO166">
            <v>6.0000000000000001E-3</v>
          </cell>
          <cell r="AP166">
            <v>1.8919999999999999</v>
          </cell>
          <cell r="AQ166"/>
          <cell r="AR166">
            <v>0.16</v>
          </cell>
          <cell r="AS166">
            <v>1.9219999999999999</v>
          </cell>
          <cell r="AT166">
            <v>2.0819999999999999</v>
          </cell>
          <cell r="AU166">
            <v>0.29490084985835696</v>
          </cell>
          <cell r="AV166">
            <v>0.27726885494929593</v>
          </cell>
          <cell r="AW166" t="str">
            <v>7x0.145BC RJ45  OD:4.4±0.3mm</v>
          </cell>
          <cell r="AX166" t="str">
            <v>863690 1100</v>
          </cell>
          <cell r="AZ166">
            <v>1.2323060219968709</v>
          </cell>
          <cell r="BA166">
            <v>0.73938361319812251</v>
          </cell>
          <cell r="BB166">
            <v>0.61615301099843545</v>
          </cell>
          <cell r="BC166">
            <v>0.49292240879874838</v>
          </cell>
        </row>
        <row r="167">
          <cell r="I167" t="str">
            <v>KPUU5EZH05EF</v>
          </cell>
          <cell r="J167" t="str">
            <v>U0402002</v>
          </cell>
          <cell r="K167" t="str">
            <v>CAT5E PATCH CORD U/UTP GREY LSZH 0.5M</v>
          </cell>
          <cell r="L167" t="str">
            <v>CORDON DE BRASSAGE CAT5E U/UTP GRIS LSZH 0,5M</v>
          </cell>
          <cell r="M167"/>
          <cell r="N167" t="str">
            <v>China</v>
          </cell>
          <cell r="O167"/>
          <cell r="P167" t="str">
            <v>1pc eco bag+10pcs PE bag+carton</v>
          </cell>
          <cell r="Q167" t="str">
            <v>3km of cable</v>
          </cell>
          <cell r="R167">
            <v>4800</v>
          </cell>
          <cell r="S167" t="e">
            <v>#N/A</v>
          </cell>
          <cell r="T167" t="str">
            <v>854442 1000</v>
          </cell>
          <cell r="U167">
            <v>0</v>
          </cell>
          <cell r="V167">
            <v>50</v>
          </cell>
          <cell r="W167">
            <v>45</v>
          </cell>
          <cell r="X167">
            <v>55</v>
          </cell>
          <cell r="Y167" t="str">
            <v>T/T 60 days</v>
          </cell>
          <cell r="Z167">
            <v>0.45772051690015136</v>
          </cell>
          <cell r="AA167">
            <v>0.41518180947297839</v>
          </cell>
          <cell r="AB167">
            <v>0.1</v>
          </cell>
          <cell r="AC167">
            <v>0.1</v>
          </cell>
          <cell r="AD167">
            <v>0.25</v>
          </cell>
          <cell r="AE167" t="str">
            <v>C</v>
          </cell>
          <cell r="AF167">
            <v>0.41518180947297839</v>
          </cell>
          <cell r="AG167">
            <v>0.25</v>
          </cell>
          <cell r="AH167" t="e">
            <v>#N/A</v>
          </cell>
          <cell r="AI167">
            <v>0.37126219704123387</v>
          </cell>
          <cell r="AJ167">
            <v>0.34598484122748197</v>
          </cell>
          <cell r="AK167">
            <v>0.18888888888888888</v>
          </cell>
          <cell r="AL167">
            <v>0.16666666666666674</v>
          </cell>
          <cell r="AM167"/>
          <cell r="AN167" t="str">
            <v>WEKINO/HONTO</v>
          </cell>
          <cell r="AO167">
            <v>8.9999999999999993E-3</v>
          </cell>
          <cell r="AP167">
            <v>2.1539999999999999</v>
          </cell>
          <cell r="AQ167"/>
          <cell r="AR167">
            <v>0.16</v>
          </cell>
          <cell r="AS167">
            <v>2.1989999999999998</v>
          </cell>
          <cell r="AT167">
            <v>2.359</v>
          </cell>
          <cell r="AU167">
            <v>0.33413597733711048</v>
          </cell>
          <cell r="AV167">
            <v>0.31138635710473378</v>
          </cell>
          <cell r="AW167" t="str">
            <v>7x0.145BC RJ45  OD:4.4±0.3mm</v>
          </cell>
          <cell r="AX167" t="str">
            <v>863690 1100</v>
          </cell>
          <cell r="AZ167">
            <v>1.3839393649099281</v>
          </cell>
          <cell r="BA167">
            <v>0.83036361894595678</v>
          </cell>
          <cell r="BB167">
            <v>0.69196968245496404</v>
          </cell>
          <cell r="BC167">
            <v>0.5535757459639713</v>
          </cell>
        </row>
        <row r="168">
          <cell r="I168" t="str">
            <v>KPUU5EZH1EF</v>
          </cell>
          <cell r="J168" t="str">
            <v>U0402004</v>
          </cell>
          <cell r="K168" t="str">
            <v>CAT5E PATCH CORD U/UTP GREY LSZH 1M</v>
          </cell>
          <cell r="L168" t="str">
            <v>CORDON DE BRASSAGE CAT5E U/UTP GRIS LSZH 1M</v>
          </cell>
          <cell r="M168"/>
          <cell r="N168" t="str">
            <v>China</v>
          </cell>
          <cell r="O168"/>
          <cell r="P168" t="str">
            <v>1pc eco bag+10pcs PE bag+carton</v>
          </cell>
          <cell r="Q168" t="str">
            <v>3km of cable</v>
          </cell>
          <cell r="R168">
            <v>3200</v>
          </cell>
          <cell r="S168" t="e">
            <v>#N/A</v>
          </cell>
          <cell r="T168" t="str">
            <v>854442 1000</v>
          </cell>
          <cell r="U168">
            <v>0</v>
          </cell>
          <cell r="V168">
            <v>50</v>
          </cell>
          <cell r="W168">
            <v>45</v>
          </cell>
          <cell r="X168">
            <v>55</v>
          </cell>
          <cell r="Y168" t="str">
            <v>T/T 60 days</v>
          </cell>
          <cell r="Z168">
            <v>0.5904381233264776</v>
          </cell>
          <cell r="AA168">
            <v>0.54139980293139556</v>
          </cell>
          <cell r="AB168">
            <v>0.1</v>
          </cell>
          <cell r="AC168">
            <v>0.1</v>
          </cell>
          <cell r="AD168">
            <v>0.25</v>
          </cell>
          <cell r="AE168" t="str">
            <v>C</v>
          </cell>
          <cell r="AF168">
            <v>0.54139980293139556</v>
          </cell>
          <cell r="AG168">
            <v>0.25</v>
          </cell>
          <cell r="AH168" t="e">
            <v>#N/A</v>
          </cell>
          <cell r="AI168">
            <v>0.47891092225369852</v>
          </cell>
          <cell r="AJ168">
            <v>0.45116650244282963</v>
          </cell>
          <cell r="AK168">
            <v>0.18888888888888888</v>
          </cell>
          <cell r="AL168">
            <v>0.16666666666666663</v>
          </cell>
          <cell r="AM168"/>
          <cell r="AN168" t="str">
            <v>WEKINO/HONTO</v>
          </cell>
          <cell r="AO168">
            <v>1.7999999999999999E-2</v>
          </cell>
          <cell r="AP168">
            <v>2.7930000000000001</v>
          </cell>
          <cell r="AQ168"/>
          <cell r="AR168">
            <v>0.16</v>
          </cell>
          <cell r="AS168">
            <v>2.883</v>
          </cell>
          <cell r="AT168">
            <v>3.0430000000000001</v>
          </cell>
          <cell r="AU168">
            <v>0.43101983002832867</v>
          </cell>
          <cell r="AV168">
            <v>0.40604985219854667</v>
          </cell>
          <cell r="AW168" t="str">
            <v>7x0.145BC RJ45  OD:4.4±0.3mm</v>
          </cell>
          <cell r="AX168" t="str">
            <v>863690 1100</v>
          </cell>
          <cell r="AZ168">
            <v>1.8046660097713185</v>
          </cell>
          <cell r="BA168">
            <v>1.0827996058627911</v>
          </cell>
          <cell r="BB168">
            <v>0.90233300488565926</v>
          </cell>
          <cell r="BC168">
            <v>0.72186640390852741</v>
          </cell>
        </row>
        <row r="169">
          <cell r="I169" t="str">
            <v>KPUU5EZH2EF</v>
          </cell>
          <cell r="J169" t="str">
            <v>U0402005</v>
          </cell>
          <cell r="K169" t="str">
            <v>CAT5E PATCH CORD U/UTP GREY LSZH 2M</v>
          </cell>
          <cell r="L169" t="str">
            <v>CORDON DE BRASSAGE CAT5E U/UTP GRIS LSZH 2M</v>
          </cell>
          <cell r="M169"/>
          <cell r="N169" t="str">
            <v>China</v>
          </cell>
          <cell r="O169"/>
          <cell r="P169" t="str">
            <v>1pc eco bag+10pcs PE bag+carton</v>
          </cell>
          <cell r="Q169" t="str">
            <v>3km of cable</v>
          </cell>
          <cell r="R169">
            <v>2240</v>
          </cell>
          <cell r="S169" t="e">
            <v>#N/A</v>
          </cell>
          <cell r="T169" t="str">
            <v>854442 1000</v>
          </cell>
          <cell r="U169">
            <v>0</v>
          </cell>
          <cell r="V169">
            <v>50</v>
          </cell>
          <cell r="W169">
            <v>45</v>
          </cell>
          <cell r="X169">
            <v>55</v>
          </cell>
          <cell r="Y169" t="str">
            <v>T/T 60 days</v>
          </cell>
          <cell r="Z169">
            <v>0.8477240094687416</v>
          </cell>
          <cell r="AA169">
            <v>0.77701775376981697</v>
          </cell>
          <cell r="AB169">
            <v>0.1</v>
          </cell>
          <cell r="AC169">
            <v>0.1</v>
          </cell>
          <cell r="AD169">
            <v>0.25</v>
          </cell>
          <cell r="AE169" t="str">
            <v>C</v>
          </cell>
          <cell r="AF169">
            <v>0.77701775376981697</v>
          </cell>
          <cell r="AG169">
            <v>0.25</v>
          </cell>
          <cell r="AH169" t="e">
            <v>#N/A</v>
          </cell>
          <cell r="AI169">
            <v>0.68759836323575707</v>
          </cell>
          <cell r="AJ169">
            <v>0.64751479480818075</v>
          </cell>
          <cell r="AK169">
            <v>0.18888888888888888</v>
          </cell>
          <cell r="AL169">
            <v>0.16666666666666674</v>
          </cell>
          <cell r="AM169"/>
          <cell r="AN169" t="str">
            <v>WEKINO/HONTO</v>
          </cell>
          <cell r="AO169">
            <v>3.5000000000000003E-2</v>
          </cell>
          <cell r="AP169">
            <v>4.0339999999999998</v>
          </cell>
          <cell r="AQ169"/>
          <cell r="AR169">
            <v>0.16</v>
          </cell>
          <cell r="AS169">
            <v>4.2089999999999996</v>
          </cell>
          <cell r="AT169">
            <v>4.3689999999999998</v>
          </cell>
          <cell r="AU169">
            <v>0.61883852691218133</v>
          </cell>
          <cell r="AV169">
            <v>0.5827633153273627</v>
          </cell>
          <cell r="AW169" t="str">
            <v>7x0.145BC RJ45  OD:4.4±0.3mm</v>
          </cell>
          <cell r="AX169" t="str">
            <v>863690 1100</v>
          </cell>
          <cell r="AZ169">
            <v>2.5900591792327234</v>
          </cell>
          <cell r="BA169">
            <v>1.5540355075396339</v>
          </cell>
          <cell r="BB169">
            <v>1.2950295896163617</v>
          </cell>
          <cell r="BC169">
            <v>1.0360236716930895</v>
          </cell>
        </row>
        <row r="170">
          <cell r="I170" t="str">
            <v>KPUU5EZH3EF</v>
          </cell>
          <cell r="J170" t="str">
            <v>U0402006</v>
          </cell>
          <cell r="K170" t="str">
            <v>CAT5E PATCH CORD U/UTP GREY LSZH 3M</v>
          </cell>
          <cell r="L170" t="str">
            <v>CORDON DE BRASSAGE CAT5E U/UTP GRIS LSZH 3M</v>
          </cell>
          <cell r="M170"/>
          <cell r="N170" t="str">
            <v>China</v>
          </cell>
          <cell r="O170"/>
          <cell r="P170" t="str">
            <v>1pc eco bag+10pcs PE bag+carton</v>
          </cell>
          <cell r="Q170" t="str">
            <v>3km of cable</v>
          </cell>
          <cell r="R170">
            <v>1600</v>
          </cell>
          <cell r="S170" t="e">
            <v>#N/A</v>
          </cell>
          <cell r="T170" t="str">
            <v>854442 1000</v>
          </cell>
          <cell r="U170">
            <v>0</v>
          </cell>
          <cell r="V170">
            <v>50</v>
          </cell>
          <cell r="W170">
            <v>45</v>
          </cell>
          <cell r="X170">
            <v>55</v>
          </cell>
          <cell r="Y170" t="str">
            <v>T/T 60 days</v>
          </cell>
          <cell r="Z170">
            <v>1.1123830959680236</v>
          </cell>
          <cell r="AA170">
            <v>1.0248285913700375</v>
          </cell>
          <cell r="AB170">
            <v>0.1</v>
          </cell>
          <cell r="AC170">
            <v>0.1</v>
          </cell>
          <cell r="AD170">
            <v>0.25</v>
          </cell>
          <cell r="AE170" t="str">
            <v>C</v>
          </cell>
          <cell r="AF170">
            <v>1.0248285913700375</v>
          </cell>
          <cell r="AG170">
            <v>0.25</v>
          </cell>
          <cell r="AH170" t="e">
            <v>#N/A</v>
          </cell>
          <cell r="AI170">
            <v>0.90226628895184124</v>
          </cell>
          <cell r="AJ170">
            <v>0.85402382614169781</v>
          </cell>
          <cell r="AK170">
            <v>0.18888888888888899</v>
          </cell>
          <cell r="AL170">
            <v>0.16666666666666674</v>
          </cell>
          <cell r="AM170"/>
          <cell r="AN170" t="str">
            <v>WEKINO/HONTO</v>
          </cell>
          <cell r="AO170">
            <v>5.2999999999999999E-2</v>
          </cell>
          <cell r="AP170">
            <v>5.3079999999999998</v>
          </cell>
          <cell r="AQ170"/>
          <cell r="AR170">
            <v>0.16</v>
          </cell>
          <cell r="AS170">
            <v>5.5729999999999995</v>
          </cell>
          <cell r="AT170">
            <v>5.7329999999999997</v>
          </cell>
          <cell r="AU170">
            <v>0.81203966005665718</v>
          </cell>
          <cell r="AV170">
            <v>0.76862144352752804</v>
          </cell>
          <cell r="AW170" t="str">
            <v>7x0.145BC RJ45  OD:4.4±0.3mm</v>
          </cell>
          <cell r="AX170" t="str">
            <v>863690 1100</v>
          </cell>
          <cell r="AZ170">
            <v>3.4160953045667917</v>
          </cell>
          <cell r="BA170">
            <v>2.0496571827400749</v>
          </cell>
          <cell r="BB170">
            <v>1.7080476522833958</v>
          </cell>
          <cell r="BC170">
            <v>1.3664381218267168</v>
          </cell>
        </row>
        <row r="171">
          <cell r="I171" t="str">
            <v>KPUU5EZH5EF</v>
          </cell>
          <cell r="J171" t="str">
            <v>U0402007</v>
          </cell>
          <cell r="K171" t="str">
            <v>CAT5E PATCH CORD U/UTP GREY LSZH 5M</v>
          </cell>
          <cell r="L171" t="str">
            <v>CORDON DE BRASSAGE CAT5E U/UTP GRIS LSZH 5M</v>
          </cell>
          <cell r="M171"/>
          <cell r="N171" t="str">
            <v>China</v>
          </cell>
          <cell r="O171"/>
          <cell r="P171" t="str">
            <v>1pc eco bag+10pcs PE bag+carton</v>
          </cell>
          <cell r="Q171" t="str">
            <v>3km of cable</v>
          </cell>
          <cell r="R171">
            <v>960</v>
          </cell>
          <cell r="S171" t="e">
            <v>#N/A</v>
          </cell>
          <cell r="T171" t="str">
            <v>854442 1000</v>
          </cell>
          <cell r="U171">
            <v>0</v>
          </cell>
          <cell r="V171">
            <v>50</v>
          </cell>
          <cell r="W171">
            <v>45</v>
          </cell>
          <cell r="X171">
            <v>55</v>
          </cell>
          <cell r="Y171" t="str">
            <v>T/T 60 days</v>
          </cell>
          <cell r="Z171">
            <v>1.65237300632543</v>
          </cell>
          <cell r="AA171">
            <v>1.5374190855469341</v>
          </cell>
          <cell r="AB171">
            <v>0.1</v>
          </cell>
          <cell r="AC171">
            <v>0.1</v>
          </cell>
          <cell r="AD171">
            <v>0.25</v>
          </cell>
          <cell r="AE171" t="str">
            <v>C</v>
          </cell>
          <cell r="AF171">
            <v>1.5374190855469341</v>
          </cell>
          <cell r="AG171">
            <v>0.25</v>
          </cell>
          <cell r="AH171" t="e">
            <v>#N/A</v>
          </cell>
          <cell r="AI171">
            <v>1.3402581051306266</v>
          </cell>
          <cell r="AJ171">
            <v>1.2811825712891118</v>
          </cell>
          <cell r="AK171">
            <v>0.18888888888888888</v>
          </cell>
          <cell r="AL171">
            <v>0.16666666666666663</v>
          </cell>
          <cell r="AM171"/>
          <cell r="AN171" t="str">
            <v>WEKINO/HONTO</v>
          </cell>
          <cell r="AO171">
            <v>8.7999999999999995E-2</v>
          </cell>
          <cell r="AP171">
            <v>7.9160000000000004</v>
          </cell>
          <cell r="AQ171"/>
          <cell r="AR171">
            <v>0.16</v>
          </cell>
          <cell r="AS171">
            <v>8.3559999999999999</v>
          </cell>
          <cell r="AT171">
            <v>8.516</v>
          </cell>
          <cell r="AU171">
            <v>1.2062322946175639</v>
          </cell>
          <cell r="AV171">
            <v>1.1530643141602006</v>
          </cell>
          <cell r="AW171" t="str">
            <v>7x0.145BC RJ45  OD:4.4±0.3mm</v>
          </cell>
          <cell r="AX171" t="str">
            <v>863690 1100</v>
          </cell>
          <cell r="AZ171">
            <v>5.1247302851564474</v>
          </cell>
          <cell r="BA171">
            <v>3.0748381710938681</v>
          </cell>
          <cell r="BB171">
            <v>2.5623651425782237</v>
          </cell>
          <cell r="BC171">
            <v>2.0498921140625792</v>
          </cell>
        </row>
        <row r="172">
          <cell r="I172" t="str">
            <v>KPUU5EZH10EF</v>
          </cell>
          <cell r="J172" t="str">
            <v>U0402003</v>
          </cell>
          <cell r="K172" t="str">
            <v>CAT5E PATCH CORD U/UTP GREY LSZH 10M</v>
          </cell>
          <cell r="L172" t="str">
            <v>CORDON DE BRASSAGE CAT5E U/UTP GRIS LSZH 10M</v>
          </cell>
          <cell r="M172"/>
          <cell r="N172" t="str">
            <v>China</v>
          </cell>
          <cell r="O172"/>
          <cell r="P172" t="str">
            <v>1pc eco bag+10pcs PE bag+carton</v>
          </cell>
          <cell r="Q172" t="str">
            <v>3km of cable</v>
          </cell>
          <cell r="R172">
            <v>640</v>
          </cell>
          <cell r="S172" t="e">
            <v>#N/A</v>
          </cell>
          <cell r="T172" t="str">
            <v>854442 1000</v>
          </cell>
          <cell r="U172">
            <v>0</v>
          </cell>
          <cell r="V172">
            <v>50</v>
          </cell>
          <cell r="W172">
            <v>45</v>
          </cell>
          <cell r="X172">
            <v>55</v>
          </cell>
          <cell r="Y172" t="str">
            <v>T/T 60 days</v>
          </cell>
          <cell r="Z172">
            <v>2.9147425200822696</v>
          </cell>
          <cell r="AA172">
            <v>2.675303814098617</v>
          </cell>
          <cell r="AB172">
            <v>0.1</v>
          </cell>
          <cell r="AC172">
            <v>0.1</v>
          </cell>
          <cell r="AD172">
            <v>0.25</v>
          </cell>
          <cell r="AE172" t="str">
            <v>C</v>
          </cell>
          <cell r="AF172">
            <v>2.675303814098617</v>
          </cell>
          <cell r="AG172">
            <v>0.25</v>
          </cell>
          <cell r="AH172" t="e">
            <v>#N/A</v>
          </cell>
          <cell r="AI172">
            <v>2.3641800440667295</v>
          </cell>
          <cell r="AJ172">
            <v>2.2294198450821807</v>
          </cell>
          <cell r="AK172">
            <v>0.18888888888888899</v>
          </cell>
          <cell r="AL172">
            <v>0.16666666666666674</v>
          </cell>
          <cell r="AM172"/>
          <cell r="AN172" t="str">
            <v>WEKINO/HONTO</v>
          </cell>
          <cell r="AO172">
            <v>0.17599999999999999</v>
          </cell>
          <cell r="AP172">
            <v>13.981999999999999</v>
          </cell>
          <cell r="AQ172"/>
          <cell r="AR172">
            <v>0.16</v>
          </cell>
          <cell r="AS172">
            <v>14.861999999999998</v>
          </cell>
          <cell r="AT172">
            <v>15.021999999999998</v>
          </cell>
          <cell r="AU172">
            <v>2.1277620396600567</v>
          </cell>
          <cell r="AV172">
            <v>2.0064778605739626</v>
          </cell>
          <cell r="AW172" t="str">
            <v>7x0.145BC RJ45  OD:4.4±0.3mm</v>
          </cell>
          <cell r="AX172" t="str">
            <v>863690 1100</v>
          </cell>
          <cell r="AZ172">
            <v>8.9176793803287229</v>
          </cell>
          <cell r="BA172">
            <v>5.3506076281972339</v>
          </cell>
          <cell r="BB172">
            <v>4.4588396901643614</v>
          </cell>
          <cell r="BC172">
            <v>3.5670717521314894</v>
          </cell>
        </row>
        <row r="173">
          <cell r="I173" t="str">
            <v>KPFU603EF</v>
          </cell>
          <cell r="J173" t="str">
            <v>U0403001</v>
          </cell>
          <cell r="K173" t="str">
            <v>CAT6 PATCH CORD F/UTP GREY PVC 0.3M</v>
          </cell>
          <cell r="L173" t="str">
            <v>CORDON DE BRASSAGE CAT6 F/UTP GRIS PVC 0,3M</v>
          </cell>
          <cell r="M173"/>
          <cell r="N173" t="str">
            <v>China</v>
          </cell>
          <cell r="O173"/>
          <cell r="P173" t="str">
            <v>1pc eco bag+10pcs PE bag+carton</v>
          </cell>
          <cell r="Q173" t="str">
            <v>3km of cable</v>
          </cell>
          <cell r="R173">
            <v>4800</v>
          </cell>
          <cell r="S173" t="str">
            <v>4897108882159</v>
          </cell>
          <cell r="T173" t="str">
            <v>854442 1000</v>
          </cell>
          <cell r="U173">
            <v>0</v>
          </cell>
          <cell r="V173">
            <v>50</v>
          </cell>
          <cell r="W173">
            <v>45</v>
          </cell>
          <cell r="X173">
            <v>55</v>
          </cell>
          <cell r="Y173" t="str">
            <v>T/T 60 days</v>
          </cell>
          <cell r="Z173">
            <v>0.54714171569695647</v>
          </cell>
          <cell r="AA173">
            <v>0.48992268649669501</v>
          </cell>
          <cell r="AB173">
            <v>0.1</v>
          </cell>
          <cell r="AC173">
            <v>0.1</v>
          </cell>
          <cell r="AD173">
            <v>0.2</v>
          </cell>
          <cell r="AE173" t="str">
            <v>C</v>
          </cell>
          <cell r="AF173">
            <v>0.48992268649669501</v>
          </cell>
          <cell r="AG173">
            <v>0.19999999999999996</v>
          </cell>
          <cell r="AH173">
            <v>0.49</v>
          </cell>
          <cell r="AI173">
            <v>0.47418948693736229</v>
          </cell>
          <cell r="AJ173">
            <v>0.43548683244150671</v>
          </cell>
          <cell r="AK173">
            <v>0.1333333333333333</v>
          </cell>
          <cell r="AL173">
            <v>0.11111111111111105</v>
          </cell>
          <cell r="AM173"/>
          <cell r="AN173" t="str">
            <v>WEKINO/HONTO</v>
          </cell>
          <cell r="AO173">
            <v>6.0000000000000001E-3</v>
          </cell>
          <cell r="AP173">
            <v>2.823</v>
          </cell>
          <cell r="AQ173"/>
          <cell r="AR173">
            <v>0.16</v>
          </cell>
          <cell r="AS173">
            <v>2.8529999999999998</v>
          </cell>
          <cell r="AT173">
            <v>3.0129999999999999</v>
          </cell>
          <cell r="AU173">
            <v>0.4267705382436261</v>
          </cell>
          <cell r="AV173">
            <v>0.39193814919735603</v>
          </cell>
          <cell r="AW173" t="str">
            <v>7x0.145BC RJ45  OD:5.6±0.3mm</v>
          </cell>
          <cell r="AX173" t="str">
            <v>863690 1100</v>
          </cell>
          <cell r="AZ173">
            <v>1.6330756216556501</v>
          </cell>
          <cell r="BA173">
            <v>0.97984537299339003</v>
          </cell>
          <cell r="BB173">
            <v>0.81653781082782506</v>
          </cell>
          <cell r="BC173">
            <v>0.65323024866226009</v>
          </cell>
        </row>
        <row r="174">
          <cell r="I174" t="str">
            <v>KPFU605EF</v>
          </cell>
          <cell r="J174" t="str">
            <v>U0403002</v>
          </cell>
          <cell r="K174" t="str">
            <v>CAT6 PATCH CORD F/UTP GREY PVC 0.5M</v>
          </cell>
          <cell r="L174" t="str">
            <v>CORDON DE BRASSAGE CAT6 F/UTP GRIS PVC 0.5M</v>
          </cell>
          <cell r="M174"/>
          <cell r="N174" t="str">
            <v>China</v>
          </cell>
          <cell r="O174"/>
          <cell r="P174" t="str">
            <v>1pc eco bag+10pcs PE bag+carton</v>
          </cell>
          <cell r="Q174" t="str">
            <v>3km of cable</v>
          </cell>
          <cell r="R174">
            <v>4800</v>
          </cell>
          <cell r="S174" t="str">
            <v>4897108882166</v>
          </cell>
          <cell r="T174" t="str">
            <v>854442 1000</v>
          </cell>
          <cell r="U174">
            <v>0</v>
          </cell>
          <cell r="V174">
            <v>50</v>
          </cell>
          <cell r="W174">
            <v>45</v>
          </cell>
          <cell r="X174">
            <v>55</v>
          </cell>
          <cell r="Y174" t="str">
            <v>T/T 60 days</v>
          </cell>
          <cell r="Z174">
            <v>0.60924674947337842</v>
          </cell>
          <cell r="AA174">
            <v>0.54257695426366137</v>
          </cell>
          <cell r="AB174">
            <v>0.1</v>
          </cell>
          <cell r="AC174">
            <v>0.1</v>
          </cell>
          <cell r="AD174">
            <v>0.2</v>
          </cell>
          <cell r="AE174" t="str">
            <v>C</v>
          </cell>
          <cell r="AF174">
            <v>0.54257695426366137</v>
          </cell>
          <cell r="AG174">
            <v>0.19999999999999984</v>
          </cell>
          <cell r="AH174">
            <v>0.54</v>
          </cell>
          <cell r="AI174">
            <v>0.52801384954359465</v>
          </cell>
          <cell r="AJ174">
            <v>0.48229062601214351</v>
          </cell>
          <cell r="AK174">
            <v>0.1333333333333333</v>
          </cell>
          <cell r="AL174">
            <v>0.11111111111111094</v>
          </cell>
          <cell r="AM174"/>
          <cell r="AN174" t="str">
            <v>WEKINO/HONTO</v>
          </cell>
          <cell r="AO174">
            <v>8.9999999999999993E-3</v>
          </cell>
          <cell r="AP174">
            <v>3.15</v>
          </cell>
          <cell r="AQ174"/>
          <cell r="AR174">
            <v>0.16</v>
          </cell>
          <cell r="AS174">
            <v>3.1949999999999998</v>
          </cell>
          <cell r="AT174">
            <v>3.355</v>
          </cell>
          <cell r="AU174">
            <v>0.47521246458923516</v>
          </cell>
          <cell r="AV174">
            <v>0.43406156341092916</v>
          </cell>
          <cell r="AW174" t="str">
            <v>7x0.145BC RJ45  OD:5.6±0.3mm</v>
          </cell>
          <cell r="AX174" t="str">
            <v>863690 1100</v>
          </cell>
          <cell r="AZ174">
            <v>1.808589847545538</v>
          </cell>
          <cell r="BA174">
            <v>1.0851539085273227</v>
          </cell>
          <cell r="BB174">
            <v>0.90429492377276899</v>
          </cell>
          <cell r="BC174">
            <v>0.72343593901821523</v>
          </cell>
        </row>
        <row r="175">
          <cell r="I175" t="str">
            <v>KPFU61EF</v>
          </cell>
          <cell r="J175" t="str">
            <v>U0403004</v>
          </cell>
          <cell r="K175" t="str">
            <v>CAT6 PATCH CORD F/UTP GREY PVC 1M</v>
          </cell>
          <cell r="L175" t="str">
            <v>CORDON DE BRASSAGE CAT6 F/UTP GRIS PVC 1M</v>
          </cell>
          <cell r="M175"/>
          <cell r="N175" t="str">
            <v>China</v>
          </cell>
          <cell r="O175"/>
          <cell r="P175" t="str">
            <v>1pc eco bag+10pcs PE bag+carton</v>
          </cell>
          <cell r="Q175" t="str">
            <v>3km of cable</v>
          </cell>
          <cell r="R175">
            <v>3200</v>
          </cell>
          <cell r="S175" t="str">
            <v>4897108882173</v>
          </cell>
          <cell r="T175" t="str">
            <v>854442 1000</v>
          </cell>
          <cell r="U175">
            <v>0</v>
          </cell>
          <cell r="V175">
            <v>50</v>
          </cell>
          <cell r="W175">
            <v>45</v>
          </cell>
          <cell r="X175">
            <v>55</v>
          </cell>
          <cell r="Y175" t="str">
            <v>T/T 60 days</v>
          </cell>
          <cell r="Z175">
            <v>0.77395220454710523</v>
          </cell>
          <cell r="AA175">
            <v>0.6952393690725458</v>
          </cell>
          <cell r="AB175">
            <v>0.1</v>
          </cell>
          <cell r="AC175">
            <v>0.1</v>
          </cell>
          <cell r="AD175">
            <v>0.2</v>
          </cell>
          <cell r="AE175" t="str">
            <v>C</v>
          </cell>
          <cell r="AF175">
            <v>0.6952393690725458</v>
          </cell>
          <cell r="AG175">
            <v>0.19999999999999996</v>
          </cell>
          <cell r="AH175">
            <v>0.69</v>
          </cell>
          <cell r="AI175">
            <v>0.67075857727415789</v>
          </cell>
          <cell r="AJ175">
            <v>0.61799055028670746</v>
          </cell>
          <cell r="AK175">
            <v>0.1333333333333333</v>
          </cell>
          <cell r="AL175">
            <v>0.11111111111111094</v>
          </cell>
          <cell r="AM175"/>
          <cell r="AN175" t="str">
            <v>WEKINO/HONTO</v>
          </cell>
          <cell r="AO175">
            <v>1.9E-2</v>
          </cell>
          <cell r="AP175">
            <v>4.0069999999999997</v>
          </cell>
          <cell r="AQ175"/>
          <cell r="AR175">
            <v>0.16</v>
          </cell>
          <cell r="AS175">
            <v>4.1019999999999994</v>
          </cell>
          <cell r="AT175">
            <v>4.2619999999999996</v>
          </cell>
          <cell r="AU175">
            <v>0.60368271954674213</v>
          </cell>
          <cell r="AV175">
            <v>0.55619149525803668</v>
          </cell>
          <cell r="AW175" t="str">
            <v>7x0.145BC RJ45  OD:5.6±0.3mm</v>
          </cell>
          <cell r="AX175" t="str">
            <v>863690 1100</v>
          </cell>
          <cell r="AZ175">
            <v>2.317464563575153</v>
          </cell>
          <cell r="BA175">
            <v>1.3904787381450918</v>
          </cell>
          <cell r="BB175">
            <v>1.1587322817875765</v>
          </cell>
          <cell r="BC175">
            <v>0.92698582543006125</v>
          </cell>
        </row>
        <row r="176">
          <cell r="I176" t="str">
            <v>KPFU62EF</v>
          </cell>
          <cell r="J176" t="str">
            <v>U0403005</v>
          </cell>
          <cell r="K176" t="str">
            <v>CAT6 PATCH CORD F/UTP GREY PVC 2M</v>
          </cell>
          <cell r="L176" t="str">
            <v>CORDON DE BRASSAGE CAT6 F/UTP GRIS PVC 2M</v>
          </cell>
          <cell r="M176"/>
          <cell r="N176" t="str">
            <v>China</v>
          </cell>
          <cell r="O176"/>
          <cell r="P176" t="str">
            <v>1pc eco bag+10pcs PE bag+carton</v>
          </cell>
          <cell r="Q176" t="str">
            <v>3km of cable</v>
          </cell>
          <cell r="R176">
            <v>2240</v>
          </cell>
          <cell r="S176" t="str">
            <v>4897108882180</v>
          </cell>
          <cell r="T176" t="str">
            <v>854442 1000</v>
          </cell>
          <cell r="U176">
            <v>0</v>
          </cell>
          <cell r="V176">
            <v>50</v>
          </cell>
          <cell r="W176">
            <v>45</v>
          </cell>
          <cell r="X176">
            <v>55</v>
          </cell>
          <cell r="Y176" t="str">
            <v>T/T 60 days</v>
          </cell>
          <cell r="Z176">
            <v>1.0933754630638484</v>
          </cell>
          <cell r="AA176">
            <v>0.98279581185226894</v>
          </cell>
          <cell r="AB176">
            <v>0.1</v>
          </cell>
          <cell r="AC176">
            <v>0.1</v>
          </cell>
          <cell r="AD176">
            <v>0.2</v>
          </cell>
          <cell r="AE176" t="str">
            <v>C</v>
          </cell>
          <cell r="AF176">
            <v>0.98279581185226894</v>
          </cell>
          <cell r="AG176">
            <v>0.19999999999999996</v>
          </cell>
          <cell r="AH176">
            <v>0.97</v>
          </cell>
          <cell r="AI176">
            <v>0.94759206798866857</v>
          </cell>
          <cell r="AJ176">
            <v>0.87359627720201682</v>
          </cell>
          <cell r="AK176">
            <v>0.1333333333333333</v>
          </cell>
          <cell r="AL176">
            <v>0.11111111111111116</v>
          </cell>
          <cell r="AM176"/>
          <cell r="AN176" t="str">
            <v>WEKINO/HONTO</v>
          </cell>
          <cell r="AO176">
            <v>3.6999999999999998E-2</v>
          </cell>
          <cell r="AP176">
            <v>5.6760000000000002</v>
          </cell>
          <cell r="AQ176"/>
          <cell r="AR176">
            <v>0.16</v>
          </cell>
          <cell r="AS176">
            <v>5.8609999999999998</v>
          </cell>
          <cell r="AT176">
            <v>6.0209999999999999</v>
          </cell>
          <cell r="AU176">
            <v>0.85283286118980173</v>
          </cell>
          <cell r="AV176">
            <v>0.78623664948181515</v>
          </cell>
          <cell r="AW176" t="str">
            <v>7x0.145BC RJ45  OD:5.6±0.3mm</v>
          </cell>
          <cell r="AX176" t="str">
            <v>863690 1100</v>
          </cell>
          <cell r="AZ176">
            <v>3.2759860395075631</v>
          </cell>
          <cell r="BA176">
            <v>1.9655916237045377</v>
          </cell>
          <cell r="BB176">
            <v>1.6379930197537815</v>
          </cell>
          <cell r="BC176">
            <v>1.3103944158030254</v>
          </cell>
        </row>
        <row r="177">
          <cell r="I177" t="str">
            <v>KPFU63EF</v>
          </cell>
          <cell r="J177" t="str">
            <v>U0403006</v>
          </cell>
          <cell r="K177" t="str">
            <v>CAT6 PATCH CORD F/UTP GREY PVC 3M</v>
          </cell>
          <cell r="L177" t="str">
            <v>CORDON DE BRASSAGE CAT6 F/UTP GRIS PVC 3M</v>
          </cell>
          <cell r="M177"/>
          <cell r="N177" t="str">
            <v>China</v>
          </cell>
          <cell r="O177"/>
          <cell r="P177" t="str">
            <v>1pc eco bag+10pcs PE bag+carton</v>
          </cell>
          <cell r="Q177" t="str">
            <v>3km of cable</v>
          </cell>
          <cell r="R177">
            <v>1600</v>
          </cell>
          <cell r="S177" t="str">
            <v>4897108882197</v>
          </cell>
          <cell r="T177" t="str">
            <v>854442 1000</v>
          </cell>
          <cell r="U177">
            <v>0</v>
          </cell>
          <cell r="V177">
            <v>50</v>
          </cell>
          <cell r="W177">
            <v>45</v>
          </cell>
          <cell r="X177">
            <v>55</v>
          </cell>
          <cell r="Y177" t="str">
            <v>T/T 60 days</v>
          </cell>
          <cell r="Z177">
            <v>1.4198808745550957</v>
          </cell>
          <cell r="AA177">
            <v>1.2819370458184509</v>
          </cell>
          <cell r="AB177">
            <v>0.1</v>
          </cell>
          <cell r="AC177">
            <v>0.1</v>
          </cell>
          <cell r="AD177">
            <v>0.2</v>
          </cell>
          <cell r="AE177" t="str">
            <v>C</v>
          </cell>
          <cell r="AF177">
            <v>1.2819370458184509</v>
          </cell>
          <cell r="AG177">
            <v>0.19999999999999996</v>
          </cell>
          <cell r="AH177">
            <v>1.27</v>
          </cell>
          <cell r="AI177">
            <v>1.2305634246144164</v>
          </cell>
          <cell r="AJ177">
            <v>1.1394995962830674</v>
          </cell>
          <cell r="AK177">
            <v>0.1333333333333333</v>
          </cell>
          <cell r="AL177">
            <v>0.11111111111111116</v>
          </cell>
          <cell r="AM177"/>
          <cell r="AN177" t="str">
            <v>WEKINO/HONTO</v>
          </cell>
          <cell r="AO177">
            <v>5.5E-2</v>
          </cell>
          <cell r="AP177">
            <v>7.3840000000000003</v>
          </cell>
          <cell r="AQ177"/>
          <cell r="AR177">
            <v>0.16</v>
          </cell>
          <cell r="AS177">
            <v>7.6590000000000007</v>
          </cell>
          <cell r="AT177">
            <v>7.8190000000000008</v>
          </cell>
          <cell r="AU177">
            <v>1.1075070821529747</v>
          </cell>
          <cell r="AV177">
            <v>1.0255496366547607</v>
          </cell>
          <cell r="AW177" t="str">
            <v>7x0.145BC RJ45  OD:5.6±0.3mm</v>
          </cell>
          <cell r="AX177" t="str">
            <v>863690 1100</v>
          </cell>
          <cell r="AZ177">
            <v>4.2731234860615031</v>
          </cell>
          <cell r="BA177">
            <v>2.5638740916369018</v>
          </cell>
          <cell r="BB177">
            <v>2.1365617430307515</v>
          </cell>
          <cell r="BC177">
            <v>1.7092493944246012</v>
          </cell>
        </row>
        <row r="178">
          <cell r="I178" t="str">
            <v>KPFU65EF</v>
          </cell>
          <cell r="J178" t="str">
            <v>U0403007</v>
          </cell>
          <cell r="K178" t="str">
            <v>CAT6 PATCH CORD F/UTP GREY PVC 5M</v>
          </cell>
          <cell r="L178" t="str">
            <v>CORDON DE BRASSAGE CAT6 F/UTP GRIS PVC 5M</v>
          </cell>
          <cell r="M178"/>
          <cell r="N178" t="str">
            <v>China</v>
          </cell>
          <cell r="O178"/>
          <cell r="P178" t="str">
            <v>1pc eco bag+10pcs PE bag+carton</v>
          </cell>
          <cell r="Q178" t="str">
            <v>3km of cable</v>
          </cell>
          <cell r="R178">
            <v>960</v>
          </cell>
          <cell r="S178" t="str">
            <v>4897108882203</v>
          </cell>
          <cell r="T178" t="str">
            <v>854442 1000</v>
          </cell>
          <cell r="U178">
            <v>0</v>
          </cell>
          <cell r="V178">
            <v>50</v>
          </cell>
          <cell r="W178">
            <v>45</v>
          </cell>
          <cell r="X178">
            <v>55</v>
          </cell>
          <cell r="Y178" t="str">
            <v>T/T 60 days</v>
          </cell>
          <cell r="Z178">
            <v>2.0890535338127405</v>
          </cell>
          <cell r="AA178">
            <v>1.9013624163484832</v>
          </cell>
          <cell r="AB178">
            <v>0.1</v>
          </cell>
          <cell r="AC178">
            <v>0.1</v>
          </cell>
          <cell r="AD178">
            <v>0.2</v>
          </cell>
          <cell r="AE178" t="str">
            <v>C</v>
          </cell>
          <cell r="AF178">
            <v>1.9013624163484832</v>
          </cell>
          <cell r="AG178">
            <v>0.19999999999999996</v>
          </cell>
          <cell r="AH178">
            <v>1.89</v>
          </cell>
          <cell r="AI178">
            <v>1.8105130626377086</v>
          </cell>
          <cell r="AJ178">
            <v>1.6900999256430962</v>
          </cell>
          <cell r="AK178">
            <v>0.1333333333333333</v>
          </cell>
          <cell r="AL178">
            <v>0.11111111111111116</v>
          </cell>
          <cell r="AM178"/>
          <cell r="AN178" t="str">
            <v>WEKINO/HONTO</v>
          </cell>
          <cell r="AO178">
            <v>9.0999999999999998E-2</v>
          </cell>
          <cell r="AP178">
            <v>10.888999999999999</v>
          </cell>
          <cell r="AQ178"/>
          <cell r="AR178">
            <v>0.16</v>
          </cell>
          <cell r="AS178">
            <v>11.343999999999999</v>
          </cell>
          <cell r="AT178">
            <v>11.504</v>
          </cell>
          <cell r="AU178">
            <v>1.6294617563739378</v>
          </cell>
          <cell r="AV178">
            <v>1.5210899330787866</v>
          </cell>
          <cell r="AW178" t="str">
            <v>7x0.145BC RJ45  OD:5.6±0.3mm</v>
          </cell>
          <cell r="AX178" t="str">
            <v>863690 1100</v>
          </cell>
          <cell r="AZ178">
            <v>6.3378747211616107</v>
          </cell>
          <cell r="BA178">
            <v>3.802724832696966</v>
          </cell>
          <cell r="BB178">
            <v>3.1689373605808053</v>
          </cell>
          <cell r="BC178">
            <v>2.5351498884646446</v>
          </cell>
        </row>
        <row r="179">
          <cell r="I179" t="str">
            <v>KPFU610EF</v>
          </cell>
          <cell r="J179" t="str">
            <v>U0403003</v>
          </cell>
          <cell r="K179" t="str">
            <v>CAT6 PATCH CORD F/UTP GREY PVC 10M</v>
          </cell>
          <cell r="L179" t="str">
            <v>CORDON DE BRASSAGE CAT6 F/UTP GRIS PVC 10M</v>
          </cell>
          <cell r="M179"/>
          <cell r="N179" t="str">
            <v>China</v>
          </cell>
          <cell r="O179"/>
          <cell r="P179" t="str">
            <v>1pc eco bag+10pcs PE bag+carton</v>
          </cell>
          <cell r="Q179" t="str">
            <v>3km of cable</v>
          </cell>
          <cell r="R179">
            <v>640</v>
          </cell>
          <cell r="S179" t="str">
            <v>4897108882210</v>
          </cell>
          <cell r="T179" t="str">
            <v>854442 1000</v>
          </cell>
          <cell r="U179">
            <v>0</v>
          </cell>
          <cell r="V179">
            <v>50</v>
          </cell>
          <cell r="W179">
            <v>45</v>
          </cell>
          <cell r="X179">
            <v>55</v>
          </cell>
          <cell r="Y179" t="str">
            <v>T/T 60 days</v>
          </cell>
          <cell r="Z179">
            <v>3.6607467131546452</v>
          </cell>
          <cell r="AA179">
            <v>3.2989890611528514</v>
          </cell>
          <cell r="AB179">
            <v>0.1</v>
          </cell>
          <cell r="AC179">
            <v>0.1</v>
          </cell>
          <cell r="AD179">
            <v>0.2</v>
          </cell>
          <cell r="AE179" t="str">
            <v>C</v>
          </cell>
          <cell r="AF179">
            <v>3.2989890611528514</v>
          </cell>
          <cell r="AG179">
            <v>0.19999999999999996</v>
          </cell>
          <cell r="AH179">
            <v>3.27</v>
          </cell>
          <cell r="AI179">
            <v>3.1726471514006924</v>
          </cell>
          <cell r="AJ179">
            <v>2.932434721024757</v>
          </cell>
          <cell r="AK179">
            <v>0.1333333333333333</v>
          </cell>
          <cell r="AL179">
            <v>0.11111111111111105</v>
          </cell>
          <cell r="AM179"/>
          <cell r="AN179" t="str">
            <v>WEKINO/HONTO</v>
          </cell>
          <cell r="AO179">
            <v>0.182</v>
          </cell>
          <cell r="AP179">
            <v>19.088999999999999</v>
          </cell>
          <cell r="AQ179"/>
          <cell r="AR179">
            <v>0.16</v>
          </cell>
          <cell r="AS179">
            <v>19.998999999999999</v>
          </cell>
          <cell r="AT179">
            <v>20.158999999999999</v>
          </cell>
          <cell r="AU179">
            <v>2.8553824362606233</v>
          </cell>
          <cell r="AV179">
            <v>2.6391912489222813</v>
          </cell>
          <cell r="AW179" t="str">
            <v>7x0.145BC RJ45  OD:5.6±0.3mm</v>
          </cell>
          <cell r="AX179" t="str">
            <v>863690 1100</v>
          </cell>
          <cell r="AZ179">
            <v>10.996630203842839</v>
          </cell>
          <cell r="BA179">
            <v>6.5979781223057037</v>
          </cell>
          <cell r="BB179">
            <v>5.4983151019214196</v>
          </cell>
          <cell r="BC179">
            <v>4.3986520815371355</v>
          </cell>
        </row>
        <row r="180">
          <cell r="I180" t="str">
            <v>KPFU6ZH03EF</v>
          </cell>
          <cell r="J180" t="str">
            <v>U0403008</v>
          </cell>
          <cell r="K180" t="str">
            <v>CAT6 PATCH CORD F/UTP GREY LSZH 0.3M</v>
          </cell>
          <cell r="L180" t="str">
            <v>CORDON DE BRASSAGE CAT6 F/UTP GRIS LSZH 0,3M</v>
          </cell>
          <cell r="M180"/>
          <cell r="N180" t="str">
            <v>China</v>
          </cell>
          <cell r="O180"/>
          <cell r="P180" t="str">
            <v>1pc eco bag+10pcs PE bag+carton</v>
          </cell>
          <cell r="Q180" t="str">
            <v>3km of cable</v>
          </cell>
          <cell r="R180">
            <v>4800</v>
          </cell>
          <cell r="S180" t="e">
            <v>#N/A</v>
          </cell>
          <cell r="T180" t="str">
            <v>854442 1000</v>
          </cell>
          <cell r="U180">
            <v>0</v>
          </cell>
          <cell r="V180">
            <v>50</v>
          </cell>
          <cell r="W180">
            <v>45</v>
          </cell>
          <cell r="X180">
            <v>55</v>
          </cell>
          <cell r="Y180" t="str">
            <v>T/T 60 days</v>
          </cell>
          <cell r="Z180">
            <v>0.56414939615327275</v>
          </cell>
          <cell r="AA180">
            <v>0.50469551216256481</v>
          </cell>
          <cell r="AB180">
            <v>0.1</v>
          </cell>
          <cell r="AC180">
            <v>0.1</v>
          </cell>
          <cell r="AD180">
            <v>0.22</v>
          </cell>
          <cell r="AE180" t="str">
            <v>C</v>
          </cell>
          <cell r="AF180">
            <v>0.50469551216256481</v>
          </cell>
          <cell r="AG180">
            <v>0.21999999999999997</v>
          </cell>
          <cell r="AH180">
            <v>0.5</v>
          </cell>
          <cell r="AI180">
            <v>0.47639282341831918</v>
          </cell>
          <cell r="AJ180">
            <v>0.43740277720755616</v>
          </cell>
          <cell r="AK180">
            <v>0.15555555555555567</v>
          </cell>
          <cell r="AL180">
            <v>0.1333333333333333</v>
          </cell>
          <cell r="AM180"/>
          <cell r="AN180" t="str">
            <v>WEKINO/HONTO</v>
          </cell>
          <cell r="AO180">
            <v>6.0000000000000001E-3</v>
          </cell>
          <cell r="AP180">
            <v>2.8370000000000002</v>
          </cell>
          <cell r="AQ180"/>
          <cell r="AR180">
            <v>0.16</v>
          </cell>
          <cell r="AS180">
            <v>2.867</v>
          </cell>
          <cell r="AT180">
            <v>3.0270000000000001</v>
          </cell>
          <cell r="AU180">
            <v>0.42875354107648728</v>
          </cell>
          <cell r="AV180">
            <v>0.39366249948680054</v>
          </cell>
          <cell r="AW180" t="str">
            <v>7x0.145BC RJ45  OD:5.6±0.3mm</v>
          </cell>
          <cell r="AX180" t="str">
            <v>863690 1100</v>
          </cell>
          <cell r="AZ180">
            <v>1.6823183738752161</v>
          </cell>
          <cell r="BA180">
            <v>1.0093910243251296</v>
          </cell>
          <cell r="BB180">
            <v>0.84115918693760805</v>
          </cell>
          <cell r="BC180">
            <v>0.67292734955008648</v>
          </cell>
        </row>
        <row r="181">
          <cell r="I181" t="str">
            <v>KPFU6ZH05EF</v>
          </cell>
          <cell r="J181" t="str">
            <v>U0403009</v>
          </cell>
          <cell r="K181" t="str">
            <v>CAT6 PATCH CORD F/UTP GREY LSZH 0.5M</v>
          </cell>
          <cell r="L181" t="str">
            <v>CORDON DE BRASSAGE CAT6 F/UTP GRIS LSZH 0.5M</v>
          </cell>
          <cell r="M181"/>
          <cell r="N181" t="str">
            <v>China</v>
          </cell>
          <cell r="O181"/>
          <cell r="P181" t="str">
            <v>1pc eco bag+10pcs PE bag+carton</v>
          </cell>
          <cell r="Q181" t="str">
            <v>3km of cable</v>
          </cell>
          <cell r="R181">
            <v>4800</v>
          </cell>
          <cell r="S181" t="e">
            <v>#N/A</v>
          </cell>
          <cell r="T181" t="str">
            <v>854442 1000</v>
          </cell>
          <cell r="U181">
            <v>0</v>
          </cell>
          <cell r="V181">
            <v>50</v>
          </cell>
          <cell r="W181">
            <v>45</v>
          </cell>
          <cell r="X181">
            <v>55</v>
          </cell>
          <cell r="Y181" t="str">
            <v>T/T 60 days</v>
          </cell>
          <cell r="Z181">
            <v>0.62956612494408826</v>
          </cell>
          <cell r="AA181">
            <v>0.56012105718042415</v>
          </cell>
          <cell r="AB181">
            <v>0.1</v>
          </cell>
          <cell r="AC181">
            <v>0.1</v>
          </cell>
          <cell r="AD181">
            <v>0.22</v>
          </cell>
          <cell r="AE181" t="str">
            <v>C</v>
          </cell>
          <cell r="AF181">
            <v>0.56012105718042415</v>
          </cell>
          <cell r="AG181">
            <v>0.21999999999999997</v>
          </cell>
          <cell r="AH181">
            <v>0.56000000000000005</v>
          </cell>
          <cell r="AI181">
            <v>0.5316336166194523</v>
          </cell>
          <cell r="AJ181">
            <v>0.48543824955636761</v>
          </cell>
          <cell r="AK181">
            <v>0.15555555555555556</v>
          </cell>
          <cell r="AL181">
            <v>0.1333333333333333</v>
          </cell>
          <cell r="AM181"/>
          <cell r="AN181" t="str">
            <v>WEKINO/HONTO</v>
          </cell>
          <cell r="AO181">
            <v>8.9999999999999993E-3</v>
          </cell>
          <cell r="AP181">
            <v>3.173</v>
          </cell>
          <cell r="AQ181"/>
          <cell r="AR181">
            <v>0.16</v>
          </cell>
          <cell r="AS181">
            <v>3.218</v>
          </cell>
          <cell r="AT181">
            <v>3.3780000000000001</v>
          </cell>
          <cell r="AU181">
            <v>0.47847025495750711</v>
          </cell>
          <cell r="AV181">
            <v>0.43689442460073086</v>
          </cell>
          <cell r="AW181" t="str">
            <v>7x0.145BC RJ45  OD:5.6±0.3mm</v>
          </cell>
          <cell r="AX181" t="str">
            <v>863690 1100</v>
          </cell>
          <cell r="AZ181">
            <v>1.867070190601414</v>
          </cell>
          <cell r="BA181">
            <v>1.1202421143608483</v>
          </cell>
          <cell r="BB181">
            <v>0.933535095300707</v>
          </cell>
          <cell r="BC181">
            <v>0.74682807624056569</v>
          </cell>
        </row>
        <row r="182">
          <cell r="I182" t="str">
            <v>KPFU6ZH1EF</v>
          </cell>
          <cell r="J182" t="str">
            <v>U0403011</v>
          </cell>
          <cell r="K182" t="str">
            <v>CAT6 PATCH CORD F/UTP GREY LSZH 1M</v>
          </cell>
          <cell r="L182" t="str">
            <v>CORDON DE BRASSAGE CAT6 F/UTP GRIS LSZH 1M</v>
          </cell>
          <cell r="M182"/>
          <cell r="N182" t="str">
            <v>China</v>
          </cell>
          <cell r="O182"/>
          <cell r="P182" t="str">
            <v>1pc eco bag+10pcs PE bag+carton</v>
          </cell>
          <cell r="Q182" t="str">
            <v>3km of cable</v>
          </cell>
          <cell r="R182">
            <v>3200</v>
          </cell>
          <cell r="S182" t="e">
            <v>#N/A</v>
          </cell>
          <cell r="T182" t="str">
            <v>854442 1000</v>
          </cell>
          <cell r="U182">
            <v>0</v>
          </cell>
          <cell r="V182">
            <v>50</v>
          </cell>
          <cell r="W182">
            <v>45</v>
          </cell>
          <cell r="X182">
            <v>55</v>
          </cell>
          <cell r="Y182" t="str">
            <v>T/T 60 days</v>
          </cell>
          <cell r="Z182">
            <v>0.80270612792604734</v>
          </cell>
          <cell r="AA182">
            <v>0.72017185866643929</v>
          </cell>
          <cell r="AB182">
            <v>0.1</v>
          </cell>
          <cell r="AC182">
            <v>0.1</v>
          </cell>
          <cell r="AD182">
            <v>0.22</v>
          </cell>
          <cell r="AE182" t="str">
            <v>C</v>
          </cell>
          <cell r="AF182">
            <v>0.72017185866643929</v>
          </cell>
          <cell r="AG182">
            <v>0.21999999999999997</v>
          </cell>
          <cell r="AH182">
            <v>0.71</v>
          </cell>
          <cell r="AI182">
            <v>0.6778407302486622</v>
          </cell>
          <cell r="AJ182">
            <v>0.62414894417758071</v>
          </cell>
          <cell r="AK182">
            <v>0.15555555555555556</v>
          </cell>
          <cell r="AL182">
            <v>0.1333333333333333</v>
          </cell>
          <cell r="AM182"/>
          <cell r="AN182" t="str">
            <v>WEKINO/HONTO</v>
          </cell>
          <cell r="AO182">
            <v>1.9E-2</v>
          </cell>
          <cell r="AP182">
            <v>4.0519999999999996</v>
          </cell>
          <cell r="AQ182"/>
          <cell r="AR182">
            <v>0.16</v>
          </cell>
          <cell r="AS182">
            <v>4.1469999999999994</v>
          </cell>
          <cell r="AT182">
            <v>4.3069999999999995</v>
          </cell>
          <cell r="AU182">
            <v>0.61005665722379598</v>
          </cell>
          <cell r="AV182">
            <v>0.56173404975982266</v>
          </cell>
          <cell r="AW182" t="str">
            <v>7x0.145BC RJ45  OD:5.6±0.3mm</v>
          </cell>
          <cell r="AX182" t="str">
            <v>863690 1100</v>
          </cell>
          <cell r="AZ182">
            <v>2.4005728622214644</v>
          </cell>
          <cell r="BA182">
            <v>1.4403437173328786</v>
          </cell>
          <cell r="BB182">
            <v>1.2002864311107322</v>
          </cell>
          <cell r="BC182">
            <v>0.96022914488858579</v>
          </cell>
        </row>
        <row r="183">
          <cell r="I183" t="str">
            <v>KPFU6ZH2EF</v>
          </cell>
          <cell r="J183" t="str">
            <v>U0403012</v>
          </cell>
          <cell r="K183" t="str">
            <v>CAT6 PATCH CORD F/UTP GREY LSZH 2M</v>
          </cell>
          <cell r="L183" t="str">
            <v>CORDON DE BRASSAGE CAT6 F/UTP GRIS LSZH 2M</v>
          </cell>
          <cell r="M183"/>
          <cell r="N183" t="str">
            <v>China</v>
          </cell>
          <cell r="O183"/>
          <cell r="P183" t="str">
            <v>1pc eco bag+10pcs PE bag+carton</v>
          </cell>
          <cell r="Q183" t="str">
            <v>3km of cable</v>
          </cell>
          <cell r="R183">
            <v>2240</v>
          </cell>
          <cell r="S183" t="e">
            <v>#N/A</v>
          </cell>
          <cell r="T183" t="str">
            <v>854442 1000</v>
          </cell>
          <cell r="U183">
            <v>0</v>
          </cell>
          <cell r="V183">
            <v>50</v>
          </cell>
          <cell r="W183">
            <v>45</v>
          </cell>
          <cell r="X183">
            <v>55</v>
          </cell>
          <cell r="Y183" t="str">
            <v>T/T 60 days</v>
          </cell>
          <cell r="Z183">
            <v>1.1387356493216043</v>
          </cell>
          <cell r="AA183">
            <v>1.0220494751379097</v>
          </cell>
          <cell r="AB183">
            <v>0.1</v>
          </cell>
          <cell r="AC183">
            <v>0.1</v>
          </cell>
          <cell r="AD183">
            <v>0.22</v>
          </cell>
          <cell r="AE183" t="str">
            <v>C</v>
          </cell>
          <cell r="AF183">
            <v>1.0220494751379097</v>
          </cell>
          <cell r="AG183">
            <v>0.21999999999999997</v>
          </cell>
          <cell r="AH183">
            <v>1.01</v>
          </cell>
          <cell r="AI183">
            <v>0.96159899276046579</v>
          </cell>
          <cell r="AJ183">
            <v>0.88577621178618837</v>
          </cell>
          <cell r="AK183">
            <v>0.15555555555555567</v>
          </cell>
          <cell r="AL183">
            <v>0.1333333333333333</v>
          </cell>
          <cell r="AM183"/>
          <cell r="AN183" t="str">
            <v>WEKINO/HONTO</v>
          </cell>
          <cell r="AO183">
            <v>3.6999999999999998E-2</v>
          </cell>
          <cell r="AP183">
            <v>5.7649999999999997</v>
          </cell>
          <cell r="AQ183"/>
          <cell r="AR183">
            <v>0.16</v>
          </cell>
          <cell r="AS183">
            <v>5.9499999999999993</v>
          </cell>
          <cell r="AT183">
            <v>6.1099999999999994</v>
          </cell>
          <cell r="AU183">
            <v>0.86543909348441928</v>
          </cell>
          <cell r="AV183">
            <v>0.79719859060756959</v>
          </cell>
          <cell r="AW183" t="str">
            <v>7x0.145BC RJ45  OD:5.6±0.3mm</v>
          </cell>
          <cell r="AX183" t="str">
            <v>863690 1100</v>
          </cell>
          <cell r="AZ183">
            <v>3.4068315837930325</v>
          </cell>
          <cell r="BA183">
            <v>2.0440989502758193</v>
          </cell>
          <cell r="BB183">
            <v>1.7034157918965163</v>
          </cell>
          <cell r="BC183">
            <v>1.3627326335172132</v>
          </cell>
        </row>
        <row r="184">
          <cell r="I184" t="str">
            <v>KPFU6ZH3EF</v>
          </cell>
          <cell r="J184" t="str">
            <v>U0403013</v>
          </cell>
          <cell r="K184" t="str">
            <v>CAT6 PATCH CORD F/UTP GREY LSZH 3M</v>
          </cell>
          <cell r="L184" t="str">
            <v>CORDON DE BRASSAGE CAT6 F/UTP GRIS LSZH 3M</v>
          </cell>
          <cell r="M184"/>
          <cell r="N184" t="str">
            <v>China</v>
          </cell>
          <cell r="O184"/>
          <cell r="P184" t="str">
            <v>1pc eco bag+10pcs PE bag+carton</v>
          </cell>
          <cell r="Q184" t="str">
            <v>3km of cable</v>
          </cell>
          <cell r="R184">
            <v>1600</v>
          </cell>
          <cell r="S184" t="e">
            <v>#N/A</v>
          </cell>
          <cell r="T184" t="str">
            <v>854442 1000</v>
          </cell>
          <cell r="U184">
            <v>0</v>
          </cell>
          <cell r="V184">
            <v>50</v>
          </cell>
          <cell r="W184">
            <v>45</v>
          </cell>
          <cell r="X184">
            <v>55</v>
          </cell>
          <cell r="Y184" t="str">
            <v>T/T 60 days</v>
          </cell>
          <cell r="Z184">
            <v>1.4822200685850606</v>
          </cell>
          <cell r="AA184">
            <v>1.3359668362593602</v>
          </cell>
          <cell r="AB184">
            <v>0.1</v>
          </cell>
          <cell r="AC184">
            <v>0.1</v>
          </cell>
          <cell r="AD184">
            <v>0.22</v>
          </cell>
          <cell r="AE184" t="str">
            <v>C</v>
          </cell>
          <cell r="AF184">
            <v>1.3359668362593602</v>
          </cell>
          <cell r="AG184">
            <v>0.21999999999999997</v>
          </cell>
          <cell r="AH184">
            <v>1.33</v>
          </cell>
          <cell r="AI184">
            <v>1.2516525023607179</v>
          </cell>
          <cell r="AJ184">
            <v>1.1578379247581121</v>
          </cell>
          <cell r="AK184">
            <v>0.15555555555555556</v>
          </cell>
          <cell r="AL184">
            <v>0.13333333333333341</v>
          </cell>
          <cell r="AM184"/>
          <cell r="AN184" t="str">
            <v>WEKINO/HONTO</v>
          </cell>
          <cell r="AO184">
            <v>5.5E-2</v>
          </cell>
          <cell r="AP184">
            <v>7.5179999999999998</v>
          </cell>
          <cell r="AQ184"/>
          <cell r="AR184">
            <v>0.16</v>
          </cell>
          <cell r="AS184">
            <v>7.7930000000000001</v>
          </cell>
          <cell r="AT184">
            <v>7.9530000000000003</v>
          </cell>
          <cell r="AU184">
            <v>1.1264872521246461</v>
          </cell>
          <cell r="AV184">
            <v>1.0420541322823009</v>
          </cell>
          <cell r="AW184" t="str">
            <v>7x0.145BC RJ45  OD:5.6±0.3mm</v>
          </cell>
          <cell r="AX184" t="str">
            <v>863690 1100</v>
          </cell>
          <cell r="AZ184">
            <v>4.4532227875312005</v>
          </cell>
          <cell r="BA184">
            <v>2.6719336725187204</v>
          </cell>
          <cell r="BB184">
            <v>2.2266113937656002</v>
          </cell>
          <cell r="BC184">
            <v>1.7812891150124803</v>
          </cell>
        </row>
        <row r="185">
          <cell r="I185" t="str">
            <v>KPFU6ZH5EF</v>
          </cell>
          <cell r="J185" t="str">
            <v>U0403014</v>
          </cell>
          <cell r="K185" t="str">
            <v>CAT6 PATCH CORD F/UTP GREY LSZH 5M</v>
          </cell>
          <cell r="L185" t="str">
            <v>CORDON DE BRASSAGE CAT6 F/UTP GRIS LSZH 5M</v>
          </cell>
          <cell r="M185"/>
          <cell r="N185" t="str">
            <v>China</v>
          </cell>
          <cell r="O185"/>
          <cell r="P185" t="str">
            <v>1pc eco bag+10pcs PE bag+carton</v>
          </cell>
          <cell r="Q185" t="str">
            <v>3km of cable</v>
          </cell>
          <cell r="R185">
            <v>960</v>
          </cell>
          <cell r="S185" t="e">
            <v>#N/A</v>
          </cell>
          <cell r="T185" t="str">
            <v>854442 1000</v>
          </cell>
          <cell r="U185">
            <v>0</v>
          </cell>
          <cell r="V185">
            <v>50</v>
          </cell>
          <cell r="W185">
            <v>45</v>
          </cell>
          <cell r="X185">
            <v>55</v>
          </cell>
          <cell r="Y185" t="str">
            <v>T/T 60 days</v>
          </cell>
          <cell r="Z185">
            <v>2.1857760548680485</v>
          </cell>
          <cell r="AA185">
            <v>1.9854865868075626</v>
          </cell>
          <cell r="AB185">
            <v>0.1</v>
          </cell>
          <cell r="AC185">
            <v>0.1</v>
          </cell>
          <cell r="AD185">
            <v>0.22</v>
          </cell>
          <cell r="AE185" t="str">
            <v>C</v>
          </cell>
          <cell r="AF185">
            <v>1.9854865868075626</v>
          </cell>
          <cell r="AG185">
            <v>0.21999999999999997</v>
          </cell>
          <cell r="AH185">
            <v>1.97</v>
          </cell>
          <cell r="AI185">
            <v>1.8457664463330188</v>
          </cell>
          <cell r="AJ185">
            <v>1.7207550418998876</v>
          </cell>
          <cell r="AK185">
            <v>0.15555555555555556</v>
          </cell>
          <cell r="AL185">
            <v>0.1333333333333333</v>
          </cell>
          <cell r="AM185"/>
          <cell r="AN185" t="str">
            <v>WEKINO/HONTO</v>
          </cell>
          <cell r="AO185">
            <v>9.0999999999999998E-2</v>
          </cell>
          <cell r="AP185">
            <v>11.113</v>
          </cell>
          <cell r="AQ185"/>
          <cell r="AR185">
            <v>0.16</v>
          </cell>
          <cell r="AS185">
            <v>11.568</v>
          </cell>
          <cell r="AT185">
            <v>11.728</v>
          </cell>
          <cell r="AU185">
            <v>1.6611898016997169</v>
          </cell>
          <cell r="AV185">
            <v>1.548679537709899</v>
          </cell>
          <cell r="AW185" t="str">
            <v>7x0.145BC RJ45  OD:5.6±0.3mm</v>
          </cell>
          <cell r="AX185" t="str">
            <v>863690 1100</v>
          </cell>
          <cell r="AZ185">
            <v>6.6182886226918756</v>
          </cell>
          <cell r="BA185">
            <v>3.9709731736151253</v>
          </cell>
          <cell r="BB185">
            <v>3.3091443113459378</v>
          </cell>
          <cell r="BC185">
            <v>2.6473154490767503</v>
          </cell>
        </row>
        <row r="186">
          <cell r="I186" t="str">
            <v>KPFU6ZH10EF</v>
          </cell>
          <cell r="J186" t="str">
            <v>U0403010</v>
          </cell>
          <cell r="K186" t="str">
            <v>CAT6 PATCH CORD F/UTP GREY LSZH 10M</v>
          </cell>
          <cell r="L186" t="str">
            <v>CORDON DE BRASSAGE CAT6 F/UTP GRIS LSZH 10M</v>
          </cell>
          <cell r="M186"/>
          <cell r="N186" t="str">
            <v>China</v>
          </cell>
          <cell r="O186"/>
          <cell r="P186" t="str">
            <v>1pc eco bag+10pcs PE bag+carton</v>
          </cell>
          <cell r="Q186" t="str">
            <v>3km of cable</v>
          </cell>
          <cell r="R186">
            <v>640</v>
          </cell>
          <cell r="S186" t="e">
            <v>#N/A</v>
          </cell>
          <cell r="T186" t="str">
            <v>854442 1000</v>
          </cell>
          <cell r="U186">
            <v>0</v>
          </cell>
          <cell r="V186">
            <v>50</v>
          </cell>
          <cell r="W186">
            <v>45</v>
          </cell>
          <cell r="X186">
            <v>55</v>
          </cell>
          <cell r="Y186" t="str">
            <v>T/T 60 days</v>
          </cell>
          <cell r="Z186">
            <v>3.8402042642015806</v>
          </cell>
          <cell r="AA186">
            <v>3.454005285165219</v>
          </cell>
          <cell r="AB186">
            <v>0.1</v>
          </cell>
          <cell r="AC186">
            <v>0.1</v>
          </cell>
          <cell r="AD186">
            <v>0.22</v>
          </cell>
          <cell r="AE186" t="str">
            <v>C</v>
          </cell>
          <cell r="AF186">
            <v>3.454005285165219</v>
          </cell>
          <cell r="AG186">
            <v>0.21999999999999997</v>
          </cell>
          <cell r="AH186">
            <v>3.43</v>
          </cell>
          <cell r="AI186">
            <v>3.2428391564368901</v>
          </cell>
          <cell r="AJ186">
            <v>2.9934712471431899</v>
          </cell>
          <cell r="AK186">
            <v>0.15555555555555556</v>
          </cell>
          <cell r="AL186">
            <v>0.1333333333333333</v>
          </cell>
          <cell r="AM186"/>
          <cell r="AN186" t="str">
            <v>WEKINO/HONTO</v>
          </cell>
          <cell r="AO186">
            <v>0.182</v>
          </cell>
          <cell r="AP186">
            <v>19.535</v>
          </cell>
          <cell r="AQ186"/>
          <cell r="AR186">
            <v>0.16</v>
          </cell>
          <cell r="AS186">
            <v>20.445</v>
          </cell>
          <cell r="AT186">
            <v>20.605</v>
          </cell>
          <cell r="AU186">
            <v>2.9185552407932014</v>
          </cell>
          <cell r="AV186">
            <v>2.694124122428871</v>
          </cell>
          <cell r="AW186" t="str">
            <v>7x0.145BC RJ45  OD:5.6±0.3mm</v>
          </cell>
          <cell r="AX186" t="str">
            <v>863690 1100</v>
          </cell>
          <cell r="AZ186">
            <v>11.513350950550731</v>
          </cell>
          <cell r="BA186">
            <v>6.908010570330438</v>
          </cell>
          <cell r="BB186">
            <v>5.7566754752753653</v>
          </cell>
          <cell r="BC186">
            <v>4.6053403802202926</v>
          </cell>
        </row>
        <row r="187">
          <cell r="I187" t="str">
            <v>KPUU6ZH03EF</v>
          </cell>
          <cell r="J187" t="str">
            <v>U0404001</v>
          </cell>
          <cell r="K187" t="str">
            <v>CAT6 PATCH CORD U/UTP GREY LSZH 0.3M</v>
          </cell>
          <cell r="L187" t="str">
            <v>CORDON DE BRASSAGE CAT6 U/UTP GRIS LSZH 0,3M</v>
          </cell>
          <cell r="M187"/>
          <cell r="N187" t="str">
            <v>China</v>
          </cell>
          <cell r="O187"/>
          <cell r="P187" t="str">
            <v>1pc eco bag+10pcs PE bag+carton</v>
          </cell>
          <cell r="Q187" t="str">
            <v>3km of cable</v>
          </cell>
          <cell r="R187">
            <v>4800</v>
          </cell>
          <cell r="S187" t="str">
            <v>4897108882081</v>
          </cell>
          <cell r="T187" t="str">
            <v>854442 1000</v>
          </cell>
          <cell r="U187">
            <v>0</v>
          </cell>
          <cell r="V187">
            <v>50</v>
          </cell>
          <cell r="W187">
            <v>45</v>
          </cell>
          <cell r="X187">
            <v>55</v>
          </cell>
          <cell r="Y187" t="str">
            <v>T/T 60 days</v>
          </cell>
          <cell r="Z187">
            <v>0.44152165115337932</v>
          </cell>
          <cell r="AA187">
            <v>0.40220228157089233</v>
          </cell>
          <cell r="AB187">
            <v>0.1</v>
          </cell>
          <cell r="AC187">
            <v>0.1</v>
          </cell>
          <cell r="AD187">
            <v>0.28000000000000003</v>
          </cell>
          <cell r="AE187" t="str">
            <v>C</v>
          </cell>
          <cell r="AF187">
            <v>0.40220228157089233</v>
          </cell>
          <cell r="AG187">
            <v>0.28000000000000003</v>
          </cell>
          <cell r="AH187" t="e">
            <v>#N/A</v>
          </cell>
          <cell r="AI187">
            <v>0.34340572867485053</v>
          </cell>
          <cell r="AJ187">
            <v>0.32176182525671387</v>
          </cell>
          <cell r="AK187">
            <v>0.22222222222222232</v>
          </cell>
          <cell r="AL187">
            <v>0.19999999999999996</v>
          </cell>
          <cell r="AM187"/>
          <cell r="AN187" t="str">
            <v>WEKINO/HONTO</v>
          </cell>
          <cell r="AO187">
            <v>7.0000000000000001E-3</v>
          </cell>
          <cell r="AP187">
            <v>1.9870000000000001</v>
          </cell>
          <cell r="AQ187"/>
          <cell r="AR187">
            <v>0.16</v>
          </cell>
          <cell r="AS187">
            <v>2.0220000000000002</v>
          </cell>
          <cell r="AT187">
            <v>2.1820000000000004</v>
          </cell>
          <cell r="AU187">
            <v>0.30906515580736549</v>
          </cell>
          <cell r="AV187">
            <v>0.28958564273104248</v>
          </cell>
          <cell r="AW187" t="str">
            <v>7x0.145BC RJ45  OD:4.8±0.3mm</v>
          </cell>
          <cell r="AX187" t="str">
            <v>863690 1100</v>
          </cell>
          <cell r="AZ187">
            <v>1.3406742719029745</v>
          </cell>
          <cell r="BA187">
            <v>0.80440456314178466</v>
          </cell>
          <cell r="BB187">
            <v>0.67033713595148725</v>
          </cell>
          <cell r="BC187">
            <v>0.53626970876118984</v>
          </cell>
        </row>
        <row r="188">
          <cell r="I188" t="str">
            <v>KPUU6ZH05EF</v>
          </cell>
          <cell r="J188" t="str">
            <v>U0404002</v>
          </cell>
          <cell r="K188" t="str">
            <v>CAT6 PATCH CORD U/UTP GREY LSZH 0.5M</v>
          </cell>
          <cell r="L188" t="str">
            <v>CORDON DE BRASSAGE CAT6 U/UTP GRIS LSZH 0,5M</v>
          </cell>
          <cell r="M188"/>
          <cell r="N188" t="str">
            <v>China</v>
          </cell>
          <cell r="O188"/>
          <cell r="P188" t="str">
            <v>1pc eco bag+10pcs PE bag+carton</v>
          </cell>
          <cell r="Q188" t="str">
            <v>3km of cable</v>
          </cell>
          <cell r="R188">
            <v>4800</v>
          </cell>
          <cell r="S188" t="str">
            <v>4897108882098</v>
          </cell>
          <cell r="T188" t="str">
            <v>854442 1000</v>
          </cell>
          <cell r="U188">
            <v>0</v>
          </cell>
          <cell r="V188">
            <v>50</v>
          </cell>
          <cell r="W188">
            <v>45</v>
          </cell>
          <cell r="X188">
            <v>55</v>
          </cell>
          <cell r="Y188" t="str">
            <v>T/T 60 days</v>
          </cell>
          <cell r="Z188">
            <v>0.49615540267098351</v>
          </cell>
          <cell r="AA188">
            <v>0.4483902357524418</v>
          </cell>
          <cell r="AB188">
            <v>0.1</v>
          </cell>
          <cell r="AC188">
            <v>0.1</v>
          </cell>
          <cell r="AD188">
            <v>0.28000000000000003</v>
          </cell>
          <cell r="AE188" t="str">
            <v>C</v>
          </cell>
          <cell r="AF188">
            <v>0.4483902357524418</v>
          </cell>
          <cell r="AG188">
            <v>0.28000000000000003</v>
          </cell>
          <cell r="AH188" t="e">
            <v>#N/A</v>
          </cell>
          <cell r="AI188">
            <v>0.38589864652187605</v>
          </cell>
          <cell r="AJ188">
            <v>0.35871218860195342</v>
          </cell>
          <cell r="AK188">
            <v>0.22222222222222221</v>
          </cell>
          <cell r="AL188">
            <v>0.20000000000000007</v>
          </cell>
          <cell r="AM188"/>
          <cell r="AN188" t="str">
            <v>WEKINO/HONTO</v>
          </cell>
          <cell r="AO188">
            <v>1.2E-2</v>
          </cell>
          <cell r="AP188">
            <v>2.2320000000000002</v>
          </cell>
          <cell r="AQ188"/>
          <cell r="AR188">
            <v>0.16</v>
          </cell>
          <cell r="AS188">
            <v>2.2920000000000003</v>
          </cell>
          <cell r="AT188">
            <v>2.4520000000000004</v>
          </cell>
          <cell r="AU188">
            <v>0.34730878186968844</v>
          </cell>
          <cell r="AV188">
            <v>0.32284096974175808</v>
          </cell>
          <cell r="AW188" t="str">
            <v>7x0.145BC RJ45  OD:4.8±0.3mm</v>
          </cell>
          <cell r="AX188" t="str">
            <v>863690 1100</v>
          </cell>
          <cell r="AZ188">
            <v>1.494634119174806</v>
          </cell>
          <cell r="BA188">
            <v>0.8967804715048836</v>
          </cell>
          <cell r="BB188">
            <v>0.74731705958740302</v>
          </cell>
          <cell r="BC188">
            <v>0.59785364766992244</v>
          </cell>
        </row>
        <row r="189">
          <cell r="I189" t="str">
            <v>KPUU6ZH1EF</v>
          </cell>
          <cell r="J189" t="str">
            <v>U0404004</v>
          </cell>
          <cell r="K189" t="str">
            <v>CAT6 PATCH CORD U/UTP GREY LSZH 1M</v>
          </cell>
          <cell r="L189" t="str">
            <v>CORDON DE BRASSAGE CAT6 U/UTP GRIS LSZH 1M</v>
          </cell>
          <cell r="M189"/>
          <cell r="N189" t="str">
            <v>China</v>
          </cell>
          <cell r="O189"/>
          <cell r="P189" t="str">
            <v>1pc eco bag+10pcs PE bag+carton</v>
          </cell>
          <cell r="Q189" t="str">
            <v>3km of cable</v>
          </cell>
          <cell r="R189">
            <v>3200</v>
          </cell>
          <cell r="S189" t="str">
            <v>4897108882104</v>
          </cell>
          <cell r="T189" t="str">
            <v>854442 1000</v>
          </cell>
          <cell r="U189">
            <v>0</v>
          </cell>
          <cell r="V189">
            <v>50</v>
          </cell>
          <cell r="W189">
            <v>45</v>
          </cell>
          <cell r="X189">
            <v>55</v>
          </cell>
          <cell r="Y189" t="str">
            <v>T/T 60 days</v>
          </cell>
          <cell r="Z189">
            <v>0.64832051800890333</v>
          </cell>
          <cell r="AA189">
            <v>0.59149983406549811</v>
          </cell>
          <cell r="AB189">
            <v>0.1</v>
          </cell>
          <cell r="AC189">
            <v>0.1</v>
          </cell>
          <cell r="AD189">
            <v>0.28000000000000003</v>
          </cell>
          <cell r="AE189" t="str">
            <v>C</v>
          </cell>
          <cell r="AF189">
            <v>0.59149983406549811</v>
          </cell>
          <cell r="AG189">
            <v>0.28000000000000014</v>
          </cell>
          <cell r="AH189" t="e">
            <v>#N/A</v>
          </cell>
          <cell r="AI189">
            <v>0.50424929178470257</v>
          </cell>
          <cell r="AJ189">
            <v>0.47319986725239843</v>
          </cell>
          <cell r="AK189">
            <v>0.22222222222222221</v>
          </cell>
          <cell r="AL189">
            <v>0.20000000000000007</v>
          </cell>
          <cell r="AM189"/>
          <cell r="AN189" t="str">
            <v>WEKINO/HONTO</v>
          </cell>
          <cell r="AO189">
            <v>2.4E-2</v>
          </cell>
          <cell r="AP189">
            <v>2.9239999999999999</v>
          </cell>
          <cell r="AQ189"/>
          <cell r="AR189">
            <v>0.16</v>
          </cell>
          <cell r="AS189">
            <v>3.044</v>
          </cell>
          <cell r="AT189">
            <v>3.2040000000000002</v>
          </cell>
          <cell r="AU189">
            <v>0.45382436260623232</v>
          </cell>
          <cell r="AV189">
            <v>0.42587988052715858</v>
          </cell>
          <cell r="AW189" t="str">
            <v>7x0.145BC RJ45  OD:4.8±0.3mm</v>
          </cell>
          <cell r="AX189" t="str">
            <v>863690 1100</v>
          </cell>
          <cell r="AZ189">
            <v>1.9716661135516604</v>
          </cell>
          <cell r="BA189">
            <v>1.1829996681309962</v>
          </cell>
          <cell r="BB189">
            <v>0.98583305677583022</v>
          </cell>
          <cell r="BC189">
            <v>0.78866644542066422</v>
          </cell>
        </row>
        <row r="190">
          <cell r="I190" t="str">
            <v>KPUU6ZH2EF</v>
          </cell>
          <cell r="J190" t="str">
            <v>U0404005</v>
          </cell>
          <cell r="K190" t="str">
            <v>CAT6 PATCH CORD U/UTP GREY LSZH 2M</v>
          </cell>
          <cell r="L190" t="str">
            <v>CORDON DE BRASSAGE CAT6 U/UTP GRIS LSZH 2M</v>
          </cell>
          <cell r="M190"/>
          <cell r="N190" t="str">
            <v>China</v>
          </cell>
          <cell r="O190"/>
          <cell r="P190" t="str">
            <v>1pc eco bag+10pcs PE bag+carton</v>
          </cell>
          <cell r="Q190" t="str">
            <v>3km of cable</v>
          </cell>
          <cell r="R190">
            <v>2240</v>
          </cell>
          <cell r="S190" t="str">
            <v>4897108882111</v>
          </cell>
          <cell r="T190" t="str">
            <v>854442 1000</v>
          </cell>
          <cell r="U190">
            <v>0</v>
          </cell>
          <cell r="V190">
            <v>50</v>
          </cell>
          <cell r="W190">
            <v>45</v>
          </cell>
          <cell r="X190">
            <v>55</v>
          </cell>
          <cell r="Y190" t="str">
            <v>T/T 60 days</v>
          </cell>
          <cell r="Z190">
            <v>0.94212869283690837</v>
          </cell>
          <cell r="AA190">
            <v>0.85848957814024351</v>
          </cell>
          <cell r="AB190">
            <v>0.1</v>
          </cell>
          <cell r="AC190">
            <v>0.1</v>
          </cell>
          <cell r="AD190">
            <v>0.28000000000000003</v>
          </cell>
          <cell r="AE190" t="str">
            <v>C</v>
          </cell>
          <cell r="AF190">
            <v>0.85848957814024351</v>
          </cell>
          <cell r="AG190">
            <v>0.28000000000000003</v>
          </cell>
          <cell r="AH190" t="e">
            <v>#N/A</v>
          </cell>
          <cell r="AI190">
            <v>0.73276676109537309</v>
          </cell>
          <cell r="AJ190">
            <v>0.68679166251219481</v>
          </cell>
          <cell r="AK190">
            <v>0.22222222222222232</v>
          </cell>
          <cell r="AL190">
            <v>0.19999999999999996</v>
          </cell>
          <cell r="AM190"/>
          <cell r="AN190" t="str">
            <v>WEKINO/HONTO</v>
          </cell>
          <cell r="AO190">
            <v>4.7E-2</v>
          </cell>
          <cell r="AP190">
            <v>4.2610000000000001</v>
          </cell>
          <cell r="AQ190"/>
          <cell r="AR190">
            <v>0.16</v>
          </cell>
          <cell r="AS190">
            <v>4.4960000000000004</v>
          </cell>
          <cell r="AT190">
            <v>4.6560000000000006</v>
          </cell>
          <cell r="AU190">
            <v>0.65949008498583583</v>
          </cell>
          <cell r="AV190">
            <v>0.61811249626097531</v>
          </cell>
          <cell r="AW190" t="str">
            <v>7x0.145BC RJ45  OD:4.8±0.3mm</v>
          </cell>
          <cell r="AX190" t="str">
            <v>863690 1100</v>
          </cell>
          <cell r="AZ190">
            <v>2.861631927134145</v>
          </cell>
          <cell r="BA190">
            <v>1.716979156280487</v>
          </cell>
          <cell r="BB190">
            <v>1.4308159635670725</v>
          </cell>
          <cell r="BC190">
            <v>1.144652770853658</v>
          </cell>
        </row>
        <row r="191">
          <cell r="I191" t="str">
            <v>KPUU6ZH3EF</v>
          </cell>
          <cell r="J191" t="str">
            <v>U0404006</v>
          </cell>
          <cell r="K191" t="str">
            <v>CAT6 PATCH CORD U/UTP GREY LSZH 3M</v>
          </cell>
          <cell r="L191" t="str">
            <v>CORDON DE BRASSAGE CAT6 U/UTP GRIS LSZH 3M</v>
          </cell>
          <cell r="M191"/>
          <cell r="N191" t="str">
            <v>China</v>
          </cell>
          <cell r="O191"/>
          <cell r="P191" t="str">
            <v>1pc eco bag+10pcs PE bag+carton</v>
          </cell>
          <cell r="Q191" t="str">
            <v>3km of cable</v>
          </cell>
          <cell r="R191">
            <v>1600</v>
          </cell>
          <cell r="S191" t="str">
            <v>4897108882128</v>
          </cell>
          <cell r="T191" t="str">
            <v>854442 1000</v>
          </cell>
          <cell r="U191">
            <v>0</v>
          </cell>
          <cell r="V191">
            <v>50</v>
          </cell>
          <cell r="W191">
            <v>45</v>
          </cell>
          <cell r="X191">
            <v>55</v>
          </cell>
          <cell r="Y191" t="str">
            <v>T/T 60 days</v>
          </cell>
          <cell r="Z191">
            <v>1.236948603804128</v>
          </cell>
          <cell r="AA191">
            <v>1.132535051525229</v>
          </cell>
          <cell r="AB191">
            <v>0.1</v>
          </cell>
          <cell r="AC191">
            <v>0.1</v>
          </cell>
          <cell r="AD191">
            <v>0.28000000000000003</v>
          </cell>
          <cell r="AE191" t="str">
            <v>C</v>
          </cell>
          <cell r="AF191">
            <v>1.132535051525229</v>
          </cell>
          <cell r="AG191">
            <v>0.28000000000000003</v>
          </cell>
          <cell r="AH191" t="e">
            <v>#N/A</v>
          </cell>
          <cell r="AI191">
            <v>0.9620711362920995</v>
          </cell>
          <cell r="AJ191">
            <v>0.9060280412201831</v>
          </cell>
          <cell r="AK191">
            <v>0.22222222222222221</v>
          </cell>
          <cell r="AL191">
            <v>0.20000000000000007</v>
          </cell>
          <cell r="AM191"/>
          <cell r="AN191" t="str">
            <v>WEKINO/HONTO</v>
          </cell>
          <cell r="AO191">
            <v>7.0000000000000007E-2</v>
          </cell>
          <cell r="AP191">
            <v>5.6029999999999998</v>
          </cell>
          <cell r="AQ191"/>
          <cell r="AR191">
            <v>0.16</v>
          </cell>
          <cell r="AS191">
            <v>5.9529999999999994</v>
          </cell>
          <cell r="AT191">
            <v>6.1129999999999995</v>
          </cell>
          <cell r="AU191">
            <v>0.86586402266288953</v>
          </cell>
          <cell r="AV191">
            <v>0.81542523709816483</v>
          </cell>
          <cell r="AW191" t="str">
            <v>7x0.145BC RJ45  OD:4.8±0.3mm</v>
          </cell>
          <cell r="AX191" t="str">
            <v>863690 1100</v>
          </cell>
          <cell r="AZ191">
            <v>3.7751168384174303</v>
          </cell>
          <cell r="BA191">
            <v>2.2650701030504581</v>
          </cell>
          <cell r="BB191">
            <v>1.8875584192087151</v>
          </cell>
          <cell r="BC191">
            <v>1.5100467353669722</v>
          </cell>
        </row>
        <row r="192">
          <cell r="I192" t="str">
            <v>KPUU6ZH5EF</v>
          </cell>
          <cell r="J192" t="str">
            <v>U0404007</v>
          </cell>
          <cell r="K192" t="str">
            <v>CAT6 PATCH CORD U/UTP GREY LSZH 5M</v>
          </cell>
          <cell r="L192" t="str">
            <v>CORDON DE BRASSAGE CAT6 U/UTP GRIS LSZH 5M</v>
          </cell>
          <cell r="M192"/>
          <cell r="N192" t="str">
            <v>China</v>
          </cell>
          <cell r="O192"/>
          <cell r="P192" t="str">
            <v>1pc eco bag+10pcs PE bag+carton</v>
          </cell>
          <cell r="Q192" t="str">
            <v>3km of cable</v>
          </cell>
          <cell r="R192">
            <v>960</v>
          </cell>
          <cell r="S192" t="str">
            <v>4897108882135</v>
          </cell>
          <cell r="T192" t="str">
            <v>854442 1000</v>
          </cell>
          <cell r="U192">
            <v>0</v>
          </cell>
          <cell r="V192">
            <v>50</v>
          </cell>
          <cell r="W192">
            <v>45</v>
          </cell>
          <cell r="X192">
            <v>55</v>
          </cell>
          <cell r="Y192" t="str">
            <v>T/T 60 days</v>
          </cell>
          <cell r="Z192">
            <v>1.8328611898017002</v>
          </cell>
          <cell r="AA192">
            <v>1.694196255468426</v>
          </cell>
          <cell r="AB192">
            <v>0.1</v>
          </cell>
          <cell r="AC192">
            <v>0.1</v>
          </cell>
          <cell r="AD192">
            <v>0.28000000000000003</v>
          </cell>
          <cell r="AE192" t="str">
            <v>C</v>
          </cell>
          <cell r="AF192">
            <v>1.694196255468426</v>
          </cell>
          <cell r="AG192">
            <v>0.28000000000000003</v>
          </cell>
          <cell r="AH192" t="e">
            <v>#N/A</v>
          </cell>
          <cell r="AI192">
            <v>1.4255587031790999</v>
          </cell>
          <cell r="AJ192">
            <v>1.3553570043747407</v>
          </cell>
          <cell r="AK192">
            <v>0.22222222222222232</v>
          </cell>
          <cell r="AL192">
            <v>0.20000000000000007</v>
          </cell>
          <cell r="AM192"/>
          <cell r="AN192" t="str">
            <v>WEKINO/HONTO</v>
          </cell>
          <cell r="AO192">
            <v>0.11700000000000001</v>
          </cell>
          <cell r="AP192">
            <v>8.3130000000000006</v>
          </cell>
          <cell r="AQ192"/>
          <cell r="AR192">
            <v>0.16</v>
          </cell>
          <cell r="AS192">
            <v>8.8980000000000015</v>
          </cell>
          <cell r="AT192">
            <v>9.0580000000000016</v>
          </cell>
          <cell r="AU192">
            <v>1.28300283286119</v>
          </cell>
          <cell r="AV192">
            <v>1.2198213039372667</v>
          </cell>
          <cell r="AW192" t="str">
            <v>7x0.145BC RJ45  OD:4.8±0.3mm</v>
          </cell>
          <cell r="AX192" t="str">
            <v>863690 1100</v>
          </cell>
          <cell r="AZ192">
            <v>5.6473208515614202</v>
          </cell>
          <cell r="BA192">
            <v>3.388392510936852</v>
          </cell>
          <cell r="BB192">
            <v>2.8236604257807101</v>
          </cell>
          <cell r="BC192">
            <v>2.2589283406245682</v>
          </cell>
        </row>
        <row r="193">
          <cell r="I193" t="str">
            <v>KPUU6ZH10EF</v>
          </cell>
          <cell r="J193" t="str">
            <v>U0404003</v>
          </cell>
          <cell r="K193" t="str">
            <v>CAT6 PATCH CORD U/UTP GREY LSZH 10M</v>
          </cell>
          <cell r="L193" t="str">
            <v>CORDON DE BRASSAGE CAT6 U/UTP GRIS LSZH 10M</v>
          </cell>
          <cell r="M193"/>
          <cell r="N193" t="str">
            <v>China</v>
          </cell>
          <cell r="O193"/>
          <cell r="P193" t="str">
            <v>1pc eco bag+10pcs PE bag+carton</v>
          </cell>
          <cell r="Q193" t="str">
            <v>3km of cable</v>
          </cell>
          <cell r="R193">
            <v>640</v>
          </cell>
          <cell r="S193" t="str">
            <v>4897108882142</v>
          </cell>
          <cell r="T193" t="str">
            <v>854442 1000</v>
          </cell>
          <cell r="U193">
            <v>0</v>
          </cell>
          <cell r="V193">
            <v>50</v>
          </cell>
          <cell r="W193">
            <v>45</v>
          </cell>
          <cell r="X193">
            <v>55</v>
          </cell>
          <cell r="Y193" t="str">
            <v>T/T 60 days</v>
          </cell>
          <cell r="Z193">
            <v>3.264467826790773</v>
          </cell>
          <cell r="AA193">
            <v>2.9768296844849536</v>
          </cell>
          <cell r="AB193">
            <v>0.1</v>
          </cell>
          <cell r="AC193">
            <v>0.1</v>
          </cell>
          <cell r="AD193">
            <v>0.28000000000000003</v>
          </cell>
          <cell r="AE193" t="str">
            <v>C</v>
          </cell>
          <cell r="AF193">
            <v>2.9768296844849536</v>
          </cell>
          <cell r="AG193">
            <v>0.28000000000000003</v>
          </cell>
          <cell r="AH193" t="e">
            <v>#N/A</v>
          </cell>
          <cell r="AI193">
            <v>2.5390305319483786</v>
          </cell>
          <cell r="AJ193">
            <v>2.3814637475879628</v>
          </cell>
          <cell r="AK193">
            <v>0.22222222222222232</v>
          </cell>
          <cell r="AL193">
            <v>0.20000000000000007</v>
          </cell>
          <cell r="AM193"/>
          <cell r="AN193" t="str">
            <v>WEKINO/HONTO</v>
          </cell>
          <cell r="AO193">
            <v>0.23300000000000001</v>
          </cell>
          <cell r="AP193">
            <v>14.808</v>
          </cell>
          <cell r="AQ193"/>
          <cell r="AR193">
            <v>0.16</v>
          </cell>
          <cell r="AS193">
            <v>15.972999999999999</v>
          </cell>
          <cell r="AT193">
            <v>16.132999999999999</v>
          </cell>
          <cell r="AU193">
            <v>2.2851274787535409</v>
          </cell>
          <cell r="AV193">
            <v>2.1433173728291663</v>
          </cell>
          <cell r="AW193" t="str">
            <v>7x0.145BC RJ45  OD:4.8±0.3mm</v>
          </cell>
          <cell r="AX193" t="str">
            <v>863690 1100</v>
          </cell>
          <cell r="AZ193">
            <v>9.9227656149498458</v>
          </cell>
          <cell r="BA193">
            <v>5.9536593689699071</v>
          </cell>
          <cell r="BB193">
            <v>4.9613828074749229</v>
          </cell>
          <cell r="BC193">
            <v>3.9691062459799387</v>
          </cell>
        </row>
        <row r="194">
          <cell r="I194" t="str">
            <v>KPUU6ZHSL03EF</v>
          </cell>
          <cell r="J194" t="str">
            <v>U0404008</v>
          </cell>
          <cell r="K194" t="str">
            <v>CAT6 PATCH CORD U/UTP GREY LSZH SLIM 0.3M</v>
          </cell>
          <cell r="L194" t="str">
            <v>CORDON DE BRASSAGE CAT6 U/UTP GRIS LSZH SLIM 0,3M</v>
          </cell>
          <cell r="M194" t="str">
            <v>Slim</v>
          </cell>
          <cell r="N194" t="str">
            <v>China</v>
          </cell>
          <cell r="O194"/>
          <cell r="P194" t="str">
            <v>1pc eco bag+10pcs PE bag+carton</v>
          </cell>
          <cell r="Q194" t="str">
            <v>3km of cable</v>
          </cell>
          <cell r="R194">
            <v>4800</v>
          </cell>
          <cell r="S194" t="e">
            <v>#N/A</v>
          </cell>
          <cell r="T194" t="str">
            <v>854442 1000</v>
          </cell>
          <cell r="U194">
            <v>0</v>
          </cell>
          <cell r="V194">
            <v>50</v>
          </cell>
          <cell r="W194">
            <v>45</v>
          </cell>
          <cell r="X194">
            <v>55</v>
          </cell>
          <cell r="Y194" t="str">
            <v>T/T 60 days</v>
          </cell>
          <cell r="Z194">
            <v>0.4936677220463257</v>
          </cell>
          <cell r="AA194">
            <v>0.44677314822960845</v>
          </cell>
          <cell r="AB194">
            <v>0.1</v>
          </cell>
          <cell r="AC194">
            <v>0.1</v>
          </cell>
          <cell r="AD194">
            <v>0.3</v>
          </cell>
          <cell r="AE194" t="str">
            <v>C</v>
          </cell>
          <cell r="AF194">
            <v>0.44677314822960845</v>
          </cell>
          <cell r="AG194">
            <v>0.30000000000000004</v>
          </cell>
          <cell r="AH194" t="e">
            <v>#N/A</v>
          </cell>
          <cell r="AI194">
            <v>0.37299338999055714</v>
          </cell>
          <cell r="AJ194">
            <v>0.34749022640080657</v>
          </cell>
          <cell r="AK194">
            <v>0.24444444444444458</v>
          </cell>
          <cell r="AL194">
            <v>0.22222222222222221</v>
          </cell>
          <cell r="AM194"/>
          <cell r="AN194" t="str">
            <v>WEKINO/HONTO</v>
          </cell>
          <cell r="AO194">
            <v>4.0000000000000001E-3</v>
          </cell>
          <cell r="AP194">
            <v>2.19</v>
          </cell>
          <cell r="AQ194"/>
          <cell r="AR194">
            <v>0.16</v>
          </cell>
          <cell r="AS194">
            <v>2.21</v>
          </cell>
          <cell r="AT194">
            <v>2.37</v>
          </cell>
          <cell r="AU194">
            <v>0.33569405099150146</v>
          </cell>
          <cell r="AV194">
            <v>0.31274120376072589</v>
          </cell>
          <cell r="AW194" t="str">
            <v>7x0.127BC RJ45  OD:3.8±0.3mm</v>
          </cell>
          <cell r="AX194" t="str">
            <v>863690 1100</v>
          </cell>
          <cell r="AZ194">
            <v>1.4892438274320283</v>
          </cell>
          <cell r="BA194">
            <v>0.89354629645921702</v>
          </cell>
          <cell r="BB194">
            <v>0.74462191371601416</v>
          </cell>
          <cell r="BC194">
            <v>0.59569753097281131</v>
          </cell>
        </row>
        <row r="195">
          <cell r="I195" t="str">
            <v>KPUU6ZHSL05EF</v>
          </cell>
          <cell r="J195" t="str">
            <v>U0404009</v>
          </cell>
          <cell r="K195" t="str">
            <v>CAT6 PATCH CORD U/UTP GREY LSZH SLIM 0.5M</v>
          </cell>
          <cell r="L195" t="str">
            <v>CORDON DE BRASSAGE CAT6 U/UTP GRIS LSZH SLIM 0,5M</v>
          </cell>
          <cell r="M195" t="str">
            <v>Slim</v>
          </cell>
          <cell r="N195" t="str">
            <v>China</v>
          </cell>
          <cell r="O195"/>
          <cell r="P195" t="str">
            <v>1pc eco bag+10pcs PE bag+carton</v>
          </cell>
          <cell r="Q195" t="str">
            <v>3km of cable</v>
          </cell>
          <cell r="R195">
            <v>4800</v>
          </cell>
          <cell r="S195" t="e">
            <v>#N/A</v>
          </cell>
          <cell r="T195" t="str">
            <v>854442 1000</v>
          </cell>
          <cell r="U195">
            <v>0</v>
          </cell>
          <cell r="V195">
            <v>50</v>
          </cell>
          <cell r="W195">
            <v>45</v>
          </cell>
          <cell r="X195">
            <v>55</v>
          </cell>
          <cell r="Y195" t="str">
            <v>T/T 60 days</v>
          </cell>
          <cell r="Z195">
            <v>0.54803366105649065</v>
          </cell>
          <cell r="AA195">
            <v>0.49269717124440621</v>
          </cell>
          <cell r="AB195">
            <v>0.1</v>
          </cell>
          <cell r="AC195">
            <v>0.1</v>
          </cell>
          <cell r="AD195">
            <v>0.3</v>
          </cell>
          <cell r="AE195" t="str">
            <v>C</v>
          </cell>
          <cell r="AF195">
            <v>0.49269717124440621</v>
          </cell>
          <cell r="AG195">
            <v>0.30000000000000004</v>
          </cell>
          <cell r="AH195" t="e">
            <v>#N/A</v>
          </cell>
          <cell r="AI195">
            <v>0.41406987724268179</v>
          </cell>
          <cell r="AJ195">
            <v>0.38320891096787146</v>
          </cell>
          <cell r="AK195">
            <v>0.24444444444444446</v>
          </cell>
          <cell r="AL195">
            <v>0.22222222222222232</v>
          </cell>
          <cell r="AM195"/>
          <cell r="AN195" t="str">
            <v>WEKINO/HONTO</v>
          </cell>
          <cell r="AO195">
            <v>7.0000000000000001E-3</v>
          </cell>
          <cell r="AP195">
            <v>2.4359999999999999</v>
          </cell>
          <cell r="AQ195"/>
          <cell r="AR195">
            <v>0.16</v>
          </cell>
          <cell r="AS195">
            <v>2.4710000000000001</v>
          </cell>
          <cell r="AT195">
            <v>2.6310000000000002</v>
          </cell>
          <cell r="AU195">
            <v>0.37266288951841364</v>
          </cell>
          <cell r="AV195">
            <v>0.34488801987108431</v>
          </cell>
          <cell r="AW195" t="str">
            <v>7x0.127BC RJ45  OD:3.8±0.3mm</v>
          </cell>
          <cell r="AX195" t="str">
            <v>863690 1100</v>
          </cell>
          <cell r="AZ195">
            <v>1.6423239041480207</v>
          </cell>
          <cell r="BA195">
            <v>0.9853943424888123</v>
          </cell>
          <cell r="BB195">
            <v>0.82116195207401033</v>
          </cell>
          <cell r="BC195">
            <v>0.65692956165920835</v>
          </cell>
        </row>
        <row r="196">
          <cell r="I196" t="str">
            <v>KPUU6ZHSL1EF</v>
          </cell>
          <cell r="J196" t="str">
            <v>U0404011</v>
          </cell>
          <cell r="K196" t="str">
            <v>CAT6 PATCH CORD U/UTP GREY LSZH SLIM 1M</v>
          </cell>
          <cell r="L196" t="str">
            <v>CORDON DE BRASSAGE CAT6 U/UTP GRIS LSZH SLIM 1M</v>
          </cell>
          <cell r="M196" t="str">
            <v>Slim</v>
          </cell>
          <cell r="N196" t="str">
            <v>China</v>
          </cell>
          <cell r="O196"/>
          <cell r="P196" t="str">
            <v>1pc eco bag+10pcs PE bag+carton</v>
          </cell>
          <cell r="Q196" t="str">
            <v>3km of cable</v>
          </cell>
          <cell r="R196">
            <v>3200</v>
          </cell>
          <cell r="S196" t="e">
            <v>#N/A</v>
          </cell>
          <cell r="T196" t="str">
            <v>854442 1000</v>
          </cell>
          <cell r="U196">
            <v>0</v>
          </cell>
          <cell r="V196">
            <v>50</v>
          </cell>
          <cell r="W196">
            <v>45</v>
          </cell>
          <cell r="X196">
            <v>55</v>
          </cell>
          <cell r="Y196" t="str">
            <v>T/T 60 days</v>
          </cell>
          <cell r="Z196">
            <v>0.67947008831861366</v>
          </cell>
          <cell r="AA196">
            <v>0.61860516777224506</v>
          </cell>
          <cell r="AB196">
            <v>0.1</v>
          </cell>
          <cell r="AC196">
            <v>0.1</v>
          </cell>
          <cell r="AD196">
            <v>0.3</v>
          </cell>
          <cell r="AE196" t="str">
            <v>C</v>
          </cell>
          <cell r="AF196">
            <v>0.61860516777224506</v>
          </cell>
          <cell r="AG196">
            <v>0.29999999999999993</v>
          </cell>
          <cell r="AH196" t="e">
            <v>#N/A</v>
          </cell>
          <cell r="AI196">
            <v>0.51337740006295252</v>
          </cell>
          <cell r="AJ196">
            <v>0.48113735271174618</v>
          </cell>
          <cell r="AK196">
            <v>0.24444444444444446</v>
          </cell>
          <cell r="AL196">
            <v>0.22222222222222221</v>
          </cell>
          <cell r="AM196"/>
          <cell r="AN196" t="str">
            <v>WEKINO/HONTO</v>
          </cell>
          <cell r="AO196">
            <v>1.4E-2</v>
          </cell>
          <cell r="AP196">
            <v>3.032</v>
          </cell>
          <cell r="AQ196"/>
          <cell r="AR196">
            <v>0.16</v>
          </cell>
          <cell r="AS196">
            <v>3.1019999999999999</v>
          </cell>
          <cell r="AT196">
            <v>3.262</v>
          </cell>
          <cell r="AU196">
            <v>0.46203966005665725</v>
          </cell>
          <cell r="AV196">
            <v>0.43302361744057155</v>
          </cell>
          <cell r="AW196" t="str">
            <v>7x0.127BC RJ45  OD:3.8±0.3mm</v>
          </cell>
          <cell r="AX196" t="str">
            <v>863690 1100</v>
          </cell>
          <cell r="AZ196">
            <v>2.0620172259074838</v>
          </cell>
          <cell r="BA196">
            <v>1.2372103355444903</v>
          </cell>
          <cell r="BB196">
            <v>1.0310086129537419</v>
          </cell>
          <cell r="BC196">
            <v>0.82480689036299359</v>
          </cell>
        </row>
        <row r="197">
          <cell r="I197" t="str">
            <v>KPUU6ZHSL2EF</v>
          </cell>
          <cell r="J197" t="str">
            <v>U0404012</v>
          </cell>
          <cell r="K197" t="str">
            <v>CAT6 PATCH CORD U/UTP GREY LSZH SLIM 2M</v>
          </cell>
          <cell r="L197" t="str">
            <v>CORDON DE BRASSAGE CAT6 U/UTP GRIS LSZH SLIM 2M</v>
          </cell>
          <cell r="M197" t="str">
            <v>Slim</v>
          </cell>
          <cell r="N197" t="str">
            <v>China</v>
          </cell>
          <cell r="O197"/>
          <cell r="P197" t="str">
            <v>1pc eco bag+10pcs PE bag+carton</v>
          </cell>
          <cell r="Q197" t="str">
            <v>3km of cable</v>
          </cell>
          <cell r="R197">
            <v>2240</v>
          </cell>
          <cell r="S197" t="e">
            <v>#N/A</v>
          </cell>
          <cell r="T197" t="str">
            <v>854442 1000</v>
          </cell>
          <cell r="U197">
            <v>0</v>
          </cell>
          <cell r="V197">
            <v>50</v>
          </cell>
          <cell r="W197">
            <v>45</v>
          </cell>
          <cell r="X197">
            <v>55</v>
          </cell>
          <cell r="Y197" t="str">
            <v>T/T 60 days</v>
          </cell>
          <cell r="Z197">
            <v>0.9535910681553077</v>
          </cell>
          <cell r="AA197">
            <v>0.86929343113030422</v>
          </cell>
          <cell r="AB197">
            <v>0.1</v>
          </cell>
          <cell r="AC197">
            <v>0.1</v>
          </cell>
          <cell r="AD197">
            <v>0.3</v>
          </cell>
          <cell r="AE197" t="str">
            <v>C</v>
          </cell>
          <cell r="AF197">
            <v>0.86929343113030422</v>
          </cell>
          <cell r="AG197">
            <v>0.30000000000000004</v>
          </cell>
          <cell r="AH197" t="e">
            <v>#N/A</v>
          </cell>
          <cell r="AI197">
            <v>0.7204910292728991</v>
          </cell>
          <cell r="AJ197">
            <v>0.6761171131013477</v>
          </cell>
          <cell r="AK197">
            <v>0.24444444444444446</v>
          </cell>
          <cell r="AL197">
            <v>0.22222222222222221</v>
          </cell>
          <cell r="AM197"/>
          <cell r="AN197" t="str">
            <v>WEKINO/HONTO</v>
          </cell>
          <cell r="AO197">
            <v>2.7E-2</v>
          </cell>
          <cell r="AP197">
            <v>4.2830000000000004</v>
          </cell>
          <cell r="AQ197"/>
          <cell r="AR197">
            <v>0.16</v>
          </cell>
          <cell r="AS197">
            <v>4.4180000000000001</v>
          </cell>
          <cell r="AT197">
            <v>4.5780000000000003</v>
          </cell>
          <cell r="AU197">
            <v>0.64844192634560915</v>
          </cell>
          <cell r="AV197">
            <v>0.60850540179121293</v>
          </cell>
          <cell r="AW197" t="str">
            <v>7x0.127BC RJ45  OD:3.8±0.3mm</v>
          </cell>
          <cell r="AX197" t="str">
            <v>863690 1100</v>
          </cell>
          <cell r="AZ197">
            <v>2.8976447704343475</v>
          </cell>
          <cell r="BA197">
            <v>1.7385868622606084</v>
          </cell>
          <cell r="BB197">
            <v>1.4488223852171738</v>
          </cell>
          <cell r="BC197">
            <v>1.1590579081737391</v>
          </cell>
        </row>
        <row r="198">
          <cell r="I198" t="str">
            <v>KPUU6ZHSL3EF</v>
          </cell>
          <cell r="J198" t="str">
            <v>U0404013</v>
          </cell>
          <cell r="K198" t="str">
            <v>CAT6 PATCH CORD U/UTP GREY LSZH SLIM 3M</v>
          </cell>
          <cell r="L198" t="str">
            <v>CORDON DE BRASSAGE CAT6 U/UTP GRIS LSZH SLIM 3M</v>
          </cell>
          <cell r="M198" t="str">
            <v>Slim</v>
          </cell>
          <cell r="N198" t="str">
            <v>China</v>
          </cell>
          <cell r="O198"/>
          <cell r="P198" t="str">
            <v>1pc eco bag+10pcs PE bag+carton</v>
          </cell>
          <cell r="Q198" t="str">
            <v>3km of cable</v>
          </cell>
          <cell r="R198">
            <v>1600</v>
          </cell>
          <cell r="S198" t="e">
            <v>#N/A</v>
          </cell>
          <cell r="T198" t="str">
            <v>854442 1000</v>
          </cell>
          <cell r="U198">
            <v>0</v>
          </cell>
          <cell r="V198">
            <v>50</v>
          </cell>
          <cell r="W198">
            <v>45</v>
          </cell>
          <cell r="X198">
            <v>55</v>
          </cell>
          <cell r="Y198" t="str">
            <v>T/T 60 days</v>
          </cell>
          <cell r="Z198">
            <v>1.2156307282119649</v>
          </cell>
          <cell r="AA198">
            <v>1.1161539070610387</v>
          </cell>
          <cell r="AB198">
            <v>0.1</v>
          </cell>
          <cell r="AC198">
            <v>0.1</v>
          </cell>
          <cell r="AD198">
            <v>0.3</v>
          </cell>
          <cell r="AE198" t="str">
            <v>C</v>
          </cell>
          <cell r="AF198">
            <v>1.1161539070610387</v>
          </cell>
          <cell r="AG198">
            <v>0.29999999999999993</v>
          </cell>
          <cell r="AH198" t="e">
            <v>#N/A</v>
          </cell>
          <cell r="AI198">
            <v>0.91847655020459562</v>
          </cell>
          <cell r="AJ198">
            <v>0.86811970549191897</v>
          </cell>
          <cell r="AK198">
            <v>0.24444444444444458</v>
          </cell>
          <cell r="AL198">
            <v>0.22222222222222221</v>
          </cell>
          <cell r="AM198"/>
          <cell r="AN198" t="str">
            <v>WEKINO/HONTO</v>
          </cell>
          <cell r="AO198">
            <v>4.1000000000000002E-2</v>
          </cell>
          <cell r="AP198">
            <v>5.4710000000000001</v>
          </cell>
          <cell r="AQ198"/>
          <cell r="AR198">
            <v>0.16</v>
          </cell>
          <cell r="AS198">
            <v>5.6760000000000002</v>
          </cell>
          <cell r="AT198">
            <v>5.8360000000000003</v>
          </cell>
          <cell r="AU198">
            <v>0.82662889518413607</v>
          </cell>
          <cell r="AV198">
            <v>0.78130773494272709</v>
          </cell>
          <cell r="AW198" t="str">
            <v>7x0.127BC RJ45  OD:3.8±0.3mm</v>
          </cell>
          <cell r="AX198" t="str">
            <v>863690 1100</v>
          </cell>
          <cell r="AZ198">
            <v>3.7205130235367956</v>
          </cell>
          <cell r="BA198">
            <v>2.2323078141220773</v>
          </cell>
          <cell r="BB198">
            <v>1.8602565117683978</v>
          </cell>
          <cell r="BC198">
            <v>1.4882052094147182</v>
          </cell>
        </row>
        <row r="199">
          <cell r="I199" t="str">
            <v>KPUU6ZHSL5EF</v>
          </cell>
          <cell r="J199" t="str">
            <v>U0404014</v>
          </cell>
          <cell r="K199" t="str">
            <v>CAT6 PATCH CORD U/UTP GREY LSZH SLIM 5M</v>
          </cell>
          <cell r="L199" t="str">
            <v>CORDON DE BRASSAGE CAT6 U/UTP GRIS LSZH SLIM 5M</v>
          </cell>
          <cell r="M199" t="str">
            <v>Slim</v>
          </cell>
          <cell r="N199" t="str">
            <v>China</v>
          </cell>
          <cell r="O199"/>
          <cell r="P199" t="str">
            <v>1pc eco bag+10pcs PE bag+carton</v>
          </cell>
          <cell r="Q199" t="str">
            <v>3km of cable</v>
          </cell>
          <cell r="R199">
            <v>960</v>
          </cell>
          <cell r="S199" t="e">
            <v>#N/A</v>
          </cell>
          <cell r="T199" t="str">
            <v>854442 1000</v>
          </cell>
          <cell r="U199">
            <v>0</v>
          </cell>
          <cell r="V199">
            <v>50</v>
          </cell>
          <cell r="W199">
            <v>45</v>
          </cell>
          <cell r="X199">
            <v>55</v>
          </cell>
          <cell r="Y199" t="str">
            <v>T/T 60 days</v>
          </cell>
          <cell r="Z199">
            <v>1.7559573404432596</v>
          </cell>
          <cell r="AA199">
            <v>1.6321026809541408</v>
          </cell>
          <cell r="AB199">
            <v>0.1</v>
          </cell>
          <cell r="AC199">
            <v>0.1</v>
          </cell>
          <cell r="AD199">
            <v>0.3</v>
          </cell>
          <cell r="AE199" t="str">
            <v>C</v>
          </cell>
          <cell r="AF199">
            <v>1.6321026809541408</v>
          </cell>
          <cell r="AG199">
            <v>0.30000000000000004</v>
          </cell>
          <cell r="AH199" t="e">
            <v>#N/A</v>
          </cell>
          <cell r="AI199">
            <v>1.3267233238904625</v>
          </cell>
          <cell r="AJ199">
            <v>1.2694131962976649</v>
          </cell>
          <cell r="AK199">
            <v>0.24444444444444458</v>
          </cell>
          <cell r="AL199">
            <v>0.22222222222222232</v>
          </cell>
          <cell r="AM199"/>
          <cell r="AN199" t="str">
            <v>WEKINO/HONTO</v>
          </cell>
          <cell r="AO199">
            <v>6.8000000000000005E-2</v>
          </cell>
          <cell r="AP199">
            <v>7.93</v>
          </cell>
          <cell r="AQ199"/>
          <cell r="AR199">
            <v>0.16</v>
          </cell>
          <cell r="AS199">
            <v>8.27</v>
          </cell>
          <cell r="AT199">
            <v>8.43</v>
          </cell>
          <cell r="AU199">
            <v>1.1940509915014164</v>
          </cell>
          <cell r="AV199">
            <v>1.1424718766678985</v>
          </cell>
          <cell r="AW199" t="str">
            <v>7x0.127BC RJ45  OD:3.8±0.3mm</v>
          </cell>
          <cell r="AX199" t="str">
            <v>863690 1100</v>
          </cell>
          <cell r="AZ199">
            <v>5.440342269847136</v>
          </cell>
          <cell r="BA199">
            <v>3.2642053619082816</v>
          </cell>
          <cell r="BB199">
            <v>2.720171134923568</v>
          </cell>
          <cell r="BC199">
            <v>2.1761369079388544</v>
          </cell>
        </row>
        <row r="200">
          <cell r="I200" t="str">
            <v>KPUU6ZHSL10EF</v>
          </cell>
          <cell r="J200" t="str">
            <v>U0404010</v>
          </cell>
          <cell r="K200" t="str">
            <v>CAT6 PATCH CORD U/UTP GREY LSZH SLIM 10M</v>
          </cell>
          <cell r="L200" t="str">
            <v>CORDON DE BRASSAGE CAT6 U/UTP GRIS LSZH SLIM 10M</v>
          </cell>
          <cell r="M200" t="str">
            <v>Slim</v>
          </cell>
          <cell r="N200" t="str">
            <v>China</v>
          </cell>
          <cell r="O200"/>
          <cell r="P200" t="str">
            <v>1pc eco bag+10pcs PE bag+carton</v>
          </cell>
          <cell r="Q200" t="str">
            <v>3km of cable</v>
          </cell>
          <cell r="R200">
            <v>640</v>
          </cell>
          <cell r="S200" t="e">
            <v>#N/A</v>
          </cell>
          <cell r="T200" t="str">
            <v>854442 1000</v>
          </cell>
          <cell r="U200">
            <v>0</v>
          </cell>
          <cell r="V200">
            <v>50</v>
          </cell>
          <cell r="W200">
            <v>45</v>
          </cell>
          <cell r="X200">
            <v>55</v>
          </cell>
          <cell r="Y200" t="str">
            <v>T/T 60 days</v>
          </cell>
          <cell r="Z200">
            <v>2.9963756040659897</v>
          </cell>
          <cell r="AA200">
            <v>2.7543141748631963</v>
          </cell>
          <cell r="AB200">
            <v>0.1</v>
          </cell>
          <cell r="AC200">
            <v>0.1</v>
          </cell>
          <cell r="AD200">
            <v>0.3</v>
          </cell>
          <cell r="AE200" t="str">
            <v>C</v>
          </cell>
          <cell r="AF200">
            <v>2.7543141748631963</v>
          </cell>
          <cell r="AG200">
            <v>0.30000000000000004</v>
          </cell>
          <cell r="AH200" t="e">
            <v>#N/A</v>
          </cell>
          <cell r="AI200">
            <v>2.2639282341831919</v>
          </cell>
          <cell r="AJ200">
            <v>2.1422443582269302</v>
          </cell>
          <cell r="AK200">
            <v>0.24444444444444458</v>
          </cell>
          <cell r="AL200">
            <v>0.22222222222222232</v>
          </cell>
          <cell r="AM200"/>
          <cell r="AN200" t="str">
            <v>WEKINO/HONTO</v>
          </cell>
          <cell r="AO200">
            <v>0.13500000000000001</v>
          </cell>
          <cell r="AP200">
            <v>13.55</v>
          </cell>
          <cell r="AQ200"/>
          <cell r="AR200">
            <v>0.16</v>
          </cell>
          <cell r="AS200">
            <v>14.225000000000001</v>
          </cell>
          <cell r="AT200">
            <v>14.385000000000002</v>
          </cell>
          <cell r="AU200">
            <v>2.0375354107648729</v>
          </cell>
          <cell r="AV200">
            <v>1.9280199224042374</v>
          </cell>
          <cell r="AW200" t="str">
            <v>7x0.127BC RJ45  OD:3.8±0.3mm</v>
          </cell>
          <cell r="AX200" t="str">
            <v>863690 1100</v>
          </cell>
          <cell r="AZ200">
            <v>9.1810472495439885</v>
          </cell>
          <cell r="BA200">
            <v>5.5086283497263926</v>
          </cell>
          <cell r="BB200">
            <v>4.5905236247719943</v>
          </cell>
          <cell r="BC200">
            <v>3.6724188998175955</v>
          </cell>
        </row>
        <row r="201">
          <cell r="I201" t="str">
            <v>KPUU6ZHWH03EF</v>
          </cell>
          <cell r="J201" t="str">
            <v/>
          </cell>
          <cell r="K201" t="str">
            <v>CAT6 PATCH CORD U/UTP WHITE LSZH 0.3M</v>
          </cell>
          <cell r="L201" t="str">
            <v>CORDON DE BRASSAGE CAT6 U/UTP BLANC LSZH 0,3M</v>
          </cell>
          <cell r="M201"/>
          <cell r="N201" t="str">
            <v>China</v>
          </cell>
          <cell r="O201"/>
          <cell r="P201" t="str">
            <v>1pc eco bag+10pcs PE bag+carton</v>
          </cell>
          <cell r="Q201" t="str">
            <v>3km of cable</v>
          </cell>
          <cell r="R201">
            <v>4800</v>
          </cell>
          <cell r="S201"/>
          <cell r="T201" t="str">
            <v>854442 1000</v>
          </cell>
          <cell r="U201">
            <v>0</v>
          </cell>
          <cell r="V201">
            <v>50</v>
          </cell>
          <cell r="W201">
            <v>45</v>
          </cell>
          <cell r="X201">
            <v>55</v>
          </cell>
          <cell r="Y201" t="str">
            <v>T/T 60 days</v>
          </cell>
          <cell r="Z201">
            <v>0.45450758206965519</v>
          </cell>
          <cell r="AA201">
            <v>0.41369377533006069</v>
          </cell>
          <cell r="AB201">
            <v>0.1</v>
          </cell>
          <cell r="AC201">
            <v>0.1</v>
          </cell>
          <cell r="AD201">
            <v>0.3</v>
          </cell>
          <cell r="AE201" t="str">
            <v>C</v>
          </cell>
          <cell r="AF201">
            <v>0.41369377533006069</v>
          </cell>
          <cell r="AG201">
            <v>0.30000000000000004</v>
          </cell>
          <cell r="AH201" t="e">
            <v>#N/A</v>
          </cell>
          <cell r="AI201">
            <v>0.34340572867485053</v>
          </cell>
          <cell r="AJ201">
            <v>0.32176182525671387</v>
          </cell>
          <cell r="AK201">
            <v>0.24444444444444458</v>
          </cell>
          <cell r="AL201">
            <v>0.22222222222222221</v>
          </cell>
          <cell r="AM201"/>
          <cell r="AN201" t="str">
            <v>WEKINO/HONTO</v>
          </cell>
          <cell r="AO201">
            <v>7.0000000000000001E-3</v>
          </cell>
          <cell r="AP201">
            <v>1.9870000000000001</v>
          </cell>
          <cell r="AQ201"/>
          <cell r="AR201">
            <v>0.16</v>
          </cell>
          <cell r="AS201">
            <v>2.0220000000000002</v>
          </cell>
          <cell r="AT201">
            <v>2.1820000000000004</v>
          </cell>
          <cell r="AU201">
            <v>0.30906515580736549</v>
          </cell>
          <cell r="AV201">
            <v>0.28958564273104248</v>
          </cell>
          <cell r="AW201" t="str">
            <v>7x0.145BC RJ45  OD:4.8±0.3mm</v>
          </cell>
          <cell r="AX201" t="str">
            <v>863690 1100</v>
          </cell>
          <cell r="AZ201">
            <v>1.3789792511002024</v>
          </cell>
          <cell r="BA201">
            <v>0.82738755066012137</v>
          </cell>
          <cell r="BB201">
            <v>0.68948962555010118</v>
          </cell>
          <cell r="BC201">
            <v>0.55159170044008099</v>
          </cell>
        </row>
        <row r="202">
          <cell r="I202" t="str">
            <v>KPUU6ZHWH05EF</v>
          </cell>
          <cell r="J202" t="str">
            <v/>
          </cell>
          <cell r="K202" t="str">
            <v>CAT6 PATCH CORD U/UTP WHITE LSZH 0.5M</v>
          </cell>
          <cell r="L202" t="str">
            <v>CORDON DE BRASSAGE CAT6 U/UTP BLANC LSZH 0,5M</v>
          </cell>
          <cell r="M202"/>
          <cell r="N202" t="str">
            <v>China</v>
          </cell>
          <cell r="O202"/>
          <cell r="P202" t="str">
            <v>1pc eco bag+10pcs PE bag+carton</v>
          </cell>
          <cell r="Q202" t="str">
            <v>3km of cable</v>
          </cell>
          <cell r="R202">
            <v>4800</v>
          </cell>
          <cell r="S202"/>
          <cell r="T202" t="str">
            <v>854442 1000</v>
          </cell>
          <cell r="U202">
            <v>0</v>
          </cell>
          <cell r="V202">
            <v>50</v>
          </cell>
          <cell r="W202">
            <v>45</v>
          </cell>
          <cell r="X202">
            <v>55</v>
          </cell>
          <cell r="Y202" t="str">
            <v>T/T 60 days</v>
          </cell>
          <cell r="Z202">
            <v>0.51074820863189485</v>
          </cell>
          <cell r="AA202">
            <v>0.4612013853453687</v>
          </cell>
          <cell r="AB202">
            <v>0.1</v>
          </cell>
          <cell r="AC202">
            <v>0.1</v>
          </cell>
          <cell r="AD202">
            <v>0.3</v>
          </cell>
          <cell r="AE202" t="str">
            <v>C</v>
          </cell>
          <cell r="AF202">
            <v>0.4612013853453687</v>
          </cell>
          <cell r="AG202">
            <v>0.30000000000000004</v>
          </cell>
          <cell r="AH202" t="e">
            <v>#N/A</v>
          </cell>
          <cell r="AI202">
            <v>0.38589864652187605</v>
          </cell>
          <cell r="AJ202">
            <v>0.35871218860195342</v>
          </cell>
          <cell r="AK202">
            <v>0.24444444444444458</v>
          </cell>
          <cell r="AL202">
            <v>0.22222222222222221</v>
          </cell>
          <cell r="AM202"/>
          <cell r="AN202" t="str">
            <v>WEKINO/HONTO</v>
          </cell>
          <cell r="AO202">
            <v>1.2E-2</v>
          </cell>
          <cell r="AP202">
            <v>2.2320000000000002</v>
          </cell>
          <cell r="AQ202"/>
          <cell r="AR202">
            <v>0.16</v>
          </cell>
          <cell r="AS202">
            <v>2.2920000000000003</v>
          </cell>
          <cell r="AT202">
            <v>2.4520000000000004</v>
          </cell>
          <cell r="AU202">
            <v>0.34730878186968844</v>
          </cell>
          <cell r="AV202">
            <v>0.32284096974175808</v>
          </cell>
          <cell r="AW202" t="str">
            <v>7x0.145BC RJ45  OD:4.8±0.3mm</v>
          </cell>
          <cell r="AX202" t="str">
            <v>863690 1100</v>
          </cell>
          <cell r="AZ202">
            <v>1.5373379511512291</v>
          </cell>
          <cell r="BA202">
            <v>0.92240277069073739</v>
          </cell>
          <cell r="BB202">
            <v>0.76866897557561453</v>
          </cell>
          <cell r="BC202">
            <v>0.61493518046049167</v>
          </cell>
        </row>
        <row r="203">
          <cell r="I203" t="str">
            <v>KPUU6ZHWH1EF</v>
          </cell>
          <cell r="J203" t="str">
            <v/>
          </cell>
          <cell r="K203" t="str">
            <v>CAT6 PATCH CORD U/UTP WHITE LSZH 1M</v>
          </cell>
          <cell r="L203" t="str">
            <v>CORDON DE BRASSAGE CAT6 U/UTP BLANC LSZH 1M</v>
          </cell>
          <cell r="M203"/>
          <cell r="N203" t="str">
            <v>China</v>
          </cell>
          <cell r="O203"/>
          <cell r="P203" t="str">
            <v>1pc eco bag+10pcs PE bag+carton</v>
          </cell>
          <cell r="Q203" t="str">
            <v>3km of cable</v>
          </cell>
          <cell r="R203">
            <v>3200</v>
          </cell>
          <cell r="S203"/>
          <cell r="T203" t="str">
            <v>854442 1000</v>
          </cell>
          <cell r="U203">
            <v>0</v>
          </cell>
          <cell r="V203">
            <v>50</v>
          </cell>
          <cell r="W203">
            <v>45</v>
          </cell>
          <cell r="X203">
            <v>55</v>
          </cell>
          <cell r="Y203" t="str">
            <v>T/T 60 days</v>
          </cell>
          <cell r="Z203">
            <v>0.66738876853857698</v>
          </cell>
          <cell r="AA203">
            <v>0.60839982932451231</v>
          </cell>
          <cell r="AB203">
            <v>0.1</v>
          </cell>
          <cell r="AC203">
            <v>0.1</v>
          </cell>
          <cell r="AD203">
            <v>0.3</v>
          </cell>
          <cell r="AE203" t="str">
            <v>C</v>
          </cell>
          <cell r="AF203">
            <v>0.60839982932451231</v>
          </cell>
          <cell r="AG203">
            <v>0.30000000000000004</v>
          </cell>
          <cell r="AH203" t="e">
            <v>#N/A</v>
          </cell>
          <cell r="AI203">
            <v>0.50424929178470257</v>
          </cell>
          <cell r="AJ203">
            <v>0.47319986725239843</v>
          </cell>
          <cell r="AK203">
            <v>0.24444444444444446</v>
          </cell>
          <cell r="AL203">
            <v>0.22222222222222232</v>
          </cell>
          <cell r="AM203"/>
          <cell r="AN203" t="str">
            <v>WEKINO/HONTO</v>
          </cell>
          <cell r="AO203">
            <v>2.4E-2</v>
          </cell>
          <cell r="AP203">
            <v>2.9239999999999999</v>
          </cell>
          <cell r="AQ203"/>
          <cell r="AR203">
            <v>0.16</v>
          </cell>
          <cell r="AS203">
            <v>3.044</v>
          </cell>
          <cell r="AT203">
            <v>3.2040000000000002</v>
          </cell>
          <cell r="AU203">
            <v>0.45382436260623232</v>
          </cell>
          <cell r="AV203">
            <v>0.42587988052715858</v>
          </cell>
          <cell r="AW203" t="str">
            <v>7x0.145BC RJ45  OD:4.8±0.3mm</v>
          </cell>
          <cell r="AX203" t="str">
            <v>863690 1100</v>
          </cell>
          <cell r="AZ203">
            <v>2.027999431081708</v>
          </cell>
          <cell r="BA203">
            <v>1.2167996586490248</v>
          </cell>
          <cell r="BB203">
            <v>1.013999715540854</v>
          </cell>
          <cell r="BC203">
            <v>0.81119977243268326</v>
          </cell>
        </row>
        <row r="204">
          <cell r="I204" t="str">
            <v>KPUU6ZHWH2EF</v>
          </cell>
          <cell r="J204" t="str">
            <v/>
          </cell>
          <cell r="K204" t="str">
            <v>CAT6 PATCH CORD U/UTP WHITE LSZH 2M</v>
          </cell>
          <cell r="L204" t="str">
            <v>CORDON DE BRASSAGE CAT6 U/UTP BLANC LSZH 2M</v>
          </cell>
          <cell r="M204"/>
          <cell r="N204" t="str">
            <v>China</v>
          </cell>
          <cell r="O204"/>
          <cell r="P204" t="str">
            <v>1pc eco bag+10pcs PE bag+carton</v>
          </cell>
          <cell r="Q204" t="str">
            <v>3km of cable</v>
          </cell>
          <cell r="R204">
            <v>2240</v>
          </cell>
          <cell r="S204"/>
          <cell r="T204" t="str">
            <v>854442 1000</v>
          </cell>
          <cell r="U204">
            <v>0</v>
          </cell>
          <cell r="V204">
            <v>50</v>
          </cell>
          <cell r="W204">
            <v>45</v>
          </cell>
          <cell r="X204">
            <v>55</v>
          </cell>
          <cell r="Y204" t="str">
            <v>T/T 60 days</v>
          </cell>
          <cell r="Z204">
            <v>0.96983836027328807</v>
          </cell>
          <cell r="AA204">
            <v>0.88301785180139336</v>
          </cell>
          <cell r="AB204">
            <v>0.1</v>
          </cell>
          <cell r="AC204">
            <v>0.1</v>
          </cell>
          <cell r="AD204">
            <v>0.3</v>
          </cell>
          <cell r="AE204" t="str">
            <v>C</v>
          </cell>
          <cell r="AF204">
            <v>0.88301785180139336</v>
          </cell>
          <cell r="AG204">
            <v>0.30000000000000004</v>
          </cell>
          <cell r="AH204" t="e">
            <v>#N/A</v>
          </cell>
          <cell r="AI204">
            <v>0.73276676109537309</v>
          </cell>
          <cell r="AJ204">
            <v>0.68679166251219481</v>
          </cell>
          <cell r="AK204">
            <v>0.24444444444444458</v>
          </cell>
          <cell r="AL204">
            <v>0.22222222222222221</v>
          </cell>
          <cell r="AM204"/>
          <cell r="AN204" t="str">
            <v>WEKINO/HONTO</v>
          </cell>
          <cell r="AO204">
            <v>4.7E-2</v>
          </cell>
          <cell r="AP204">
            <v>4.2610000000000001</v>
          </cell>
          <cell r="AQ204"/>
          <cell r="AR204">
            <v>0.16</v>
          </cell>
          <cell r="AS204">
            <v>4.4960000000000004</v>
          </cell>
          <cell r="AT204">
            <v>4.6560000000000006</v>
          </cell>
          <cell r="AU204">
            <v>0.65949008498583583</v>
          </cell>
          <cell r="AV204">
            <v>0.61811249626097531</v>
          </cell>
          <cell r="AW204" t="str">
            <v>7x0.145BC RJ45  OD:4.8±0.3mm</v>
          </cell>
          <cell r="AX204" t="str">
            <v>863690 1100</v>
          </cell>
          <cell r="AZ204">
            <v>2.943392839337978</v>
          </cell>
          <cell r="BA204">
            <v>1.7660357036027867</v>
          </cell>
          <cell r="BB204">
            <v>1.471696419668989</v>
          </cell>
          <cell r="BC204">
            <v>1.1773571357351913</v>
          </cell>
        </row>
        <row r="205">
          <cell r="I205" t="str">
            <v>KPUU6ZHWH3EF</v>
          </cell>
          <cell r="J205" t="str">
            <v/>
          </cell>
          <cell r="K205" t="str">
            <v>CAT6 PATCH CORD U/UTP WHITE LSZH 3M</v>
          </cell>
          <cell r="L205" t="str">
            <v>CORDON DE BRASSAGE CAT6 U/UTP BLANC LSZH 3M</v>
          </cell>
          <cell r="M205"/>
          <cell r="N205" t="str">
            <v>China</v>
          </cell>
          <cell r="O205"/>
          <cell r="P205" t="str">
            <v>1pc eco bag+10pcs PE bag+carton</v>
          </cell>
          <cell r="Q205" t="str">
            <v>3km of cable</v>
          </cell>
          <cell r="R205">
            <v>1600</v>
          </cell>
          <cell r="S205"/>
          <cell r="T205" t="str">
            <v>854442 1000</v>
          </cell>
          <cell r="U205">
            <v>0</v>
          </cell>
          <cell r="V205">
            <v>50</v>
          </cell>
          <cell r="W205">
            <v>45</v>
          </cell>
          <cell r="X205">
            <v>55</v>
          </cell>
          <cell r="Y205" t="str">
            <v>T/T 60 days</v>
          </cell>
          <cell r="Z205">
            <v>1.2733294450924848</v>
          </cell>
          <cell r="AA205">
            <v>1.1648931958545212</v>
          </cell>
          <cell r="AB205">
            <v>0.1</v>
          </cell>
          <cell r="AC205">
            <v>0.1</v>
          </cell>
          <cell r="AD205">
            <v>0.3</v>
          </cell>
          <cell r="AE205" t="str">
            <v>C</v>
          </cell>
          <cell r="AF205">
            <v>1.1648931958545212</v>
          </cell>
          <cell r="AG205">
            <v>0.30000000000000004</v>
          </cell>
          <cell r="AH205" t="e">
            <v>#N/A</v>
          </cell>
          <cell r="AI205">
            <v>0.9620711362920995</v>
          </cell>
          <cell r="AJ205">
            <v>0.9060280412201831</v>
          </cell>
          <cell r="AK205">
            <v>0.24444444444444458</v>
          </cell>
          <cell r="AL205">
            <v>0.22222222222222232</v>
          </cell>
          <cell r="AM205"/>
          <cell r="AN205" t="str">
            <v>WEKINO/HONTO</v>
          </cell>
          <cell r="AO205">
            <v>7.0000000000000007E-2</v>
          </cell>
          <cell r="AP205">
            <v>5.6029999999999998</v>
          </cell>
          <cell r="AQ205"/>
          <cell r="AR205">
            <v>0.16</v>
          </cell>
          <cell r="AS205">
            <v>5.9529999999999994</v>
          </cell>
          <cell r="AT205">
            <v>6.1129999999999995</v>
          </cell>
          <cell r="AU205">
            <v>0.86586402266288953</v>
          </cell>
          <cell r="AV205">
            <v>0.81542523709816483</v>
          </cell>
          <cell r="AW205" t="str">
            <v>7x0.145BC RJ45  OD:4.8±0.3mm</v>
          </cell>
          <cell r="AX205" t="str">
            <v>863690 1100</v>
          </cell>
          <cell r="AZ205">
            <v>3.8829773195150707</v>
          </cell>
          <cell r="BA205">
            <v>2.3297863917090424</v>
          </cell>
          <cell r="BB205">
            <v>1.9414886597575354</v>
          </cell>
          <cell r="BC205">
            <v>1.5531909278060283</v>
          </cell>
        </row>
        <row r="206">
          <cell r="I206" t="str">
            <v>KPUU6ZHWH5EF</v>
          </cell>
          <cell r="J206" t="str">
            <v/>
          </cell>
          <cell r="K206" t="str">
            <v>CAT6 PATCH CORD U/UTP WHITE LSZH 5M</v>
          </cell>
          <cell r="L206" t="str">
            <v>CORDON DE BRASSAGE CAT6 U/UTP BLANC LSZH 5M</v>
          </cell>
          <cell r="M206"/>
          <cell r="N206" t="str">
            <v>China</v>
          </cell>
          <cell r="O206"/>
          <cell r="P206" t="str">
            <v>1pc eco bag+10pcs PE bag+carton</v>
          </cell>
          <cell r="Q206" t="str">
            <v>3km of cable</v>
          </cell>
          <cell r="R206">
            <v>960</v>
          </cell>
          <cell r="S206"/>
          <cell r="T206" t="str">
            <v>854442 1000</v>
          </cell>
          <cell r="U206">
            <v>0</v>
          </cell>
          <cell r="V206">
            <v>50</v>
          </cell>
          <cell r="W206">
            <v>45</v>
          </cell>
          <cell r="X206">
            <v>55</v>
          </cell>
          <cell r="Y206" t="str">
            <v>T/T 60 days</v>
          </cell>
          <cell r="Z206">
            <v>1.8867688718546913</v>
          </cell>
          <cell r="AA206">
            <v>1.7426018627675239</v>
          </cell>
          <cell r="AB206">
            <v>0.1</v>
          </cell>
          <cell r="AC206">
            <v>0.1</v>
          </cell>
          <cell r="AD206">
            <v>0.3</v>
          </cell>
          <cell r="AE206" t="str">
            <v>C</v>
          </cell>
          <cell r="AF206">
            <v>1.7426018627675239</v>
          </cell>
          <cell r="AG206">
            <v>0.30000000000000004</v>
          </cell>
          <cell r="AH206" t="e">
            <v>#N/A</v>
          </cell>
          <cell r="AI206">
            <v>1.4255587031790999</v>
          </cell>
          <cell r="AJ206">
            <v>1.3553570043747407</v>
          </cell>
          <cell r="AK206">
            <v>0.24444444444444458</v>
          </cell>
          <cell r="AL206">
            <v>0.22222222222222232</v>
          </cell>
          <cell r="AM206"/>
          <cell r="AN206" t="str">
            <v>WEKINO/HONTO</v>
          </cell>
          <cell r="AO206">
            <v>0.11700000000000001</v>
          </cell>
          <cell r="AP206">
            <v>8.3130000000000006</v>
          </cell>
          <cell r="AQ206"/>
          <cell r="AR206">
            <v>0.16</v>
          </cell>
          <cell r="AS206">
            <v>8.8980000000000015</v>
          </cell>
          <cell r="AT206">
            <v>9.0580000000000016</v>
          </cell>
          <cell r="AU206">
            <v>1.28300283286119</v>
          </cell>
          <cell r="AV206">
            <v>1.2198213039372667</v>
          </cell>
          <cell r="AW206" t="str">
            <v>7x0.145BC RJ45  OD:4.8±0.3mm</v>
          </cell>
          <cell r="AX206" t="str">
            <v>863690 1100</v>
          </cell>
          <cell r="AZ206">
            <v>5.8086728758917463</v>
          </cell>
          <cell r="BA206">
            <v>3.4852037255350479</v>
          </cell>
          <cell r="BB206">
            <v>2.9043364379458732</v>
          </cell>
          <cell r="BC206">
            <v>2.3234691503566984</v>
          </cell>
        </row>
        <row r="207">
          <cell r="I207" t="str">
            <v>KPUU6ZHWH10EF</v>
          </cell>
          <cell r="J207" t="str">
            <v/>
          </cell>
          <cell r="K207" t="str">
            <v>CAT6 PATCH CORD U/UTP WHITE LSZH 10M</v>
          </cell>
          <cell r="L207" t="str">
            <v>CORDON DE BRASSAGE CAT6 U/UTP BLANC LSZH 10M</v>
          </cell>
          <cell r="M207"/>
          <cell r="N207" t="str">
            <v>China</v>
          </cell>
          <cell r="O207"/>
          <cell r="P207" t="str">
            <v>1pc eco bag+10pcs PE bag+carton</v>
          </cell>
          <cell r="Q207" t="str">
            <v>3km of cable</v>
          </cell>
          <cell r="R207">
            <v>640</v>
          </cell>
          <cell r="S207"/>
          <cell r="T207" t="str">
            <v>854442 1000</v>
          </cell>
          <cell r="U207">
            <v>0</v>
          </cell>
          <cell r="V207">
            <v>50</v>
          </cell>
          <cell r="W207">
            <v>45</v>
          </cell>
          <cell r="X207">
            <v>55</v>
          </cell>
          <cell r="Y207" t="str">
            <v>T/T 60 days</v>
          </cell>
          <cell r="Z207">
            <v>3.3604815864022664</v>
          </cell>
          <cell r="AA207">
            <v>3.0618819611845236</v>
          </cell>
          <cell r="AB207">
            <v>0.1</v>
          </cell>
          <cell r="AC207">
            <v>0.1</v>
          </cell>
          <cell r="AD207">
            <v>0.3</v>
          </cell>
          <cell r="AE207" t="str">
            <v>C</v>
          </cell>
          <cell r="AF207">
            <v>3.0618819611845236</v>
          </cell>
          <cell r="AG207">
            <v>0.30000000000000004</v>
          </cell>
          <cell r="AH207" t="e">
            <v>#N/A</v>
          </cell>
          <cell r="AI207">
            <v>2.5390305319483786</v>
          </cell>
          <cell r="AJ207">
            <v>2.3814637475879628</v>
          </cell>
          <cell r="AK207">
            <v>0.24444444444444458</v>
          </cell>
          <cell r="AL207">
            <v>0.22222222222222221</v>
          </cell>
          <cell r="AM207"/>
          <cell r="AN207" t="str">
            <v>WEKINO/HONTO</v>
          </cell>
          <cell r="AO207">
            <v>0.23300000000000001</v>
          </cell>
          <cell r="AP207">
            <v>14.808</v>
          </cell>
          <cell r="AQ207"/>
          <cell r="AR207">
            <v>0.16</v>
          </cell>
          <cell r="AS207">
            <v>15.972999999999999</v>
          </cell>
          <cell r="AT207">
            <v>16.132999999999999</v>
          </cell>
          <cell r="AU207">
            <v>2.2851274787535409</v>
          </cell>
          <cell r="AV207">
            <v>2.1433173728291663</v>
          </cell>
          <cell r="AW207" t="str">
            <v>7x0.145BC RJ45  OD:4.8±0.3mm</v>
          </cell>
          <cell r="AX207" t="str">
            <v>863690 1100</v>
          </cell>
          <cell r="AZ207">
            <v>10.206273203948413</v>
          </cell>
          <cell r="BA207">
            <v>6.1237639223690481</v>
          </cell>
          <cell r="BB207">
            <v>5.1031366019742066</v>
          </cell>
          <cell r="BC207">
            <v>4.0825092815793651</v>
          </cell>
        </row>
        <row r="208">
          <cell r="I208" t="str">
            <v>KPSF6AZH03EF</v>
          </cell>
          <cell r="J208" t="str">
            <v>U0405001</v>
          </cell>
          <cell r="K208" t="str">
            <v>CAT6A PATCH CORD S/FTP GREY LSZH 0.3M</v>
          </cell>
          <cell r="L208" t="str">
            <v>CORDON DE BRASSAGE CAT6A S/FTP GRIS LSZH 0,3M</v>
          </cell>
          <cell r="M208"/>
          <cell r="N208" t="str">
            <v>China</v>
          </cell>
          <cell r="O208"/>
          <cell r="P208" t="str">
            <v>1pc eco bag+10pcs PE bag+carton</v>
          </cell>
          <cell r="Q208" t="str">
            <v>3km of cable</v>
          </cell>
          <cell r="R208">
            <v>4800</v>
          </cell>
          <cell r="S208" t="str">
            <v>4897108882227</v>
          </cell>
          <cell r="T208" t="str">
            <v>854442 1000</v>
          </cell>
          <cell r="U208">
            <v>0</v>
          </cell>
          <cell r="V208">
            <v>50</v>
          </cell>
          <cell r="W208">
            <v>45</v>
          </cell>
          <cell r="X208">
            <v>55</v>
          </cell>
          <cell r="Y208" t="str">
            <v>T/T 60 days</v>
          </cell>
          <cell r="Z208">
            <v>0.62012495634289266</v>
          </cell>
          <cell r="AA208">
            <v>0.55263716111726957</v>
          </cell>
          <cell r="AB208">
            <v>0.1</v>
          </cell>
          <cell r="AC208">
            <v>0.1</v>
          </cell>
          <cell r="AD208">
            <v>0.25</v>
          </cell>
          <cell r="AE208" t="str">
            <v>C</v>
          </cell>
          <cell r="AF208">
            <v>0.55263716111726957</v>
          </cell>
          <cell r="AG208">
            <v>0.25</v>
          </cell>
          <cell r="AH208">
            <v>0.52</v>
          </cell>
          <cell r="AI208">
            <v>0.50299024236701295</v>
          </cell>
          <cell r="AJ208">
            <v>0.46053096759772461</v>
          </cell>
          <cell r="AK208">
            <v>0.18888888888888888</v>
          </cell>
          <cell r="AL208">
            <v>0.16666666666666674</v>
          </cell>
          <cell r="AM208"/>
          <cell r="AN208" t="str">
            <v>HONTO</v>
          </cell>
          <cell r="AO208">
            <v>8.0000000000000002E-3</v>
          </cell>
          <cell r="AP208">
            <v>2.996</v>
          </cell>
          <cell r="AQ208"/>
          <cell r="AR208">
            <v>0.16</v>
          </cell>
          <cell r="AS208">
            <v>3.036</v>
          </cell>
          <cell r="AT208">
            <v>3.1960000000000002</v>
          </cell>
          <cell r="AU208">
            <v>0.45269121813031166</v>
          </cell>
          <cell r="AV208">
            <v>0.41447787083795218</v>
          </cell>
          <cell r="AW208" t="str">
            <v>7x0.145BC RJ45  OD:6.2±0.3mm</v>
          </cell>
          <cell r="AX208" t="str">
            <v>863690 1100</v>
          </cell>
          <cell r="AZ208">
            <v>1.8421238703908986</v>
          </cell>
          <cell r="BA208">
            <v>1.1052743222345391</v>
          </cell>
          <cell r="BB208">
            <v>0.92106193519544932</v>
          </cell>
          <cell r="BC208">
            <v>0.7368495481563595</v>
          </cell>
        </row>
        <row r="209">
          <cell r="I209" t="str">
            <v>KPSF6AZH05EF</v>
          </cell>
          <cell r="J209" t="str">
            <v>U0405002</v>
          </cell>
          <cell r="K209" t="str">
            <v>CAT6A PATCH CORD S/FTP GREY LSZH 0.5M</v>
          </cell>
          <cell r="L209" t="str">
            <v>CORDON DE BRASSAGE CAT6A S/FTP GRIS LSZH 0,5M</v>
          </cell>
          <cell r="M209"/>
          <cell r="N209" t="str">
            <v>China</v>
          </cell>
          <cell r="O209"/>
          <cell r="P209" t="str">
            <v>1pc eco bag+10pcs PE bag+carton</v>
          </cell>
          <cell r="Q209" t="str">
            <v>3km of cable</v>
          </cell>
          <cell r="R209">
            <v>4800</v>
          </cell>
          <cell r="S209" t="str">
            <v>4897108882234</v>
          </cell>
          <cell r="T209" t="str">
            <v>854442 1000</v>
          </cell>
          <cell r="U209">
            <v>0</v>
          </cell>
          <cell r="V209">
            <v>50</v>
          </cell>
          <cell r="W209">
            <v>45</v>
          </cell>
          <cell r="X209">
            <v>55</v>
          </cell>
          <cell r="Y209" t="str">
            <v>T/T 60 days</v>
          </cell>
          <cell r="Z209">
            <v>0.70258838138849011</v>
          </cell>
          <cell r="AA209">
            <v>0.62243229188049987</v>
          </cell>
          <cell r="AB209">
            <v>0.1</v>
          </cell>
          <cell r="AC209">
            <v>0.1</v>
          </cell>
          <cell r="AD209">
            <v>0.25</v>
          </cell>
          <cell r="AE209" t="str">
            <v>C</v>
          </cell>
          <cell r="AF209">
            <v>0.62243229188049987</v>
          </cell>
          <cell r="AG209">
            <v>0.25</v>
          </cell>
          <cell r="AH209">
            <v>0.59</v>
          </cell>
          <cell r="AI209">
            <v>0.56987724268177531</v>
          </cell>
          <cell r="AJ209">
            <v>0.51869357656708326</v>
          </cell>
          <cell r="AK209">
            <v>0.18888888888888888</v>
          </cell>
          <cell r="AL209">
            <v>0.16666666666666663</v>
          </cell>
          <cell r="AM209"/>
          <cell r="AN209" t="str">
            <v>HONTO</v>
          </cell>
          <cell r="AO209">
            <v>1.2999999999999999E-2</v>
          </cell>
          <cell r="AP209">
            <v>3.3959999999999999</v>
          </cell>
          <cell r="AQ209"/>
          <cell r="AR209">
            <v>0.16</v>
          </cell>
          <cell r="AS209">
            <v>3.4609999999999999</v>
          </cell>
          <cell r="AT209">
            <v>3.621</v>
          </cell>
          <cell r="AU209">
            <v>0.51288951841359776</v>
          </cell>
          <cell r="AV209">
            <v>0.4668242189103749</v>
          </cell>
          <cell r="AW209" t="str">
            <v>7x0.145BC RJ45  OD:6.2±0.3mm</v>
          </cell>
          <cell r="AX209" t="str">
            <v>863690 1100</v>
          </cell>
          <cell r="AZ209">
            <v>2.074774306268333</v>
          </cell>
          <cell r="BA209">
            <v>1.2448645837609997</v>
          </cell>
          <cell r="BB209">
            <v>1.0373871531341665</v>
          </cell>
          <cell r="BC209">
            <v>0.8299097225073333</v>
          </cell>
        </row>
        <row r="210">
          <cell r="I210" t="str">
            <v>KPSF6AZH1EF</v>
          </cell>
          <cell r="J210" t="str">
            <v>U0405005</v>
          </cell>
          <cell r="K210" t="str">
            <v>CAT6A PATCH CORD S/FTP GREY LSZH 1M</v>
          </cell>
          <cell r="L210" t="str">
            <v>CORDON DE BRASSAGE CAT6A S/FTP GRIS LSZH 1M</v>
          </cell>
          <cell r="M210"/>
          <cell r="N210" t="str">
            <v>China</v>
          </cell>
          <cell r="O210"/>
          <cell r="P210" t="str">
            <v>1pc eco bag+10pcs PE bag+carton</v>
          </cell>
          <cell r="Q210" t="str">
            <v>3km of cable</v>
          </cell>
          <cell r="R210">
            <v>3200</v>
          </cell>
          <cell r="S210" t="str">
            <v>4897108882241</v>
          </cell>
          <cell r="T210" t="str">
            <v>854442 1000</v>
          </cell>
          <cell r="U210">
            <v>0</v>
          </cell>
          <cell r="V210">
            <v>50</v>
          </cell>
          <cell r="W210">
            <v>45</v>
          </cell>
          <cell r="X210">
            <v>55</v>
          </cell>
          <cell r="Y210" t="str">
            <v>T/T 60 days</v>
          </cell>
          <cell r="Z210">
            <v>0.91582909697698789</v>
          </cell>
          <cell r="AA210">
            <v>0.81680317773124778</v>
          </cell>
          <cell r="AB210">
            <v>0.1</v>
          </cell>
          <cell r="AC210">
            <v>0.1</v>
          </cell>
          <cell r="AD210">
            <v>0.25</v>
          </cell>
          <cell r="AE210" t="str">
            <v>C</v>
          </cell>
          <cell r="AF210">
            <v>0.81680317773124778</v>
          </cell>
          <cell r="AG210">
            <v>0.25</v>
          </cell>
          <cell r="AH210">
            <v>0.75</v>
          </cell>
          <cell r="AI210">
            <v>0.74283915643689014</v>
          </cell>
          <cell r="AJ210">
            <v>0.68066931477603987</v>
          </cell>
          <cell r="AK210">
            <v>0.18888888888888888</v>
          </cell>
          <cell r="AL210">
            <v>0.16666666666666663</v>
          </cell>
          <cell r="AM210"/>
          <cell r="AN210" t="str">
            <v>HONTO</v>
          </cell>
          <cell r="AO210">
            <v>2.5999999999999999E-2</v>
          </cell>
          <cell r="AP210">
            <v>4.43</v>
          </cell>
          <cell r="AQ210"/>
          <cell r="AR210">
            <v>0.16</v>
          </cell>
          <cell r="AS210">
            <v>4.5599999999999996</v>
          </cell>
          <cell r="AT210">
            <v>4.72</v>
          </cell>
          <cell r="AU210">
            <v>0.66855524079320117</v>
          </cell>
          <cell r="AV210">
            <v>0.61260238329843586</v>
          </cell>
          <cell r="AW210" t="str">
            <v>7x0.145BC RJ45  OD:6.2±0.3mm</v>
          </cell>
          <cell r="AX210" t="str">
            <v>863690 1100</v>
          </cell>
          <cell r="AZ210">
            <v>2.7226772591041595</v>
          </cell>
          <cell r="BA210">
            <v>1.6336063554624956</v>
          </cell>
          <cell r="BB210">
            <v>1.3613386295520797</v>
          </cell>
          <cell r="BC210">
            <v>1.0890709036416639</v>
          </cell>
        </row>
        <row r="211">
          <cell r="I211" t="str">
            <v>KPSF6AZH2EF</v>
          </cell>
          <cell r="J211" t="str">
            <v>U0405007</v>
          </cell>
          <cell r="K211" t="str">
            <v>CAT6A PATCH CORD S/FTP GREY LSZH 2M</v>
          </cell>
          <cell r="L211" t="str">
            <v>CORDON DE BRASSAGE CAT6A S/FTP GRIS LSZH 2M</v>
          </cell>
          <cell r="M211"/>
          <cell r="N211" t="str">
            <v>China</v>
          </cell>
          <cell r="O211"/>
          <cell r="P211" t="str">
            <v>1pc eco bag+10pcs PE bag+carton</v>
          </cell>
          <cell r="Q211" t="str">
            <v>3km of cable</v>
          </cell>
          <cell r="R211">
            <v>2240</v>
          </cell>
          <cell r="S211" t="str">
            <v>4897108882258</v>
          </cell>
          <cell r="T211" t="str">
            <v>854442 1000</v>
          </cell>
          <cell r="U211">
            <v>0</v>
          </cell>
          <cell r="V211">
            <v>50</v>
          </cell>
          <cell r="W211">
            <v>45</v>
          </cell>
          <cell r="X211">
            <v>55</v>
          </cell>
          <cell r="Y211" t="str">
            <v>T/T 60 days</v>
          </cell>
          <cell r="Z211">
            <v>1.3343552330319377</v>
          </cell>
          <cell r="AA211">
            <v>1.1888911371914206</v>
          </cell>
          <cell r="AB211">
            <v>0.1</v>
          </cell>
          <cell r="AC211">
            <v>0.1</v>
          </cell>
          <cell r="AD211">
            <v>0.25</v>
          </cell>
          <cell r="AE211" t="str">
            <v>C</v>
          </cell>
          <cell r="AF211">
            <v>1.1888911371914206</v>
          </cell>
          <cell r="AG211">
            <v>0.25</v>
          </cell>
          <cell r="AH211">
            <v>1.05</v>
          </cell>
          <cell r="AI211">
            <v>1.0823103556814604</v>
          </cell>
          <cell r="AJ211">
            <v>0.99074261432618371</v>
          </cell>
          <cell r="AK211">
            <v>0.18888888888888899</v>
          </cell>
          <cell r="AL211">
            <v>0.16666666666666674</v>
          </cell>
          <cell r="AM211"/>
          <cell r="AN211" t="str">
            <v>HONTO</v>
          </cell>
          <cell r="AO211">
            <v>5.0999999999999997E-2</v>
          </cell>
          <cell r="AP211">
            <v>6.4619999999999997</v>
          </cell>
          <cell r="AQ211"/>
          <cell r="AR211">
            <v>0.16</v>
          </cell>
          <cell r="AS211">
            <v>6.7169999999999996</v>
          </cell>
          <cell r="AT211">
            <v>6.8769999999999998</v>
          </cell>
          <cell r="AU211">
            <v>0.97407932011331444</v>
          </cell>
          <cell r="AV211">
            <v>0.89166835289356539</v>
          </cell>
          <cell r="AW211" t="str">
            <v>7x0.145BC RJ45  OD:6.2±0.3mm</v>
          </cell>
          <cell r="AX211" t="str">
            <v>863690 1100</v>
          </cell>
          <cell r="AZ211">
            <v>3.9629704573047353</v>
          </cell>
          <cell r="BA211">
            <v>2.3777822743828412</v>
          </cell>
          <cell r="BB211">
            <v>1.9814852286523676</v>
          </cell>
          <cell r="BC211">
            <v>1.5851881829218941</v>
          </cell>
        </row>
        <row r="212">
          <cell r="I212" t="str">
            <v>KPSF6AZH3EF</v>
          </cell>
          <cell r="J212" t="str">
            <v>U0405008</v>
          </cell>
          <cell r="K212" t="str">
            <v>CAT6A PATCH CORD S/FTP GREY LSZH 3M</v>
          </cell>
          <cell r="L212" t="str">
            <v>CORDON DE BRASSAGE CAT6A S/FTP GRIS LSZH 3M</v>
          </cell>
          <cell r="M212"/>
          <cell r="N212" t="str">
            <v>China</v>
          </cell>
          <cell r="O212"/>
          <cell r="P212" t="str">
            <v>1pc eco bag+10pcs PE bag+carton</v>
          </cell>
          <cell r="Q212" t="str">
            <v>3km of cable</v>
          </cell>
          <cell r="R212">
            <v>1600</v>
          </cell>
          <cell r="S212" t="str">
            <v>4897108882265</v>
          </cell>
          <cell r="T212" t="str">
            <v>854442 1000</v>
          </cell>
          <cell r="U212">
            <v>0</v>
          </cell>
          <cell r="V212">
            <v>50</v>
          </cell>
          <cell r="W212">
            <v>45</v>
          </cell>
          <cell r="X212">
            <v>55</v>
          </cell>
          <cell r="Y212" t="str">
            <v>T/T 60 days</v>
          </cell>
          <cell r="Z212">
            <v>1.751329116380147</v>
          </cell>
          <cell r="AA212">
            <v>1.5656176869072551</v>
          </cell>
          <cell r="AB212">
            <v>0.1</v>
          </cell>
          <cell r="AC212">
            <v>0.1</v>
          </cell>
          <cell r="AD212">
            <v>0.25</v>
          </cell>
          <cell r="AE212" t="str">
            <v>C</v>
          </cell>
          <cell r="AF212">
            <v>1.5656176869072551</v>
          </cell>
          <cell r="AG212">
            <v>0.25</v>
          </cell>
          <cell r="AH212">
            <v>1.36</v>
          </cell>
          <cell r="AI212">
            <v>1.4205225055083415</v>
          </cell>
          <cell r="AJ212">
            <v>1.3046814057560459</v>
          </cell>
          <cell r="AK212">
            <v>0.18888888888888888</v>
          </cell>
          <cell r="AL212">
            <v>0.16666666666666674</v>
          </cell>
          <cell r="AM212"/>
          <cell r="AN212" t="str">
            <v>HONTO</v>
          </cell>
          <cell r="AO212">
            <v>7.5999999999999998E-2</v>
          </cell>
          <cell r="AP212">
            <v>8.4860000000000007</v>
          </cell>
          <cell r="AQ212"/>
          <cell r="AR212">
            <v>0.16</v>
          </cell>
          <cell r="AS212">
            <v>8.8660000000000014</v>
          </cell>
          <cell r="AT212">
            <v>9.0260000000000016</v>
          </cell>
          <cell r="AU212">
            <v>1.2784702549575073</v>
          </cell>
          <cell r="AV212">
            <v>1.1742132651804413</v>
          </cell>
          <cell r="AW212" t="str">
            <v>7x0.145BC RJ45  OD:6.2±0.3mm</v>
          </cell>
          <cell r="AX212" t="str">
            <v>863690 1100</v>
          </cell>
          <cell r="AZ212">
            <v>5.2187256230241843</v>
          </cell>
          <cell r="BA212">
            <v>3.1312353738145107</v>
          </cell>
          <cell r="BB212">
            <v>2.6093628115120922</v>
          </cell>
          <cell r="BC212">
            <v>2.0874902492096736</v>
          </cell>
        </row>
        <row r="213">
          <cell r="I213" t="str">
            <v>KPSF6AZH5EF</v>
          </cell>
          <cell r="J213" t="str">
            <v>U0405009</v>
          </cell>
          <cell r="K213" t="str">
            <v>CAT6A PATCH CORD S/FTP GREY LSZH 5M</v>
          </cell>
          <cell r="L213" t="str">
            <v>CORDON DE BRASSAGE CAT6A S/FTP GRIS LSZH 5M</v>
          </cell>
          <cell r="M213"/>
          <cell r="N213" t="str">
            <v>China</v>
          </cell>
          <cell r="O213"/>
          <cell r="P213" t="str">
            <v>1pc eco bag+10pcs PE bag+carton</v>
          </cell>
          <cell r="Q213" t="str">
            <v>3km of cable</v>
          </cell>
          <cell r="R213">
            <v>960</v>
          </cell>
          <cell r="S213" t="str">
            <v>4897108882272</v>
          </cell>
          <cell r="T213" t="str">
            <v>854442 1000</v>
          </cell>
          <cell r="U213">
            <v>0</v>
          </cell>
          <cell r="V213">
            <v>50</v>
          </cell>
          <cell r="W213">
            <v>45</v>
          </cell>
          <cell r="X213">
            <v>55</v>
          </cell>
          <cell r="Y213" t="str">
            <v>T/T 60 days</v>
          </cell>
          <cell r="Z213">
            <v>2.5988590942605461</v>
          </cell>
          <cell r="AA213">
            <v>2.3385029628717278</v>
          </cell>
          <cell r="AB213">
            <v>0.1</v>
          </cell>
          <cell r="AC213">
            <v>0.1</v>
          </cell>
          <cell r="AD213">
            <v>0.25</v>
          </cell>
          <cell r="AE213" t="str">
            <v>C</v>
          </cell>
          <cell r="AF213">
            <v>2.3385029628717278</v>
          </cell>
          <cell r="AG213">
            <v>0.25</v>
          </cell>
          <cell r="AH213">
            <v>2.04</v>
          </cell>
          <cell r="AI213">
            <v>2.1079634875668871</v>
          </cell>
          <cell r="AJ213">
            <v>1.9487524690597733</v>
          </cell>
          <cell r="AK213">
            <v>0.18888888888888899</v>
          </cell>
          <cell r="AL213">
            <v>0.16666666666666663</v>
          </cell>
          <cell r="AM213"/>
          <cell r="AN213" t="str">
            <v>HONTO</v>
          </cell>
          <cell r="AO213">
            <v>0.126</v>
          </cell>
          <cell r="AP213">
            <v>12.603999999999999</v>
          </cell>
          <cell r="AQ213"/>
          <cell r="AR213">
            <v>0.16</v>
          </cell>
          <cell r="AS213">
            <v>13.234</v>
          </cell>
          <cell r="AT213">
            <v>13.394</v>
          </cell>
          <cell r="AU213">
            <v>1.8971671388101985</v>
          </cell>
          <cell r="AV213">
            <v>1.7538772221537959</v>
          </cell>
          <cell r="AW213" t="str">
            <v>7x0.145BC RJ45  OD:6.2±0.3mm</v>
          </cell>
          <cell r="AX213" t="str">
            <v>863690 1100</v>
          </cell>
          <cell r="AZ213">
            <v>7.7950098762390931</v>
          </cell>
          <cell r="BA213">
            <v>4.6770059257434555</v>
          </cell>
          <cell r="BB213">
            <v>3.8975049381195466</v>
          </cell>
          <cell r="BC213">
            <v>3.1180039504956376</v>
          </cell>
        </row>
        <row r="214">
          <cell r="I214" t="str">
            <v>KPSF6AZH10EF</v>
          </cell>
          <cell r="J214" t="str">
            <v>U0405003</v>
          </cell>
          <cell r="K214" t="str">
            <v>CAT6A PATCH CORD S/FTP GREY LSZH 10M</v>
          </cell>
          <cell r="L214" t="str">
            <v>CORDON DE BRASSAGE CAT6A S/FTP GRIS LSZH 10M</v>
          </cell>
          <cell r="M214"/>
          <cell r="N214" t="str">
            <v>China</v>
          </cell>
          <cell r="O214"/>
          <cell r="P214" t="str">
            <v>1pc eco bag+10pcs PE bag+carton</v>
          </cell>
          <cell r="Q214" t="str">
            <v>3km of cable</v>
          </cell>
          <cell r="R214">
            <v>640</v>
          </cell>
          <cell r="S214" t="e">
            <v>#N/A</v>
          </cell>
          <cell r="T214" t="str">
            <v>854442 1000</v>
          </cell>
          <cell r="U214">
            <v>0</v>
          </cell>
          <cell r="V214">
            <v>50</v>
          </cell>
          <cell r="W214">
            <v>45</v>
          </cell>
          <cell r="X214">
            <v>55</v>
          </cell>
          <cell r="Y214" t="str">
            <v>T/T 60 days</v>
          </cell>
          <cell r="Z214">
            <v>4.6416236563312507</v>
          </cell>
          <cell r="AA214">
            <v>4.136895964199204</v>
          </cell>
          <cell r="AB214">
            <v>0.1</v>
          </cell>
          <cell r="AC214">
            <v>0.1</v>
          </cell>
          <cell r="AD214">
            <v>0.25</v>
          </cell>
          <cell r="AE214" t="str">
            <v>C</v>
          </cell>
          <cell r="AF214">
            <v>4.136895964199204</v>
          </cell>
          <cell r="AG214">
            <v>0.25</v>
          </cell>
          <cell r="AH214">
            <v>3.93</v>
          </cell>
          <cell r="AI214">
            <v>3.7648725212464589</v>
          </cell>
          <cell r="AJ214">
            <v>3.4474133034993368</v>
          </cell>
          <cell r="AK214">
            <v>0.18888888888888888</v>
          </cell>
          <cell r="AL214">
            <v>0.16666666666666663</v>
          </cell>
          <cell r="AM214"/>
          <cell r="AN214" t="str">
            <v>HONTO</v>
          </cell>
          <cell r="AO214">
            <v>0.252</v>
          </cell>
          <cell r="AP214">
            <v>22.501999999999999</v>
          </cell>
          <cell r="AQ214"/>
          <cell r="AR214">
            <v>0.16</v>
          </cell>
          <cell r="AS214">
            <v>23.762</v>
          </cell>
          <cell r="AT214">
            <v>23.922000000000001</v>
          </cell>
          <cell r="AU214">
            <v>3.3883852691218133</v>
          </cell>
          <cell r="AV214">
            <v>3.1026719731494032</v>
          </cell>
          <cell r="AW214" t="str">
            <v>7x0.145BC RJ45  OD:6.2±0.3mm</v>
          </cell>
          <cell r="AX214" t="str">
            <v>863690 1100</v>
          </cell>
          <cell r="AZ214">
            <v>13.789653213997347</v>
          </cell>
          <cell r="BA214">
            <v>8.273791928398408</v>
          </cell>
          <cell r="BB214">
            <v>6.8948266069986737</v>
          </cell>
          <cell r="BC214">
            <v>5.5158612855989393</v>
          </cell>
        </row>
        <row r="215">
          <cell r="I215" t="str">
            <v>KPSF6AZH03EF</v>
          </cell>
          <cell r="J215" t="str">
            <v>U0405001</v>
          </cell>
          <cell r="K215" t="str">
            <v>CAT6A PATCH CORD S/FTP GREY LSZH 0.3M</v>
          </cell>
          <cell r="L215" t="str">
            <v>CORDON DE BRASSAGE CAT6A S/FTP GRIS LSZH 0,3M</v>
          </cell>
          <cell r="M215"/>
          <cell r="N215" t="str">
            <v>China</v>
          </cell>
          <cell r="O215"/>
          <cell r="P215" t="str">
            <v>1pc eco bag+10pcs PE bag+carton</v>
          </cell>
          <cell r="Q215" t="str">
            <v>3km of cable</v>
          </cell>
          <cell r="R215">
            <v>3200</v>
          </cell>
          <cell r="S215" t="str">
            <v>4897108882227</v>
          </cell>
          <cell r="T215" t="str">
            <v>854442 1000</v>
          </cell>
          <cell r="U215">
            <v>0</v>
          </cell>
          <cell r="V215">
            <v>50</v>
          </cell>
          <cell r="W215">
            <v>45</v>
          </cell>
          <cell r="X215">
            <v>55</v>
          </cell>
          <cell r="Y215" t="str">
            <v>T/T 60 days</v>
          </cell>
          <cell r="Z215">
            <v>0.5633346823148524</v>
          </cell>
          <cell r="AA215">
            <v>0.51965190533864336</v>
          </cell>
          <cell r="AB215">
            <v>0.1</v>
          </cell>
          <cell r="AC215">
            <v>0.1</v>
          </cell>
          <cell r="AD215">
            <v>0.28000000000000003</v>
          </cell>
          <cell r="AE215" t="str">
            <v>C</v>
          </cell>
          <cell r="AF215">
            <v>0.51965190533864336</v>
          </cell>
          <cell r="AG215">
            <v>0.28000000000000003</v>
          </cell>
          <cell r="AH215">
            <v>0.52</v>
          </cell>
          <cell r="AI215">
            <v>0.43814919735599622</v>
          </cell>
          <cell r="AJ215">
            <v>0.41572152427091463</v>
          </cell>
          <cell r="AK215">
            <v>0.22222222222222232</v>
          </cell>
          <cell r="AL215">
            <v>0.20000000000000007</v>
          </cell>
          <cell r="AM215"/>
          <cell r="AN215" t="str">
            <v>HONTO</v>
          </cell>
          <cell r="AO215">
            <v>7.0000000000000001E-3</v>
          </cell>
          <cell r="AP215">
            <v>2.589</v>
          </cell>
          <cell r="AQ215"/>
          <cell r="AR215">
            <v>0.16</v>
          </cell>
          <cell r="AS215">
            <v>2.6240000000000001</v>
          </cell>
          <cell r="AT215">
            <v>2.7840000000000003</v>
          </cell>
          <cell r="AU215">
            <v>0.39433427762039663</v>
          </cell>
          <cell r="AV215">
            <v>0.37414937184382319</v>
          </cell>
          <cell r="AW215" t="str">
            <v>7x0.135BC RJ45  OD:5.5±0.3mm</v>
          </cell>
          <cell r="AX215" t="str">
            <v>863690 1100</v>
          </cell>
          <cell r="AZ215">
            <v>1.7321730177954779</v>
          </cell>
          <cell r="BA215">
            <v>1.0393038106772867</v>
          </cell>
          <cell r="BB215">
            <v>0.86608650889773897</v>
          </cell>
          <cell r="BC215">
            <v>0.69286920711819122</v>
          </cell>
        </row>
        <row r="216">
          <cell r="I216" t="str">
            <v>KPSF6AZH05EF</v>
          </cell>
          <cell r="J216" t="str">
            <v>U0405002</v>
          </cell>
          <cell r="K216" t="str">
            <v>CAT6A PATCH CORD S/FTP GREY LSZH 0.5M</v>
          </cell>
          <cell r="L216" t="str">
            <v>CORDON DE BRASSAGE CAT6A S/FTP GRIS LSZH 0,5M</v>
          </cell>
          <cell r="M216"/>
          <cell r="N216" t="str">
            <v>China</v>
          </cell>
          <cell r="O216"/>
          <cell r="P216" t="str">
            <v>1pc eco bag+10pcs PE bag+carton</v>
          </cell>
          <cell r="Q216" t="str">
            <v>3km of cable</v>
          </cell>
          <cell r="R216">
            <v>2560</v>
          </cell>
          <cell r="S216" t="str">
            <v>4897108882234</v>
          </cell>
          <cell r="T216" t="str">
            <v>854442 1000</v>
          </cell>
          <cell r="U216">
            <v>0</v>
          </cell>
          <cell r="V216">
            <v>50</v>
          </cell>
          <cell r="W216">
            <v>45</v>
          </cell>
          <cell r="X216">
            <v>55</v>
          </cell>
          <cell r="Y216" t="str">
            <v>T/T 60 days</v>
          </cell>
          <cell r="Z216">
            <v>0.64204775394577107</v>
          </cell>
          <cell r="AA216">
            <v>0.59704746710391277</v>
          </cell>
          <cell r="AB216">
            <v>0.1</v>
          </cell>
          <cell r="AC216">
            <v>0.1</v>
          </cell>
          <cell r="AD216">
            <v>0.28000000000000003</v>
          </cell>
          <cell r="AE216" t="str">
            <v>C</v>
          </cell>
          <cell r="AF216">
            <v>0.59704746710391277</v>
          </cell>
          <cell r="AG216">
            <v>0.28000000000000003</v>
          </cell>
          <cell r="AH216">
            <v>0.59</v>
          </cell>
          <cell r="AI216">
            <v>0.49937047529115519</v>
          </cell>
          <cell r="AJ216">
            <v>0.47763797368313016</v>
          </cell>
          <cell r="AK216">
            <v>0.22222222222222232</v>
          </cell>
          <cell r="AL216">
            <v>0.20000000000000007</v>
          </cell>
          <cell r="AM216"/>
          <cell r="AN216" t="str">
            <v>HONTO</v>
          </cell>
          <cell r="AO216">
            <v>1.2E-2</v>
          </cell>
          <cell r="AP216">
            <v>2.9529999999999998</v>
          </cell>
          <cell r="AQ216"/>
          <cell r="AR216">
            <v>0.16</v>
          </cell>
          <cell r="AS216">
            <v>3.0129999999999999</v>
          </cell>
          <cell r="AT216">
            <v>3.173</v>
          </cell>
          <cell r="AU216">
            <v>0.44943342776203971</v>
          </cell>
          <cell r="AV216">
            <v>0.42987417631481717</v>
          </cell>
          <cell r="AW216" t="str">
            <v>7x0.135BC RJ45  OD:5.5±0.3mm</v>
          </cell>
          <cell r="AX216" t="str">
            <v>863690 1100</v>
          </cell>
          <cell r="AZ216">
            <v>1.9901582236797093</v>
          </cell>
          <cell r="BA216">
            <v>1.1940949342078255</v>
          </cell>
          <cell r="BB216">
            <v>0.99507911183985465</v>
          </cell>
          <cell r="BC216">
            <v>0.79606328947188376</v>
          </cell>
        </row>
        <row r="217">
          <cell r="I217" t="str">
            <v>KPSF6AZH1EF</v>
          </cell>
          <cell r="J217" t="str">
            <v>U0405005</v>
          </cell>
          <cell r="K217" t="str">
            <v>CAT6A PATCH CORD S/FTP GREY LSZH 1M</v>
          </cell>
          <cell r="L217" t="str">
            <v>CORDON DE BRASSAGE CAT6A S/FTP GRIS LSZH 1M</v>
          </cell>
          <cell r="M217"/>
          <cell r="N217" t="str">
            <v>China</v>
          </cell>
          <cell r="O217"/>
          <cell r="P217" t="str">
            <v>1pc eco bag+10pcs PE bag+carton</v>
          </cell>
          <cell r="Q217" t="str">
            <v>3km of cable</v>
          </cell>
          <cell r="R217">
            <v>1600</v>
          </cell>
          <cell r="S217" t="str">
            <v>4897108882241</v>
          </cell>
          <cell r="T217" t="str">
            <v>854442 1000</v>
          </cell>
          <cell r="U217">
            <v>0</v>
          </cell>
          <cell r="V217">
            <v>50</v>
          </cell>
          <cell r="W217">
            <v>45</v>
          </cell>
          <cell r="X217">
            <v>55</v>
          </cell>
          <cell r="Y217" t="str">
            <v>T/T 60 days</v>
          </cell>
          <cell r="Z217">
            <v>0.78781470693851507</v>
          </cell>
          <cell r="AA217">
            <v>0.75190404041256198</v>
          </cell>
          <cell r="AB217">
            <v>0.1</v>
          </cell>
          <cell r="AC217">
            <v>0.1</v>
          </cell>
          <cell r="AD217">
            <v>0.27</v>
          </cell>
          <cell r="AE217" t="str">
            <v>C</v>
          </cell>
          <cell r="AF217">
            <v>0.75190404041256198</v>
          </cell>
          <cell r="AG217">
            <v>0.27</v>
          </cell>
          <cell r="AH217">
            <v>0.75</v>
          </cell>
          <cell r="AI217">
            <v>0.62149826880705072</v>
          </cell>
          <cell r="AJ217">
            <v>0.60987772166796683</v>
          </cell>
          <cell r="AK217">
            <v>0.21111111111111114</v>
          </cell>
          <cell r="AL217">
            <v>0.18888888888888899</v>
          </cell>
          <cell r="AM217"/>
          <cell r="AN217" t="str">
            <v>HONTO</v>
          </cell>
          <cell r="AO217">
            <v>2.4E-2</v>
          </cell>
          <cell r="AP217">
            <v>3.669</v>
          </cell>
          <cell r="AQ217"/>
          <cell r="AR217">
            <v>0.16</v>
          </cell>
          <cell r="AS217">
            <v>3.7890000000000001</v>
          </cell>
          <cell r="AT217">
            <v>3.9490000000000003</v>
          </cell>
          <cell r="AU217">
            <v>0.5593484419263457</v>
          </cell>
          <cell r="AV217">
            <v>0.5488899495011702</v>
          </cell>
          <cell r="AW217" t="str">
            <v>7x0.135BC RJ45  OD:5.5±0.3mm</v>
          </cell>
          <cell r="AX217" t="str">
            <v>863690 1100</v>
          </cell>
          <cell r="AZ217">
            <v>2.5063468013752068</v>
          </cell>
          <cell r="BA217">
            <v>1.503808080825124</v>
          </cell>
          <cell r="BB217">
            <v>1.2531734006876034</v>
          </cell>
          <cell r="BC217">
            <v>1.0025387205500829</v>
          </cell>
        </row>
        <row r="218">
          <cell r="I218" t="str">
            <v>KPSF6AZH2EF</v>
          </cell>
          <cell r="J218" t="str">
            <v>U0405007</v>
          </cell>
          <cell r="K218" t="str">
            <v>CAT6A PATCH CORD S/FTP GREY LSZH 2M</v>
          </cell>
          <cell r="L218" t="str">
            <v>CORDON DE BRASSAGE CAT6A S/FTP GRIS LSZH 2M</v>
          </cell>
          <cell r="M218"/>
          <cell r="N218" t="str">
            <v>China</v>
          </cell>
          <cell r="O218"/>
          <cell r="P218" t="str">
            <v>1pc eco bag+10pcs PE bag+carton</v>
          </cell>
          <cell r="Q218" t="str">
            <v>3km of cable</v>
          </cell>
          <cell r="R218">
            <v>1280</v>
          </cell>
          <cell r="S218" t="str">
            <v>4897108882258</v>
          </cell>
          <cell r="T218" t="str">
            <v>854442 1000</v>
          </cell>
          <cell r="U218">
            <v>0</v>
          </cell>
          <cell r="V218">
            <v>50</v>
          </cell>
          <cell r="W218">
            <v>45</v>
          </cell>
          <cell r="X218">
            <v>55</v>
          </cell>
          <cell r="Y218" t="str">
            <v>T/T 60 days</v>
          </cell>
          <cell r="Z218">
            <v>1.1203766508398836</v>
          </cell>
          <cell r="AA218">
            <v>1.0545695915381983</v>
          </cell>
          <cell r="AB218">
            <v>0.1</v>
          </cell>
          <cell r="AC218">
            <v>0.1</v>
          </cell>
          <cell r="AD218">
            <v>0.27</v>
          </cell>
          <cell r="AE218" t="str">
            <v>C</v>
          </cell>
          <cell r="AF218">
            <v>1.0545695915381983</v>
          </cell>
          <cell r="AG218">
            <v>0.27</v>
          </cell>
          <cell r="AH218">
            <v>1.05</v>
          </cell>
          <cell r="AI218">
            <v>0.88385269121813037</v>
          </cell>
          <cell r="AJ218">
            <v>0.85537311313653852</v>
          </cell>
          <cell r="AK218">
            <v>0.21111111111111114</v>
          </cell>
          <cell r="AL218">
            <v>0.18888888888888899</v>
          </cell>
          <cell r="AM218"/>
          <cell r="AN218" t="str">
            <v>HONTO</v>
          </cell>
          <cell r="AO218">
            <v>4.7E-2</v>
          </cell>
          <cell r="AP218">
            <v>5.2210000000000001</v>
          </cell>
          <cell r="AQ218"/>
          <cell r="AR218">
            <v>0.16</v>
          </cell>
          <cell r="AS218">
            <v>5.4560000000000004</v>
          </cell>
          <cell r="AT218">
            <v>5.6160000000000005</v>
          </cell>
          <cell r="AU218">
            <v>0.79546742209631738</v>
          </cell>
          <cell r="AV218">
            <v>0.76983580182288469</v>
          </cell>
          <cell r="AW218" t="str">
            <v>7x0.135BC RJ45  OD:5.5±0.3mm</v>
          </cell>
          <cell r="AX218" t="str">
            <v>863690 1100</v>
          </cell>
          <cell r="AZ218">
            <v>3.5152319717939946</v>
          </cell>
          <cell r="BA218">
            <v>2.1091391830763966</v>
          </cell>
          <cell r="BB218">
            <v>1.7576159858969973</v>
          </cell>
          <cell r="BC218">
            <v>1.406092788717598</v>
          </cell>
        </row>
        <row r="219">
          <cell r="I219" t="str">
            <v>KPSF6AZH3EF</v>
          </cell>
          <cell r="J219" t="str">
            <v>U0405008</v>
          </cell>
          <cell r="K219" t="str">
            <v>CAT6A PATCH CORD S/FTP GREY LSZH 3M</v>
          </cell>
          <cell r="L219" t="str">
            <v>CORDON DE BRASSAGE CAT6A S/FTP GRIS LSZH 3M</v>
          </cell>
          <cell r="M219"/>
          <cell r="N219" t="str">
            <v>China</v>
          </cell>
          <cell r="O219"/>
          <cell r="P219" t="str">
            <v>1pc eco bag+10pcs PE bag+carton</v>
          </cell>
          <cell r="Q219" t="str">
            <v>3km of cable</v>
          </cell>
          <cell r="R219">
            <v>960</v>
          </cell>
          <cell r="S219" t="str">
            <v>4897108882265</v>
          </cell>
          <cell r="T219" t="str">
            <v>854442 1000</v>
          </cell>
          <cell r="U219">
            <v>0</v>
          </cell>
          <cell r="V219">
            <v>50</v>
          </cell>
          <cell r="W219">
            <v>45</v>
          </cell>
          <cell r="X219">
            <v>55</v>
          </cell>
          <cell r="Y219" t="str">
            <v>T/T 60 days</v>
          </cell>
          <cell r="Z219">
            <v>1.451941108406815</v>
          </cell>
          <cell r="AA219">
            <v>1.3706609334550393</v>
          </cell>
          <cell r="AB219">
            <v>0.1</v>
          </cell>
          <cell r="AC219">
            <v>0.1</v>
          </cell>
          <cell r="AD219">
            <v>0.27</v>
          </cell>
          <cell r="AE219" t="str">
            <v>C</v>
          </cell>
          <cell r="AF219">
            <v>1.3706609334550393</v>
          </cell>
          <cell r="AG219">
            <v>0.27</v>
          </cell>
          <cell r="AH219">
            <v>1.36</v>
          </cell>
          <cell r="AI219">
            <v>1.1454202077431539</v>
          </cell>
          <cell r="AJ219">
            <v>1.1117583126913095</v>
          </cell>
          <cell r="AK219">
            <v>0.21111111111111125</v>
          </cell>
          <cell r="AL219">
            <v>0.18888888888888899</v>
          </cell>
          <cell r="AM219"/>
          <cell r="AN219" t="str">
            <v>HONTO</v>
          </cell>
          <cell r="AO219">
            <v>7.0999999999999994E-2</v>
          </cell>
          <cell r="AP219">
            <v>6.7629999999999999</v>
          </cell>
          <cell r="AQ219"/>
          <cell r="AR219">
            <v>0.16</v>
          </cell>
          <cell r="AS219">
            <v>7.1180000000000003</v>
          </cell>
          <cell r="AT219">
            <v>7.2780000000000005</v>
          </cell>
          <cell r="AU219">
            <v>1.0308781869688386</v>
          </cell>
          <cell r="AV219">
            <v>1.0005824814221786</v>
          </cell>
          <cell r="AW219" t="str">
            <v>7x0.135BC RJ45  OD:5.5±0.3mm</v>
          </cell>
          <cell r="AX219" t="str">
            <v>863690 1100</v>
          </cell>
          <cell r="AZ219">
            <v>4.5688697781834646</v>
          </cell>
          <cell r="BA219">
            <v>2.7413218669100785</v>
          </cell>
          <cell r="BB219">
            <v>2.2844348890917323</v>
          </cell>
          <cell r="BC219">
            <v>1.8275479112733859</v>
          </cell>
        </row>
        <row r="220">
          <cell r="I220" t="str">
            <v>KPSF6AZH5EF</v>
          </cell>
          <cell r="J220" t="str">
            <v>U0405009</v>
          </cell>
          <cell r="K220" t="str">
            <v>CAT6A PATCH CORD S/FTP GREY LSZH 5M</v>
          </cell>
          <cell r="L220" t="str">
            <v>CORDON DE BRASSAGE CAT6A S/FTP GRIS LSZH 5M</v>
          </cell>
          <cell r="M220"/>
          <cell r="N220" t="str">
            <v>China</v>
          </cell>
          <cell r="O220"/>
          <cell r="P220" t="str">
            <v>1pc eco bag+10pcs PE bag+carton</v>
          </cell>
          <cell r="Q220" t="str">
            <v>3km of cable</v>
          </cell>
          <cell r="R220">
            <v>640</v>
          </cell>
          <cell r="S220" t="str">
            <v>4897108882272</v>
          </cell>
          <cell r="T220" t="str">
            <v>854442 1000</v>
          </cell>
          <cell r="U220">
            <v>0</v>
          </cell>
          <cell r="V220">
            <v>50</v>
          </cell>
          <cell r="W220">
            <v>45</v>
          </cell>
          <cell r="X220">
            <v>55</v>
          </cell>
          <cell r="Y220" t="str">
            <v>T/T 60 days</v>
          </cell>
          <cell r="Z220">
            <v>2.1799066352790972</v>
          </cell>
          <cell r="AA220">
            <v>2.0576786313855377</v>
          </cell>
          <cell r="AB220">
            <v>0.1</v>
          </cell>
          <cell r="AC220">
            <v>0.1</v>
          </cell>
          <cell r="AD220">
            <v>0.27</v>
          </cell>
          <cell r="AE220" t="str">
            <v>C</v>
          </cell>
          <cell r="AF220">
            <v>2.0576786313855377</v>
          </cell>
          <cell r="AG220">
            <v>0.27</v>
          </cell>
          <cell r="AH220">
            <v>2.04</v>
          </cell>
          <cell r="AI220">
            <v>1.7197041233868431</v>
          </cell>
          <cell r="AJ220">
            <v>1.6690060010127139</v>
          </cell>
          <cell r="AK220">
            <v>0.21111111111111125</v>
          </cell>
          <cell r="AL220">
            <v>0.18888888888888888</v>
          </cell>
          <cell r="AM220"/>
          <cell r="AN220" t="str">
            <v>HONTO</v>
          </cell>
          <cell r="AO220">
            <v>0.11700000000000001</v>
          </cell>
          <cell r="AP220">
            <v>10.182</v>
          </cell>
          <cell r="AQ220"/>
          <cell r="AR220">
            <v>0.16</v>
          </cell>
          <cell r="AS220">
            <v>10.767000000000001</v>
          </cell>
          <cell r="AT220">
            <v>10.927000000000001</v>
          </cell>
          <cell r="AU220">
            <v>1.5477337110481588</v>
          </cell>
          <cell r="AV220">
            <v>1.5021054009114425</v>
          </cell>
          <cell r="AW220" t="str">
            <v>7x0.135BC RJ45  OD:5.5±0.3mm</v>
          </cell>
          <cell r="AX220" t="str">
            <v>863690 1100</v>
          </cell>
          <cell r="AZ220">
            <v>6.8589287712851261</v>
          </cell>
          <cell r="BA220">
            <v>4.1153572627710755</v>
          </cell>
          <cell r="BB220">
            <v>3.4294643856425631</v>
          </cell>
          <cell r="BC220">
            <v>2.7435715085140506</v>
          </cell>
        </row>
        <row r="221">
          <cell r="I221" t="str">
            <v>KPSF6AZH10EF</v>
          </cell>
          <cell r="J221" t="str">
            <v>U0405003</v>
          </cell>
          <cell r="K221" t="str">
            <v>CAT6A PATCH CORD S/FTP GREY LSZH 10M</v>
          </cell>
          <cell r="L221" t="str">
            <v>CORDON DE BRASSAGE CAT6A S/FTP GRIS LSZH 10M</v>
          </cell>
          <cell r="M221"/>
          <cell r="N221" t="str">
            <v>China</v>
          </cell>
          <cell r="O221"/>
          <cell r="P221" t="str">
            <v>1pc eco bag+10pcs PE bag+carton</v>
          </cell>
          <cell r="Q221" t="str">
            <v>3km of cable</v>
          </cell>
          <cell r="R221">
            <v>220</v>
          </cell>
          <cell r="S221" t="str">
            <v>4897108882289</v>
          </cell>
          <cell r="T221" t="str">
            <v>854442 1000</v>
          </cell>
          <cell r="U221">
            <v>0</v>
          </cell>
          <cell r="V221">
            <v>50</v>
          </cell>
          <cell r="W221">
            <v>45</v>
          </cell>
          <cell r="X221">
            <v>55</v>
          </cell>
          <cell r="Y221" t="str">
            <v>T/T 60 days</v>
          </cell>
          <cell r="Z221">
            <v>3.9321344993225771</v>
          </cell>
          <cell r="AA221">
            <v>3.9631354283647902</v>
          </cell>
          <cell r="AB221">
            <v>0.1</v>
          </cell>
          <cell r="AC221">
            <v>0.1</v>
          </cell>
          <cell r="AD221">
            <v>0.28999999999999998</v>
          </cell>
          <cell r="AE221" t="str">
            <v>C</v>
          </cell>
          <cell r="AF221">
            <v>3.9631354283647902</v>
          </cell>
          <cell r="AG221">
            <v>0.29000000000000004</v>
          </cell>
          <cell r="AH221">
            <v>3.93</v>
          </cell>
          <cell r="AI221">
            <v>3.0146364494806424</v>
          </cell>
          <cell r="AJ221">
            <v>3.1264735045988896</v>
          </cell>
          <cell r="AK221">
            <v>0.23333333333333339</v>
          </cell>
          <cell r="AL221">
            <v>0.21111111111111125</v>
          </cell>
          <cell r="AM221"/>
          <cell r="AN221" t="str">
            <v>HONTO</v>
          </cell>
          <cell r="AO221">
            <v>0.23400000000000001</v>
          </cell>
          <cell r="AP221">
            <v>17.824999999999999</v>
          </cell>
          <cell r="AQ221"/>
          <cell r="AR221">
            <v>0.16</v>
          </cell>
          <cell r="AS221">
            <v>18.995000000000001</v>
          </cell>
          <cell r="AT221">
            <v>19.155000000000001</v>
          </cell>
          <cell r="AU221">
            <v>2.713172804532578</v>
          </cell>
          <cell r="AV221">
            <v>2.8138261541390008</v>
          </cell>
          <cell r="AW221" t="str">
            <v>7x0.135BC RJ45  OD:5.5±0.3mm</v>
          </cell>
          <cell r="AX221" t="str">
            <v>863690 1100</v>
          </cell>
          <cell r="AZ221">
            <v>13.210451427882635</v>
          </cell>
          <cell r="BA221">
            <v>7.9262708567295803</v>
          </cell>
          <cell r="BB221">
            <v>6.6052257139413175</v>
          </cell>
          <cell r="BC221">
            <v>5.2841805711530547</v>
          </cell>
        </row>
        <row r="222">
          <cell r="I222" t="str">
            <v>KPSF6AZH15EF</v>
          </cell>
          <cell r="J222" t="str">
            <v>U0405004</v>
          </cell>
          <cell r="K222" t="str">
            <v>CAT6A PATCH CORD S/FTP GREY LSZH 15M</v>
          </cell>
          <cell r="L222" t="str">
            <v>CORDON DE BRASSAGE CAT6A S/FTP GRIS LSZH 15M</v>
          </cell>
          <cell r="M222"/>
          <cell r="N222" t="str">
            <v>China</v>
          </cell>
          <cell r="O222"/>
          <cell r="P222" t="str">
            <v>1pc eco bag+carton</v>
          </cell>
          <cell r="Q222" t="str">
            <v>3km of cable</v>
          </cell>
          <cell r="R222">
            <v>256</v>
          </cell>
          <cell r="S222" t="str">
            <v>4897108884573</v>
          </cell>
          <cell r="T222" t="str">
            <v>854442 1000</v>
          </cell>
          <cell r="U222">
            <v>0</v>
          </cell>
          <cell r="V222">
            <v>50</v>
          </cell>
          <cell r="W222">
            <v>45</v>
          </cell>
          <cell r="X222">
            <v>55</v>
          </cell>
          <cell r="Y222" t="str">
            <v>T/T 60 days</v>
          </cell>
          <cell r="Z222">
            <v>5.9996099683869124</v>
          </cell>
          <cell r="AA222">
            <v>5.6202689873692222</v>
          </cell>
          <cell r="AB222">
            <v>0.1</v>
          </cell>
          <cell r="AC222">
            <v>0.1</v>
          </cell>
          <cell r="AD222">
            <v>0.28999999999999998</v>
          </cell>
          <cell r="AE222" t="str">
            <v>C</v>
          </cell>
          <cell r="AF222">
            <v>5.6202689873692222</v>
          </cell>
          <cell r="AG222">
            <v>0.29000000000000004</v>
          </cell>
          <cell r="AH222">
            <v>5.58</v>
          </cell>
          <cell r="AI222">
            <v>4.5997009757632989</v>
          </cell>
          <cell r="AJ222">
            <v>4.4337677567023865</v>
          </cell>
          <cell r="AK222">
            <v>0.23333333333333339</v>
          </cell>
          <cell r="AL222">
            <v>0.21111111111111114</v>
          </cell>
          <cell r="AM222"/>
          <cell r="AN222" t="str">
            <v>HONTO</v>
          </cell>
          <cell r="AO222">
            <v>0.41889999999999994</v>
          </cell>
          <cell r="AP222">
            <v>26.972000000000001</v>
          </cell>
          <cell r="AQ222"/>
          <cell r="AR222">
            <v>0.16</v>
          </cell>
          <cell r="AS222">
            <v>29.066500000000001</v>
          </cell>
          <cell r="AT222">
            <v>29.226500000000001</v>
          </cell>
          <cell r="AU222">
            <v>4.1397308781869695</v>
          </cell>
          <cell r="AV222">
            <v>3.9903909810321476</v>
          </cell>
          <cell r="AW222" t="str">
            <v>7x0.135BC RJ45  OD:5.5±0.3mm</v>
          </cell>
          <cell r="AX222" t="str">
            <v>863690 1100</v>
          </cell>
          <cell r="AZ222">
            <v>18.734229957897409</v>
          </cell>
          <cell r="BA222">
            <v>11.240537974738444</v>
          </cell>
          <cell r="BB222">
            <v>9.3671149789487043</v>
          </cell>
          <cell r="BC222">
            <v>7.4936919831589641</v>
          </cell>
        </row>
        <row r="223">
          <cell r="I223" t="str">
            <v>KPSF6AZH20EF</v>
          </cell>
          <cell r="J223" t="str">
            <v>U0405006</v>
          </cell>
          <cell r="K223" t="str">
            <v>CAT6A PATCH CORD S/FTP GREY LSZH 20M</v>
          </cell>
          <cell r="L223" t="str">
            <v>CORDON DE BRASSAGE CAT6A S/FTP GRIS LSZH 20M</v>
          </cell>
          <cell r="M223"/>
          <cell r="N223" t="str">
            <v>China</v>
          </cell>
          <cell r="O223"/>
          <cell r="P223" t="str">
            <v>1pc eco bag+carton</v>
          </cell>
          <cell r="Q223" t="str">
            <v>3km of cable</v>
          </cell>
          <cell r="R223">
            <v>256</v>
          </cell>
          <cell r="S223" t="str">
            <v>4897108884580</v>
          </cell>
          <cell r="T223" t="str">
            <v>854442 1000</v>
          </cell>
          <cell r="U223">
            <v>0</v>
          </cell>
          <cell r="V223">
            <v>50</v>
          </cell>
          <cell r="W223">
            <v>45</v>
          </cell>
          <cell r="X223">
            <v>55</v>
          </cell>
          <cell r="Y223" t="str">
            <v>T/T 60 days</v>
          </cell>
          <cell r="Z223">
            <v>7.979123044709941</v>
          </cell>
          <cell r="AA223">
            <v>7.2930969391914999</v>
          </cell>
          <cell r="AB223">
            <v>0.1</v>
          </cell>
          <cell r="AC223">
            <v>0.1</v>
          </cell>
          <cell r="AD223">
            <v>0.28999999999999998</v>
          </cell>
          <cell r="AE223" t="str">
            <v>C</v>
          </cell>
          <cell r="AF223">
            <v>7.2930969391914999</v>
          </cell>
          <cell r="AG223">
            <v>0.29000000000000004</v>
          </cell>
          <cell r="AH223">
            <v>7.23</v>
          </cell>
          <cell r="AI223">
            <v>6.1173276676109545</v>
          </cell>
          <cell r="AJ223">
            <v>5.7534431409177378</v>
          </cell>
          <cell r="AK223">
            <v>0.23333333333333339</v>
          </cell>
          <cell r="AL223">
            <v>0.21111111111111125</v>
          </cell>
          <cell r="AM223"/>
          <cell r="AN223" t="str">
            <v>HONTO</v>
          </cell>
          <cell r="AO223">
            <v>0.57509999999999994</v>
          </cell>
          <cell r="AP223">
            <v>35.834000000000003</v>
          </cell>
          <cell r="AQ223"/>
          <cell r="AR223">
            <v>0.16</v>
          </cell>
          <cell r="AS223">
            <v>38.709500000000006</v>
          </cell>
          <cell r="AT223">
            <v>38.869500000000002</v>
          </cell>
          <cell r="AU223">
            <v>5.505594900849859</v>
          </cell>
          <cell r="AV223">
            <v>5.1780988268259645</v>
          </cell>
          <cell r="AW223" t="str">
            <v>7x0.135BC RJ45  OD:5.5±0.3mm</v>
          </cell>
          <cell r="AX223" t="str">
            <v>863690 1100</v>
          </cell>
          <cell r="AZ223">
            <v>24.310323130638334</v>
          </cell>
          <cell r="BA223">
            <v>14.586193878383</v>
          </cell>
          <cell r="BB223">
            <v>12.155161565319167</v>
          </cell>
          <cell r="BC223">
            <v>9.7241292522553344</v>
          </cell>
        </row>
        <row r="224">
          <cell r="I224" t="str">
            <v>KPSF6AZH25EF</v>
          </cell>
          <cell r="J224" t="str">
            <v/>
          </cell>
          <cell r="K224" t="str">
            <v>CAT6A PATCH CORD S/FTP GREY LSZH 25M</v>
          </cell>
          <cell r="L224" t="str">
            <v>CORDON DE BRASSAGE CAT6A S/FTP GRIS LSZH 25M</v>
          </cell>
          <cell r="M224"/>
          <cell r="N224" t="str">
            <v>China</v>
          </cell>
          <cell r="O224"/>
          <cell r="P224" t="str">
            <v>1pc eco bag+carton</v>
          </cell>
          <cell r="Q224" t="str">
            <v>3km of cable</v>
          </cell>
          <cell r="R224">
            <v>192</v>
          </cell>
          <cell r="S224"/>
          <cell r="T224" t="str">
            <v>854442 1000</v>
          </cell>
          <cell r="U224">
            <v>0</v>
          </cell>
          <cell r="V224">
            <v>50</v>
          </cell>
          <cell r="W224">
            <v>45</v>
          </cell>
          <cell r="X224">
            <v>55</v>
          </cell>
          <cell r="Y224" t="str">
            <v>T/T 60 days</v>
          </cell>
          <cell r="Z224">
            <v>9.9100874491932505</v>
          </cell>
          <cell r="AA224">
            <v>9.1082898631680056</v>
          </cell>
          <cell r="AB224">
            <v>0.1</v>
          </cell>
          <cell r="AC224">
            <v>0.1</v>
          </cell>
          <cell r="AD224">
            <v>0.28999999999999998</v>
          </cell>
          <cell r="AE224" t="str">
            <v>C</v>
          </cell>
          <cell r="AF224">
            <v>9.1082898631680056</v>
          </cell>
          <cell r="AG224">
            <v>0.29000000000000004</v>
          </cell>
          <cell r="AH224">
            <v>9.0399999999999991</v>
          </cell>
          <cell r="AI224">
            <v>7.597733711048158</v>
          </cell>
          <cell r="AJ224">
            <v>7.1854286698325369</v>
          </cell>
          <cell r="AK224">
            <v>0.23333333333333339</v>
          </cell>
          <cell r="AL224">
            <v>0.21111111111111125</v>
          </cell>
          <cell r="AM224"/>
          <cell r="AN224" t="str">
            <v>HONTO</v>
          </cell>
          <cell r="AO224">
            <v>0.72419999999999995</v>
          </cell>
          <cell r="AP224">
            <v>44.494999999999997</v>
          </cell>
          <cell r="AQ224"/>
          <cell r="AR224">
            <v>0.16</v>
          </cell>
          <cell r="AS224">
            <v>48.116</v>
          </cell>
          <cell r="AT224">
            <v>48.275999999999996</v>
          </cell>
          <cell r="AU224">
            <v>6.8379603399433426</v>
          </cell>
          <cell r="AV224">
            <v>6.4668858028492835</v>
          </cell>
          <cell r="AW224" t="str">
            <v>7x0.135BC RJ45  OD:5.5±0.3mm</v>
          </cell>
          <cell r="AX224" t="str">
            <v>863690 1100</v>
          </cell>
          <cell r="AZ224">
            <v>30.360966210560019</v>
          </cell>
          <cell r="BA224">
            <v>18.216579726336011</v>
          </cell>
          <cell r="BB224">
            <v>15.180483105280009</v>
          </cell>
          <cell r="BC224">
            <v>12.144386484224007</v>
          </cell>
        </row>
        <row r="225">
          <cell r="I225" t="str">
            <v>KPSF6AZH30EF</v>
          </cell>
          <cell r="J225" t="str">
            <v/>
          </cell>
          <cell r="K225" t="str">
            <v>CAT6A PATCH CORD S/FTP GREY LSZH 30M</v>
          </cell>
          <cell r="L225" t="str">
            <v>CORDON DE BRASSAGE CAT6A S/FTP GRIS LSZH 30M</v>
          </cell>
          <cell r="M225"/>
          <cell r="N225" t="str">
            <v>China</v>
          </cell>
          <cell r="O225"/>
          <cell r="P225" t="str">
            <v>1pc eco bag+carton</v>
          </cell>
          <cell r="Q225" t="str">
            <v>3km of cable</v>
          </cell>
          <cell r="R225">
            <v>192</v>
          </cell>
          <cell r="S225"/>
          <cell r="T225" t="str">
            <v>854442 1000</v>
          </cell>
          <cell r="U225">
            <v>0</v>
          </cell>
          <cell r="V225">
            <v>50</v>
          </cell>
          <cell r="W225">
            <v>45</v>
          </cell>
          <cell r="X225">
            <v>55</v>
          </cell>
          <cell r="Y225" t="str">
            <v>T/T 60 days</v>
          </cell>
          <cell r="Z225">
            <v>11.837870016832946</v>
          </cell>
          <cell r="AA225">
            <v>10.737401892159296</v>
          </cell>
          <cell r="AB225">
            <v>0.1</v>
          </cell>
          <cell r="AC225">
            <v>0.1</v>
          </cell>
          <cell r="AD225">
            <v>0.28999999999999998</v>
          </cell>
          <cell r="AE225" t="str">
            <v>C</v>
          </cell>
          <cell r="AF225">
            <v>10.737401892159296</v>
          </cell>
          <cell r="AG225">
            <v>0.29000000000000004</v>
          </cell>
          <cell r="AH225">
            <v>10.65</v>
          </cell>
          <cell r="AI225">
            <v>9.075700346238591</v>
          </cell>
          <cell r="AJ225">
            <v>8.4706170482589993</v>
          </cell>
          <cell r="AK225">
            <v>0.23333333333333339</v>
          </cell>
          <cell r="AL225">
            <v>0.21111111111111114</v>
          </cell>
          <cell r="AM225"/>
          <cell r="AN225" t="str">
            <v>HONTO</v>
          </cell>
          <cell r="AO225">
            <v>0.86619999999999997</v>
          </cell>
          <cell r="AP225">
            <v>53.176000000000002</v>
          </cell>
          <cell r="AQ225"/>
          <cell r="AR225">
            <v>0.16</v>
          </cell>
          <cell r="AS225">
            <v>57.507000000000005</v>
          </cell>
          <cell r="AT225">
            <v>57.667000000000002</v>
          </cell>
          <cell r="AU225">
            <v>8.1681303116147319</v>
          </cell>
          <cell r="AV225">
            <v>7.6235553434331003</v>
          </cell>
          <cell r="AW225" t="str">
            <v>7x0.135BC RJ45  OD:5.5±0.3mm</v>
          </cell>
          <cell r="AX225" t="str">
            <v>863690 1100</v>
          </cell>
          <cell r="AZ225">
            <v>35.791339640530985</v>
          </cell>
          <cell r="BA225">
            <v>21.474803784318592</v>
          </cell>
          <cell r="BB225">
            <v>17.895669820265493</v>
          </cell>
          <cell r="BC225">
            <v>14.316535856212395</v>
          </cell>
        </row>
        <row r="226">
          <cell r="I226" t="str">
            <v>KPSF6AZH40EF</v>
          </cell>
          <cell r="J226" t="str">
            <v/>
          </cell>
          <cell r="K226" t="str">
            <v>CAT6A PATCH CORD S/FTP GREY LSZH 40M</v>
          </cell>
          <cell r="L226" t="str">
            <v>CORDON DE BRASSAGE CAT6A S/FTP GRIS LSZH 40M</v>
          </cell>
          <cell r="M226"/>
          <cell r="N226" t="str">
            <v>China</v>
          </cell>
          <cell r="O226"/>
          <cell r="P226" t="str">
            <v>1pc eco bag+carton</v>
          </cell>
          <cell r="Q226" t="str">
            <v>3km of cable</v>
          </cell>
          <cell r="R226">
            <v>128</v>
          </cell>
          <cell r="S226"/>
          <cell r="T226" t="str">
            <v>854442 1000</v>
          </cell>
          <cell r="U226">
            <v>0</v>
          </cell>
          <cell r="V226">
            <v>50</v>
          </cell>
          <cell r="W226">
            <v>45</v>
          </cell>
          <cell r="X226">
            <v>55</v>
          </cell>
          <cell r="Y226" t="str">
            <v>T/T 60 days</v>
          </cell>
          <cell r="Z226">
            <v>19.485158270722998</v>
          </cell>
          <cell r="AA226">
            <v>17.566683045681408</v>
          </cell>
          <cell r="AB226">
            <v>0.1</v>
          </cell>
          <cell r="AC226">
            <v>0.1</v>
          </cell>
          <cell r="AD226">
            <v>0.28999999999999998</v>
          </cell>
          <cell r="AE226" t="str">
            <v>C</v>
          </cell>
          <cell r="AF226">
            <v>17.566683045681408</v>
          </cell>
          <cell r="AG226">
            <v>0.29000000000000015</v>
          </cell>
          <cell r="AH226">
            <v>17.420000000000002</v>
          </cell>
          <cell r="AI226">
            <v>14.93862134088763</v>
          </cell>
          <cell r="AJ226">
            <v>13.858161069370887</v>
          </cell>
          <cell r="AK226">
            <v>0.23333333333333339</v>
          </cell>
          <cell r="AL226">
            <v>0.21111111111111125</v>
          </cell>
          <cell r="AM226"/>
          <cell r="AN226" t="str">
            <v>HONTO</v>
          </cell>
          <cell r="AO226">
            <v>1.0329999999999999</v>
          </cell>
          <cell r="AP226">
            <v>70.575999999999993</v>
          </cell>
          <cell r="AQ226"/>
          <cell r="AR226">
            <v>0.86</v>
          </cell>
          <cell r="AS226">
            <v>75.61</v>
          </cell>
          <cell r="AT226">
            <v>76.47</v>
          </cell>
          <cell r="AU226">
            <v>10.8314447592068</v>
          </cell>
          <cell r="AV226">
            <v>10.199897616701566</v>
          </cell>
          <cell r="AW226" t="str">
            <v>7x0.135BC RJ45  OD:5.5±0.3mm</v>
          </cell>
          <cell r="AX226" t="str">
            <v>863690 1100</v>
          </cell>
          <cell r="AZ226">
            <v>58.555610152271363</v>
          </cell>
          <cell r="BA226">
            <v>35.133366091362817</v>
          </cell>
          <cell r="BB226">
            <v>29.277805076135682</v>
          </cell>
          <cell r="BC226">
            <v>23.422244060908547</v>
          </cell>
        </row>
        <row r="227">
          <cell r="I227" t="str">
            <v>KPSF6AZH50EF</v>
          </cell>
          <cell r="J227" t="str">
            <v/>
          </cell>
          <cell r="K227" t="str">
            <v>CAT6A PATCH CORD S/FTP GREY LSZH 50M</v>
          </cell>
          <cell r="L227" t="str">
            <v>CORDON DE BRASSAGE CAT6A S/FTP GRIS LSZH 50M</v>
          </cell>
          <cell r="M227"/>
          <cell r="N227" t="str">
            <v>China</v>
          </cell>
          <cell r="O227"/>
          <cell r="P227" t="str">
            <v>1pc eco bag+carton</v>
          </cell>
          <cell r="Q227" t="str">
            <v>3km of cable</v>
          </cell>
          <cell r="R227">
            <v>128</v>
          </cell>
          <cell r="S227"/>
          <cell r="T227" t="str">
            <v>854442 1000</v>
          </cell>
          <cell r="U227">
            <v>0</v>
          </cell>
          <cell r="V227">
            <v>50</v>
          </cell>
          <cell r="W227">
            <v>45</v>
          </cell>
          <cell r="X227">
            <v>55</v>
          </cell>
          <cell r="Y227" t="str">
            <v>T/T 60 days</v>
          </cell>
          <cell r="Z227">
            <v>27.105144311696851</v>
          </cell>
          <cell r="AA227">
            <v>25.106459981715652</v>
          </cell>
          <cell r="AB227">
            <v>0.1</v>
          </cell>
          <cell r="AC227">
            <v>0.1</v>
          </cell>
          <cell r="AD227">
            <v>0.28999999999999998</v>
          </cell>
          <cell r="AE227" t="str">
            <v>C</v>
          </cell>
          <cell r="AF227">
            <v>25.106459981715652</v>
          </cell>
          <cell r="AG227">
            <v>0.29000000000000004</v>
          </cell>
          <cell r="AH227">
            <v>24.91</v>
          </cell>
          <cell r="AI227">
            <v>20.780610638967584</v>
          </cell>
          <cell r="AJ227">
            <v>19.806207318909014</v>
          </cell>
          <cell r="AK227">
            <v>0.23333333333333339</v>
          </cell>
          <cell r="AL227">
            <v>0.21111111111111114</v>
          </cell>
          <cell r="AM227"/>
          <cell r="AN227" t="str">
            <v>HONTO</v>
          </cell>
          <cell r="AO227">
            <v>1.2</v>
          </cell>
          <cell r="AP227">
            <v>88.06</v>
          </cell>
          <cell r="AQ227"/>
          <cell r="AR227">
            <v>0.86</v>
          </cell>
          <cell r="AS227">
            <v>94.06</v>
          </cell>
          <cell r="AT227">
            <v>94.92</v>
          </cell>
          <cell r="AU227">
            <v>13.444759206798867</v>
          </cell>
          <cell r="AV227">
            <v>12.472344962433798</v>
          </cell>
          <cell r="AW227" t="str">
            <v>7x0.135BC RJ45  OD:5.5±0.3mm</v>
          </cell>
          <cell r="AX227" t="str">
            <v>863690 1100</v>
          </cell>
          <cell r="AZ227">
            <v>83.688199939052183</v>
          </cell>
          <cell r="BA227">
            <v>50.212919963431311</v>
          </cell>
          <cell r="BB227">
            <v>41.844099969526091</v>
          </cell>
          <cell r="BC227">
            <v>33.475279975620872</v>
          </cell>
        </row>
        <row r="228">
          <cell r="I228" t="str">
            <v>KPSF6AZH70EF</v>
          </cell>
          <cell r="J228" t="str">
            <v/>
          </cell>
          <cell r="K228" t="str">
            <v>CAT6A PATCH CORD S/FTP GREY LSZH 70M</v>
          </cell>
          <cell r="L228" t="str">
            <v>CORDON DE BRASSAGE CAT6A S/FTP GRIS LSZH 70M</v>
          </cell>
          <cell r="M228"/>
          <cell r="N228" t="str">
            <v>China</v>
          </cell>
          <cell r="O228"/>
          <cell r="P228" t="str">
            <v>1pc eco bag+carton</v>
          </cell>
          <cell r="Q228" t="str">
            <v>3km of cable</v>
          </cell>
          <cell r="R228">
            <v>64</v>
          </cell>
          <cell r="S228"/>
          <cell r="T228" t="str">
            <v>854442 1000</v>
          </cell>
          <cell r="U228">
            <v>0</v>
          </cell>
          <cell r="V228">
            <v>50</v>
          </cell>
          <cell r="W228">
            <v>45</v>
          </cell>
          <cell r="X228">
            <v>55</v>
          </cell>
          <cell r="Y228" t="str">
            <v>T/T 60 days</v>
          </cell>
          <cell r="Z228">
            <v>27.105144311696851</v>
          </cell>
          <cell r="AA228">
            <v>25.106459981715652</v>
          </cell>
          <cell r="AB228">
            <v>0.1</v>
          </cell>
          <cell r="AC228">
            <v>0.1</v>
          </cell>
          <cell r="AD228">
            <v>0.28999999999999998</v>
          </cell>
          <cell r="AE228" t="str">
            <v>C</v>
          </cell>
          <cell r="AF228">
            <v>25.106459981715652</v>
          </cell>
          <cell r="AG228">
            <v>0.29000000000000004</v>
          </cell>
          <cell r="AH228">
            <v>24.91</v>
          </cell>
          <cell r="AI228">
            <v>20.780610638967584</v>
          </cell>
          <cell r="AJ228">
            <v>19.806207318909014</v>
          </cell>
          <cell r="AK228">
            <v>0.23333333333333339</v>
          </cell>
          <cell r="AL228">
            <v>0.21111111111111114</v>
          </cell>
          <cell r="AM228"/>
          <cell r="AN228" t="str">
            <v>HONTO</v>
          </cell>
          <cell r="AO228">
            <v>1.68</v>
          </cell>
          <cell r="AP228">
            <v>122.78</v>
          </cell>
          <cell r="AQ228"/>
          <cell r="AR228">
            <v>0.86</v>
          </cell>
          <cell r="AS228">
            <v>131.18</v>
          </cell>
          <cell r="AT228">
            <v>132.04000000000002</v>
          </cell>
          <cell r="AU228">
            <v>18.702549575070826</v>
          </cell>
          <cell r="AV228">
            <v>17.825586587018112</v>
          </cell>
          <cell r="AW228" t="str">
            <v>7x0.135BC RJ45  OD:5.5±0.3mm</v>
          </cell>
          <cell r="AX228" t="str">
            <v>863690 1100</v>
          </cell>
          <cell r="AZ228">
            <v>83.688199939052183</v>
          </cell>
          <cell r="BA228">
            <v>50.212919963431311</v>
          </cell>
          <cell r="BB228">
            <v>41.844099969526091</v>
          </cell>
          <cell r="BC228">
            <v>33.475279975620872</v>
          </cell>
        </row>
        <row r="229">
          <cell r="I229" t="str">
            <v>KPSLF6AZHSL03EF</v>
          </cell>
          <cell r="J229" t="str">
            <v>U0405017</v>
          </cell>
          <cell r="K229" t="str">
            <v>CAT6A PATCH CORD S/FTP GREY LSZH SLIM 0.3M</v>
          </cell>
          <cell r="L229" t="str">
            <v>CORDON DE BRASSAGE CAT6A S/FTP GRIS LSZH SLIM 0,3M</v>
          </cell>
          <cell r="M229" t="str">
            <v>Slim</v>
          </cell>
          <cell r="N229" t="str">
            <v>China</v>
          </cell>
          <cell r="O229"/>
          <cell r="P229" t="str">
            <v>1pc eco bag+10pcs PE bag+carton</v>
          </cell>
          <cell r="Q229" t="str">
            <v>3km of cable</v>
          </cell>
          <cell r="R229">
            <v>4800</v>
          </cell>
          <cell r="S229" t="e">
            <v>#N/A</v>
          </cell>
          <cell r="T229" t="str">
            <v>854442 1000</v>
          </cell>
          <cell r="U229">
            <v>0</v>
          </cell>
          <cell r="V229">
            <v>50</v>
          </cell>
          <cell r="W229">
            <v>45</v>
          </cell>
          <cell r="X229">
            <v>55</v>
          </cell>
          <cell r="Y229" t="str">
            <v>T/T 60 days</v>
          </cell>
          <cell r="Z229">
            <v>0.57142302766890463</v>
          </cell>
          <cell r="AA229">
            <v>0.51141697800769126</v>
          </cell>
          <cell r="AB229">
            <v>0.1</v>
          </cell>
          <cell r="AC229">
            <v>0.1</v>
          </cell>
          <cell r="AD229">
            <v>0.25</v>
          </cell>
          <cell r="AE229" t="str">
            <v>C</v>
          </cell>
          <cell r="AF229">
            <v>0.51141697800769126</v>
          </cell>
          <cell r="AG229">
            <v>0.25</v>
          </cell>
          <cell r="AH229" t="e">
            <v>#N/A</v>
          </cell>
          <cell r="AI229">
            <v>0.46348756688700038</v>
          </cell>
          <cell r="AJ229">
            <v>0.42618081500640936</v>
          </cell>
          <cell r="AK229">
            <v>0.18888888888888899</v>
          </cell>
          <cell r="AL229">
            <v>0.16666666666666674</v>
          </cell>
          <cell r="AM229"/>
          <cell r="AN229" t="str">
            <v>WEKINO/HONTO</v>
          </cell>
          <cell r="AO229">
            <v>3.0000000000000001E-3</v>
          </cell>
          <cell r="AP229">
            <v>2.77</v>
          </cell>
          <cell r="AQ229"/>
          <cell r="AR229">
            <v>0.16</v>
          </cell>
          <cell r="AS229">
            <v>2.7850000000000001</v>
          </cell>
          <cell r="AT229">
            <v>2.9450000000000003</v>
          </cell>
          <cell r="AU229">
            <v>0.41713881019830035</v>
          </cell>
          <cell r="AV229">
            <v>0.38356273350576842</v>
          </cell>
          <cell r="AW229" t="str">
            <v>7x0.10BC RJ45  OD:4.8±0.3mm</v>
          </cell>
          <cell r="AX229" t="str">
            <v>863690 1100</v>
          </cell>
          <cell r="AZ229">
            <v>1.7047232600256377</v>
          </cell>
          <cell r="BA229">
            <v>1.0228339560153825</v>
          </cell>
          <cell r="BB229">
            <v>0.85236163001281884</v>
          </cell>
          <cell r="BC229">
            <v>0.68188930401025516</v>
          </cell>
        </row>
        <row r="230">
          <cell r="I230" t="str">
            <v>KPSLF6AZHSL05EF</v>
          </cell>
          <cell r="J230" t="str">
            <v>U0405018</v>
          </cell>
          <cell r="K230" t="str">
            <v>CAT6A PATCH CORD S/FTP GREY LSZH SLIM 0.5M</v>
          </cell>
          <cell r="L230" t="str">
            <v>CORDON DE BRASSAGE CAT6A S/FTP GRIS LSZH SLIM 0,5M</v>
          </cell>
          <cell r="M230" t="str">
            <v>Slim</v>
          </cell>
          <cell r="N230" t="str">
            <v>China</v>
          </cell>
          <cell r="O230"/>
          <cell r="P230" t="str">
            <v>1pc eco bag+10pcs PE bag+carton</v>
          </cell>
          <cell r="Q230" t="str">
            <v>3km of cable</v>
          </cell>
          <cell r="R230">
            <v>4800</v>
          </cell>
          <cell r="S230" t="e">
            <v>#N/A</v>
          </cell>
          <cell r="T230" t="str">
            <v>854442 1000</v>
          </cell>
          <cell r="U230">
            <v>0</v>
          </cell>
          <cell r="V230">
            <v>50</v>
          </cell>
          <cell r="W230">
            <v>45</v>
          </cell>
          <cell r="X230">
            <v>55</v>
          </cell>
          <cell r="Y230" t="str">
            <v>T/T 60 days</v>
          </cell>
          <cell r="Z230">
            <v>0.62730412511156819</v>
          </cell>
          <cell r="AA230">
            <v>0.55871344308959781</v>
          </cell>
          <cell r="AB230">
            <v>0.1</v>
          </cell>
          <cell r="AC230">
            <v>0.1</v>
          </cell>
          <cell r="AD230">
            <v>0.25</v>
          </cell>
          <cell r="AE230" t="str">
            <v>C</v>
          </cell>
          <cell r="AF230">
            <v>0.55871344308959781</v>
          </cell>
          <cell r="AG230">
            <v>0.25</v>
          </cell>
          <cell r="AH230" t="e">
            <v>#N/A</v>
          </cell>
          <cell r="AI230">
            <v>0.50881334592382754</v>
          </cell>
          <cell r="AJ230">
            <v>0.46559453590799821</v>
          </cell>
          <cell r="AK230">
            <v>0.18888888888888888</v>
          </cell>
          <cell r="AL230">
            <v>0.16666666666666663</v>
          </cell>
          <cell r="AM230"/>
          <cell r="AN230" t="str">
            <v>WEKINO/HONTO</v>
          </cell>
          <cell r="AO230">
            <v>4.0000000000000001E-3</v>
          </cell>
          <cell r="AP230">
            <v>3.0529999999999999</v>
          </cell>
          <cell r="AQ230"/>
          <cell r="AR230">
            <v>0.16</v>
          </cell>
          <cell r="AS230">
            <v>3.073</v>
          </cell>
          <cell r="AT230">
            <v>3.2330000000000001</v>
          </cell>
          <cell r="AU230">
            <v>0.45793201133144479</v>
          </cell>
          <cell r="AV230">
            <v>0.41903508231719838</v>
          </cell>
          <cell r="AW230" t="str">
            <v>7x0.10BC RJ45  OD:4.8±0.3mm</v>
          </cell>
          <cell r="AX230" t="str">
            <v>863690 1100</v>
          </cell>
          <cell r="AZ230">
            <v>1.8623781436319928</v>
          </cell>
          <cell r="BA230">
            <v>1.1174268861791956</v>
          </cell>
          <cell r="BB230">
            <v>0.93118907181599642</v>
          </cell>
          <cell r="BC230">
            <v>0.74495125745279722</v>
          </cell>
        </row>
        <row r="231">
          <cell r="I231" t="str">
            <v>KPSLF6AZHSL1EF</v>
          </cell>
          <cell r="J231" t="str">
            <v>U0405020</v>
          </cell>
          <cell r="K231" t="str">
            <v>CAT6A PATCH CORD S/FTP GREY LSZH SLIM 1M</v>
          </cell>
          <cell r="L231" t="str">
            <v>CORDON DE BRASSAGE CAT6A S/FTP GRIS LSZH SLIM 1M</v>
          </cell>
          <cell r="M231" t="str">
            <v>Slim</v>
          </cell>
          <cell r="N231" t="str">
            <v>China</v>
          </cell>
          <cell r="O231"/>
          <cell r="P231" t="str">
            <v>1pc eco bag+10pcs PE bag+carton</v>
          </cell>
          <cell r="Q231" t="str">
            <v>3km of cable</v>
          </cell>
          <cell r="R231">
            <v>3200</v>
          </cell>
          <cell r="S231" t="e">
            <v>#N/A</v>
          </cell>
          <cell r="T231" t="str">
            <v>854442 1000</v>
          </cell>
          <cell r="U231">
            <v>0</v>
          </cell>
          <cell r="V231">
            <v>50</v>
          </cell>
          <cell r="W231">
            <v>45</v>
          </cell>
          <cell r="X231">
            <v>55</v>
          </cell>
          <cell r="Y231" t="str">
            <v>T/T 60 days</v>
          </cell>
          <cell r="Z231">
            <v>0.76584267918817195</v>
          </cell>
          <cell r="AA231">
            <v>0.68985815166071374</v>
          </cell>
          <cell r="AB231">
            <v>0.1</v>
          </cell>
          <cell r="AC231">
            <v>0.1</v>
          </cell>
          <cell r="AD231">
            <v>0.25</v>
          </cell>
          <cell r="AE231" t="str">
            <v>C</v>
          </cell>
          <cell r="AF231">
            <v>0.68985815166071374</v>
          </cell>
          <cell r="AG231">
            <v>0.25</v>
          </cell>
          <cell r="AH231" t="e">
            <v>#N/A</v>
          </cell>
          <cell r="AI231">
            <v>0.62118350645262832</v>
          </cell>
          <cell r="AJ231">
            <v>0.57488179305059472</v>
          </cell>
          <cell r="AK231">
            <v>0.18888888888888888</v>
          </cell>
          <cell r="AL231">
            <v>0.16666666666666674</v>
          </cell>
          <cell r="AM231"/>
          <cell r="AN231" t="str">
            <v>WEKINO/HONTO</v>
          </cell>
          <cell r="AO231">
            <v>8.9999999999999993E-3</v>
          </cell>
          <cell r="AP231">
            <v>3.742</v>
          </cell>
          <cell r="AQ231"/>
          <cell r="AR231">
            <v>0.16</v>
          </cell>
          <cell r="AS231">
            <v>3.7869999999999999</v>
          </cell>
          <cell r="AT231">
            <v>3.9470000000000001</v>
          </cell>
          <cell r="AU231">
            <v>0.55906515580736549</v>
          </cell>
          <cell r="AV231">
            <v>0.51739361374553527</v>
          </cell>
          <cell r="AW231" t="str">
            <v>7x0.10BC RJ45  OD:4.8±0.3mm</v>
          </cell>
          <cell r="AX231" t="str">
            <v>863690 1100</v>
          </cell>
          <cell r="AZ231">
            <v>2.2995271722023793</v>
          </cell>
          <cell r="BA231">
            <v>1.3797163033214275</v>
          </cell>
          <cell r="BB231">
            <v>1.1497635861011897</v>
          </cell>
          <cell r="BC231">
            <v>0.91981086888095176</v>
          </cell>
        </row>
        <row r="232">
          <cell r="I232" t="str">
            <v>KPSLF6AZHSL2EF</v>
          </cell>
          <cell r="J232" t="str">
            <v>U0405021</v>
          </cell>
          <cell r="K232" t="str">
            <v>CAT6A PATCH CORD S/FTP GREY LSZH SLIM 2M</v>
          </cell>
          <cell r="L232" t="str">
            <v>CORDON DE BRASSAGE CAT6A S/FTP GRIS LSZH SLIM 2M</v>
          </cell>
          <cell r="M232" t="str">
            <v>Slim</v>
          </cell>
          <cell r="N232" t="str">
            <v>China</v>
          </cell>
          <cell r="O232"/>
          <cell r="P232" t="str">
            <v>1pc eco bag+10pcs PE bag+carton</v>
          </cell>
          <cell r="Q232" t="str">
            <v>3km of cable</v>
          </cell>
          <cell r="R232">
            <v>2240</v>
          </cell>
          <cell r="S232" t="e">
            <v>#N/A</v>
          </cell>
          <cell r="T232" t="str">
            <v>854442 1000</v>
          </cell>
          <cell r="U232">
            <v>0</v>
          </cell>
          <cell r="V232">
            <v>50</v>
          </cell>
          <cell r="W232">
            <v>45</v>
          </cell>
          <cell r="X232">
            <v>55</v>
          </cell>
          <cell r="Y232" t="str">
            <v>T/T 60 days</v>
          </cell>
          <cell r="Z232">
            <v>1.0572781248787304</v>
          </cell>
          <cell r="AA232">
            <v>0.95437949782696674</v>
          </cell>
          <cell r="AB232">
            <v>0.1</v>
          </cell>
          <cell r="AC232">
            <v>0.1</v>
          </cell>
          <cell r="AD232">
            <v>0.25</v>
          </cell>
          <cell r="AE232" t="str">
            <v>C</v>
          </cell>
          <cell r="AF232">
            <v>0.95437949782696674</v>
          </cell>
          <cell r="AG232">
            <v>0.25</v>
          </cell>
          <cell r="AH232" t="e">
            <v>#N/A</v>
          </cell>
          <cell r="AI232">
            <v>0.85757003462385906</v>
          </cell>
          <cell r="AJ232">
            <v>0.79531624818913893</v>
          </cell>
          <cell r="AK232">
            <v>0.18888888888888888</v>
          </cell>
          <cell r="AL232">
            <v>0.16666666666666674</v>
          </cell>
          <cell r="AM232"/>
          <cell r="AN232" t="str">
            <v>WEKINO/HONTO</v>
          </cell>
          <cell r="AO232">
            <v>1.7000000000000001E-2</v>
          </cell>
          <cell r="AP232">
            <v>5.2039999999999997</v>
          </cell>
          <cell r="AQ232"/>
          <cell r="AR232">
            <v>0.16</v>
          </cell>
          <cell r="AS232">
            <v>5.2889999999999997</v>
          </cell>
          <cell r="AT232">
            <v>5.4489999999999998</v>
          </cell>
          <cell r="AU232">
            <v>0.77181303116147315</v>
          </cell>
          <cell r="AV232">
            <v>0.71578462337022508</v>
          </cell>
          <cell r="AW232" t="str">
            <v>7x0.10BC RJ45  OD:4.8±0.3mm</v>
          </cell>
          <cell r="AX232" t="str">
            <v>863690 1100</v>
          </cell>
          <cell r="AZ232">
            <v>3.1812649927565557</v>
          </cell>
          <cell r="BA232">
            <v>1.9087589956539333</v>
          </cell>
          <cell r="BB232">
            <v>1.5906324963782779</v>
          </cell>
          <cell r="BC232">
            <v>1.2725059971026225</v>
          </cell>
        </row>
        <row r="233">
          <cell r="I233" t="str">
            <v>KPSLF6AZHSL3EF</v>
          </cell>
          <cell r="J233" t="str">
            <v>U0405022</v>
          </cell>
          <cell r="K233" t="str">
            <v>CAT6A PATCH CORD S/FTP GREY LSZH SLIM 3M</v>
          </cell>
          <cell r="L233" t="str">
            <v>CORDON DE BRASSAGE CAT6A S/FTP GRIS LSZH SLIM 3M</v>
          </cell>
          <cell r="M233" t="str">
            <v>Slim</v>
          </cell>
          <cell r="N233" t="str">
            <v>China</v>
          </cell>
          <cell r="O233"/>
          <cell r="P233" t="str">
            <v>1pc eco bag+10pcs PE bag+carton</v>
          </cell>
          <cell r="Q233" t="str">
            <v>3km of cable</v>
          </cell>
          <cell r="R233">
            <v>1600</v>
          </cell>
          <cell r="S233" t="e">
            <v>#N/A</v>
          </cell>
          <cell r="T233" t="str">
            <v>854442 1000</v>
          </cell>
          <cell r="U233">
            <v>0</v>
          </cell>
          <cell r="V233">
            <v>50</v>
          </cell>
          <cell r="W233">
            <v>45</v>
          </cell>
          <cell r="X233">
            <v>55</v>
          </cell>
          <cell r="Y233" t="str">
            <v>T/T 60 days</v>
          </cell>
          <cell r="Z233">
            <v>1.3312507276184564</v>
          </cell>
          <cell r="AA233">
            <v>1.2100730796075052</v>
          </cell>
          <cell r="AB233">
            <v>0.1</v>
          </cell>
          <cell r="AC233">
            <v>0.1</v>
          </cell>
          <cell r="AD233">
            <v>0.25</v>
          </cell>
          <cell r="AE233" t="str">
            <v>C</v>
          </cell>
          <cell r="AF233">
            <v>1.2100730796075052</v>
          </cell>
          <cell r="AG233">
            <v>0.25</v>
          </cell>
          <cell r="AH233" t="e">
            <v>#N/A</v>
          </cell>
          <cell r="AI233">
            <v>1.0797922568460812</v>
          </cell>
          <cell r="AJ233">
            <v>1.0083942330062543</v>
          </cell>
          <cell r="AK233">
            <v>0.18888888888888899</v>
          </cell>
          <cell r="AL233">
            <v>0.16666666666666674</v>
          </cell>
          <cell r="AM233"/>
          <cell r="AN233" t="str">
            <v>WEKINO/HONTO</v>
          </cell>
          <cell r="AO233">
            <v>2.5000000000000001E-2</v>
          </cell>
          <cell r="AP233">
            <v>6.5759999999999996</v>
          </cell>
          <cell r="AQ233"/>
          <cell r="AR233">
            <v>0.16</v>
          </cell>
          <cell r="AS233">
            <v>6.7009999999999996</v>
          </cell>
          <cell r="AT233">
            <v>6.8609999999999998</v>
          </cell>
          <cell r="AU233">
            <v>0.97181303116147311</v>
          </cell>
          <cell r="AV233">
            <v>0.90755480970562885</v>
          </cell>
          <cell r="AW233" t="str">
            <v>7x0.10BC RJ45  OD:4.8±0.3mm</v>
          </cell>
          <cell r="AX233" t="str">
            <v>863690 1100</v>
          </cell>
          <cell r="AZ233">
            <v>4.0335769320250172</v>
          </cell>
          <cell r="BA233">
            <v>2.4201461592150104</v>
          </cell>
          <cell r="BB233">
            <v>2.0167884660125086</v>
          </cell>
          <cell r="BC233">
            <v>1.613430772810007</v>
          </cell>
        </row>
        <row r="234">
          <cell r="I234" t="str">
            <v>KPSLF6AZHSL5EF</v>
          </cell>
          <cell r="J234" t="str">
            <v>U0405023</v>
          </cell>
          <cell r="K234" t="str">
            <v>CAT6A PATCH CORD S/FTP GREY LSZH SLIM 5M</v>
          </cell>
          <cell r="L234" t="str">
            <v>CORDON DE BRASSAGE CAT6A S/FTP GRIS LSZH SLIM 5M</v>
          </cell>
          <cell r="M234" t="str">
            <v>Slim</v>
          </cell>
          <cell r="N234" t="str">
            <v>China</v>
          </cell>
          <cell r="O234"/>
          <cell r="P234" t="str">
            <v>1pc eco bag+10pcs PE bag+carton</v>
          </cell>
          <cell r="Q234" t="str">
            <v>3km of cable</v>
          </cell>
          <cell r="R234">
            <v>960</v>
          </cell>
          <cell r="S234" t="e">
            <v>#N/A</v>
          </cell>
          <cell r="T234" t="str">
            <v>854442 1000</v>
          </cell>
          <cell r="U234">
            <v>0</v>
          </cell>
          <cell r="V234">
            <v>50</v>
          </cell>
          <cell r="W234">
            <v>45</v>
          </cell>
          <cell r="X234">
            <v>55</v>
          </cell>
          <cell r="Y234" t="str">
            <v>T/T 60 days</v>
          </cell>
          <cell r="Z234">
            <v>1.8887034809266952</v>
          </cell>
          <cell r="AA234">
            <v>1.7374437191224976</v>
          </cell>
          <cell r="AB234">
            <v>0.1</v>
          </cell>
          <cell r="AC234">
            <v>0.1</v>
          </cell>
          <cell r="AD234">
            <v>0.25</v>
          </cell>
          <cell r="AE234" t="str">
            <v>C</v>
          </cell>
          <cell r="AF234">
            <v>1.7374437191224976</v>
          </cell>
          <cell r="AG234">
            <v>0.25</v>
          </cell>
          <cell r="AH234" t="e">
            <v>#N/A</v>
          </cell>
          <cell r="AI234">
            <v>1.531948378973875</v>
          </cell>
          <cell r="AJ234">
            <v>1.4478697659354147</v>
          </cell>
          <cell r="AK234">
            <v>0.18888888888888888</v>
          </cell>
          <cell r="AL234">
            <v>0.16666666666666663</v>
          </cell>
          <cell r="AM234"/>
          <cell r="AN234" t="str">
            <v>WEKINO/HONTO</v>
          </cell>
          <cell r="AO234">
            <v>4.2000000000000003E-2</v>
          </cell>
          <cell r="AP234">
            <v>9.3640000000000008</v>
          </cell>
          <cell r="AQ234"/>
          <cell r="AR234">
            <v>0.16</v>
          </cell>
          <cell r="AS234">
            <v>9.5740000000000016</v>
          </cell>
          <cell r="AT234">
            <v>9.7340000000000018</v>
          </cell>
          <cell r="AU234">
            <v>1.3787535410764875</v>
          </cell>
          <cell r="AV234">
            <v>1.3030827893418733</v>
          </cell>
          <cell r="AW234" t="str">
            <v>7x0.10BC RJ45  OD:4.8±0.3mm</v>
          </cell>
          <cell r="AX234" t="str">
            <v>863690 1100</v>
          </cell>
          <cell r="AZ234">
            <v>5.7914790637416589</v>
          </cell>
          <cell r="BA234">
            <v>3.4748874382449952</v>
          </cell>
          <cell r="BB234">
            <v>2.8957395318708294</v>
          </cell>
          <cell r="BC234">
            <v>2.3165916254966636</v>
          </cell>
        </row>
        <row r="235">
          <cell r="I235" t="str">
            <v>KPSLF6AZHSL10EF</v>
          </cell>
          <cell r="J235" t="str">
            <v>U0405019</v>
          </cell>
          <cell r="K235" t="str">
            <v>CAT6A PATCH CORD S/FTP GREY LSZH SLIM 10M</v>
          </cell>
          <cell r="L235" t="str">
            <v>CORDON DE BRASSAGE CAT6A S/FTP GRIS LSZH SLIM 10M</v>
          </cell>
          <cell r="M235" t="str">
            <v>Slim</v>
          </cell>
          <cell r="N235" t="str">
            <v>China</v>
          </cell>
          <cell r="O235"/>
          <cell r="P235" t="str">
            <v>1pc eco bag+10pcs PE bag+carton</v>
          </cell>
          <cell r="Q235" t="str">
            <v>3km of cable</v>
          </cell>
          <cell r="R235">
            <v>640</v>
          </cell>
          <cell r="S235" t="e">
            <v>#N/A</v>
          </cell>
          <cell r="T235" t="str">
            <v>854442 1000</v>
          </cell>
          <cell r="U235">
            <v>0</v>
          </cell>
          <cell r="V235">
            <v>50</v>
          </cell>
          <cell r="W235">
            <v>45</v>
          </cell>
          <cell r="X235">
            <v>55</v>
          </cell>
          <cell r="Y235" t="str">
            <v>T/T 60 days</v>
          </cell>
          <cell r="Z235">
            <v>3.1995808917691808</v>
          </cell>
          <cell r="AA235">
            <v>2.9163844069466691</v>
          </cell>
          <cell r="AB235">
            <v>0.1</v>
          </cell>
          <cell r="AC235">
            <v>0.1</v>
          </cell>
          <cell r="AD235">
            <v>0.25</v>
          </cell>
          <cell r="AE235" t="str">
            <v>C</v>
          </cell>
          <cell r="AF235">
            <v>2.9163844069466691</v>
          </cell>
          <cell r="AG235">
            <v>0.25</v>
          </cell>
          <cell r="AH235" t="e">
            <v>#N/A</v>
          </cell>
          <cell r="AI235">
            <v>2.5952156122127796</v>
          </cell>
          <cell r="AJ235">
            <v>2.4303203391222241</v>
          </cell>
          <cell r="AK235">
            <v>0.18888888888888899</v>
          </cell>
          <cell r="AL235">
            <v>0.16666666666666674</v>
          </cell>
          <cell r="AM235"/>
          <cell r="AN235" t="str">
            <v>WEKINO/HONTO</v>
          </cell>
          <cell r="AO235">
            <v>8.4000000000000005E-2</v>
          </cell>
          <cell r="AP235">
            <v>15.91</v>
          </cell>
          <cell r="AQ235"/>
          <cell r="AR235">
            <v>0.16</v>
          </cell>
          <cell r="AS235">
            <v>16.330000000000002</v>
          </cell>
          <cell r="AT235">
            <v>16.490000000000002</v>
          </cell>
          <cell r="AU235">
            <v>2.3356940509915018</v>
          </cell>
          <cell r="AV235">
            <v>2.1872883052100018</v>
          </cell>
          <cell r="AW235" t="str">
            <v>7x0.10BC RJ45  OD:4.8±0.3mm</v>
          </cell>
          <cell r="AX235" t="str">
            <v>863690 1100</v>
          </cell>
          <cell r="AZ235">
            <v>9.7212813564888982</v>
          </cell>
          <cell r="BA235">
            <v>5.8327688138933391</v>
          </cell>
          <cell r="BB235">
            <v>4.8606406782444491</v>
          </cell>
          <cell r="BC235">
            <v>3.8885125425955596</v>
          </cell>
        </row>
        <row r="236">
          <cell r="I236" t="str">
            <v>KPUU6AZH03EF</v>
          </cell>
          <cell r="J236" t="str">
            <v>U0406001</v>
          </cell>
          <cell r="K236" t="str">
            <v>CAT6A PATCH CORD U/UTP GREY LSZH 0.3M</v>
          </cell>
          <cell r="L236" t="str">
            <v>CORDON DE BRASSAGE CAT6A U/UTP GRIS LSZH 0,3M</v>
          </cell>
          <cell r="M236"/>
          <cell r="N236" t="str">
            <v>China</v>
          </cell>
          <cell r="O236"/>
          <cell r="P236" t="str">
            <v>1pc eco bag+10pcs PE bag+carton</v>
          </cell>
          <cell r="Q236" t="str">
            <v>3km of cable</v>
          </cell>
          <cell r="R236">
            <v>4800</v>
          </cell>
          <cell r="S236" t="e">
            <v>#N/A</v>
          </cell>
          <cell r="T236" t="str">
            <v>854442 1000</v>
          </cell>
          <cell r="U236">
            <v>0</v>
          </cell>
          <cell r="V236">
            <v>50</v>
          </cell>
          <cell r="W236">
            <v>45</v>
          </cell>
          <cell r="X236">
            <v>55</v>
          </cell>
          <cell r="Y236" t="str">
            <v>T/T 60 days</v>
          </cell>
          <cell r="Z236">
            <v>0.60673677674725446</v>
          </cell>
          <cell r="AA236">
            <v>0.54130571635806268</v>
          </cell>
          <cell r="AB236">
            <v>0.1</v>
          </cell>
          <cell r="AC236">
            <v>0.1</v>
          </cell>
          <cell r="AD236">
            <v>0.25</v>
          </cell>
          <cell r="AE236" t="str">
            <v>C</v>
          </cell>
          <cell r="AF236">
            <v>0.54130571635806268</v>
          </cell>
          <cell r="AG236">
            <v>0.25</v>
          </cell>
          <cell r="AH236" t="e">
            <v>#N/A</v>
          </cell>
          <cell r="AI236">
            <v>0.49213094113943973</v>
          </cell>
          <cell r="AJ236">
            <v>0.45108809696505225</v>
          </cell>
          <cell r="AK236">
            <v>0.18888888888888888</v>
          </cell>
          <cell r="AL236">
            <v>0.16666666666666663</v>
          </cell>
          <cell r="AM236"/>
          <cell r="AN236" t="str">
            <v>HONTO</v>
          </cell>
          <cell r="AO236">
            <v>1.4E-2</v>
          </cell>
          <cell r="AP236">
            <v>2.8969999999999998</v>
          </cell>
          <cell r="AQ236"/>
          <cell r="AR236">
            <v>0.16</v>
          </cell>
          <cell r="AS236">
            <v>2.9669999999999996</v>
          </cell>
          <cell r="AT236">
            <v>3.1269999999999998</v>
          </cell>
          <cell r="AU236">
            <v>0.44291784702549575</v>
          </cell>
          <cell r="AV236">
            <v>0.40597928726854704</v>
          </cell>
          <cell r="AW236" t="str">
            <v>7x0.17BC RJ45 OD:6.0±0.3mm</v>
          </cell>
          <cell r="AX236" t="str">
            <v>863690 1100</v>
          </cell>
          <cell r="AZ236">
            <v>1.804352387860209</v>
          </cell>
          <cell r="BA236">
            <v>1.0826114327161254</v>
          </cell>
          <cell r="BB236">
            <v>0.90217619393010451</v>
          </cell>
          <cell r="BC236">
            <v>0.72174095514408365</v>
          </cell>
        </row>
        <row r="237">
          <cell r="I237" t="str">
            <v>KPUU6AZH05EF</v>
          </cell>
          <cell r="J237" t="str">
            <v>U0406002</v>
          </cell>
          <cell r="K237" t="str">
            <v>CAT6A PATCH CORD U/UTP GREY LSZH 0.5M</v>
          </cell>
          <cell r="L237" t="str">
            <v>CORDON DE BRASSAGE CAT6A U/UTP GRIS LSZH 0,5M</v>
          </cell>
          <cell r="M237"/>
          <cell r="N237" t="str">
            <v>China</v>
          </cell>
          <cell r="O237"/>
          <cell r="P237" t="str">
            <v>1pc eco bag+10pcs PE bag+carton</v>
          </cell>
          <cell r="Q237" t="str">
            <v>3km of cable</v>
          </cell>
          <cell r="R237">
            <v>4800</v>
          </cell>
          <cell r="S237" t="e">
            <v>#N/A</v>
          </cell>
          <cell r="T237" t="str">
            <v>854442 1000</v>
          </cell>
          <cell r="U237">
            <v>0</v>
          </cell>
          <cell r="V237">
            <v>50</v>
          </cell>
          <cell r="W237">
            <v>45</v>
          </cell>
          <cell r="X237">
            <v>55</v>
          </cell>
          <cell r="Y237" t="str">
            <v>T/T 60 days</v>
          </cell>
          <cell r="Z237">
            <v>0.66999107454693629</v>
          </cell>
          <cell r="AA237">
            <v>0.5948426872493876</v>
          </cell>
          <cell r="AB237">
            <v>0.1</v>
          </cell>
          <cell r="AC237">
            <v>0.1</v>
          </cell>
          <cell r="AD237">
            <v>0.25</v>
          </cell>
          <cell r="AE237" t="str">
            <v>C</v>
          </cell>
          <cell r="AF237">
            <v>0.5948426872493876</v>
          </cell>
          <cell r="AG237">
            <v>0.25</v>
          </cell>
          <cell r="AH237" t="e">
            <v>#N/A</v>
          </cell>
          <cell r="AI237">
            <v>0.54343720491029279</v>
          </cell>
          <cell r="AJ237">
            <v>0.49570223937448971</v>
          </cell>
          <cell r="AK237">
            <v>0.18888888888888888</v>
          </cell>
          <cell r="AL237">
            <v>0.16666666666666663</v>
          </cell>
          <cell r="AM237"/>
          <cell r="AN237" t="str">
            <v>HONTO</v>
          </cell>
          <cell r="AO237">
            <v>1.4E-2</v>
          </cell>
          <cell r="AP237">
            <v>3.2229999999999999</v>
          </cell>
          <cell r="AQ237"/>
          <cell r="AR237">
            <v>0.16</v>
          </cell>
          <cell r="AS237">
            <v>3.2929999999999997</v>
          </cell>
          <cell r="AT237">
            <v>3.4529999999999998</v>
          </cell>
          <cell r="AU237">
            <v>0.48909348441926348</v>
          </cell>
          <cell r="AV237">
            <v>0.44613201543704073</v>
          </cell>
          <cell r="AW237" t="str">
            <v>7x0.17BC RJ45 OD:6.0±0.3mm</v>
          </cell>
          <cell r="AX237" t="str">
            <v>863690 1100</v>
          </cell>
          <cell r="AZ237">
            <v>1.9828089574979588</v>
          </cell>
          <cell r="BA237">
            <v>1.1896853744987752</v>
          </cell>
          <cell r="BB237">
            <v>0.99140447874897941</v>
          </cell>
          <cell r="BC237">
            <v>0.79312358299918362</v>
          </cell>
        </row>
        <row r="238">
          <cell r="I238" t="str">
            <v>KPUU6AZH1EF</v>
          </cell>
          <cell r="J238" t="str">
            <v>U0406004</v>
          </cell>
          <cell r="K238" t="str">
            <v>CAT6A PATCH CORD U/UTP GREY LSZH 1M</v>
          </cell>
          <cell r="L238" t="str">
            <v>CORDON DE BRASSAGE CAT6A U/UTP GRIS LSZH 1M</v>
          </cell>
          <cell r="M238"/>
          <cell r="N238" t="str">
            <v>China</v>
          </cell>
          <cell r="O238"/>
          <cell r="P238" t="str">
            <v>1pc eco bag+10pcs PE bag+carton</v>
          </cell>
          <cell r="Q238" t="str">
            <v>3km of cable</v>
          </cell>
          <cell r="R238">
            <v>3200</v>
          </cell>
          <cell r="S238" t="e">
            <v>#N/A</v>
          </cell>
          <cell r="T238" t="str">
            <v>854442 1000</v>
          </cell>
          <cell r="U238">
            <v>0</v>
          </cell>
          <cell r="V238">
            <v>50</v>
          </cell>
          <cell r="W238">
            <v>45</v>
          </cell>
          <cell r="X238">
            <v>55</v>
          </cell>
          <cell r="Y238" t="str">
            <v>T/T 60 days</v>
          </cell>
          <cell r="Z238">
            <v>0.72490201404788712</v>
          </cell>
          <cell r="AA238">
            <v>0.65520692203473352</v>
          </cell>
          <cell r="AB238">
            <v>0.1</v>
          </cell>
          <cell r="AC238">
            <v>0.1</v>
          </cell>
          <cell r="AD238">
            <v>0.25</v>
          </cell>
          <cell r="AE238" t="str">
            <v>C</v>
          </cell>
          <cell r="AF238">
            <v>0.65520692203473352</v>
          </cell>
          <cell r="AG238">
            <v>0.25</v>
          </cell>
          <cell r="AH238" t="e">
            <v>#N/A</v>
          </cell>
          <cell r="AI238">
            <v>0.587976078061064</v>
          </cell>
          <cell r="AJ238">
            <v>0.54600576836227788</v>
          </cell>
          <cell r="AK238">
            <v>0.18888888888888888</v>
          </cell>
          <cell r="AL238">
            <v>0.16666666666666674</v>
          </cell>
          <cell r="AM238"/>
          <cell r="AN238" t="str">
            <v>HONTO</v>
          </cell>
          <cell r="AO238">
            <v>2.8000000000000001E-2</v>
          </cell>
          <cell r="AP238">
            <v>3.4359999999999999</v>
          </cell>
          <cell r="AQ238"/>
          <cell r="AR238">
            <v>0.16</v>
          </cell>
          <cell r="AS238">
            <v>3.5760000000000001</v>
          </cell>
          <cell r="AT238">
            <v>3.7360000000000002</v>
          </cell>
          <cell r="AU238">
            <v>0.52917847025495757</v>
          </cell>
          <cell r="AV238">
            <v>0.49140519152605011</v>
          </cell>
          <cell r="AW238" t="str">
            <v>7x0.17BC RJ45 OD:6.0±0.3mm</v>
          </cell>
          <cell r="AX238" t="str">
            <v>863690 1100</v>
          </cell>
          <cell r="AZ238">
            <v>2.184023073449112</v>
          </cell>
          <cell r="BA238">
            <v>1.310413844069467</v>
          </cell>
          <cell r="BB238">
            <v>1.092011536724556</v>
          </cell>
          <cell r="BC238">
            <v>0.8736092293796448</v>
          </cell>
        </row>
        <row r="239">
          <cell r="I239" t="str">
            <v>KPUU6AZH2EF</v>
          </cell>
          <cell r="J239" t="str">
            <v>U0406005</v>
          </cell>
          <cell r="K239" t="str">
            <v>CAT6A PATCH CORD U/UTP GREY LSZH 2M</v>
          </cell>
          <cell r="L239" t="str">
            <v>CORDON DE BRASSAGE CAT6A U/UTP GRIS LSZH 2M</v>
          </cell>
          <cell r="M239"/>
          <cell r="N239" t="str">
            <v>China</v>
          </cell>
          <cell r="O239"/>
          <cell r="P239" t="str">
            <v>1pc eco bag+10pcs PE bag+carton</v>
          </cell>
          <cell r="Q239" t="str">
            <v>3km of cable</v>
          </cell>
          <cell r="R239">
            <v>2240</v>
          </cell>
          <cell r="S239" t="e">
            <v>#N/A</v>
          </cell>
          <cell r="T239" t="str">
            <v>854442 1000</v>
          </cell>
          <cell r="U239">
            <v>0</v>
          </cell>
          <cell r="V239">
            <v>50</v>
          </cell>
          <cell r="W239">
            <v>45</v>
          </cell>
          <cell r="X239">
            <v>55</v>
          </cell>
          <cell r="Y239" t="str">
            <v>T/T 60 days</v>
          </cell>
          <cell r="Z239">
            <v>1.0644572936474059</v>
          </cell>
          <cell r="AA239">
            <v>0.96045577979929531</v>
          </cell>
          <cell r="AB239">
            <v>0.1</v>
          </cell>
          <cell r="AC239">
            <v>0.1</v>
          </cell>
          <cell r="AD239">
            <v>0.25</v>
          </cell>
          <cell r="AE239" t="str">
            <v>C</v>
          </cell>
          <cell r="AF239">
            <v>0.96045577979929531</v>
          </cell>
          <cell r="AG239">
            <v>0.25</v>
          </cell>
          <cell r="AH239" t="e">
            <v>#N/A</v>
          </cell>
          <cell r="AI239">
            <v>0.86339313818067376</v>
          </cell>
          <cell r="AJ239">
            <v>0.8003798164994127</v>
          </cell>
          <cell r="AK239">
            <v>0.18888888888888888</v>
          </cell>
          <cell r="AL239">
            <v>0.16666666666666674</v>
          </cell>
          <cell r="AM239"/>
          <cell r="AN239" t="str">
            <v>HONTO</v>
          </cell>
          <cell r="AO239">
            <v>5.7000000000000002E-2</v>
          </cell>
          <cell r="AP239">
            <v>5.0410000000000004</v>
          </cell>
          <cell r="AQ239"/>
          <cell r="AR239">
            <v>0.16</v>
          </cell>
          <cell r="AS239">
            <v>5.3260000000000005</v>
          </cell>
          <cell r="AT239">
            <v>5.4860000000000007</v>
          </cell>
          <cell r="AU239">
            <v>0.77705382436260639</v>
          </cell>
          <cell r="AV239">
            <v>0.72034183484947145</v>
          </cell>
          <cell r="AW239" t="str">
            <v>7x0.17BC RJ45 OD:6.0±0.3mm</v>
          </cell>
          <cell r="AX239" t="str">
            <v>863690 1100</v>
          </cell>
          <cell r="AZ239">
            <v>3.2015192659976512</v>
          </cell>
          <cell r="BA239">
            <v>1.9209115595985906</v>
          </cell>
          <cell r="BB239">
            <v>1.6007596329988256</v>
          </cell>
          <cell r="BC239">
            <v>1.2806077063990606</v>
          </cell>
        </row>
        <row r="240">
          <cell r="I240" t="str">
            <v>KPUU6AZH3EF</v>
          </cell>
          <cell r="J240" t="str">
            <v>U0406006</v>
          </cell>
          <cell r="K240" t="str">
            <v>CAT6A PATCH CORD U/UTP GREY LSZH 3M</v>
          </cell>
          <cell r="L240" t="str">
            <v>CORDON DE BRASSAGE CAT6A U/UTP GRIS LSZH 3M</v>
          </cell>
          <cell r="M240"/>
          <cell r="N240" t="str">
            <v>China</v>
          </cell>
          <cell r="O240"/>
          <cell r="P240" t="str">
            <v>1pc eco bag+10pcs PE bag+carton</v>
          </cell>
          <cell r="Q240" t="str">
            <v>3km of cable</v>
          </cell>
          <cell r="R240">
            <v>1600</v>
          </cell>
          <cell r="S240" t="e">
            <v>#N/A</v>
          </cell>
          <cell r="T240" t="str">
            <v>854442 1000</v>
          </cell>
          <cell r="U240">
            <v>0</v>
          </cell>
          <cell r="V240">
            <v>50</v>
          </cell>
          <cell r="W240">
            <v>45</v>
          </cell>
          <cell r="X240">
            <v>55</v>
          </cell>
          <cell r="Y240" t="str">
            <v>T/T 60 days</v>
          </cell>
          <cell r="Z240">
            <v>1.3946990570064808</v>
          </cell>
          <cell r="AA240">
            <v>1.2637742743359199</v>
          </cell>
          <cell r="AB240">
            <v>0.1</v>
          </cell>
          <cell r="AC240">
            <v>0.1</v>
          </cell>
          <cell r="AD240">
            <v>0.25</v>
          </cell>
          <cell r="AE240" t="str">
            <v>C</v>
          </cell>
          <cell r="AF240">
            <v>1.2637742743359199</v>
          </cell>
          <cell r="AG240">
            <v>0.25</v>
          </cell>
          <cell r="AH240" t="e">
            <v>#N/A</v>
          </cell>
          <cell r="AI240">
            <v>1.1312559017941455</v>
          </cell>
          <cell r="AJ240">
            <v>1.0531452286132665</v>
          </cell>
          <cell r="AK240">
            <v>0.18888888888888888</v>
          </cell>
          <cell r="AL240">
            <v>0.16666666666666674</v>
          </cell>
          <cell r="AM240"/>
          <cell r="AN240" t="str">
            <v>HONTO</v>
          </cell>
          <cell r="AO240">
            <v>8.5000000000000006E-2</v>
          </cell>
          <cell r="AP240">
            <v>6.6029999999999998</v>
          </cell>
          <cell r="AQ240"/>
          <cell r="AR240">
            <v>0.16</v>
          </cell>
          <cell r="AS240">
            <v>7.0279999999999996</v>
          </cell>
          <cell r="AT240">
            <v>7.1879999999999997</v>
          </cell>
          <cell r="AU240">
            <v>1.0181303116147309</v>
          </cell>
          <cell r="AV240">
            <v>0.94783070575193995</v>
          </cell>
          <cell r="AW240" t="str">
            <v>7x0.17BC RJ45 OD:6.0±0.3mm</v>
          </cell>
          <cell r="AX240" t="str">
            <v>863690 1100</v>
          </cell>
          <cell r="AZ240">
            <v>4.212580914453067</v>
          </cell>
          <cell r="BA240">
            <v>2.5275485486718403</v>
          </cell>
          <cell r="BB240">
            <v>2.1062904572265335</v>
          </cell>
          <cell r="BC240">
            <v>1.6850323657812269</v>
          </cell>
        </row>
        <row r="241">
          <cell r="I241" t="str">
            <v>KPUU6AZH5EF</v>
          </cell>
          <cell r="J241" t="str">
            <v>U0406007</v>
          </cell>
          <cell r="K241" t="str">
            <v>CAT6A PATCH CORD U/UTP GREY LSZH 5M</v>
          </cell>
          <cell r="L241" t="str">
            <v>CORDON DE BRASSAGE CAT6A U/UTP GRIS LSZH 5M</v>
          </cell>
          <cell r="M241"/>
          <cell r="N241" t="str">
            <v>China</v>
          </cell>
          <cell r="O241"/>
          <cell r="P241" t="str">
            <v>1pc eco bag+10pcs PE bag+carton</v>
          </cell>
          <cell r="Q241" t="str">
            <v>3km of cable</v>
          </cell>
          <cell r="R241">
            <v>960</v>
          </cell>
          <cell r="S241" t="e">
            <v>#N/A</v>
          </cell>
          <cell r="T241" t="str">
            <v>854442 1000</v>
          </cell>
          <cell r="U241">
            <v>0</v>
          </cell>
          <cell r="V241">
            <v>50</v>
          </cell>
          <cell r="W241">
            <v>45</v>
          </cell>
          <cell r="X241">
            <v>55</v>
          </cell>
          <cell r="Y241" t="str">
            <v>T/T 60 days</v>
          </cell>
          <cell r="Z241">
            <v>2.0974814699833133</v>
          </cell>
          <cell r="AA241">
            <v>1.9141485678312877</v>
          </cell>
          <cell r="AB241">
            <v>0.1</v>
          </cell>
          <cell r="AC241">
            <v>0.1</v>
          </cell>
          <cell r="AD241">
            <v>0.25</v>
          </cell>
          <cell r="AE241" t="str">
            <v>C</v>
          </cell>
          <cell r="AF241">
            <v>1.9141485678312877</v>
          </cell>
          <cell r="AG241">
            <v>0.25</v>
          </cell>
          <cell r="AH241" t="e">
            <v>#N/A</v>
          </cell>
          <cell r="AI241">
            <v>1.7012905256531319</v>
          </cell>
          <cell r="AJ241">
            <v>1.5951238065260731</v>
          </cell>
          <cell r="AK241">
            <v>0.18888888888888888</v>
          </cell>
          <cell r="AL241">
            <v>0.16666666666666663</v>
          </cell>
          <cell r="AM241"/>
          <cell r="AN241" t="str">
            <v>HONTO</v>
          </cell>
          <cell r="AO241">
            <v>0.14199999999999999</v>
          </cell>
          <cell r="AP241">
            <v>9.94</v>
          </cell>
          <cell r="AQ241"/>
          <cell r="AR241">
            <v>0.16</v>
          </cell>
          <cell r="AS241">
            <v>10.649999999999999</v>
          </cell>
          <cell r="AT241">
            <v>10.809999999999999</v>
          </cell>
          <cell r="AU241">
            <v>1.5311614730878187</v>
          </cell>
          <cell r="AV241">
            <v>1.4356114258734658</v>
          </cell>
          <cell r="AW241" t="str">
            <v>7x0.17BC RJ45 OD:6.0±0.3mm</v>
          </cell>
          <cell r="AX241" t="str">
            <v>863690 1100</v>
          </cell>
          <cell r="AZ241">
            <v>6.3804952261042924</v>
          </cell>
          <cell r="BA241">
            <v>3.8282971356625755</v>
          </cell>
          <cell r="BB241">
            <v>3.1902476130521462</v>
          </cell>
          <cell r="BC241">
            <v>2.552198090441717</v>
          </cell>
        </row>
        <row r="242">
          <cell r="I242" t="str">
            <v>KPUU6AZH10EF</v>
          </cell>
          <cell r="J242" t="str">
            <v>U0406003</v>
          </cell>
          <cell r="K242" t="str">
            <v>CAT6A PATCH CORD U/UTP GREY LSZH 10M</v>
          </cell>
          <cell r="L242" t="str">
            <v>CORDON DE BRASSAGE CAT6A U/UTP GRIS LSZH 10M</v>
          </cell>
          <cell r="M242"/>
          <cell r="N242" t="str">
            <v>China</v>
          </cell>
          <cell r="O242"/>
          <cell r="P242" t="str">
            <v>1pc eco bag+10pcs PE bag+carton</v>
          </cell>
          <cell r="Q242" t="str">
            <v>3km of cable</v>
          </cell>
          <cell r="R242">
            <v>640</v>
          </cell>
          <cell r="S242" t="e">
            <v>#N/A</v>
          </cell>
          <cell r="T242" t="str">
            <v>854442 1000</v>
          </cell>
          <cell r="U242">
            <v>0</v>
          </cell>
          <cell r="V242">
            <v>50</v>
          </cell>
          <cell r="W242">
            <v>45</v>
          </cell>
          <cell r="X242">
            <v>55</v>
          </cell>
          <cell r="Y242" t="str">
            <v>T/T 60 days</v>
          </cell>
          <cell r="Z242">
            <v>3.7917652993907409</v>
          </cell>
          <cell r="AA242">
            <v>3.4175955577452068</v>
          </cell>
          <cell r="AB242">
            <v>0.1</v>
          </cell>
          <cell r="AC242">
            <v>0.1</v>
          </cell>
          <cell r="AD242">
            <v>0.25</v>
          </cell>
          <cell r="AE242" t="str">
            <v>C</v>
          </cell>
          <cell r="AF242">
            <v>3.4175955577452068</v>
          </cell>
          <cell r="AG242">
            <v>0.25</v>
          </cell>
          <cell r="AH242" t="e">
            <v>#N/A</v>
          </cell>
          <cell r="AI242">
            <v>3.0755429650613788</v>
          </cell>
          <cell r="AJ242">
            <v>2.8479962981210059</v>
          </cell>
          <cell r="AK242">
            <v>0.18888888888888888</v>
          </cell>
          <cell r="AL242">
            <v>0.16666666666666663</v>
          </cell>
          <cell r="AM242"/>
          <cell r="AN242" t="str">
            <v>HONTO</v>
          </cell>
          <cell r="AO242">
            <v>0.29799999999999999</v>
          </cell>
          <cell r="AP242">
            <v>17.891999999999999</v>
          </cell>
          <cell r="AQ242"/>
          <cell r="AR242">
            <v>0.16</v>
          </cell>
          <cell r="AS242">
            <v>19.381999999999998</v>
          </cell>
          <cell r="AT242">
            <v>19.541999999999998</v>
          </cell>
          <cell r="AU242">
            <v>2.7679886685552408</v>
          </cell>
          <cell r="AV242">
            <v>2.5631966683089051</v>
          </cell>
          <cell r="AW242" t="str">
            <v>7x0.17BC RJ45 OD:6.0±0.3mm</v>
          </cell>
          <cell r="AX242" t="str">
            <v>863690 1100</v>
          </cell>
          <cell r="AZ242">
            <v>11.391985192484023</v>
          </cell>
          <cell r="BA242">
            <v>6.8351911154904137</v>
          </cell>
          <cell r="BB242">
            <v>5.6959925962420117</v>
          </cell>
          <cell r="BC242">
            <v>4.5567940769936097</v>
          </cell>
        </row>
        <row r="243">
          <cell r="I243" t="str">
            <v>KPUU6AZHSL03EF</v>
          </cell>
          <cell r="J243" t="str">
            <v>U0406008</v>
          </cell>
          <cell r="K243" t="str">
            <v>CAT6A PATCH CORD U/UTP GREY LSZH SLIM 0.3M</v>
          </cell>
          <cell r="L243" t="str">
            <v>CORDON DE BRASSAGE CAT6A U/UTP GRIS LSZH SLIM 0,3M</v>
          </cell>
          <cell r="M243" t="str">
            <v>Slim</v>
          </cell>
          <cell r="N243" t="str">
            <v>China</v>
          </cell>
          <cell r="O243"/>
          <cell r="P243" t="str">
            <v>1pc eco bag+10pcs PE bag+carton</v>
          </cell>
          <cell r="Q243" t="str">
            <v>3km of cable</v>
          </cell>
          <cell r="R243">
            <v>4800</v>
          </cell>
          <cell r="S243" t="e">
            <v>#N/A</v>
          </cell>
          <cell r="T243" t="str">
            <v>854442 1000</v>
          </cell>
          <cell r="U243">
            <v>0</v>
          </cell>
          <cell r="V243">
            <v>50</v>
          </cell>
          <cell r="W243">
            <v>45</v>
          </cell>
          <cell r="X243">
            <v>55</v>
          </cell>
          <cell r="Y243" t="str">
            <v>T/T 60 days</v>
          </cell>
          <cell r="Z243">
            <v>0.66145368465986276</v>
          </cell>
          <cell r="AA243">
            <v>0.58761683841742973</v>
          </cell>
          <cell r="AB243">
            <v>0.1</v>
          </cell>
          <cell r="AC243">
            <v>0.1</v>
          </cell>
          <cell r="AD243">
            <v>0.25</v>
          </cell>
          <cell r="AE243" t="str">
            <v>C</v>
          </cell>
          <cell r="AF243">
            <v>0.58761683841742973</v>
          </cell>
          <cell r="AG243">
            <v>0.25</v>
          </cell>
          <cell r="AH243" t="e">
            <v>#N/A</v>
          </cell>
          <cell r="AI243">
            <v>0.53651243311299979</v>
          </cell>
          <cell r="AJ243">
            <v>0.48968069868119141</v>
          </cell>
          <cell r="AK243">
            <v>0.18888888888888888</v>
          </cell>
          <cell r="AL243">
            <v>0.16666666666666674</v>
          </cell>
          <cell r="AM243"/>
          <cell r="AN243" t="str">
            <v>HONTO</v>
          </cell>
          <cell r="AO243">
            <v>4.0000000000000001E-3</v>
          </cell>
          <cell r="AP243">
            <v>3.2290000000000001</v>
          </cell>
          <cell r="AQ243"/>
          <cell r="AR243">
            <v>0.16</v>
          </cell>
          <cell r="AS243">
            <v>3.2490000000000001</v>
          </cell>
          <cell r="AT243">
            <v>3.4090000000000003</v>
          </cell>
          <cell r="AU243">
            <v>0.48286118980169979</v>
          </cell>
          <cell r="AV243">
            <v>0.44071262881307227</v>
          </cell>
          <cell r="AW243" t="str">
            <v>7X0.12±0.008 OD:3.8±0.3mm</v>
          </cell>
          <cell r="AX243" t="str">
            <v>863690 1100</v>
          </cell>
          <cell r="AZ243">
            <v>1.9587227947247658</v>
          </cell>
          <cell r="BA243">
            <v>1.1752336768348595</v>
          </cell>
          <cell r="BB243">
            <v>0.97936139736238292</v>
          </cell>
          <cell r="BC243">
            <v>0.78348911788990638</v>
          </cell>
        </row>
        <row r="244">
          <cell r="I244" t="str">
            <v>KPUU6AZHSL05EF</v>
          </cell>
          <cell r="J244" t="str">
            <v>U0406009</v>
          </cell>
          <cell r="K244" t="str">
            <v>CAT6A PATCH CORD U/UTP GREY LSZH SLIM 0.5M</v>
          </cell>
          <cell r="L244" t="str">
            <v>CORDON DE BRASSAGE CAT6A U/UTP GRIS LSZH SLIM 0,5M</v>
          </cell>
          <cell r="M244" t="str">
            <v>Slim</v>
          </cell>
          <cell r="N244" t="str">
            <v>China</v>
          </cell>
          <cell r="O244"/>
          <cell r="P244" t="str">
            <v>1pc eco bag+10pcs PE bag+carton</v>
          </cell>
          <cell r="Q244" t="str">
            <v>3km of cable</v>
          </cell>
          <cell r="R244">
            <v>4800</v>
          </cell>
          <cell r="S244" t="e">
            <v>#N/A</v>
          </cell>
          <cell r="T244" t="str">
            <v>854442 1000</v>
          </cell>
          <cell r="U244">
            <v>0</v>
          </cell>
          <cell r="V244">
            <v>50</v>
          </cell>
          <cell r="W244">
            <v>45</v>
          </cell>
          <cell r="X244">
            <v>55</v>
          </cell>
          <cell r="Y244" t="str">
            <v>T/T 60 days</v>
          </cell>
          <cell r="Z244">
            <v>0.71287205557064703</v>
          </cell>
          <cell r="AA244">
            <v>0.63113615524626743</v>
          </cell>
          <cell r="AB244">
            <v>0.1</v>
          </cell>
          <cell r="AC244">
            <v>0.1</v>
          </cell>
          <cell r="AD244">
            <v>0.25</v>
          </cell>
          <cell r="AE244" t="str">
            <v>C</v>
          </cell>
          <cell r="AF244">
            <v>0.63113615524626743</v>
          </cell>
          <cell r="AG244">
            <v>0.25</v>
          </cell>
          <cell r="AH244" t="e">
            <v>#N/A</v>
          </cell>
          <cell r="AI244">
            <v>0.57821844507396924</v>
          </cell>
          <cell r="AJ244">
            <v>0.52594679603855621</v>
          </cell>
          <cell r="AK244">
            <v>0.18888888888888888</v>
          </cell>
          <cell r="AL244">
            <v>0.16666666666666663</v>
          </cell>
          <cell r="AM244"/>
          <cell r="AN244" t="str">
            <v>HONTO</v>
          </cell>
          <cell r="AO244">
            <v>7.0000000000000001E-3</v>
          </cell>
          <cell r="AP244">
            <v>3.4790000000000001</v>
          </cell>
          <cell r="AQ244"/>
          <cell r="AR244">
            <v>0.16</v>
          </cell>
          <cell r="AS244">
            <v>3.5140000000000002</v>
          </cell>
          <cell r="AT244">
            <v>3.6740000000000004</v>
          </cell>
          <cell r="AU244">
            <v>0.52039660056657233</v>
          </cell>
          <cell r="AV244">
            <v>0.4733521164347006</v>
          </cell>
          <cell r="AW244" t="str">
            <v>7X0.12±0.008 OD:3.8±0.3mm</v>
          </cell>
          <cell r="AX244" t="str">
            <v>863690 1100</v>
          </cell>
          <cell r="AZ244">
            <v>2.1037871841542248</v>
          </cell>
          <cell r="BA244">
            <v>1.2622723104925349</v>
          </cell>
          <cell r="BB244">
            <v>1.0518935920771124</v>
          </cell>
          <cell r="BC244">
            <v>0.84151487366168998</v>
          </cell>
        </row>
        <row r="245">
          <cell r="I245" t="str">
            <v>KPUU6AZHSL1EF</v>
          </cell>
          <cell r="J245" t="str">
            <v>U0406011</v>
          </cell>
          <cell r="K245" t="str">
            <v>CAT6A PATCH CORD U/UTP GREY LSZH SLIM 1M</v>
          </cell>
          <cell r="L245" t="str">
            <v>CORDON DE BRASSAGE CAT6A U/UTP GRIS LSZH SLIM 1M</v>
          </cell>
          <cell r="M245" t="str">
            <v>Slim</v>
          </cell>
          <cell r="N245" t="str">
            <v>China</v>
          </cell>
          <cell r="O245"/>
          <cell r="P245" t="str">
            <v>1pc eco bag+10pcs PE bag+carton</v>
          </cell>
          <cell r="Q245" t="str">
            <v>3km of cable</v>
          </cell>
          <cell r="R245">
            <v>3200</v>
          </cell>
          <cell r="S245" t="e">
            <v>#N/A</v>
          </cell>
          <cell r="T245" t="str">
            <v>854442 1000</v>
          </cell>
          <cell r="U245">
            <v>0</v>
          </cell>
          <cell r="V245">
            <v>50</v>
          </cell>
          <cell r="W245">
            <v>45</v>
          </cell>
          <cell r="X245">
            <v>55</v>
          </cell>
          <cell r="Y245" t="str">
            <v>T/T 60 days</v>
          </cell>
          <cell r="Z245">
            <v>0.79921611238309598</v>
          </cell>
          <cell r="AA245">
            <v>0.71810465164018566</v>
          </cell>
          <cell r="AB245">
            <v>0.1</v>
          </cell>
          <cell r="AC245">
            <v>0.1</v>
          </cell>
          <cell r="AD245">
            <v>0.25</v>
          </cell>
          <cell r="AE245" t="str">
            <v>C</v>
          </cell>
          <cell r="AF245">
            <v>0.71810465164018566</v>
          </cell>
          <cell r="AG245">
            <v>0.25</v>
          </cell>
          <cell r="AH245" t="e">
            <v>#N/A</v>
          </cell>
          <cell r="AI245">
            <v>0.64825306893295565</v>
          </cell>
          <cell r="AJ245">
            <v>0.59842054303348802</v>
          </cell>
          <cell r="AK245">
            <v>0.18888888888888888</v>
          </cell>
          <cell r="AL245">
            <v>0.16666666666666674</v>
          </cell>
          <cell r="AM245"/>
          <cell r="AN245" t="str">
            <v>HONTO</v>
          </cell>
          <cell r="AO245">
            <v>1.4E-2</v>
          </cell>
          <cell r="AP245">
            <v>3.8889999999999998</v>
          </cell>
          <cell r="AQ245"/>
          <cell r="AR245">
            <v>0.16</v>
          </cell>
          <cell r="AS245">
            <v>3.9589999999999996</v>
          </cell>
          <cell r="AT245">
            <v>4.1189999999999998</v>
          </cell>
          <cell r="AU245">
            <v>0.58342776203966007</v>
          </cell>
          <cell r="AV245">
            <v>0.53857848873013925</v>
          </cell>
          <cell r="AW245" t="str">
            <v>7X0.12±0.008 OD:3.8±0.3mm</v>
          </cell>
          <cell r="AX245" t="str">
            <v>863690 1100</v>
          </cell>
          <cell r="AZ245">
            <v>2.3936821721339525</v>
          </cell>
          <cell r="BA245">
            <v>1.4362093032803716</v>
          </cell>
          <cell r="BB245">
            <v>1.1968410860669763</v>
          </cell>
          <cell r="BC245">
            <v>0.95747286885358107</v>
          </cell>
        </row>
        <row r="246">
          <cell r="I246" t="str">
            <v>KPUU6AZHSL2EF</v>
          </cell>
          <cell r="J246" t="str">
            <v>U0406012</v>
          </cell>
          <cell r="K246" t="str">
            <v>CAT6A PATCH CORD U/UTP GREY LSZH SLIM 2M</v>
          </cell>
          <cell r="L246" t="str">
            <v>CORDON DE BRASSAGE CAT6A U/UTP GRIS LSZH SLIM 2M</v>
          </cell>
          <cell r="M246" t="str">
            <v>Slim</v>
          </cell>
          <cell r="N246" t="str">
            <v>China</v>
          </cell>
          <cell r="O246"/>
          <cell r="P246" t="str">
            <v>1pc eco bag+10pcs PE bag+carton</v>
          </cell>
          <cell r="Q246" t="str">
            <v>3km of cable</v>
          </cell>
          <cell r="R246">
            <v>2240</v>
          </cell>
          <cell r="S246" t="e">
            <v>#N/A</v>
          </cell>
          <cell r="T246" t="str">
            <v>854442 1000</v>
          </cell>
          <cell r="U246">
            <v>0</v>
          </cell>
          <cell r="V246">
            <v>50</v>
          </cell>
          <cell r="W246">
            <v>45</v>
          </cell>
          <cell r="X246">
            <v>55</v>
          </cell>
          <cell r="Y246" t="str">
            <v>T/T 60 days</v>
          </cell>
          <cell r="Z246">
            <v>1.0378749660444722</v>
          </cell>
          <cell r="AA246">
            <v>0.93795711411797145</v>
          </cell>
          <cell r="AB246">
            <v>0.1</v>
          </cell>
          <cell r="AC246">
            <v>0.1</v>
          </cell>
          <cell r="AD246">
            <v>0.25</v>
          </cell>
          <cell r="AE246" t="str">
            <v>C</v>
          </cell>
          <cell r="AF246">
            <v>0.93795711411797145</v>
          </cell>
          <cell r="AG246">
            <v>0.25</v>
          </cell>
          <cell r="AH246" t="e">
            <v>#N/A</v>
          </cell>
          <cell r="AI246">
            <v>0.8418319169027384</v>
          </cell>
          <cell r="AJ246">
            <v>0.78163092843164284</v>
          </cell>
          <cell r="AK246">
            <v>0.18888888888888899</v>
          </cell>
          <cell r="AL246">
            <v>0.16666666666666674</v>
          </cell>
          <cell r="AM246"/>
          <cell r="AN246" t="str">
            <v>HONTO</v>
          </cell>
          <cell r="AO246">
            <v>2.8000000000000001E-2</v>
          </cell>
          <cell r="AP246">
            <v>5.0490000000000004</v>
          </cell>
          <cell r="AQ246"/>
          <cell r="AR246">
            <v>0.16</v>
          </cell>
          <cell r="AS246">
            <v>5.1890000000000001</v>
          </cell>
          <cell r="AT246">
            <v>5.3490000000000002</v>
          </cell>
          <cell r="AU246">
            <v>0.75764872521246462</v>
          </cell>
          <cell r="AV246">
            <v>0.70346783558847858</v>
          </cell>
          <cell r="AW246" t="str">
            <v>7X0.12±0.008 OD:3.8±0.3mm</v>
          </cell>
          <cell r="AX246" t="str">
            <v>863690 1100</v>
          </cell>
          <cell r="AZ246">
            <v>3.1265237137265718</v>
          </cell>
          <cell r="BA246">
            <v>1.8759142282359429</v>
          </cell>
          <cell r="BB246">
            <v>1.5632618568632859</v>
          </cell>
          <cell r="BC246">
            <v>1.2506094854906289</v>
          </cell>
        </row>
        <row r="247">
          <cell r="I247" t="str">
            <v>KPUU6AZHSL3EF</v>
          </cell>
          <cell r="J247" t="str">
            <v>U0406013</v>
          </cell>
          <cell r="K247" t="str">
            <v>CAT6A PATCH CORD U/UTP GREY LSZH SLIM 3M</v>
          </cell>
          <cell r="L247" t="str">
            <v>CORDON DE BRASSAGE CAT6A U/UTP GRIS LSZH SLIM 3M</v>
          </cell>
          <cell r="M247" t="str">
            <v>Slim</v>
          </cell>
          <cell r="N247" t="str">
            <v>China</v>
          </cell>
          <cell r="O247"/>
          <cell r="P247" t="str">
            <v>1pc eco bag+10pcs PE bag+carton</v>
          </cell>
          <cell r="Q247" t="str">
            <v>3km of cable</v>
          </cell>
          <cell r="R247">
            <v>1600</v>
          </cell>
          <cell r="S247" t="e">
            <v>#N/A</v>
          </cell>
          <cell r="T247" t="str">
            <v>854442 1000</v>
          </cell>
          <cell r="U247">
            <v>0</v>
          </cell>
          <cell r="V247">
            <v>50</v>
          </cell>
          <cell r="W247">
            <v>45</v>
          </cell>
          <cell r="X247">
            <v>55</v>
          </cell>
          <cell r="Y247" t="str">
            <v>T/T 60 days</v>
          </cell>
          <cell r="Z247">
            <v>1.2784741355892741</v>
          </cell>
          <cell r="AA247">
            <v>1.1654041959190378</v>
          </cell>
          <cell r="AB247">
            <v>0.1</v>
          </cell>
          <cell r="AC247">
            <v>0.1</v>
          </cell>
          <cell r="AD247">
            <v>0.25</v>
          </cell>
          <cell r="AE247" t="str">
            <v>C</v>
          </cell>
          <cell r="AF247">
            <v>1.1654041959190378</v>
          </cell>
          <cell r="AG247">
            <v>0.25</v>
          </cell>
          <cell r="AH247" t="e">
            <v>#N/A</v>
          </cell>
          <cell r="AI247">
            <v>1.0369845766446335</v>
          </cell>
          <cell r="AJ247">
            <v>0.97117016326586481</v>
          </cell>
          <cell r="AK247">
            <v>0.18888888888888888</v>
          </cell>
          <cell r="AL247">
            <v>0.16666666666666663</v>
          </cell>
          <cell r="AM247"/>
          <cell r="AN247" t="str">
            <v>HONTO</v>
          </cell>
          <cell r="AO247">
            <v>4.2000000000000003E-2</v>
          </cell>
          <cell r="AP247">
            <v>6.2190000000000003</v>
          </cell>
          <cell r="AQ247"/>
          <cell r="AR247">
            <v>0.16</v>
          </cell>
          <cell r="AS247">
            <v>6.4290000000000003</v>
          </cell>
          <cell r="AT247">
            <v>6.5890000000000004</v>
          </cell>
          <cell r="AU247">
            <v>0.93328611898017011</v>
          </cell>
          <cell r="AV247">
            <v>0.87405314693927838</v>
          </cell>
          <cell r="AW247" t="str">
            <v>7X0.12±0.008 OD:3.8±0.3mm</v>
          </cell>
          <cell r="AX247" t="str">
            <v>863690 1100</v>
          </cell>
          <cell r="AZ247">
            <v>3.8846806530634592</v>
          </cell>
          <cell r="BA247">
            <v>2.3308083918380755</v>
          </cell>
          <cell r="BB247">
            <v>1.9423403265317296</v>
          </cell>
          <cell r="BC247">
            <v>1.5538722612253837</v>
          </cell>
        </row>
        <row r="248">
          <cell r="I248" t="str">
            <v>KPUU6AZHSL5EF</v>
          </cell>
          <cell r="J248" t="str">
            <v>U0406014</v>
          </cell>
          <cell r="K248" t="str">
            <v>CAT6A PATCH CORD U/UTP GREY LSZH SLIM 5M</v>
          </cell>
          <cell r="L248" t="str">
            <v>CORDON DE BRASSAGE CAT6A U/UTP GRIS LSZH SLIM 5M</v>
          </cell>
          <cell r="M248" t="str">
            <v>Slim</v>
          </cell>
          <cell r="N248" t="str">
            <v>China</v>
          </cell>
          <cell r="O248"/>
          <cell r="P248" t="str">
            <v>1pc eco bag+10pcs PE bag+carton</v>
          </cell>
          <cell r="Q248" t="str">
            <v>3km of cable</v>
          </cell>
          <cell r="R248">
            <v>960</v>
          </cell>
          <cell r="S248" t="e">
            <v>#N/A</v>
          </cell>
          <cell r="T248" t="str">
            <v>854442 1000</v>
          </cell>
          <cell r="U248">
            <v>0</v>
          </cell>
          <cell r="V248">
            <v>50</v>
          </cell>
          <cell r="W248">
            <v>45</v>
          </cell>
          <cell r="X248">
            <v>55</v>
          </cell>
          <cell r="Y248" t="str">
            <v>T/T 60 days</v>
          </cell>
          <cell r="Z248">
            <v>1.7606426326205908</v>
          </cell>
          <cell r="AA248">
            <v>1.6290559866431282</v>
          </cell>
          <cell r="AB248">
            <v>0.1</v>
          </cell>
          <cell r="AC248">
            <v>0.1</v>
          </cell>
          <cell r="AD248">
            <v>0.25</v>
          </cell>
          <cell r="AE248" t="str">
            <v>C</v>
          </cell>
          <cell r="AF248">
            <v>1.6290559866431282</v>
          </cell>
          <cell r="AG248">
            <v>0.25</v>
          </cell>
          <cell r="AH248" t="e">
            <v>#N/A</v>
          </cell>
          <cell r="AI248">
            <v>1.4280768020144792</v>
          </cell>
          <cell r="AJ248">
            <v>1.3575466555359401</v>
          </cell>
          <cell r="AK248">
            <v>0.18888888888888888</v>
          </cell>
          <cell r="AL248">
            <v>0.16666666666666674</v>
          </cell>
          <cell r="AM248"/>
          <cell r="AN248" t="str">
            <v>HONTO</v>
          </cell>
          <cell r="AO248">
            <v>7.0999999999999994E-2</v>
          </cell>
          <cell r="AP248">
            <v>8.5589999999999993</v>
          </cell>
          <cell r="AQ248"/>
          <cell r="AR248">
            <v>0.16</v>
          </cell>
          <cell r="AS248">
            <v>8.9139999999999997</v>
          </cell>
          <cell r="AT248">
            <v>9.0739999999999998</v>
          </cell>
          <cell r="AU248">
            <v>1.2852691218130312</v>
          </cell>
          <cell r="AV248">
            <v>1.2217919899823462</v>
          </cell>
          <cell r="AW248" t="str">
            <v>7X0.12±0.008 OD:3.8±0.3mm</v>
          </cell>
          <cell r="AX248" t="str">
            <v>863690 1100</v>
          </cell>
          <cell r="AZ248">
            <v>5.4301866221437614</v>
          </cell>
          <cell r="BA248">
            <v>3.2581119732862569</v>
          </cell>
          <cell r="BB248">
            <v>2.7150933110718807</v>
          </cell>
          <cell r="BC248">
            <v>2.1720746488575045</v>
          </cell>
        </row>
        <row r="249">
          <cell r="I249" t="str">
            <v>KPUU6AZHSL10EF</v>
          </cell>
          <cell r="J249" t="str">
            <v>U0406010</v>
          </cell>
          <cell r="K249" t="str">
            <v>CAT6A PATCH CORD U/UTP GREY LSZH SLIM 10M</v>
          </cell>
          <cell r="L249" t="str">
            <v>CORDON DE BRASSAGE CAT6A U/UTP GRIS LSZH SLIM 10M</v>
          </cell>
          <cell r="M249" t="str">
            <v>Slim</v>
          </cell>
          <cell r="N249" t="str">
            <v>China</v>
          </cell>
          <cell r="O249"/>
          <cell r="P249" t="str">
            <v>1pc eco bag+10pcs PE bag+carton</v>
          </cell>
          <cell r="Q249" t="str">
            <v>3km of cable</v>
          </cell>
          <cell r="R249">
            <v>640</v>
          </cell>
          <cell r="S249" t="e">
            <v>#N/A</v>
          </cell>
          <cell r="T249" t="str">
            <v>854442 1000</v>
          </cell>
          <cell r="U249">
            <v>0</v>
          </cell>
          <cell r="V249">
            <v>50</v>
          </cell>
          <cell r="W249">
            <v>45</v>
          </cell>
          <cell r="X249">
            <v>55</v>
          </cell>
          <cell r="Y249" t="str">
            <v>T/T 60 days</v>
          </cell>
          <cell r="Z249">
            <v>2.9626683224028869</v>
          </cell>
          <cell r="AA249">
            <v>2.715867101859835</v>
          </cell>
          <cell r="AB249">
            <v>0.1</v>
          </cell>
          <cell r="AC249">
            <v>0.1</v>
          </cell>
          <cell r="AD249">
            <v>0.25</v>
          </cell>
          <cell r="AE249" t="str">
            <v>C</v>
          </cell>
          <cell r="AF249">
            <v>2.715867101859835</v>
          </cell>
          <cell r="AG249">
            <v>0.25</v>
          </cell>
          <cell r="AH249" t="e">
            <v>#N/A</v>
          </cell>
          <cell r="AI249">
            <v>2.4030531948378973</v>
          </cell>
          <cell r="AJ249">
            <v>2.2632225848831955</v>
          </cell>
          <cell r="AK249">
            <v>0.18888888888888888</v>
          </cell>
          <cell r="AL249">
            <v>0.16666666666666685</v>
          </cell>
          <cell r="AM249"/>
          <cell r="AN249" t="str">
            <v>HONTO</v>
          </cell>
          <cell r="AO249">
            <v>0.14199999999999999</v>
          </cell>
          <cell r="AP249">
            <v>14.398999999999999</v>
          </cell>
          <cell r="AQ249"/>
          <cell r="AR249">
            <v>0.16</v>
          </cell>
          <cell r="AS249">
            <v>15.108999999999998</v>
          </cell>
          <cell r="AT249">
            <v>15.268999999999998</v>
          </cell>
          <cell r="AU249">
            <v>2.1627478753541074</v>
          </cell>
          <cell r="AV249">
            <v>2.0369003263948762</v>
          </cell>
          <cell r="AW249" t="str">
            <v>7X0.12±0.008 OD:3.8±0.3mm</v>
          </cell>
          <cell r="AX249" t="str">
            <v>863690 1100</v>
          </cell>
          <cell r="AZ249">
            <v>9.0528903395327838</v>
          </cell>
          <cell r="BA249">
            <v>5.4317342037196701</v>
          </cell>
          <cell r="BB249">
            <v>4.5264451697663919</v>
          </cell>
          <cell r="BC249">
            <v>3.6211561358131137</v>
          </cell>
        </row>
        <row r="250">
          <cell r="I250" t="str">
            <v>KPUU6AZHWH03EF</v>
          </cell>
          <cell r="J250" t="str">
            <v/>
          </cell>
          <cell r="K250" t="str">
            <v>CAT6A PATCH CORD U/UTP WHITE LSZH 0.3M</v>
          </cell>
          <cell r="L250" t="str">
            <v>CORDON DE BRASSAGE CAT6A U/UTP BLANC LSZH 0,3M</v>
          </cell>
          <cell r="M250"/>
          <cell r="N250" t="str">
            <v>China</v>
          </cell>
          <cell r="O250"/>
          <cell r="P250" t="str">
            <v>1pc eco bag+10pcs PE bag+carton</v>
          </cell>
          <cell r="Q250" t="str">
            <v>3km of cable</v>
          </cell>
          <cell r="R250">
            <v>4800</v>
          </cell>
          <cell r="S250" t="e">
            <v>#N/A</v>
          </cell>
          <cell r="T250" t="str">
            <v>854442 1000</v>
          </cell>
          <cell r="U250">
            <v>0</v>
          </cell>
          <cell r="V250">
            <v>50</v>
          </cell>
          <cell r="W250">
            <v>45</v>
          </cell>
          <cell r="X250">
            <v>55</v>
          </cell>
          <cell r="Y250" t="str">
            <v>T/T 60 days</v>
          </cell>
          <cell r="Z250">
            <v>0.60673677674725446</v>
          </cell>
          <cell r="AA250">
            <v>0.54130571635806268</v>
          </cell>
          <cell r="AB250">
            <v>0.1</v>
          </cell>
          <cell r="AC250">
            <v>0.1</v>
          </cell>
          <cell r="AD250">
            <v>0.25</v>
          </cell>
          <cell r="AE250" t="str">
            <v>C</v>
          </cell>
          <cell r="AF250">
            <v>0.54130571635806268</v>
          </cell>
          <cell r="AG250">
            <v>0.25</v>
          </cell>
          <cell r="AH250" t="e">
            <v>#N/A</v>
          </cell>
          <cell r="AI250">
            <v>0.49213094113943973</v>
          </cell>
          <cell r="AJ250">
            <v>0.45108809696505225</v>
          </cell>
          <cell r="AK250">
            <v>0.18888888888888888</v>
          </cell>
          <cell r="AL250">
            <v>0.16666666666666663</v>
          </cell>
          <cell r="AM250"/>
          <cell r="AN250" t="str">
            <v>HONTO</v>
          </cell>
          <cell r="AO250">
            <v>1.4E-2</v>
          </cell>
          <cell r="AP250">
            <v>2.8969999999999998</v>
          </cell>
          <cell r="AQ250"/>
          <cell r="AR250">
            <v>0.16</v>
          </cell>
          <cell r="AS250">
            <v>2.9669999999999996</v>
          </cell>
          <cell r="AT250">
            <v>3.1269999999999998</v>
          </cell>
          <cell r="AU250">
            <v>0.44291784702549575</v>
          </cell>
          <cell r="AV250">
            <v>0.40597928726854704</v>
          </cell>
          <cell r="AW250" t="str">
            <v>7x0.17BC RJ45 OD:6.0±0.3mm</v>
          </cell>
          <cell r="AX250" t="str">
            <v>863690 1100</v>
          </cell>
          <cell r="AZ250">
            <v>1.804352387860209</v>
          </cell>
          <cell r="BA250">
            <v>1.0826114327161254</v>
          </cell>
          <cell r="BB250">
            <v>0.90217619393010451</v>
          </cell>
          <cell r="BC250">
            <v>0.72174095514408365</v>
          </cell>
        </row>
        <row r="251">
          <cell r="I251" t="str">
            <v>KPUU6AZHWH05EF</v>
          </cell>
          <cell r="J251" t="str">
            <v/>
          </cell>
          <cell r="K251" t="str">
            <v>CAT6A PATCH CORD U/UTP WHITE LSZH 0.5M</v>
          </cell>
          <cell r="L251" t="str">
            <v>CORDON DE BRASSAGE CAT6A U/UTP BLANC LSZH 0,5M</v>
          </cell>
          <cell r="M251"/>
          <cell r="N251" t="str">
            <v>China</v>
          </cell>
          <cell r="O251"/>
          <cell r="P251" t="str">
            <v>1pc eco bag+10pcs PE bag+carton</v>
          </cell>
          <cell r="Q251" t="str">
            <v>3km of cable</v>
          </cell>
          <cell r="R251">
            <v>4800</v>
          </cell>
          <cell r="S251" t="e">
            <v>#N/A</v>
          </cell>
          <cell r="T251" t="str">
            <v>854442 1000</v>
          </cell>
          <cell r="U251">
            <v>0</v>
          </cell>
          <cell r="V251">
            <v>50</v>
          </cell>
          <cell r="W251">
            <v>45</v>
          </cell>
          <cell r="X251">
            <v>55</v>
          </cell>
          <cell r="Y251" t="str">
            <v>T/T 60 days</v>
          </cell>
          <cell r="Z251">
            <v>0.66999107454693629</v>
          </cell>
          <cell r="AA251">
            <v>0.5948426872493876</v>
          </cell>
          <cell r="AB251">
            <v>0.1</v>
          </cell>
          <cell r="AC251">
            <v>0.1</v>
          </cell>
          <cell r="AD251">
            <v>0.25</v>
          </cell>
          <cell r="AE251" t="str">
            <v>C</v>
          </cell>
          <cell r="AF251">
            <v>0.5948426872493876</v>
          </cell>
          <cell r="AG251">
            <v>0.25</v>
          </cell>
          <cell r="AH251" t="e">
            <v>#N/A</v>
          </cell>
          <cell r="AI251">
            <v>0.54343720491029279</v>
          </cell>
          <cell r="AJ251">
            <v>0.49570223937448971</v>
          </cell>
          <cell r="AK251">
            <v>0.18888888888888888</v>
          </cell>
          <cell r="AL251">
            <v>0.16666666666666663</v>
          </cell>
          <cell r="AM251"/>
          <cell r="AN251" t="str">
            <v>HONTO</v>
          </cell>
          <cell r="AO251">
            <v>1.4E-2</v>
          </cell>
          <cell r="AP251">
            <v>3.2229999999999999</v>
          </cell>
          <cell r="AQ251"/>
          <cell r="AR251">
            <v>0.16</v>
          </cell>
          <cell r="AS251">
            <v>3.2929999999999997</v>
          </cell>
          <cell r="AT251">
            <v>3.4529999999999998</v>
          </cell>
          <cell r="AU251">
            <v>0.48909348441926348</v>
          </cell>
          <cell r="AV251">
            <v>0.44613201543704073</v>
          </cell>
          <cell r="AW251" t="str">
            <v>7x0.17BC RJ45 OD:6.0±0.3mm</v>
          </cell>
          <cell r="AX251" t="str">
            <v>863690 1100</v>
          </cell>
          <cell r="AZ251">
            <v>1.9828089574979588</v>
          </cell>
          <cell r="BA251">
            <v>1.1896853744987752</v>
          </cell>
          <cell r="BB251">
            <v>0.99140447874897941</v>
          </cell>
          <cell r="BC251">
            <v>0.79312358299918362</v>
          </cell>
        </row>
        <row r="252">
          <cell r="I252" t="str">
            <v>KPUU6AZHWH1EF</v>
          </cell>
          <cell r="J252" t="str">
            <v/>
          </cell>
          <cell r="K252" t="str">
            <v>CAT6A PATCH CORD U/UTP WHITE LSZH 1M</v>
          </cell>
          <cell r="L252" t="str">
            <v>CORDON DE BRASSAGE CAT6A U/UTP BLANC LSZH 1M</v>
          </cell>
          <cell r="M252"/>
          <cell r="N252" t="str">
            <v>China</v>
          </cell>
          <cell r="O252"/>
          <cell r="P252" t="str">
            <v>1pc eco bag+10pcs PE bag+carton</v>
          </cell>
          <cell r="Q252" t="str">
            <v>3km of cable</v>
          </cell>
          <cell r="R252">
            <v>3200</v>
          </cell>
          <cell r="S252" t="e">
            <v>#N/A</v>
          </cell>
          <cell r="T252" t="str">
            <v>854442 1000</v>
          </cell>
          <cell r="U252">
            <v>0</v>
          </cell>
          <cell r="V252">
            <v>50</v>
          </cell>
          <cell r="W252">
            <v>45</v>
          </cell>
          <cell r="X252">
            <v>55</v>
          </cell>
          <cell r="Y252" t="str">
            <v>T/T 60 days</v>
          </cell>
          <cell r="Z252">
            <v>0.72490201404788712</v>
          </cell>
          <cell r="AA252">
            <v>0.65520692203473352</v>
          </cell>
          <cell r="AB252">
            <v>0.1</v>
          </cell>
          <cell r="AC252">
            <v>0.1</v>
          </cell>
          <cell r="AD252">
            <v>0.25</v>
          </cell>
          <cell r="AE252" t="str">
            <v>C</v>
          </cell>
          <cell r="AF252">
            <v>0.65520692203473352</v>
          </cell>
          <cell r="AG252">
            <v>0.25</v>
          </cell>
          <cell r="AH252" t="e">
            <v>#N/A</v>
          </cell>
          <cell r="AI252">
            <v>0.587976078061064</v>
          </cell>
          <cell r="AJ252">
            <v>0.54600576836227788</v>
          </cell>
          <cell r="AK252">
            <v>0.18888888888888888</v>
          </cell>
          <cell r="AL252">
            <v>0.16666666666666674</v>
          </cell>
          <cell r="AM252"/>
          <cell r="AN252" t="str">
            <v>HONTO</v>
          </cell>
          <cell r="AO252">
            <v>2.8000000000000001E-2</v>
          </cell>
          <cell r="AP252">
            <v>3.4359999999999999</v>
          </cell>
          <cell r="AQ252"/>
          <cell r="AR252">
            <v>0.16</v>
          </cell>
          <cell r="AS252">
            <v>3.5760000000000001</v>
          </cell>
          <cell r="AT252">
            <v>3.7360000000000002</v>
          </cell>
          <cell r="AU252">
            <v>0.52917847025495757</v>
          </cell>
          <cell r="AV252">
            <v>0.49140519152605011</v>
          </cell>
          <cell r="AW252" t="str">
            <v>7x0.17BC RJ45 OD:6.0±0.3mm</v>
          </cell>
          <cell r="AX252" t="str">
            <v>863690 1100</v>
          </cell>
          <cell r="AZ252">
            <v>2.184023073449112</v>
          </cell>
          <cell r="BA252">
            <v>1.310413844069467</v>
          </cell>
          <cell r="BB252">
            <v>1.092011536724556</v>
          </cell>
          <cell r="BC252">
            <v>0.8736092293796448</v>
          </cell>
        </row>
        <row r="253">
          <cell r="I253" t="str">
            <v>KPUU6AZHWH2EF</v>
          </cell>
          <cell r="J253" t="str">
            <v/>
          </cell>
          <cell r="K253" t="str">
            <v>CAT6A PATCH CORD U/UTP WHITE LSZH 2M</v>
          </cell>
          <cell r="L253" t="str">
            <v>CORDON DE BRASSAGE CAT6A U/UTP BLANC LSZH 2M</v>
          </cell>
          <cell r="M253"/>
          <cell r="N253" t="str">
            <v>China</v>
          </cell>
          <cell r="O253"/>
          <cell r="P253" t="str">
            <v>1pc eco bag+10pcs PE bag+carton</v>
          </cell>
          <cell r="Q253" t="str">
            <v>3km of cable</v>
          </cell>
          <cell r="R253">
            <v>2240</v>
          </cell>
          <cell r="S253" t="e">
            <v>#N/A</v>
          </cell>
          <cell r="T253" t="str">
            <v>854442 1000</v>
          </cell>
          <cell r="U253">
            <v>0</v>
          </cell>
          <cell r="V253">
            <v>50</v>
          </cell>
          <cell r="W253">
            <v>45</v>
          </cell>
          <cell r="X253">
            <v>55</v>
          </cell>
          <cell r="Y253" t="str">
            <v>T/T 60 days</v>
          </cell>
          <cell r="Z253">
            <v>1.0644572936474059</v>
          </cell>
          <cell r="AA253">
            <v>0.96045577979929531</v>
          </cell>
          <cell r="AB253">
            <v>0.1</v>
          </cell>
          <cell r="AC253">
            <v>0.1</v>
          </cell>
          <cell r="AD253">
            <v>0.25</v>
          </cell>
          <cell r="AE253" t="str">
            <v>C</v>
          </cell>
          <cell r="AF253">
            <v>0.96045577979929531</v>
          </cell>
          <cell r="AG253">
            <v>0.25</v>
          </cell>
          <cell r="AH253" t="e">
            <v>#N/A</v>
          </cell>
          <cell r="AI253">
            <v>0.86339313818067376</v>
          </cell>
          <cell r="AJ253">
            <v>0.8003798164994127</v>
          </cell>
          <cell r="AK253">
            <v>0.18888888888888888</v>
          </cell>
          <cell r="AL253">
            <v>0.16666666666666674</v>
          </cell>
          <cell r="AM253"/>
          <cell r="AN253" t="str">
            <v>HONTO</v>
          </cell>
          <cell r="AO253">
            <v>5.7000000000000002E-2</v>
          </cell>
          <cell r="AP253">
            <v>5.0410000000000004</v>
          </cell>
          <cell r="AQ253"/>
          <cell r="AR253">
            <v>0.16</v>
          </cell>
          <cell r="AS253">
            <v>5.3260000000000005</v>
          </cell>
          <cell r="AT253">
            <v>5.4860000000000007</v>
          </cell>
          <cell r="AU253">
            <v>0.77705382436260639</v>
          </cell>
          <cell r="AV253">
            <v>0.72034183484947145</v>
          </cell>
          <cell r="AW253" t="str">
            <v>7x0.17BC RJ45 OD:6.0±0.3mm</v>
          </cell>
          <cell r="AX253" t="str">
            <v>863690 1100</v>
          </cell>
          <cell r="AZ253">
            <v>3.2015192659976512</v>
          </cell>
          <cell r="BA253">
            <v>1.9209115595985906</v>
          </cell>
          <cell r="BB253">
            <v>1.6007596329988256</v>
          </cell>
          <cell r="BC253">
            <v>1.2806077063990606</v>
          </cell>
        </row>
        <row r="254">
          <cell r="I254" t="str">
            <v>KPUU6AZHWH3EF</v>
          </cell>
          <cell r="J254" t="str">
            <v/>
          </cell>
          <cell r="K254" t="str">
            <v>CAT6A PATCH CORD U/UTP WHITE LSZH 3M</v>
          </cell>
          <cell r="L254" t="str">
            <v>CORDON DE BRASSAGE CAT6A U/UTP BLANC LSZH 3M</v>
          </cell>
          <cell r="M254"/>
          <cell r="N254" t="str">
            <v>China</v>
          </cell>
          <cell r="O254"/>
          <cell r="P254" t="str">
            <v>1pc eco bag+10pcs PE bag+carton</v>
          </cell>
          <cell r="Q254" t="str">
            <v>3km of cable</v>
          </cell>
          <cell r="R254">
            <v>1600</v>
          </cell>
          <cell r="S254" t="e">
            <v>#N/A</v>
          </cell>
          <cell r="T254" t="str">
            <v>854442 1000</v>
          </cell>
          <cell r="U254">
            <v>0</v>
          </cell>
          <cell r="V254">
            <v>50</v>
          </cell>
          <cell r="W254">
            <v>45</v>
          </cell>
          <cell r="X254">
            <v>55</v>
          </cell>
          <cell r="Y254" t="str">
            <v>T/T 60 days</v>
          </cell>
          <cell r="Z254">
            <v>1.3946990570064808</v>
          </cell>
          <cell r="AA254">
            <v>1.2637742743359199</v>
          </cell>
          <cell r="AB254">
            <v>0.1</v>
          </cell>
          <cell r="AC254">
            <v>0.1</v>
          </cell>
          <cell r="AD254">
            <v>0.25</v>
          </cell>
          <cell r="AE254" t="str">
            <v>C</v>
          </cell>
          <cell r="AF254">
            <v>1.2637742743359199</v>
          </cell>
          <cell r="AG254">
            <v>0.25</v>
          </cell>
          <cell r="AH254" t="e">
            <v>#N/A</v>
          </cell>
          <cell r="AI254">
            <v>1.1312559017941455</v>
          </cell>
          <cell r="AJ254">
            <v>1.0531452286132665</v>
          </cell>
          <cell r="AK254">
            <v>0.18888888888888888</v>
          </cell>
          <cell r="AL254">
            <v>0.16666666666666674</v>
          </cell>
          <cell r="AM254"/>
          <cell r="AN254" t="str">
            <v>HONTO</v>
          </cell>
          <cell r="AO254">
            <v>8.5000000000000006E-2</v>
          </cell>
          <cell r="AP254">
            <v>6.6029999999999998</v>
          </cell>
          <cell r="AQ254"/>
          <cell r="AR254">
            <v>0.16</v>
          </cell>
          <cell r="AS254">
            <v>7.0279999999999996</v>
          </cell>
          <cell r="AT254">
            <v>7.1879999999999997</v>
          </cell>
          <cell r="AU254">
            <v>1.0181303116147309</v>
          </cell>
          <cell r="AV254">
            <v>0.94783070575193995</v>
          </cell>
          <cell r="AW254" t="str">
            <v>7x0.17BC RJ45 OD:6.0±0.3mm</v>
          </cell>
          <cell r="AX254" t="str">
            <v>863690 1100</v>
          </cell>
          <cell r="AZ254">
            <v>4.212580914453067</v>
          </cell>
          <cell r="BA254">
            <v>2.5275485486718403</v>
          </cell>
          <cell r="BB254">
            <v>2.1062904572265335</v>
          </cell>
          <cell r="BC254">
            <v>1.6850323657812269</v>
          </cell>
        </row>
        <row r="255">
          <cell r="I255" t="str">
            <v>KPUU6AZHWH5EF</v>
          </cell>
          <cell r="J255" t="str">
            <v/>
          </cell>
          <cell r="K255" t="str">
            <v>CAT6A PATCH CORD U/UTP WHITE LSZH 5M</v>
          </cell>
          <cell r="L255" t="str">
            <v>CORDON DE BRASSAGE CAT6A U/UTP BLANC LSZH 5M</v>
          </cell>
          <cell r="M255"/>
          <cell r="N255" t="str">
            <v>China</v>
          </cell>
          <cell r="O255"/>
          <cell r="P255" t="str">
            <v>1pc eco bag+10pcs PE bag+carton</v>
          </cell>
          <cell r="Q255" t="str">
            <v>3km of cable</v>
          </cell>
          <cell r="R255">
            <v>960</v>
          </cell>
          <cell r="S255" t="e">
            <v>#N/A</v>
          </cell>
          <cell r="T255" t="str">
            <v>854442 1000</v>
          </cell>
          <cell r="U255">
            <v>0</v>
          </cell>
          <cell r="V255">
            <v>50</v>
          </cell>
          <cell r="W255">
            <v>45</v>
          </cell>
          <cell r="X255">
            <v>55</v>
          </cell>
          <cell r="Y255" t="str">
            <v>T/T 60 days</v>
          </cell>
          <cell r="Z255">
            <v>2.0974814699833133</v>
          </cell>
          <cell r="AA255">
            <v>1.9141485678312877</v>
          </cell>
          <cell r="AB255">
            <v>0.1</v>
          </cell>
          <cell r="AC255">
            <v>0.1</v>
          </cell>
          <cell r="AD255">
            <v>0.25</v>
          </cell>
          <cell r="AE255" t="str">
            <v>C</v>
          </cell>
          <cell r="AF255">
            <v>1.9141485678312877</v>
          </cell>
          <cell r="AG255">
            <v>0.25</v>
          </cell>
          <cell r="AH255" t="e">
            <v>#N/A</v>
          </cell>
          <cell r="AI255">
            <v>1.7012905256531319</v>
          </cell>
          <cell r="AJ255">
            <v>1.5951238065260731</v>
          </cell>
          <cell r="AK255">
            <v>0.18888888888888888</v>
          </cell>
          <cell r="AL255">
            <v>0.16666666666666663</v>
          </cell>
          <cell r="AM255"/>
          <cell r="AN255" t="str">
            <v>HONTO</v>
          </cell>
          <cell r="AO255">
            <v>0.14199999999999999</v>
          </cell>
          <cell r="AP255">
            <v>9.94</v>
          </cell>
          <cell r="AQ255"/>
          <cell r="AR255">
            <v>0.16</v>
          </cell>
          <cell r="AS255">
            <v>10.649999999999999</v>
          </cell>
          <cell r="AT255">
            <v>10.809999999999999</v>
          </cell>
          <cell r="AU255">
            <v>1.5311614730878187</v>
          </cell>
          <cell r="AV255">
            <v>1.4356114258734658</v>
          </cell>
          <cell r="AW255" t="str">
            <v>7x0.17BC RJ45 OD:6.0±0.3mm</v>
          </cell>
          <cell r="AX255" t="str">
            <v>863690 1100</v>
          </cell>
          <cell r="AZ255">
            <v>6.3804952261042924</v>
          </cell>
          <cell r="BA255">
            <v>3.8282971356625755</v>
          </cell>
          <cell r="BB255">
            <v>3.1902476130521462</v>
          </cell>
          <cell r="BC255">
            <v>2.552198090441717</v>
          </cell>
        </row>
        <row r="256">
          <cell r="I256" t="str">
            <v>KPUU6AZHWH10EF</v>
          </cell>
          <cell r="J256" t="str">
            <v/>
          </cell>
          <cell r="K256" t="str">
            <v>CAT6A PATCH CORD U/UTP WHITE LSZH 10M</v>
          </cell>
          <cell r="L256" t="str">
            <v>CORDON DE BRASSAGE CAT6A U/UTP BLANC LSZH 10M</v>
          </cell>
          <cell r="M256"/>
          <cell r="N256" t="str">
            <v>China</v>
          </cell>
          <cell r="O256"/>
          <cell r="P256" t="str">
            <v>1pc eco bag+10pcs PE bag+carton</v>
          </cell>
          <cell r="Q256" t="str">
            <v>3km of cable</v>
          </cell>
          <cell r="R256">
            <v>640</v>
          </cell>
          <cell r="S256" t="e">
            <v>#N/A</v>
          </cell>
          <cell r="T256" t="str">
            <v>854442 1000</v>
          </cell>
          <cell r="U256">
            <v>0</v>
          </cell>
          <cell r="V256">
            <v>50</v>
          </cell>
          <cell r="W256">
            <v>45</v>
          </cell>
          <cell r="X256">
            <v>55</v>
          </cell>
          <cell r="Y256" t="str">
            <v>T/T 60 days</v>
          </cell>
          <cell r="Z256">
            <v>3.7917652993907409</v>
          </cell>
          <cell r="AA256">
            <v>3.4175955577452068</v>
          </cell>
          <cell r="AB256">
            <v>0.1</v>
          </cell>
          <cell r="AC256">
            <v>0.1</v>
          </cell>
          <cell r="AD256">
            <v>0.25</v>
          </cell>
          <cell r="AE256" t="str">
            <v>C</v>
          </cell>
          <cell r="AF256">
            <v>3.4175955577452068</v>
          </cell>
          <cell r="AG256">
            <v>0.25</v>
          </cell>
          <cell r="AH256" t="e">
            <v>#N/A</v>
          </cell>
          <cell r="AI256">
            <v>3.0755429650613788</v>
          </cell>
          <cell r="AJ256">
            <v>2.8479962981210059</v>
          </cell>
          <cell r="AK256">
            <v>0.18888888888888888</v>
          </cell>
          <cell r="AL256">
            <v>0.16666666666666663</v>
          </cell>
          <cell r="AM256"/>
          <cell r="AN256" t="str">
            <v>HONTO</v>
          </cell>
          <cell r="AO256">
            <v>0.29799999999999999</v>
          </cell>
          <cell r="AP256">
            <v>17.891999999999999</v>
          </cell>
          <cell r="AQ256"/>
          <cell r="AR256">
            <v>0.16</v>
          </cell>
          <cell r="AS256">
            <v>19.381999999999998</v>
          </cell>
          <cell r="AT256">
            <v>19.541999999999998</v>
          </cell>
          <cell r="AU256">
            <v>2.7679886685552408</v>
          </cell>
          <cell r="AV256">
            <v>2.5631966683089051</v>
          </cell>
          <cell r="AW256" t="str">
            <v>7x0.17BC RJ45 OD:6.0±0.3mm</v>
          </cell>
          <cell r="AX256" t="str">
            <v>863690 1100</v>
          </cell>
          <cell r="AZ256">
            <v>11.391985192484023</v>
          </cell>
          <cell r="BA256">
            <v>6.8351911154904137</v>
          </cell>
          <cell r="BB256">
            <v>5.6959925962420117</v>
          </cell>
          <cell r="BC256">
            <v>4.5567940769936097</v>
          </cell>
        </row>
        <row r="257">
          <cell r="I257" t="str">
            <v>KPSF8ZH03EF</v>
          </cell>
          <cell r="J257" t="str">
            <v>U0407001</v>
          </cell>
          <cell r="K257" t="str">
            <v>CAT8 PATCH CORD S/FTP LIME GREEN LSZH 0.3M</v>
          </cell>
          <cell r="L257" t="str">
            <v>CORDON DE BRASSAGE CAT8 S/FTP VERT CITRON LSZH  0,3M</v>
          </cell>
          <cell r="M257"/>
          <cell r="N257" t="str">
            <v>China</v>
          </cell>
          <cell r="O257"/>
          <cell r="P257" t="str">
            <v>1pc eco bag+10pcs PE bag+carton</v>
          </cell>
          <cell r="Q257" t="str">
            <v>3km of cable</v>
          </cell>
          <cell r="R257">
            <v>4800</v>
          </cell>
          <cell r="S257" t="e">
            <v>#N/A</v>
          </cell>
          <cell r="T257" t="str">
            <v>854442 1000</v>
          </cell>
          <cell r="U257">
            <v>0</v>
          </cell>
          <cell r="V257">
            <v>50</v>
          </cell>
          <cell r="W257">
            <v>45</v>
          </cell>
          <cell r="X257">
            <v>55</v>
          </cell>
          <cell r="Y257" t="str">
            <v>T/T 60 days</v>
          </cell>
          <cell r="Z257">
            <v>0</v>
          </cell>
          <cell r="AA257">
            <v>0</v>
          </cell>
          <cell r="AB257">
            <v>0.1</v>
          </cell>
          <cell r="AC257">
            <v>0.1</v>
          </cell>
          <cell r="AD257">
            <v>0.28000000000000003</v>
          </cell>
          <cell r="AE257" t="str">
            <v>C</v>
          </cell>
          <cell r="AF257">
            <v>0</v>
          </cell>
          <cell r="AG257" t="e">
            <v>#DIV/0!</v>
          </cell>
          <cell r="AH257" t="e">
            <v>#N/A</v>
          </cell>
          <cell r="AI257">
            <v>0</v>
          </cell>
          <cell r="AJ257">
            <v>0</v>
          </cell>
          <cell r="AK257" t="e">
            <v>#DIV/0!</v>
          </cell>
          <cell r="AL257" t="e">
            <v>#DIV/0!</v>
          </cell>
          <cell r="AM257"/>
          <cell r="AN257" t="str">
            <v>EXW</v>
          </cell>
          <cell r="AO257"/>
          <cell r="AP257"/>
          <cell r="AQ257"/>
          <cell r="AR257"/>
          <cell r="AS257"/>
          <cell r="AT257"/>
          <cell r="AU257"/>
          <cell r="AV257"/>
          <cell r="AW257" t="str">
            <v>7x0.156BC RJ45 OD5.9±.2mm</v>
          </cell>
          <cell r="AX257"/>
          <cell r="AZ257">
            <v>0</v>
          </cell>
          <cell r="BA257">
            <v>0</v>
          </cell>
          <cell r="BB257">
            <v>0</v>
          </cell>
          <cell r="BC257">
            <v>0</v>
          </cell>
        </row>
        <row r="258">
          <cell r="I258" t="str">
            <v>KPSF8ZH05EF</v>
          </cell>
          <cell r="J258" t="str">
            <v>U0407002</v>
          </cell>
          <cell r="K258" t="str">
            <v>CAT8 PATCH CORD S/FTP LIME GREEN LSZH 0.5M</v>
          </cell>
          <cell r="L258" t="str">
            <v>CORDON DE BRASSAGE CAT8 S/FTP VERT CITRON LSZH  0,5M</v>
          </cell>
          <cell r="M258"/>
          <cell r="N258" t="str">
            <v>China</v>
          </cell>
          <cell r="O258"/>
          <cell r="P258" t="str">
            <v>1pc eco bag+10pcs PE bag+carton</v>
          </cell>
          <cell r="Q258" t="str">
            <v>3km of cable</v>
          </cell>
          <cell r="R258">
            <v>4800</v>
          </cell>
          <cell r="S258" t="e">
            <v>#N/A</v>
          </cell>
          <cell r="T258" t="str">
            <v>854442 1000</v>
          </cell>
          <cell r="U258">
            <v>0</v>
          </cell>
          <cell r="V258">
            <v>50</v>
          </cell>
          <cell r="W258">
            <v>45</v>
          </cell>
          <cell r="X258">
            <v>55</v>
          </cell>
          <cell r="Y258" t="str">
            <v>T/T 60 days</v>
          </cell>
          <cell r="Z258">
            <v>4.5826790772966426</v>
          </cell>
          <cell r="AA258">
            <v>3.9031807819335551</v>
          </cell>
          <cell r="AB258">
            <v>0.1</v>
          </cell>
          <cell r="AC258">
            <v>0.1</v>
          </cell>
          <cell r="AD258">
            <v>0.28000000000000003</v>
          </cell>
          <cell r="AE258" t="str">
            <v>C</v>
          </cell>
          <cell r="AF258">
            <v>3.9031807819335551</v>
          </cell>
          <cell r="AG258">
            <v>0.28000000000000003</v>
          </cell>
          <cell r="AH258">
            <v>3.87</v>
          </cell>
          <cell r="AI258">
            <v>3.5643059490084994</v>
          </cell>
          <cell r="AJ258">
            <v>3.1225446255468436</v>
          </cell>
          <cell r="AK258">
            <v>0.22222222222222232</v>
          </cell>
          <cell r="AL258">
            <v>0.20000000000000007</v>
          </cell>
          <cell r="AM258"/>
          <cell r="AN258" t="str">
            <v>EXW</v>
          </cell>
          <cell r="AO258">
            <v>1.8000000000000002E-2</v>
          </cell>
          <cell r="AP258">
            <v>22.233600000000003</v>
          </cell>
          <cell r="AQ258"/>
          <cell r="AR258">
            <v>0.32400000000000001</v>
          </cell>
          <cell r="AS258">
            <v>22.323600000000003</v>
          </cell>
          <cell r="AT258">
            <v>22.647600000000004</v>
          </cell>
          <cell r="AU258">
            <v>3.2078753541076495</v>
          </cell>
          <cell r="AV258">
            <v>2.8102901629921595</v>
          </cell>
          <cell r="AW258" t="str">
            <v>7x0.156BC RJ45 OD5.9±.2mm</v>
          </cell>
          <cell r="AX258"/>
          <cell r="AZ258">
            <v>13.010602606445184</v>
          </cell>
          <cell r="BA258">
            <v>7.8063615638671102</v>
          </cell>
          <cell r="BB258">
            <v>6.5053013032225921</v>
          </cell>
          <cell r="BC258">
            <v>5.2042410425780741</v>
          </cell>
        </row>
        <row r="259">
          <cell r="I259" t="str">
            <v>KPSF8ZH1EF</v>
          </cell>
          <cell r="J259" t="str">
            <v>U0407004</v>
          </cell>
          <cell r="K259" t="str">
            <v>CAT8 PATCH CORD S/FTP LIME GREEN LSZH 1M</v>
          </cell>
          <cell r="L259" t="str">
            <v>CORDON DE BRASSAGE CAT8 S/FTP VERT CITRON LSZH  1M</v>
          </cell>
          <cell r="M259"/>
          <cell r="N259" t="str">
            <v>China</v>
          </cell>
          <cell r="O259"/>
          <cell r="P259" t="str">
            <v>1pc eco bag+10pcs PE bag+carton</v>
          </cell>
          <cell r="Q259" t="str">
            <v>3km of cable</v>
          </cell>
          <cell r="R259">
            <v>3200</v>
          </cell>
          <cell r="S259" t="e">
            <v>#N/A</v>
          </cell>
          <cell r="T259" t="str">
            <v>854442 1000</v>
          </cell>
          <cell r="U259">
            <v>0</v>
          </cell>
          <cell r="V259">
            <v>50</v>
          </cell>
          <cell r="W259">
            <v>45</v>
          </cell>
          <cell r="X259">
            <v>55</v>
          </cell>
          <cell r="Y259" t="str">
            <v>T/T 60 days</v>
          </cell>
          <cell r="Z259">
            <v>5.19312019425334</v>
          </cell>
          <cell r="AA259">
            <v>4.4337217825813262</v>
          </cell>
          <cell r="AB259">
            <v>0.1</v>
          </cell>
          <cell r="AC259">
            <v>0.1</v>
          </cell>
          <cell r="AD259">
            <v>0.28000000000000003</v>
          </cell>
          <cell r="AE259" t="str">
            <v>C</v>
          </cell>
          <cell r="AF259">
            <v>4.4337217825813262</v>
          </cell>
          <cell r="AG259">
            <v>0.28000000000000003</v>
          </cell>
          <cell r="AH259">
            <v>4.4000000000000004</v>
          </cell>
          <cell r="AI259">
            <v>4.0390934844192641</v>
          </cell>
          <cell r="AJ259">
            <v>3.5469774260650606</v>
          </cell>
          <cell r="AK259">
            <v>0.22222222222222232</v>
          </cell>
          <cell r="AL259">
            <v>0.20000000000000007</v>
          </cell>
          <cell r="AM259"/>
          <cell r="AN259" t="str">
            <v>EXW</v>
          </cell>
          <cell r="AO259">
            <v>3.2399999999999998E-2</v>
          </cell>
          <cell r="AP259">
            <v>25.1784</v>
          </cell>
          <cell r="AQ259"/>
          <cell r="AR259">
            <v>0.32400000000000001</v>
          </cell>
          <cell r="AS259">
            <v>25.340399999999999</v>
          </cell>
          <cell r="AT259">
            <v>25.664400000000001</v>
          </cell>
          <cell r="AU259">
            <v>3.6351841359773376</v>
          </cell>
          <cell r="AV259">
            <v>3.1922796834585547</v>
          </cell>
          <cell r="AW259" t="str">
            <v>7x0.156BC RJ45 OD5.9±.2mm</v>
          </cell>
          <cell r="AX259"/>
          <cell r="AZ259">
            <v>14.779072608604421</v>
          </cell>
          <cell r="BA259">
            <v>8.8674435651626524</v>
          </cell>
          <cell r="BB259">
            <v>7.3895363043022106</v>
          </cell>
          <cell r="BC259">
            <v>5.9116290434417689</v>
          </cell>
        </row>
        <row r="260">
          <cell r="I260" t="str">
            <v>KPSF8ZH2EF</v>
          </cell>
          <cell r="J260" t="str">
            <v>U0407005</v>
          </cell>
          <cell r="K260" t="str">
            <v>CAT8 PATCH CORD S/FTP LIME GREEN LSZH 2M</v>
          </cell>
          <cell r="L260" t="str">
            <v>CORDON DE BRASSAGE CAT8 S/FTP VERT CITRON LSZH  2M</v>
          </cell>
          <cell r="M260"/>
          <cell r="N260" t="str">
            <v>China</v>
          </cell>
          <cell r="O260"/>
          <cell r="P260" t="str">
            <v>1pc eco bag+10pcs PE bag+carton</v>
          </cell>
          <cell r="Q260" t="str">
            <v>3km of cable</v>
          </cell>
          <cell r="R260">
            <v>2240</v>
          </cell>
          <cell r="S260" t="e">
            <v>#N/A</v>
          </cell>
          <cell r="T260" t="str">
            <v>854442 1000</v>
          </cell>
          <cell r="U260">
            <v>0</v>
          </cell>
          <cell r="V260">
            <v>50</v>
          </cell>
          <cell r="W260">
            <v>45</v>
          </cell>
          <cell r="X260">
            <v>55</v>
          </cell>
          <cell r="Y260" t="str">
            <v>T/T 60 days</v>
          </cell>
          <cell r="Z260">
            <v>6.4140024281667367</v>
          </cell>
          <cell r="AA260">
            <v>5.4844697891678766</v>
          </cell>
          <cell r="AB260">
            <v>0.1</v>
          </cell>
          <cell r="AC260">
            <v>0.1</v>
          </cell>
          <cell r="AD260">
            <v>0.28000000000000003</v>
          </cell>
          <cell r="AE260" t="str">
            <v>C</v>
          </cell>
          <cell r="AF260">
            <v>5.4844697891678766</v>
          </cell>
          <cell r="AG260">
            <v>0.28000000000000003</v>
          </cell>
          <cell r="AH260">
            <v>5.44</v>
          </cell>
          <cell r="AI260">
            <v>4.9886685552407952</v>
          </cell>
          <cell r="AJ260">
            <v>4.387575831334301</v>
          </cell>
          <cell r="AK260">
            <v>0.22222222222222221</v>
          </cell>
          <cell r="AL260">
            <v>0.20000000000000007</v>
          </cell>
          <cell r="AM260"/>
          <cell r="AN260" t="str">
            <v>EXW</v>
          </cell>
          <cell r="AO260">
            <v>6.1200000000000004E-2</v>
          </cell>
          <cell r="AP260">
            <v>31.068000000000005</v>
          </cell>
          <cell r="AQ260"/>
          <cell r="AR260">
            <v>0.32400000000000001</v>
          </cell>
          <cell r="AS260">
            <v>31.374000000000006</v>
          </cell>
          <cell r="AT260">
            <v>31.698000000000008</v>
          </cell>
          <cell r="AU260">
            <v>4.4898016997167156</v>
          </cell>
          <cell r="AV260">
            <v>3.9488182482008711</v>
          </cell>
          <cell r="AW260" t="str">
            <v>7x0.156BC RJ45 OD5.9±.2mm</v>
          </cell>
          <cell r="AX260"/>
          <cell r="AZ260">
            <v>18.281565963892923</v>
          </cell>
          <cell r="BA260">
            <v>10.968939578335753</v>
          </cell>
          <cell r="BB260">
            <v>9.1407829819464617</v>
          </cell>
          <cell r="BC260">
            <v>7.31262638555717</v>
          </cell>
        </row>
        <row r="261">
          <cell r="I261" t="str">
            <v>KPSF8ZH3EF</v>
          </cell>
          <cell r="J261" t="str">
            <v>U0407006</v>
          </cell>
          <cell r="K261" t="str">
            <v>CAT8 PATCH CORD S/FTP LIME GREEN LSZH 3M</v>
          </cell>
          <cell r="L261" t="str">
            <v>CORDON DE BRASSAGE CAT8 S/FTP VERT CITRON LSZH  3M</v>
          </cell>
          <cell r="M261"/>
          <cell r="N261" t="str">
            <v>China</v>
          </cell>
          <cell r="O261"/>
          <cell r="P261" t="str">
            <v>1pc eco bag+10pcs PE bag+carton</v>
          </cell>
          <cell r="Q261" t="str">
            <v>3km of cable</v>
          </cell>
          <cell r="R261">
            <v>1600</v>
          </cell>
          <cell r="S261" t="e">
            <v>#N/A</v>
          </cell>
          <cell r="T261" t="str">
            <v>854442 1000</v>
          </cell>
          <cell r="U261">
            <v>0</v>
          </cell>
          <cell r="V261">
            <v>50</v>
          </cell>
          <cell r="W261">
            <v>45</v>
          </cell>
          <cell r="X261">
            <v>55</v>
          </cell>
          <cell r="Y261" t="str">
            <v>T/T 60 days</v>
          </cell>
          <cell r="Z261">
            <v>7.6807770133549198</v>
          </cell>
          <cell r="AA261">
            <v>6.5802160740923243</v>
          </cell>
          <cell r="AB261">
            <v>0.1</v>
          </cell>
          <cell r="AC261">
            <v>0.1</v>
          </cell>
          <cell r="AD261">
            <v>0.28000000000000003</v>
          </cell>
          <cell r="AE261" t="str">
            <v>C</v>
          </cell>
          <cell r="AF261">
            <v>6.5802160740923243</v>
          </cell>
          <cell r="AG261">
            <v>0.28000000000000003</v>
          </cell>
          <cell r="AH261">
            <v>6.52</v>
          </cell>
          <cell r="AI261">
            <v>5.9739376770538257</v>
          </cell>
          <cell r="AJ261">
            <v>5.2641728592738595</v>
          </cell>
          <cell r="AK261">
            <v>0.22222222222222232</v>
          </cell>
          <cell r="AL261">
            <v>0.19999999999999996</v>
          </cell>
          <cell r="AM261"/>
          <cell r="AN261" t="str">
            <v>EXW</v>
          </cell>
          <cell r="AO261">
            <v>9.3600000000000003E-2</v>
          </cell>
          <cell r="AP261">
            <v>37.058400000000006</v>
          </cell>
          <cell r="AQ261"/>
          <cell r="AR261">
            <v>0.432</v>
          </cell>
          <cell r="AS261">
            <v>37.52640000000001</v>
          </cell>
          <cell r="AT261">
            <v>37.958400000000012</v>
          </cell>
          <cell r="AU261">
            <v>5.3765439093484435</v>
          </cell>
          <cell r="AV261">
            <v>4.7377555733464733</v>
          </cell>
          <cell r="AW261" t="str">
            <v>7x0.156BC RJ45 OD5.9±.2mm</v>
          </cell>
          <cell r="AX261"/>
          <cell r="AZ261">
            <v>21.934053580307747</v>
          </cell>
          <cell r="BA261">
            <v>13.160432148184649</v>
          </cell>
          <cell r="BB261">
            <v>10.967026790153874</v>
          </cell>
          <cell r="BC261">
            <v>8.7736214321230985</v>
          </cell>
        </row>
        <row r="262">
          <cell r="I262" t="str">
            <v>KPSF8ZH5EF</v>
          </cell>
          <cell r="J262" t="str">
            <v>U0407007</v>
          </cell>
          <cell r="K262" t="str">
            <v>CAT8 PATCH CORD S/FTP LIME GREEN LSZH 5M</v>
          </cell>
          <cell r="L262" t="str">
            <v>CORDON DE BRASSAGE CAT8 S/FTP VERT CITRON LSZH  5M</v>
          </cell>
          <cell r="M262"/>
          <cell r="N262" t="str">
            <v>China</v>
          </cell>
          <cell r="O262"/>
          <cell r="P262" t="str">
            <v>1pc eco bag+10pcs PE bag+carton</v>
          </cell>
          <cell r="Q262" t="str">
            <v>3km of cable</v>
          </cell>
          <cell r="R262">
            <v>960</v>
          </cell>
          <cell r="S262" t="e">
            <v>#N/A</v>
          </cell>
          <cell r="T262" t="str">
            <v>854442 1000</v>
          </cell>
          <cell r="U262">
            <v>0</v>
          </cell>
          <cell r="V262">
            <v>50</v>
          </cell>
          <cell r="W262">
            <v>45</v>
          </cell>
          <cell r="X262">
            <v>55</v>
          </cell>
          <cell r="Y262" t="str">
            <v>T/T 60 days</v>
          </cell>
          <cell r="Z262">
            <v>9.7519500174628444</v>
          </cell>
          <cell r="AA262">
            <v>8.3927132514951222</v>
          </cell>
          <cell r="AB262">
            <v>0.1</v>
          </cell>
          <cell r="AC262">
            <v>0.1</v>
          </cell>
          <cell r="AD262">
            <v>0.25</v>
          </cell>
          <cell r="AE262" t="str">
            <v>C</v>
          </cell>
          <cell r="AF262">
            <v>8.3927132514951222</v>
          </cell>
          <cell r="AG262">
            <v>0.25</v>
          </cell>
          <cell r="AH262">
            <v>8.32</v>
          </cell>
          <cell r="AI262">
            <v>7.909915014164306</v>
          </cell>
          <cell r="AJ262">
            <v>6.9939277095792685</v>
          </cell>
          <cell r="AK262">
            <v>0.18888888888888899</v>
          </cell>
          <cell r="AL262">
            <v>0.16666666666666663</v>
          </cell>
          <cell r="AM262"/>
          <cell r="AN262" t="str">
            <v>EXW</v>
          </cell>
          <cell r="AO262">
            <v>0.15479999999999999</v>
          </cell>
          <cell r="AP262">
            <v>49.053599999999996</v>
          </cell>
          <cell r="AQ262"/>
          <cell r="AR262">
            <v>0.432</v>
          </cell>
          <cell r="AS262">
            <v>49.827599999999997</v>
          </cell>
          <cell r="AT262">
            <v>50.259599999999999</v>
          </cell>
          <cell r="AU262">
            <v>7.1189235127478758</v>
          </cell>
          <cell r="AV262">
            <v>6.2945349386213421</v>
          </cell>
          <cell r="AW262" t="str">
            <v>7x0.156BC RJ45 OD5.9±.2mm</v>
          </cell>
          <cell r="AX262"/>
          <cell r="AZ262">
            <v>27.975710838317074</v>
          </cell>
          <cell r="BA262">
            <v>16.785426502990244</v>
          </cell>
          <cell r="BB262">
            <v>13.987855419158537</v>
          </cell>
          <cell r="BC262">
            <v>11.19028433532683</v>
          </cell>
        </row>
        <row r="263">
          <cell r="I263" t="str">
            <v>KJPP1UUEF</v>
          </cell>
          <cell r="J263" t="str">
            <v>U0501014</v>
          </cell>
          <cell r="K263" t="str">
            <v>24 PORTS UNLOADED PATCH PANEL 1U UNSHIELDED PER ECO FRIENDLY CARTON</v>
          </cell>
          <cell r="L263" t="str">
            <v>PANNEAU DE BRASSAGE VIDE 24 PORTS 1U NON BLINDÉ PAR CARTON ÉCOLOGIQUE</v>
          </cell>
          <cell r="M263"/>
          <cell r="N263" t="str">
            <v>China</v>
          </cell>
          <cell r="O263"/>
          <cell r="P263" t="str">
            <v>1 pc eco friendly box</v>
          </cell>
          <cell r="Q263" t="str">
            <v>500pcs</v>
          </cell>
          <cell r="R263">
            <v>240</v>
          </cell>
          <cell r="S263" t="str">
            <v>4897108882067</v>
          </cell>
          <cell r="T263">
            <v>8538909900</v>
          </cell>
          <cell r="U263">
            <v>1.7000000000000001E-2</v>
          </cell>
          <cell r="V263">
            <v>45</v>
          </cell>
          <cell r="W263">
            <v>45</v>
          </cell>
          <cell r="X263">
            <v>55</v>
          </cell>
          <cell r="Y263" t="str">
            <v>T/T 35days</v>
          </cell>
          <cell r="Z263">
            <v>5.0187581349054442</v>
          </cell>
          <cell r="AA263">
            <v>4.8806110531285727</v>
          </cell>
          <cell r="AB263">
            <v>0.1</v>
          </cell>
          <cell r="AC263">
            <v>0.1</v>
          </cell>
          <cell r="AD263">
            <v>0.24</v>
          </cell>
          <cell r="AE263" t="str">
            <v>C</v>
          </cell>
          <cell r="AF263">
            <v>4.8806110531285727</v>
          </cell>
          <cell r="AG263">
            <v>0.24</v>
          </cell>
          <cell r="AH263" t="e">
            <v>#N/A</v>
          </cell>
          <cell r="AI263">
            <v>4.1265344664778096</v>
          </cell>
          <cell r="AJ263">
            <v>4.1214048893085726</v>
          </cell>
          <cell r="AK263">
            <v>0.17777777777777781</v>
          </cell>
          <cell r="AL263">
            <v>0.15555555555555556</v>
          </cell>
          <cell r="AM263"/>
          <cell r="AN263" t="str">
            <v>LY</v>
          </cell>
          <cell r="AO263"/>
          <cell r="AP263"/>
          <cell r="AQ263"/>
          <cell r="AR263">
            <v>2.72</v>
          </cell>
          <cell r="AS263">
            <v>23.5</v>
          </cell>
          <cell r="AT263">
            <v>26.22</v>
          </cell>
          <cell r="AU263">
            <v>3.7138810198300285</v>
          </cell>
          <cell r="AV263">
            <v>3.7092644003777151</v>
          </cell>
          <cell r="AW263"/>
          <cell r="AX263"/>
          <cell r="AZ263">
            <v>16.268703510428576</v>
          </cell>
          <cell r="BA263">
            <v>9.7612221062571454</v>
          </cell>
          <cell r="BB263">
            <v>8.1343517552142881</v>
          </cell>
          <cell r="BC263">
            <v>6.5074814041714308</v>
          </cell>
        </row>
        <row r="264">
          <cell r="I264" t="str">
            <v>KJPP1UBCEF</v>
          </cell>
          <cell r="J264" t="str">
            <v>U0501008</v>
          </cell>
          <cell r="K264" t="str">
            <v>24 PORTS UNLOADED PATCH PANEL 1U DIRECT GROUNDING BLACK WITH HOLE CUTTING AND ACCESSORIES PER ECO FRIENDLY CARTON</v>
          </cell>
          <cell r="L264" t="str">
            <v>PANNEAU DE BRASSAGE VIDE 24 ports 1U MISE A LA TERRE DIRECTE AVEC TROU DECOUPE NOIR PAR CARTON ÉCOLOGIQUE</v>
          </cell>
          <cell r="M264"/>
          <cell r="N264" t="str">
            <v>China</v>
          </cell>
          <cell r="O264"/>
          <cell r="P264" t="str">
            <v>1 pc eco friendly box</v>
          </cell>
          <cell r="Q264" t="str">
            <v>500pcs</v>
          </cell>
          <cell r="R264">
            <v>240</v>
          </cell>
          <cell r="S264" t="str">
            <v>4897108881817</v>
          </cell>
          <cell r="T264" t="str">
            <v>853890 9900</v>
          </cell>
          <cell r="U264">
            <v>1.7000000000000001E-2</v>
          </cell>
          <cell r="V264">
            <v>45</v>
          </cell>
          <cell r="W264">
            <v>45</v>
          </cell>
          <cell r="X264">
            <v>55</v>
          </cell>
          <cell r="Y264" t="str">
            <v>T/T 35days</v>
          </cell>
          <cell r="Z264">
            <v>5.7327157185514137</v>
          </cell>
          <cell r="AA264">
            <v>5.4969239092620086</v>
          </cell>
          <cell r="AB264">
            <v>0.1</v>
          </cell>
          <cell r="AC264">
            <v>0.1</v>
          </cell>
          <cell r="AD264">
            <v>0.24</v>
          </cell>
          <cell r="AE264" t="str">
            <v>C</v>
          </cell>
          <cell r="AF264">
            <v>5.4969239092620086</v>
          </cell>
          <cell r="AG264">
            <v>0.24</v>
          </cell>
          <cell r="AH264" t="e">
            <v>#N/A</v>
          </cell>
          <cell r="AI264">
            <v>4.7135662574756063</v>
          </cell>
          <cell r="AJ264">
            <v>4.6418468567101403</v>
          </cell>
          <cell r="AK264">
            <v>0.17777777777777781</v>
          </cell>
          <cell r="AL264">
            <v>0.15555555555555556</v>
          </cell>
          <cell r="AM264"/>
          <cell r="AN264" t="str">
            <v>LY</v>
          </cell>
          <cell r="AO264"/>
          <cell r="AP264"/>
          <cell r="AQ264"/>
          <cell r="AR264">
            <v>2.72</v>
          </cell>
          <cell r="AS264">
            <v>27.23</v>
          </cell>
          <cell r="AT264">
            <v>29.95</v>
          </cell>
          <cell r="AU264">
            <v>4.2422096317280458</v>
          </cell>
          <cell r="AV264">
            <v>4.1776621710391266</v>
          </cell>
          <cell r="AW264"/>
          <cell r="AX264"/>
          <cell r="AY264">
            <v>38.75</v>
          </cell>
          <cell r="AZ264">
            <v>18.323079697540031</v>
          </cell>
          <cell r="BA264">
            <v>10.993847818524019</v>
          </cell>
          <cell r="BB264">
            <v>9.1615398487700155</v>
          </cell>
          <cell r="BC264">
            <v>7.3292318790160129</v>
          </cell>
        </row>
        <row r="265">
          <cell r="I265" t="str">
            <v>KJPP1UEF</v>
          </cell>
          <cell r="J265" t="str">
            <v>U0501013</v>
          </cell>
          <cell r="K265" t="str">
            <v>24 PORTS UNLOADED PATCH PANEL 1U DIRECT GROUNDING PER ECO FRIENDLY CARTON</v>
          </cell>
          <cell r="L265" t="str">
            <v>PANNEAU DE BRASSAGE VIDE 24 PORTS 1U MISE À LA TERRE DIRECTE PAR CARTON ÉCOLOGIQUE</v>
          </cell>
          <cell r="M265"/>
          <cell r="N265" t="str">
            <v>China</v>
          </cell>
          <cell r="O265"/>
          <cell r="P265" t="str">
            <v>1 pc eco friendly box</v>
          </cell>
          <cell r="Q265" t="str">
            <v>500pcs</v>
          </cell>
          <cell r="R265">
            <v>240</v>
          </cell>
          <cell r="S265" t="str">
            <v>4897108882074</v>
          </cell>
          <cell r="T265" t="str">
            <v>853890 9900</v>
          </cell>
          <cell r="U265">
            <v>1.7000000000000001E-2</v>
          </cell>
          <cell r="V265">
            <v>45</v>
          </cell>
          <cell r="W265">
            <v>45</v>
          </cell>
          <cell r="X265">
            <v>55</v>
          </cell>
          <cell r="Y265" t="str">
            <v>T/T 35days</v>
          </cell>
          <cell r="Z265">
            <v>5.9647466163046898</v>
          </cell>
          <cell r="AA265">
            <v>5.7082773252375425</v>
          </cell>
          <cell r="AB265">
            <v>0.1</v>
          </cell>
          <cell r="AC265">
            <v>0.1</v>
          </cell>
          <cell r="AD265">
            <v>0.26</v>
          </cell>
          <cell r="AE265" t="str">
            <v>C</v>
          </cell>
          <cell r="AF265">
            <v>5.7082773252375425</v>
          </cell>
          <cell r="AG265">
            <v>0.26</v>
          </cell>
          <cell r="AH265" t="e">
            <v>#N/A</v>
          </cell>
          <cell r="AI265">
            <v>4.7717972930437513</v>
          </cell>
          <cell r="AJ265">
            <v>4.6934724674175348</v>
          </cell>
          <cell r="AK265">
            <v>0.20000000000000007</v>
          </cell>
          <cell r="AL265">
            <v>0.17777777777777781</v>
          </cell>
          <cell r="AM265"/>
          <cell r="AN265" t="str">
            <v>LY</v>
          </cell>
          <cell r="AO265"/>
          <cell r="AP265"/>
          <cell r="AQ265"/>
          <cell r="AR265">
            <v>2.72</v>
          </cell>
          <cell r="AS265">
            <v>27.6</v>
          </cell>
          <cell r="AT265">
            <v>30.32</v>
          </cell>
          <cell r="AU265">
            <v>4.2946175637393766</v>
          </cell>
          <cell r="AV265">
            <v>4.2241252206757816</v>
          </cell>
          <cell r="AW265"/>
          <cell r="AX265"/>
          <cell r="AY265"/>
          <cell r="AZ265">
            <v>19.027591084125142</v>
          </cell>
          <cell r="BA265">
            <v>11.416554650475085</v>
          </cell>
          <cell r="BB265">
            <v>9.5137955420625708</v>
          </cell>
          <cell r="BC265">
            <v>7.6110364336500567</v>
          </cell>
        </row>
        <row r="266">
          <cell r="I266" t="str">
            <v>KJPP1UBMCTEF</v>
          </cell>
          <cell r="J266" t="str">
            <v>U0501011</v>
          </cell>
          <cell r="K266" t="str">
            <v>24 PORTS UNLOADED PATCH PANEL 1U DIRECT GROUNDING FULL METAL BLACK T SHAPE WITH HOLE CUTTING AND ACCESSORIES WITH 24PCS CABLE TIE PER ECO FRIENDLY CARTON</v>
          </cell>
          <cell r="L266" t="str">
            <v>PANNEAU DE BRASSAGE EN MÉTAL 19 POUCES 1U 24 PORTS RJ45 KEYSTONE
MISE À LA TERRE AUTOMATIQUE ET OUIES DE FIXATION DÉCOUPÉES</v>
          </cell>
          <cell r="M266"/>
          <cell r="N266" t="str">
            <v>China</v>
          </cell>
          <cell r="O266"/>
          <cell r="P266" t="str">
            <v>1 pc eco friendly box</v>
          </cell>
          <cell r="Q266" t="str">
            <v>500 pcs</v>
          </cell>
          <cell r="R266">
            <v>240</v>
          </cell>
          <cell r="S266">
            <v>4897108882760</v>
          </cell>
          <cell r="T266" t="str">
            <v>853890 9900</v>
          </cell>
          <cell r="U266">
            <v>1.7000000000000001E-2</v>
          </cell>
          <cell r="V266">
            <v>45</v>
          </cell>
          <cell r="W266">
            <v>45</v>
          </cell>
          <cell r="X266">
            <v>55</v>
          </cell>
          <cell r="Y266" t="str">
            <v>T/T 35days</v>
          </cell>
          <cell r="Z266">
            <v>6.2072987835360784</v>
          </cell>
          <cell r="AA266">
            <v>5.9411797136640114</v>
          </cell>
          <cell r="AB266">
            <v>0.1</v>
          </cell>
          <cell r="AC266">
            <v>0.1</v>
          </cell>
          <cell r="AD266">
            <v>0.3</v>
          </cell>
          <cell r="AE266" t="str">
            <v>C</v>
          </cell>
          <cell r="AF266">
            <v>5.9411797136640114</v>
          </cell>
          <cell r="AG266">
            <v>0.30000000000000004</v>
          </cell>
          <cell r="AH266">
            <v>5.9</v>
          </cell>
          <cell r="AI266">
            <v>4.6899590808939253</v>
          </cell>
          <cell r="AJ266">
            <v>4.6209175550720083</v>
          </cell>
          <cell r="AK266">
            <v>0.24444444444444458</v>
          </cell>
          <cell r="AL266">
            <v>0.22222222222222232</v>
          </cell>
          <cell r="AM266">
            <v>4.415492957746479</v>
          </cell>
          <cell r="AN266" t="str">
            <v>LY</v>
          </cell>
          <cell r="AO266"/>
          <cell r="AP266"/>
          <cell r="AQ266"/>
          <cell r="AR266"/>
          <cell r="AS266">
            <v>29.8</v>
          </cell>
          <cell r="AT266">
            <v>29.8</v>
          </cell>
          <cell r="AU266">
            <v>4.2209631728045327</v>
          </cell>
          <cell r="AV266">
            <v>4.1588257995648075</v>
          </cell>
          <cell r="AW266" t="str">
            <v>Elendil</v>
          </cell>
          <cell r="AX266"/>
          <cell r="AZ266">
            <v>19.803932378880038</v>
          </cell>
          <cell r="BA266">
            <v>11.882359427328023</v>
          </cell>
          <cell r="BB266">
            <v>9.9019661894400191</v>
          </cell>
          <cell r="BC266">
            <v>7.9215729515520152</v>
          </cell>
        </row>
        <row r="267">
          <cell r="I267" t="str">
            <v>KJPP2UBMCTEF</v>
          </cell>
          <cell r="J267" t="str">
            <v>U0501015</v>
          </cell>
          <cell r="K267" t="str">
            <v>48 PORTS UNLOADED PATCH PANEL 2U DIRECT GROUNDING FULL METAL BLACK T SHAPE WITH HOLE CUTTING AND ACCESSORIES WITH 24PCS CABLE TIE PER ECO FRIENDLY CARTON</v>
          </cell>
          <cell r="L267" t="str">
            <v>PANNEAU DE BRASSAGE EN MÉTAL 19 POUCES 2U 48 PORTS RJ45 KEYSTONE</v>
          </cell>
          <cell r="M267"/>
          <cell r="N267" t="str">
            <v>China</v>
          </cell>
          <cell r="O267"/>
          <cell r="P267" t="str">
            <v>1 pc eco friendly box</v>
          </cell>
          <cell r="Q267" t="str">
            <v>500 pcs</v>
          </cell>
          <cell r="R267">
            <v>320</v>
          </cell>
          <cell r="S267" t="str">
            <v>4897108882760</v>
          </cell>
          <cell r="T267" t="str">
            <v>853890 9900</v>
          </cell>
          <cell r="U267">
            <v>1.7000000000000001E-2</v>
          </cell>
          <cell r="V267">
            <v>45</v>
          </cell>
          <cell r="W267">
            <v>45</v>
          </cell>
          <cell r="X267">
            <v>55</v>
          </cell>
          <cell r="Y267" t="str">
            <v>T/T 35days</v>
          </cell>
          <cell r="Z267">
            <v>13.475763298709476</v>
          </cell>
          <cell r="AA267">
            <v>12.04654455847645</v>
          </cell>
          <cell r="AB267">
            <v>0.1</v>
          </cell>
          <cell r="AC267">
            <v>0.1</v>
          </cell>
          <cell r="AD267">
            <v>0.26</v>
          </cell>
          <cell r="AE267" t="str">
            <v>C</v>
          </cell>
          <cell r="AF267">
            <v>12.04654455847645</v>
          </cell>
          <cell r="AG267">
            <v>0.26</v>
          </cell>
          <cell r="AH267">
            <v>11.95</v>
          </cell>
          <cell r="AI267">
            <v>10.78061063896758</v>
          </cell>
          <cell r="AJ267">
            <v>9.9049366369695253</v>
          </cell>
          <cell r="AK267">
            <v>0.19999999999999996</v>
          </cell>
          <cell r="AL267">
            <v>0.17777777777777781</v>
          </cell>
          <cell r="AM267">
            <v>4.415492957746479</v>
          </cell>
          <cell r="AN267" t="str">
            <v>LY</v>
          </cell>
          <cell r="AO267"/>
          <cell r="AP267"/>
          <cell r="AQ267"/>
          <cell r="AR267"/>
          <cell r="AS267">
            <v>68.5</v>
          </cell>
          <cell r="AT267">
            <v>68.5</v>
          </cell>
          <cell r="AU267">
            <v>9.7025495750708224</v>
          </cell>
          <cell r="AV267">
            <v>8.914442973272573</v>
          </cell>
          <cell r="AW267"/>
          <cell r="AX267"/>
          <cell r="AZ267">
            <v>40.155148528254834</v>
          </cell>
          <cell r="BA267">
            <v>24.0930891169529</v>
          </cell>
          <cell r="BB267">
            <v>20.077574264127417</v>
          </cell>
          <cell r="BC267">
            <v>16.062059411301934</v>
          </cell>
        </row>
        <row r="268">
          <cell r="I268" t="str">
            <v>KJPP1U246UEF</v>
          </cell>
          <cell r="J268" t="str">
            <v>U0501003</v>
          </cell>
          <cell r="K268" t="str">
            <v>24 PORTS CAT6 UNSHIELDED PATCH PANEL 1U DUAL IDC ECO FRIENDLY CARTON</v>
          </cell>
          <cell r="L268" t="str">
            <v>PANNEAU DE BRASSAGE 24 PORTS CAT6 UNSHIELDED 1U DUAL IDC CARTON ECOLOGIQUE</v>
          </cell>
          <cell r="M268"/>
          <cell r="N268" t="str">
            <v>China</v>
          </cell>
          <cell r="O268"/>
          <cell r="P268" t="str">
            <v>1 pc eco friendly box</v>
          </cell>
          <cell r="Q268" t="str">
            <v>500 pcs</v>
          </cell>
          <cell r="R268">
            <v>240</v>
          </cell>
          <cell r="S268" t="e">
            <v>#N/A</v>
          </cell>
          <cell r="T268" t="str">
            <v>853890 9900</v>
          </cell>
          <cell r="U268">
            <v>1.7000000000000001E-2</v>
          </cell>
          <cell r="V268">
            <v>45</v>
          </cell>
          <cell r="W268">
            <v>45</v>
          </cell>
          <cell r="X268">
            <v>55</v>
          </cell>
          <cell r="Y268" t="str">
            <v>T/T 35days</v>
          </cell>
          <cell r="Z268">
            <v>6.6619452313503302</v>
          </cell>
          <cell r="AA268">
            <v>6.3877677742504968</v>
          </cell>
          <cell r="AB268">
            <v>0.1</v>
          </cell>
          <cell r="AC268">
            <v>0.1</v>
          </cell>
          <cell r="AD268">
            <v>0.38</v>
          </cell>
          <cell r="AE268" t="str">
            <v>C</v>
          </cell>
          <cell r="AF268">
            <v>6.3877677742504968</v>
          </cell>
          <cell r="AG268">
            <v>0.38</v>
          </cell>
          <cell r="AH268" t="e">
            <v>#N/A</v>
          </cell>
          <cell r="AI268">
            <v>4.4412968209002202</v>
          </cell>
          <cell r="AJ268">
            <v>4.4004622444836752</v>
          </cell>
          <cell r="AK268">
            <v>0.33333333333333337</v>
          </cell>
          <cell r="AL268">
            <v>0.31111111111111123</v>
          </cell>
          <cell r="AM268"/>
          <cell r="AN268" t="str">
            <v>LY</v>
          </cell>
          <cell r="AO268"/>
          <cell r="AP268"/>
          <cell r="AQ268"/>
          <cell r="AR268">
            <v>2.72</v>
          </cell>
          <cell r="AS268">
            <v>25.5</v>
          </cell>
          <cell r="AT268">
            <v>28.22</v>
          </cell>
          <cell r="AU268">
            <v>3.9971671388101981</v>
          </cell>
          <cell r="AV268">
            <v>3.960416020035308</v>
          </cell>
          <cell r="AW268"/>
          <cell r="AX268"/>
          <cell r="AZ268">
            <v>21.292559247501657</v>
          </cell>
          <cell r="BA268">
            <v>12.775535548500994</v>
          </cell>
          <cell r="BB268">
            <v>10.646279623750829</v>
          </cell>
          <cell r="BC268">
            <v>8.5170236990006636</v>
          </cell>
        </row>
        <row r="269">
          <cell r="I269" t="str">
            <v>KJPP1U246SHQEF</v>
          </cell>
          <cell r="J269" t="str">
            <v>U0501002</v>
          </cell>
          <cell r="K269" t="str">
            <v>24 PORTS CAT6 SHIELDED PATCH PANEL 1U DUAL IDC INTERTEK CERTIFIED ECO FRIENDLY CARTON</v>
          </cell>
          <cell r="L269" t="str">
            <v>PANNEAU DE BRASSAGE BLINDÉ CAT6 24 PORTS 1U  DOUBLE IDC CARTON ÉCOLOGIQUE CERTIFIÉ INTERTEK</v>
          </cell>
          <cell r="M269"/>
          <cell r="N269" t="str">
            <v>China</v>
          </cell>
          <cell r="O269"/>
          <cell r="P269" t="str">
            <v>1 pc eco friendly box</v>
          </cell>
          <cell r="Q269" t="str">
            <v>500 pcs</v>
          </cell>
          <cell r="R269">
            <v>256</v>
          </cell>
          <cell r="S269" t="e">
            <v>#N/A</v>
          </cell>
          <cell r="T269" t="str">
            <v>853890 9900</v>
          </cell>
          <cell r="U269">
            <v>1.7000000000000001E-2</v>
          </cell>
          <cell r="V269">
            <v>45</v>
          </cell>
          <cell r="W269">
            <v>45</v>
          </cell>
          <cell r="X269">
            <v>55</v>
          </cell>
          <cell r="Y269" t="str">
            <v>T/T 35days</v>
          </cell>
          <cell r="Z269">
            <v>8.4985835694051008</v>
          </cell>
          <cell r="AA269">
            <v>7.9215389578010962</v>
          </cell>
          <cell r="AB269">
            <v>0.1</v>
          </cell>
          <cell r="AC269">
            <v>0.1</v>
          </cell>
          <cell r="AD269">
            <v>0.38</v>
          </cell>
          <cell r="AE269" t="str">
            <v>C</v>
          </cell>
          <cell r="AF269">
            <v>7.9215389578010962</v>
          </cell>
          <cell r="AG269">
            <v>0.38</v>
          </cell>
          <cell r="AH269" t="e">
            <v>#N/A</v>
          </cell>
          <cell r="AI269">
            <v>5.6657223796034</v>
          </cell>
          <cell r="AJ269">
            <v>5.457060170929644</v>
          </cell>
          <cell r="AK269">
            <v>0.33333333333333337</v>
          </cell>
          <cell r="AL269">
            <v>0.31111111111111112</v>
          </cell>
          <cell r="AM269"/>
          <cell r="AN269" t="str">
            <v>CTK</v>
          </cell>
          <cell r="AO269"/>
          <cell r="AP269"/>
          <cell r="AQ269"/>
          <cell r="AR269">
            <v>2.72</v>
          </cell>
          <cell r="AS269">
            <v>33.28</v>
          </cell>
          <cell r="AT269">
            <v>36</v>
          </cell>
          <cell r="AU269">
            <v>5.0991501416430598</v>
          </cell>
          <cell r="AV269">
            <v>4.9113541538366796</v>
          </cell>
          <cell r="AW269"/>
          <cell r="AX269"/>
          <cell r="AZ269">
            <v>26.405129859336988</v>
          </cell>
          <cell r="BA269">
            <v>15.843077915602192</v>
          </cell>
          <cell r="BB269">
            <v>13.202564929668494</v>
          </cell>
          <cell r="BC269">
            <v>10.562051943734796</v>
          </cell>
        </row>
        <row r="270">
          <cell r="I270" t="str">
            <v>KJPP1UBCTEF</v>
          </cell>
          <cell r="J270" t="str">
            <v>U0501009</v>
          </cell>
          <cell r="K270" t="str">
            <v>24 PORTS UNLOADED PATCH PANEL 1U DIRECT GROUNDING BLACK T SHAPE WITH HOLE CUTTING AND ACCESSORIES WITH 24PCS CABLE TIE PER ECO FRIENDLY CARTON</v>
          </cell>
          <cell r="L270" t="str">
            <v>PANNEAU DE BRASSAGE VIDE 24 ports 1U MISE A LA TERRE DIRECTE AVEC TROU DECOUPE NOIR PAR CARTON ÉCOLOGIQUE</v>
          </cell>
          <cell r="M270"/>
          <cell r="N270" t="str">
            <v>China</v>
          </cell>
          <cell r="O270"/>
          <cell r="P270" t="str">
            <v>1 pc eco friendly box</v>
          </cell>
          <cell r="Q270" t="str">
            <v>500 pcs</v>
          </cell>
          <cell r="R270">
            <v>240</v>
          </cell>
          <cell r="S270" t="str">
            <v>4897108882760</v>
          </cell>
          <cell r="T270" t="str">
            <v>853890 9900</v>
          </cell>
          <cell r="U270">
            <v>1.7000000000000001E-2</v>
          </cell>
          <cell r="V270">
            <v>45</v>
          </cell>
          <cell r="W270">
            <v>45</v>
          </cell>
          <cell r="X270">
            <v>55</v>
          </cell>
          <cell r="Y270" t="str">
            <v>T/T 35days</v>
          </cell>
          <cell r="Z270">
            <v>6.3435855928773783</v>
          </cell>
          <cell r="AA270">
            <v>6.046483756665892</v>
          </cell>
          <cell r="AB270">
            <v>0.1</v>
          </cell>
          <cell r="AC270">
            <v>0.1</v>
          </cell>
          <cell r="AD270">
            <v>0.28000000000000003</v>
          </cell>
          <cell r="AE270" t="str">
            <v>C</v>
          </cell>
          <cell r="AF270">
            <v>6.046483756665892</v>
          </cell>
          <cell r="AG270">
            <v>0.28000000000000003</v>
          </cell>
          <cell r="AH270">
            <v>6</v>
          </cell>
          <cell r="AI270">
            <v>4.9338999055712938</v>
          </cell>
          <cell r="AJ270">
            <v>4.8371870053327131</v>
          </cell>
          <cell r="AK270">
            <v>0.22222222222222232</v>
          </cell>
          <cell r="AL270">
            <v>0.20000000000000007</v>
          </cell>
          <cell r="AM270"/>
          <cell r="AN270" t="str">
            <v>LY</v>
          </cell>
          <cell r="AO270"/>
          <cell r="AP270"/>
          <cell r="AQ270"/>
          <cell r="AR270"/>
          <cell r="AS270">
            <v>31.35</v>
          </cell>
          <cell r="AT270">
            <v>31.35</v>
          </cell>
          <cell r="AU270">
            <v>4.4405099150141645</v>
          </cell>
          <cell r="AV270">
            <v>4.353468304799442</v>
          </cell>
          <cell r="AW270" t="str">
            <v>Koros,Xeilom, Coris</v>
          </cell>
          <cell r="AX270"/>
          <cell r="AZ270">
            <v>20.154945855552974</v>
          </cell>
          <cell r="BA270">
            <v>12.092967513331784</v>
          </cell>
          <cell r="BB270">
            <v>10.077472927776487</v>
          </cell>
          <cell r="BC270">
            <v>8.0619783422211899</v>
          </cell>
        </row>
        <row r="271">
          <cell r="I271" t="str">
            <v>KJPP1U245EUEF</v>
          </cell>
          <cell r="J271" t="str">
            <v>U0501001</v>
          </cell>
          <cell r="K271" t="str">
            <v>24 PORTS CAT5E UNSHIELDED PATCH PANEL 1U DUAL IDC ECO FRIENDLY CARTON</v>
          </cell>
          <cell r="L271" t="str">
            <v>PANNEAU DE BRASSAGE 24 PORTS CAT5E NON BLINDÉ 1U DOUBLE IDC CARTON ÉCOLOGIQUE</v>
          </cell>
          <cell r="M271"/>
          <cell r="N271" t="str">
            <v>China</v>
          </cell>
          <cell r="O271"/>
          <cell r="P271" t="str">
            <v>1 pc eco friendly box</v>
          </cell>
          <cell r="Q271" t="str">
            <v>500 pcs</v>
          </cell>
          <cell r="R271">
            <v>240</v>
          </cell>
          <cell r="S271" t="e">
            <v>#N/A</v>
          </cell>
          <cell r="T271" t="str">
            <v>853890 9900</v>
          </cell>
          <cell r="U271">
            <v>1.7000000000000001E-2</v>
          </cell>
          <cell r="V271">
            <v>45</v>
          </cell>
          <cell r="W271">
            <v>45</v>
          </cell>
          <cell r="X271">
            <v>55</v>
          </cell>
          <cell r="Y271" t="str">
            <v>T/T 35days</v>
          </cell>
          <cell r="Z271">
            <v>12.120598947794416</v>
          </cell>
          <cell r="AA271">
            <v>11.025913438071651</v>
          </cell>
          <cell r="AB271">
            <v>0.1</v>
          </cell>
          <cell r="AC271">
            <v>0.1</v>
          </cell>
          <cell r="AD271">
            <v>0.28000000000000003</v>
          </cell>
          <cell r="AE271" t="str">
            <v>C</v>
          </cell>
          <cell r="AF271">
            <v>11.025913438071651</v>
          </cell>
          <cell r="AG271">
            <v>0.28000000000000003</v>
          </cell>
          <cell r="AH271" t="e">
            <v>#N/A</v>
          </cell>
          <cell r="AI271">
            <v>9.4271325149512126</v>
          </cell>
          <cell r="AJ271">
            <v>8.8207307504573205</v>
          </cell>
          <cell r="AK271">
            <v>0.22222222222222221</v>
          </cell>
          <cell r="AL271">
            <v>0.20000000000000007</v>
          </cell>
          <cell r="AM271"/>
          <cell r="AN271" t="str">
            <v>LY</v>
          </cell>
          <cell r="AO271"/>
          <cell r="AP271"/>
          <cell r="AQ271"/>
          <cell r="AR271"/>
          <cell r="AS271">
            <v>59.9</v>
          </cell>
          <cell r="AT271">
            <v>59.9</v>
          </cell>
          <cell r="AU271">
            <v>8.4844192634560915</v>
          </cell>
          <cell r="AV271">
            <v>7.9386576754115881</v>
          </cell>
          <cell r="AW271" t="str">
            <v>LY-PP5-07</v>
          </cell>
          <cell r="AX271"/>
          <cell r="AZ271">
            <v>36.753044793572172</v>
          </cell>
          <cell r="BA271">
            <v>22.051826876143302</v>
          </cell>
          <cell r="BB271">
            <v>18.376522396786086</v>
          </cell>
          <cell r="BC271">
            <v>14.70121791742887</v>
          </cell>
        </row>
        <row r="272">
          <cell r="I272" t="str">
            <v>KJPP1UBCANEF</v>
          </cell>
          <cell r="J272" t="str">
            <v>U0501007</v>
          </cell>
          <cell r="K272" t="str">
            <v>24 PORTS UNLOADED PATCH PANEL 1U DIRECT GROUNDING BLACK ANGLED V SHAPE PER ECO FRIENDLY CARTON</v>
          </cell>
          <cell r="L272" t="str">
            <v>PANNEAU DE BRASSAGE VIDE 24 ports 1U MISE A LA TERRE DIRECTE NOIR EN V ANGULÉ PAR CARTON ÉCOLOGIQUE</v>
          </cell>
          <cell r="M272"/>
          <cell r="N272" t="str">
            <v>China</v>
          </cell>
          <cell r="O272"/>
          <cell r="P272" t="str">
            <v>1 pc eco friendly box</v>
          </cell>
          <cell r="Q272" t="str">
            <v>500 pcs</v>
          </cell>
          <cell r="R272">
            <v>240</v>
          </cell>
          <cell r="S272" t="e">
            <v>#N/A</v>
          </cell>
          <cell r="T272" t="str">
            <v>853890 9900</v>
          </cell>
          <cell r="U272">
            <v>1.7000000000000001E-2</v>
          </cell>
          <cell r="V272">
            <v>45</v>
          </cell>
          <cell r="W272">
            <v>45</v>
          </cell>
          <cell r="X272">
            <v>55</v>
          </cell>
          <cell r="Y272" t="str">
            <v>T/T 35days</v>
          </cell>
          <cell r="Z272">
            <v>9.4293808174828015</v>
          </cell>
          <cell r="AA272">
            <v>8.7062491731786</v>
          </cell>
          <cell r="AB272">
            <v>0.1</v>
          </cell>
          <cell r="AC272">
            <v>0.1</v>
          </cell>
          <cell r="AD272">
            <v>0.28000000000000003</v>
          </cell>
          <cell r="AE272" t="str">
            <v>C</v>
          </cell>
          <cell r="AF272">
            <v>8.7062491731786</v>
          </cell>
          <cell r="AG272">
            <v>0.28000000000000003</v>
          </cell>
          <cell r="AH272">
            <v>8.64</v>
          </cell>
          <cell r="AI272">
            <v>7.3339628580421783</v>
          </cell>
          <cell r="AJ272">
            <v>6.9649993385428788</v>
          </cell>
          <cell r="AK272">
            <v>0.22222222222222232</v>
          </cell>
          <cell r="AL272">
            <v>0.20000000000000018</v>
          </cell>
          <cell r="AM272"/>
          <cell r="AN272" t="str">
            <v>LY</v>
          </cell>
          <cell r="AO272"/>
          <cell r="AP272"/>
          <cell r="AQ272"/>
          <cell r="AR272"/>
          <cell r="AS272">
            <v>46.6</v>
          </cell>
          <cell r="AT272">
            <v>46.6</v>
          </cell>
          <cell r="AU272">
            <v>6.6005665722379607</v>
          </cell>
          <cell r="AV272">
            <v>6.2684994046885913</v>
          </cell>
          <cell r="AW272" t="str">
            <v>LY-BPP11-1S24P</v>
          </cell>
          <cell r="AX272"/>
          <cell r="AZ272">
            <v>29.020830577262</v>
          </cell>
          <cell r="BA272">
            <v>17.4124983463572</v>
          </cell>
          <cell r="BB272">
            <v>14.510415288631</v>
          </cell>
          <cell r="BC272">
            <v>11.6083322309048</v>
          </cell>
        </row>
        <row r="273">
          <cell r="I273" t="str">
            <v>KJPP1U25UEF</v>
          </cell>
          <cell r="J273" t="str">
            <v>U0501004</v>
          </cell>
          <cell r="K273" t="str">
            <v>25 PORTS UNSHIELDED TELEPHONE PATCH PANEL 1U DUAL IDC ECO FRIENDLY CARTON</v>
          </cell>
          <cell r="L273" t="str">
            <v>PANNEAU DE BRASSAGE TELEPHONIQUE 25 PORTS NON BLINDÉ 1U DOUBLE IDC CARTON ÉCOLOGIQUE</v>
          </cell>
          <cell r="M273"/>
          <cell r="N273" t="str">
            <v>China</v>
          </cell>
          <cell r="O273"/>
          <cell r="P273" t="str">
            <v>1 pc eco friendly box</v>
          </cell>
          <cell r="Q273" t="str">
            <v>500 pcs</v>
          </cell>
          <cell r="R273">
            <v>240</v>
          </cell>
          <cell r="S273" t="e">
            <v>#N/A</v>
          </cell>
          <cell r="T273" t="str">
            <v>853890 9900</v>
          </cell>
          <cell r="U273">
            <v>1.7000000000000001E-2</v>
          </cell>
          <cell r="V273">
            <v>45</v>
          </cell>
          <cell r="W273">
            <v>45</v>
          </cell>
          <cell r="X273">
            <v>55</v>
          </cell>
          <cell r="Y273" t="str">
            <v>T/T 35days</v>
          </cell>
          <cell r="Z273">
            <v>14.455353331522375</v>
          </cell>
          <cell r="AA273">
            <v>13.029419331882691</v>
          </cell>
          <cell r="AB273">
            <v>0.1</v>
          </cell>
          <cell r="AC273">
            <v>0.1</v>
          </cell>
          <cell r="AD273">
            <v>0.25</v>
          </cell>
          <cell r="AE273" t="str">
            <v>C</v>
          </cell>
          <cell r="AF273">
            <v>13.029419331882691</v>
          </cell>
          <cell r="AG273">
            <v>0.25</v>
          </cell>
          <cell r="AH273" t="e">
            <v>#N/A</v>
          </cell>
          <cell r="AI273">
            <v>11.724897702234815</v>
          </cell>
          <cell r="AJ273">
            <v>10.857849443235574</v>
          </cell>
          <cell r="AK273">
            <v>0.18888888888888888</v>
          </cell>
          <cell r="AL273">
            <v>0.16666666666666674</v>
          </cell>
          <cell r="AM273"/>
          <cell r="AN273" t="str">
            <v>LY</v>
          </cell>
          <cell r="AO273"/>
          <cell r="AP273"/>
          <cell r="AQ273"/>
          <cell r="AR273"/>
          <cell r="AS273">
            <v>74.5</v>
          </cell>
          <cell r="AT273">
            <v>74.5</v>
          </cell>
          <cell r="AU273">
            <v>10.552407932011333</v>
          </cell>
          <cell r="AV273">
            <v>9.7720644989120178</v>
          </cell>
          <cell r="AW273" t="str">
            <v>LY-PP5-15</v>
          </cell>
          <cell r="AX273"/>
          <cell r="AZ273">
            <v>43.431397772942304</v>
          </cell>
          <cell r="BA273">
            <v>26.058838663765382</v>
          </cell>
          <cell r="BB273">
            <v>21.715698886471152</v>
          </cell>
          <cell r="BC273">
            <v>17.372559109176922</v>
          </cell>
        </row>
        <row r="274">
          <cell r="I274" t="str">
            <v>KJPP1U50UEF</v>
          </cell>
          <cell r="J274" t="str">
            <v>U0501005</v>
          </cell>
          <cell r="K274" t="str">
            <v>50 PORTS UNSHIELDED TELEPHONE PATCH PANEL 1U DUAL IDC ECO FRIENDLY CARTON</v>
          </cell>
          <cell r="L274" t="str">
            <v>PANNEAU DE BRASSAGE TELEPHONIQUE 50 PORTS NON BLINDÉ 1U DOUBLE IDC CARTON ÉCOLOGIQUE</v>
          </cell>
          <cell r="M274"/>
          <cell r="N274" t="str">
            <v>China</v>
          </cell>
          <cell r="O274"/>
          <cell r="P274" t="str">
            <v>1 pc eco friendly box</v>
          </cell>
          <cell r="Q274" t="str">
            <v>500 pcs</v>
          </cell>
          <cell r="R274">
            <v>120</v>
          </cell>
          <cell r="S274" t="e">
            <v>#N/A</v>
          </cell>
          <cell r="T274" t="str">
            <v>853890 9900</v>
          </cell>
          <cell r="U274">
            <v>1.7000000000000001E-2</v>
          </cell>
          <cell r="V274">
            <v>45</v>
          </cell>
          <cell r="W274">
            <v>45</v>
          </cell>
          <cell r="X274">
            <v>55</v>
          </cell>
          <cell r="Y274" t="str">
            <v>T/T 35days</v>
          </cell>
          <cell r="Z274">
            <v>19.83390896037875</v>
          </cell>
          <cell r="AA274">
            <v>18.226256818710571</v>
          </cell>
          <cell r="AB274">
            <v>0.1</v>
          </cell>
          <cell r="AC274">
            <v>0.1</v>
          </cell>
          <cell r="AD274">
            <v>0.25</v>
          </cell>
          <cell r="AE274" t="str">
            <v>C</v>
          </cell>
          <cell r="AF274">
            <v>18.226256818710571</v>
          </cell>
          <cell r="AG274">
            <v>0.25</v>
          </cell>
          <cell r="AH274" t="e">
            <v>#N/A</v>
          </cell>
          <cell r="AI274">
            <v>16.08750393452943</v>
          </cell>
          <cell r="AJ274">
            <v>15.188547348925477</v>
          </cell>
          <cell r="AK274">
            <v>0.18888888888888888</v>
          </cell>
          <cell r="AL274">
            <v>0.16666666666666663</v>
          </cell>
          <cell r="AM274"/>
          <cell r="AN274" t="str">
            <v>LY</v>
          </cell>
          <cell r="AO274"/>
          <cell r="AP274"/>
          <cell r="AQ274"/>
          <cell r="AR274">
            <v>2.72</v>
          </cell>
          <cell r="AS274">
            <v>99.5</v>
          </cell>
          <cell r="AT274">
            <v>102.22</v>
          </cell>
          <cell r="AU274">
            <v>14.478753541076488</v>
          </cell>
          <cell r="AV274">
            <v>13.669692614032929</v>
          </cell>
          <cell r="AW274" t="str">
            <v>LY-PP3-16-A
PANISDN50N</v>
          </cell>
          <cell r="AX274"/>
          <cell r="AZ274">
            <v>60.754189395701907</v>
          </cell>
          <cell r="BA274">
            <v>36.452513637421141</v>
          </cell>
          <cell r="BB274">
            <v>30.377094697850954</v>
          </cell>
          <cell r="BC274">
            <v>24.301675758280766</v>
          </cell>
        </row>
        <row r="275">
          <cell r="I275" t="str">
            <v>KJPP1U60UEF</v>
          </cell>
          <cell r="J275" t="str">
            <v>U0501006</v>
          </cell>
          <cell r="K275" t="str">
            <v>60 PORTS UNSHIELDED TELEPHONE PATCH PANEL 1U DUAL IDC ECO FRIENDLY CARTON</v>
          </cell>
          <cell r="L275" t="str">
            <v>PANNEAU DE BRASSAGE TELEPHONIQUE 50 PORTS NON BLINDÉ 1U DOUBLE IDC CARTON ÉCOLOGIQUE</v>
          </cell>
          <cell r="M275"/>
          <cell r="N275" t="str">
            <v>China</v>
          </cell>
          <cell r="O275"/>
          <cell r="P275" t="str">
            <v>1 pc eco friendly box</v>
          </cell>
          <cell r="Q275" t="str">
            <v>500 pcs</v>
          </cell>
          <cell r="R275">
            <v>120</v>
          </cell>
          <cell r="S275" t="e">
            <v>#N/A</v>
          </cell>
          <cell r="T275" t="str">
            <v>853890 9900</v>
          </cell>
          <cell r="U275">
            <v>1.7000000000000001E-2</v>
          </cell>
          <cell r="V275">
            <v>45</v>
          </cell>
          <cell r="W275">
            <v>45</v>
          </cell>
          <cell r="X275">
            <v>55</v>
          </cell>
          <cell r="Y275" t="str">
            <v>T/T 35days</v>
          </cell>
          <cell r="Z275">
            <v>26.978152043152626</v>
          </cell>
          <cell r="AA275">
            <v>24.391191909238959</v>
          </cell>
          <cell r="AB275">
            <v>0.1</v>
          </cell>
          <cell r="AC275">
            <v>0.1</v>
          </cell>
          <cell r="AD275">
            <v>0.25</v>
          </cell>
          <cell r="AE275" t="str">
            <v>C</v>
          </cell>
          <cell r="AF275">
            <v>24.391191909238959</v>
          </cell>
          <cell r="AG275">
            <v>0.25</v>
          </cell>
          <cell r="AH275">
            <v>24.19</v>
          </cell>
          <cell r="AI275">
            <v>21.882278879446019</v>
          </cell>
          <cell r="AJ275">
            <v>20.325993257699132</v>
          </cell>
          <cell r="AK275">
            <v>0.18888888888888888</v>
          </cell>
          <cell r="AL275">
            <v>0.16666666666666674</v>
          </cell>
          <cell r="AM275"/>
          <cell r="AN275" t="str">
            <v>LY</v>
          </cell>
          <cell r="AO275"/>
          <cell r="AP275"/>
          <cell r="AQ275"/>
          <cell r="AR275">
            <v>2.72</v>
          </cell>
          <cell r="AS275">
            <v>136.32</v>
          </cell>
          <cell r="AT275">
            <v>99.5</v>
          </cell>
          <cell r="AU275">
            <v>19.694050991501417</v>
          </cell>
          <cell r="AV275">
            <v>18.29339393192922</v>
          </cell>
          <cell r="AW275" t="str">
            <v>PANISDN60N</v>
          </cell>
          <cell r="AX275"/>
          <cell r="AZ275">
            <v>81.303973030796527</v>
          </cell>
          <cell r="BA275">
            <v>48.782383818477918</v>
          </cell>
          <cell r="BB275">
            <v>40.651986515398264</v>
          </cell>
          <cell r="BC275">
            <v>32.521589212318609</v>
          </cell>
        </row>
        <row r="276">
          <cell r="I276" t="str">
            <v>KSYT2A245PZHB2BR5</v>
          </cell>
          <cell r="J276" t="str">
            <v/>
          </cell>
          <cell r="K276" t="str">
            <v>CABLE 6/10 SYT 2 ARMEE LSZH 5 PAIRES MARRON B2CA</v>
          </cell>
          <cell r="L276" t="str">
            <v>CÂBLES 6/10 SYT 2 ARMEE LSZH 5 PAIRES MARRON B2CA</v>
          </cell>
          <cell r="M276" t="str">
            <v>B2ca</v>
          </cell>
          <cell r="N276" t="str">
            <v>Turkey</v>
          </cell>
          <cell r="O276">
            <v>22.3</v>
          </cell>
          <cell r="P276" t="str">
            <v>500m drum</v>
          </cell>
          <cell r="Q276"/>
          <cell r="R276">
            <v>3</v>
          </cell>
          <cell r="S276"/>
          <cell r="T276"/>
          <cell r="U276">
            <v>0</v>
          </cell>
          <cell r="V276">
            <v>60</v>
          </cell>
          <cell r="W276">
            <v>14</v>
          </cell>
          <cell r="X276">
            <v>14</v>
          </cell>
          <cell r="Y276" t="str">
            <v>T/T 30 days</v>
          </cell>
          <cell r="Z276">
            <v>1282.598484848485</v>
          </cell>
          <cell r="AA276">
            <v>1114.4693094629158</v>
          </cell>
          <cell r="AB276">
            <v>7.0000000000000007E-2</v>
          </cell>
          <cell r="AC276">
            <v>7.0000000000000007E-2</v>
          </cell>
          <cell r="AD276">
            <v>0.32</v>
          </cell>
          <cell r="AE276" t="str">
            <v>D</v>
          </cell>
          <cell r="AF276">
            <v>1114.4693094629158</v>
          </cell>
          <cell r="AG276">
            <v>0.32000000000000006</v>
          </cell>
          <cell r="AH276">
            <v>1114.19</v>
          </cell>
          <cell r="AI276">
            <v>910.23118279569894</v>
          </cell>
          <cell r="AJ276">
            <v>814.88078541374489</v>
          </cell>
          <cell r="AK276">
            <v>0.29032258064516137</v>
          </cell>
          <cell r="AL276">
            <v>0.26881720430107525</v>
          </cell>
          <cell r="AM276"/>
          <cell r="AN276" t="str">
            <v>KK</v>
          </cell>
          <cell r="AO276"/>
          <cell r="AP276"/>
          <cell r="AQ276">
            <v>580</v>
          </cell>
          <cell r="AR276"/>
          <cell r="AS276"/>
          <cell r="AT276"/>
          <cell r="AU276">
            <v>736.1</v>
          </cell>
          <cell r="AV276">
            <v>757.83913043478265</v>
          </cell>
          <cell r="AW276"/>
          <cell r="AX276"/>
          <cell r="AZ276">
            <v>3714.8976982097197</v>
          </cell>
          <cell r="BA276">
            <v>2228.9386189258316</v>
          </cell>
          <cell r="BB276">
            <v>1857.4488491048598</v>
          </cell>
          <cell r="BC276">
            <v>1485.9590792838881</v>
          </cell>
        </row>
        <row r="277">
          <cell r="I277" t="str">
            <v>KSYT2A2410ZHB2BR5</v>
          </cell>
          <cell r="J277" t="str">
            <v/>
          </cell>
          <cell r="K277" t="str">
            <v>CABLE 6/10 SYT 2 ARMEE LSZH 10 PAIRES MARRON B2CA</v>
          </cell>
          <cell r="L277" t="str">
            <v>CÂBLES 6/10 SYT 2 ARMEE LSZH 10 PAIRES MARRON B2CA</v>
          </cell>
          <cell r="M277" t="str">
            <v>B2ca</v>
          </cell>
          <cell r="N277" t="str">
            <v>Turkey</v>
          </cell>
          <cell r="O277">
            <v>43.5</v>
          </cell>
          <cell r="P277" t="str">
            <v>500m drum</v>
          </cell>
          <cell r="Q277"/>
          <cell r="R277">
            <v>2</v>
          </cell>
          <cell r="S277"/>
          <cell r="T277"/>
          <cell r="U277">
            <v>0</v>
          </cell>
          <cell r="V277">
            <v>60</v>
          </cell>
          <cell r="W277">
            <v>14</v>
          </cell>
          <cell r="X277">
            <v>14</v>
          </cell>
          <cell r="Y277" t="str">
            <v>T/T 30 days</v>
          </cell>
          <cell r="Z277">
            <v>2042.5769230769233</v>
          </cell>
          <cell r="AA277">
            <v>1771.8040233614538</v>
          </cell>
          <cell r="AB277">
            <v>7.0000000000000007E-2</v>
          </cell>
          <cell r="AC277">
            <v>7.0000000000000007E-2</v>
          </cell>
          <cell r="AD277">
            <v>0.33</v>
          </cell>
          <cell r="AE277" t="str">
            <v>D</v>
          </cell>
          <cell r="AF277">
            <v>1771.8040233614538</v>
          </cell>
          <cell r="AG277">
            <v>0.33000000000000007</v>
          </cell>
          <cell r="AH277">
            <v>1771.38</v>
          </cell>
          <cell r="AI277">
            <v>1427.6075268817203</v>
          </cell>
          <cell r="AJ277">
            <v>1276.4609630668538</v>
          </cell>
          <cell r="AK277">
            <v>0.30107526881720448</v>
          </cell>
          <cell r="AL277">
            <v>0.27956989247311825</v>
          </cell>
          <cell r="AM277"/>
          <cell r="AN277" t="str">
            <v>KK</v>
          </cell>
          <cell r="AO277"/>
          <cell r="AP277"/>
          <cell r="AQ277">
            <v>850</v>
          </cell>
          <cell r="AR277"/>
          <cell r="AS277"/>
          <cell r="AT277"/>
          <cell r="AU277">
            <v>1154.5</v>
          </cell>
          <cell r="AV277">
            <v>1187.108695652174</v>
          </cell>
          <cell r="AW277"/>
          <cell r="AX277"/>
          <cell r="AZ277">
            <v>5906.0134112048463</v>
          </cell>
          <cell r="BA277">
            <v>3543.6080467229076</v>
          </cell>
          <cell r="BB277">
            <v>2953.0067056024232</v>
          </cell>
          <cell r="BC277">
            <v>2362.4053644819387</v>
          </cell>
        </row>
        <row r="278">
          <cell r="I278" t="str">
            <v>KSYT2A2415ZHB2BR5</v>
          </cell>
          <cell r="J278" t="str">
            <v/>
          </cell>
          <cell r="K278" t="str">
            <v>CABLE 6/10 SYT 2 ARMEE LSZH 15 PAIRES MARRON B2CA</v>
          </cell>
          <cell r="L278" t="str">
            <v>CÂBLES 6/10 SYT 2 ARMEE LSZH 15 PAIRES MARRON B2CA</v>
          </cell>
          <cell r="M278" t="str">
            <v>B2ca</v>
          </cell>
          <cell r="N278" t="str">
            <v>Turkey</v>
          </cell>
          <cell r="O278">
            <v>64.900000000000006</v>
          </cell>
          <cell r="P278" t="str">
            <v>500m drum</v>
          </cell>
          <cell r="Q278"/>
          <cell r="R278">
            <v>2</v>
          </cell>
          <cell r="S278"/>
          <cell r="T278"/>
          <cell r="U278">
            <v>0</v>
          </cell>
          <cell r="V278">
            <v>60</v>
          </cell>
          <cell r="W278">
            <v>14</v>
          </cell>
          <cell r="X278">
            <v>14</v>
          </cell>
          <cell r="Y278" t="str">
            <v>T/T 30 days</v>
          </cell>
          <cell r="Z278">
            <v>2705.6846153846159</v>
          </cell>
          <cell r="AA278">
            <v>2331.2070084360812</v>
          </cell>
          <cell r="AB278">
            <v>7.0000000000000007E-2</v>
          </cell>
          <cell r="AC278">
            <v>7.0000000000000007E-2</v>
          </cell>
          <cell r="AD278">
            <v>0.33</v>
          </cell>
          <cell r="AE278" t="str">
            <v>D</v>
          </cell>
          <cell r="AF278">
            <v>2331.2070084360812</v>
          </cell>
          <cell r="AG278">
            <v>0.33000000000000007</v>
          </cell>
          <cell r="AH278">
            <v>2330.79</v>
          </cell>
          <cell r="AI278">
            <v>1891.0698924731184</v>
          </cell>
          <cell r="AJ278">
            <v>1679.471715755026</v>
          </cell>
          <cell r="AK278">
            <v>0.30107526881720437</v>
          </cell>
          <cell r="AL278">
            <v>0.27956989247311836</v>
          </cell>
          <cell r="AM278"/>
          <cell r="AN278" t="str">
            <v>KK</v>
          </cell>
          <cell r="AO278"/>
          <cell r="AP278"/>
          <cell r="AQ278">
            <v>1075</v>
          </cell>
          <cell r="AR278"/>
          <cell r="AS278"/>
          <cell r="AT278"/>
          <cell r="AU278">
            <v>1529.3000000000002</v>
          </cell>
          <cell r="AV278">
            <v>1561.9086956521742</v>
          </cell>
          <cell r="AW278"/>
          <cell r="AX278"/>
          <cell r="AZ278">
            <v>7770.6900281202707</v>
          </cell>
          <cell r="BA278">
            <v>4662.4140168721624</v>
          </cell>
          <cell r="BB278">
            <v>3885.3450140601353</v>
          </cell>
          <cell r="BC278">
            <v>3108.2760112481083</v>
          </cell>
        </row>
        <row r="279">
          <cell r="I279" t="str">
            <v>KSYT2A2456ZHB2BR5</v>
          </cell>
          <cell r="J279" t="str">
            <v/>
          </cell>
          <cell r="K279" t="str">
            <v>CABLE 6/10 SYT 2 ARMEE LSZH 56 PAIRES MARRON B2CA</v>
          </cell>
          <cell r="L279" t="str">
            <v>CÂBLES 6/10 SYT 2 ARMEE LSZH 56 PAIRES MARRON B2CA</v>
          </cell>
          <cell r="M279" t="str">
            <v>B2ca</v>
          </cell>
          <cell r="N279" t="str">
            <v>Turkey</v>
          </cell>
          <cell r="O279">
            <v>248.3</v>
          </cell>
          <cell r="P279" t="str">
            <v>500m drum</v>
          </cell>
          <cell r="Q279"/>
          <cell r="R279">
            <v>1</v>
          </cell>
          <cell r="S279"/>
          <cell r="T279"/>
          <cell r="U279">
            <v>0</v>
          </cell>
          <cell r="V279">
            <v>60</v>
          </cell>
          <cell r="W279">
            <v>14</v>
          </cell>
          <cell r="X279">
            <v>14</v>
          </cell>
          <cell r="Y279" t="str">
            <v>T/T 30 days</v>
          </cell>
          <cell r="Z279">
            <v>7798.9461538461555</v>
          </cell>
          <cell r="AA279">
            <v>6676.5931213497743</v>
          </cell>
          <cell r="AB279">
            <v>7.0000000000000007E-2</v>
          </cell>
          <cell r="AC279">
            <v>7.0000000000000007E-2</v>
          </cell>
          <cell r="AD279">
            <v>0.33</v>
          </cell>
          <cell r="AE279" t="str">
            <v>D</v>
          </cell>
          <cell r="AF279">
            <v>6676.5931213497743</v>
          </cell>
          <cell r="AG279">
            <v>0.33000000000000007</v>
          </cell>
          <cell r="AH279">
            <v>6675.75</v>
          </cell>
          <cell r="AI279">
            <v>5450.8763440860221</v>
          </cell>
          <cell r="AJ279">
            <v>4810.0187003272567</v>
          </cell>
          <cell r="AK279">
            <v>0.30107526881720437</v>
          </cell>
          <cell r="AL279">
            <v>0.27956989247311825</v>
          </cell>
          <cell r="AM279"/>
          <cell r="AN279" t="str">
            <v>KK</v>
          </cell>
          <cell r="AO279"/>
          <cell r="AP279"/>
          <cell r="AQ279">
            <v>2670</v>
          </cell>
          <cell r="AR279"/>
          <cell r="AS279"/>
          <cell r="AT279"/>
          <cell r="AU279">
            <v>4408.1000000000004</v>
          </cell>
          <cell r="AV279">
            <v>4473.3173913043483</v>
          </cell>
          <cell r="AW279"/>
          <cell r="AX279"/>
          <cell r="AZ279">
            <v>22255.310404499247</v>
          </cell>
          <cell r="BA279">
            <v>13353.186242699549</v>
          </cell>
          <cell r="BB279">
            <v>11127.655202249623</v>
          </cell>
          <cell r="BC279">
            <v>8902.1241617996984</v>
          </cell>
        </row>
        <row r="280">
          <cell r="I280" t="str">
            <v>KSYT2A24112ZHB2BR5</v>
          </cell>
          <cell r="J280" t="str">
            <v/>
          </cell>
          <cell r="K280" t="str">
            <v>CABLE 6/10 SYT 2 ARMEE LSZH 112 PAIRES MARRON B2CA</v>
          </cell>
          <cell r="L280" t="str">
            <v>CÂBLES 6/10 SYT 2 ARMEE LSZH 112 PAIRES MARRON B2CA</v>
          </cell>
          <cell r="M280" t="str">
            <v>B2ca</v>
          </cell>
          <cell r="N280" t="str">
            <v>Turkey</v>
          </cell>
          <cell r="O280">
            <v>496.4</v>
          </cell>
          <cell r="P280" t="str">
            <v>500m drum</v>
          </cell>
          <cell r="Q280"/>
          <cell r="R280">
            <v>1</v>
          </cell>
          <cell r="S280"/>
          <cell r="T280"/>
          <cell r="U280">
            <v>0</v>
          </cell>
          <cell r="V280">
            <v>60</v>
          </cell>
          <cell r="W280">
            <v>14</v>
          </cell>
          <cell r="X280">
            <v>14</v>
          </cell>
          <cell r="Y280" t="str">
            <v>T/T 30 days</v>
          </cell>
          <cell r="Z280">
            <v>14206.569230769232</v>
          </cell>
          <cell r="AA280">
            <v>12082.115509409476</v>
          </cell>
          <cell r="AB280">
            <v>7.0000000000000007E-2</v>
          </cell>
          <cell r="AC280">
            <v>7.0000000000000007E-2</v>
          </cell>
          <cell r="AD280">
            <v>0.33</v>
          </cell>
          <cell r="AE280" t="str">
            <v>D</v>
          </cell>
          <cell r="AF280">
            <v>12082.115509409476</v>
          </cell>
          <cell r="AG280">
            <v>0.33000000000000007</v>
          </cell>
          <cell r="AH280">
            <v>12081.28</v>
          </cell>
          <cell r="AI280">
            <v>9929.322580645161</v>
          </cell>
          <cell r="AJ280">
            <v>8704.3197755960737</v>
          </cell>
          <cell r="AK280">
            <v>0.30107526881720437</v>
          </cell>
          <cell r="AL280">
            <v>0.27956989247311825</v>
          </cell>
          <cell r="AM280"/>
          <cell r="AN280" t="str">
            <v>KK</v>
          </cell>
          <cell r="AO280"/>
          <cell r="AP280"/>
          <cell r="AQ280">
            <v>4555</v>
          </cell>
          <cell r="AR280"/>
          <cell r="AS280"/>
          <cell r="AT280"/>
          <cell r="AU280">
            <v>8029.7999999999993</v>
          </cell>
          <cell r="AV280">
            <v>8095.0173913043473</v>
          </cell>
          <cell r="AW280"/>
          <cell r="AX280"/>
          <cell r="AZ280">
            <v>40273.718364698252</v>
          </cell>
          <cell r="BA280">
            <v>24164.231018818951</v>
          </cell>
          <cell r="BB280">
            <v>20136.859182349126</v>
          </cell>
          <cell r="BC280">
            <v>16109.487345879301</v>
          </cell>
        </row>
        <row r="281">
          <cell r="I281" t="str">
            <v>KSYT2A205ZHB2BR5</v>
          </cell>
          <cell r="J281" t="str">
            <v/>
          </cell>
          <cell r="K281" t="str">
            <v>CABLE 9/10 SYT 2 ARMEE LSZH 5 PAIRES MARRON B2CA</v>
          </cell>
          <cell r="L281" t="str">
            <v>CÂBLES 9/10 SYT 2 ARMEE LSZH 5 PAIRES MARRON B2CA</v>
          </cell>
          <cell r="M281" t="str">
            <v>B2ca</v>
          </cell>
          <cell r="N281" t="str">
            <v>Turkey</v>
          </cell>
          <cell r="O281">
            <v>55.1</v>
          </cell>
          <cell r="P281" t="str">
            <v>500m drum</v>
          </cell>
          <cell r="Q281"/>
          <cell r="R281">
            <v>2</v>
          </cell>
          <cell r="S281"/>
          <cell r="T281"/>
          <cell r="U281">
            <v>0</v>
          </cell>
          <cell r="V281">
            <v>60</v>
          </cell>
          <cell r="W281">
            <v>14</v>
          </cell>
          <cell r="X281">
            <v>14</v>
          </cell>
          <cell r="Y281" t="str">
            <v>T/T 30 days</v>
          </cell>
          <cell r="Z281">
            <v>2098.2426470588234</v>
          </cell>
          <cell r="AA281">
            <v>1819.0124223602488</v>
          </cell>
          <cell r="AB281">
            <v>7.0000000000000007E-2</v>
          </cell>
          <cell r="AC281">
            <v>7.0000000000000007E-2</v>
          </cell>
          <cell r="AD281">
            <v>0.3</v>
          </cell>
          <cell r="AE281" t="str">
            <v>D</v>
          </cell>
          <cell r="AF281">
            <v>1819.0124223602488</v>
          </cell>
          <cell r="AG281">
            <v>0.30000000000000004</v>
          </cell>
          <cell r="AH281">
            <v>1818.61</v>
          </cell>
          <cell r="AI281">
            <v>1534.1989247311828</v>
          </cell>
          <cell r="AJ281">
            <v>1369.1491351098646</v>
          </cell>
          <cell r="AK281">
            <v>0.26881720430107525</v>
          </cell>
          <cell r="AL281">
            <v>0.24731182795698936</v>
          </cell>
          <cell r="AM281"/>
          <cell r="AN281" t="str">
            <v>KK</v>
          </cell>
          <cell r="AO281"/>
          <cell r="AP281"/>
          <cell r="AQ281">
            <v>855</v>
          </cell>
          <cell r="AR281"/>
          <cell r="AS281"/>
          <cell r="AT281"/>
          <cell r="AU281">
            <v>1240.7</v>
          </cell>
          <cell r="AV281">
            <v>1273.308695652174</v>
          </cell>
          <cell r="AW281"/>
          <cell r="AX281"/>
          <cell r="AZ281">
            <v>6063.3747412008297</v>
          </cell>
          <cell r="BA281">
            <v>3638.0248447204976</v>
          </cell>
          <cell r="BB281">
            <v>3031.6873706004149</v>
          </cell>
          <cell r="BC281">
            <v>2425.3498964803321</v>
          </cell>
        </row>
        <row r="282">
          <cell r="I282" t="str">
            <v>KSYT2A2010ZHB2BR5</v>
          </cell>
          <cell r="J282" t="str">
            <v/>
          </cell>
          <cell r="K282" t="str">
            <v>CABLE 9/10 SYT 2 ARMEE LSZH 10 PAIRES MARRON B2CA</v>
          </cell>
          <cell r="L282" t="str">
            <v>CÂBLES 9/10 SYT 2 ARMEE LSZH 10 PAIRES MARRON B2CA</v>
          </cell>
          <cell r="M282" t="str">
            <v>B2ca</v>
          </cell>
          <cell r="N282" t="str">
            <v>Turkey</v>
          </cell>
          <cell r="O282">
            <v>109.3</v>
          </cell>
          <cell r="P282" t="str">
            <v>500m drum</v>
          </cell>
          <cell r="Q282"/>
          <cell r="R282">
            <v>1</v>
          </cell>
          <cell r="S282"/>
          <cell r="T282"/>
          <cell r="U282">
            <v>0</v>
          </cell>
          <cell r="V282">
            <v>60</v>
          </cell>
          <cell r="W282">
            <v>14</v>
          </cell>
          <cell r="X282">
            <v>14</v>
          </cell>
          <cell r="Y282" t="str">
            <v>T/T 30 days</v>
          </cell>
          <cell r="Z282">
            <v>3497.5220588235293</v>
          </cell>
          <cell r="AA282">
            <v>3047.5962732919256</v>
          </cell>
          <cell r="AB282">
            <v>7.0000000000000007E-2</v>
          </cell>
          <cell r="AC282">
            <v>7.0000000000000007E-2</v>
          </cell>
          <cell r="AD282">
            <v>0.3</v>
          </cell>
          <cell r="AE282" t="str">
            <v>D</v>
          </cell>
          <cell r="AF282">
            <v>3047.5962732919256</v>
          </cell>
          <cell r="AG282">
            <v>0.30000000000000004</v>
          </cell>
          <cell r="AH282">
            <v>3046.79</v>
          </cell>
          <cell r="AI282">
            <v>2557.3279569892475</v>
          </cell>
          <cell r="AJ282">
            <v>2293.8896680691914</v>
          </cell>
          <cell r="AK282">
            <v>0.26881720430107514</v>
          </cell>
          <cell r="AL282">
            <v>0.24731182795698925</v>
          </cell>
          <cell r="AM282"/>
          <cell r="AN282" t="str">
            <v>KK</v>
          </cell>
          <cell r="AO282"/>
          <cell r="AP282"/>
          <cell r="AQ282">
            <v>1303</v>
          </cell>
          <cell r="AR282"/>
          <cell r="AS282"/>
          <cell r="AT282"/>
          <cell r="AU282">
            <v>2068.1</v>
          </cell>
          <cell r="AV282">
            <v>2133.3173913043479</v>
          </cell>
          <cell r="AW282"/>
          <cell r="AX282"/>
          <cell r="AZ282">
            <v>10158.654244306419</v>
          </cell>
          <cell r="BA282">
            <v>6095.1925465838513</v>
          </cell>
          <cell r="BB282">
            <v>5079.3271221532095</v>
          </cell>
          <cell r="BC282">
            <v>4063.4616977225678</v>
          </cell>
        </row>
        <row r="283">
          <cell r="I283" t="str">
            <v>KSYT2A2015ZHB2BR5</v>
          </cell>
          <cell r="J283" t="str">
            <v/>
          </cell>
          <cell r="K283" t="str">
            <v>CABLE 9/10 SYT 2 ARMEE LSZH 15 PAIRES MARRON B2CA</v>
          </cell>
          <cell r="L283" t="str">
            <v>CÂBLES 9/10 SYT 2 ARMEE LSZH 15 PAIRES MARRON B2CA</v>
          </cell>
          <cell r="M283" t="str">
            <v>B2ca</v>
          </cell>
          <cell r="N283" t="str">
            <v>Turkey</v>
          </cell>
          <cell r="O283">
            <v>164.1</v>
          </cell>
          <cell r="P283" t="str">
            <v>500m drum</v>
          </cell>
          <cell r="Q283"/>
          <cell r="R283">
            <v>1</v>
          </cell>
          <cell r="S283"/>
          <cell r="T283"/>
          <cell r="U283">
            <v>0</v>
          </cell>
          <cell r="V283">
            <v>60</v>
          </cell>
          <cell r="W283">
            <v>14</v>
          </cell>
          <cell r="X283">
            <v>14</v>
          </cell>
          <cell r="Y283" t="str">
            <v>T/T 30 days</v>
          </cell>
          <cell r="Z283">
            <v>4741.5514705882351</v>
          </cell>
          <cell r="AA283">
            <v>4098.4534161490683</v>
          </cell>
          <cell r="AB283">
            <v>7.0000000000000007E-2</v>
          </cell>
          <cell r="AC283">
            <v>7.0000000000000007E-2</v>
          </cell>
          <cell r="AD283">
            <v>0.3</v>
          </cell>
          <cell r="AE283" t="str">
            <v>D</v>
          </cell>
          <cell r="AF283">
            <v>4098.4534161490683</v>
          </cell>
          <cell r="AG283">
            <v>0.30000000000000004</v>
          </cell>
          <cell r="AH283">
            <v>4097.6499999999996</v>
          </cell>
          <cell r="AI283">
            <v>3466.9408602150534</v>
          </cell>
          <cell r="AJ283">
            <v>3084.8574100046753</v>
          </cell>
          <cell r="AK283">
            <v>0.26881720430107536</v>
          </cell>
          <cell r="AL283">
            <v>0.24731182795698914</v>
          </cell>
          <cell r="AM283"/>
          <cell r="AN283" t="str">
            <v>KK</v>
          </cell>
          <cell r="AO283"/>
          <cell r="AP283"/>
          <cell r="AQ283">
            <v>1655</v>
          </cell>
          <cell r="AR283"/>
          <cell r="AS283"/>
          <cell r="AT283"/>
          <cell r="AU283">
            <v>2803.7</v>
          </cell>
          <cell r="AV283">
            <v>2868.9173913043478</v>
          </cell>
          <cell r="AW283"/>
          <cell r="AX283"/>
          <cell r="AZ283">
            <v>13661.511387163562</v>
          </cell>
          <cell r="BA283">
            <v>8196.9068322981366</v>
          </cell>
          <cell r="BB283">
            <v>6830.7556935817811</v>
          </cell>
          <cell r="BC283">
            <v>5464.6045548654256</v>
          </cell>
        </row>
        <row r="284">
          <cell r="I284" t="str">
            <v>KSYT2A2056ZHB2BR5</v>
          </cell>
          <cell r="J284" t="str">
            <v/>
          </cell>
          <cell r="K284" t="str">
            <v>CABLE 9/10 SYT 2 ARMEE LSZH 56 PAIRES MARRON B2CA</v>
          </cell>
          <cell r="L284" t="str">
            <v>CÂBLES 9/10 SYT 2 ARMEE LSZH 56 PAIRES MARRON B2CA</v>
          </cell>
          <cell r="M284" t="str">
            <v>B2ca</v>
          </cell>
          <cell r="N284" t="str">
            <v>Turkey</v>
          </cell>
          <cell r="O284">
            <v>633.29999999999995</v>
          </cell>
          <cell r="P284" t="str">
            <v>500m drum</v>
          </cell>
          <cell r="Q284"/>
          <cell r="R284">
            <v>1</v>
          </cell>
          <cell r="S284"/>
          <cell r="T284"/>
          <cell r="U284">
            <v>0</v>
          </cell>
          <cell r="V284">
            <v>60</v>
          </cell>
          <cell r="W284">
            <v>14</v>
          </cell>
          <cell r="X284">
            <v>14</v>
          </cell>
          <cell r="Y284" t="str">
            <v>T/T 30 days</v>
          </cell>
          <cell r="Z284">
            <v>15724.727941176468</v>
          </cell>
          <cell r="AA284">
            <v>13376.167701863353</v>
          </cell>
          <cell r="AB284">
            <v>7.0000000000000007E-2</v>
          </cell>
          <cell r="AC284">
            <v>7.0000000000000007E-2</v>
          </cell>
          <cell r="AD284">
            <v>0.3</v>
          </cell>
          <cell r="AE284" t="str">
            <v>D</v>
          </cell>
          <cell r="AF284">
            <v>13376.167701863353</v>
          </cell>
          <cell r="AG284">
            <v>0.30000000000000004</v>
          </cell>
          <cell r="AH284">
            <v>13375.36</v>
          </cell>
          <cell r="AI284">
            <v>11497.650537634405</v>
          </cell>
          <cell r="AJ284">
            <v>10068.083216456287</v>
          </cell>
          <cell r="AK284">
            <v>0.26881720430107536</v>
          </cell>
          <cell r="AL284">
            <v>0.24731182795698925</v>
          </cell>
          <cell r="AM284"/>
          <cell r="AN284" t="str">
            <v>KK</v>
          </cell>
          <cell r="AO284"/>
          <cell r="AP284"/>
          <cell r="AQ284">
            <v>4865</v>
          </cell>
          <cell r="AR284"/>
          <cell r="AS284"/>
          <cell r="AT284"/>
          <cell r="AU284">
            <v>9298.0999999999985</v>
          </cell>
          <cell r="AV284">
            <v>9363.3173913043465</v>
          </cell>
          <cell r="AW284"/>
          <cell r="AX284"/>
          <cell r="AZ284">
            <v>44587.225672877845</v>
          </cell>
          <cell r="BA284">
            <v>26752.335403726705</v>
          </cell>
          <cell r="BB284">
            <v>22293.612836438922</v>
          </cell>
          <cell r="BC284">
            <v>17834.890269151139</v>
          </cell>
        </row>
        <row r="285">
          <cell r="I285" t="str">
            <v>KSYT2A20112ZHB2BR5</v>
          </cell>
          <cell r="J285" t="str">
            <v/>
          </cell>
          <cell r="K285" t="str">
            <v>CABLE 9/10 SYT 2 ARMEE LSZH 112 PAIRES MARRON B2CA</v>
          </cell>
          <cell r="L285" t="str">
            <v>CÂBLES 9/10 SYT 2 ARMEE LSZH 112 PAIRES MARRON B2CA</v>
          </cell>
          <cell r="M285" t="str">
            <v>B2ca</v>
          </cell>
          <cell r="N285" t="str">
            <v>Turkey</v>
          </cell>
          <cell r="O285">
            <v>1265.9000000000001</v>
          </cell>
          <cell r="P285" t="str">
            <v>500m drum</v>
          </cell>
          <cell r="Q285"/>
          <cell r="R285">
            <v>1</v>
          </cell>
          <cell r="S285"/>
          <cell r="T285"/>
          <cell r="U285">
            <v>0</v>
          </cell>
          <cell r="V285">
            <v>60</v>
          </cell>
          <cell r="W285">
            <v>14</v>
          </cell>
          <cell r="X285">
            <v>14</v>
          </cell>
          <cell r="Y285" t="str">
            <v>T/T 30 days</v>
          </cell>
          <cell r="Z285">
            <v>30128.816176470595</v>
          </cell>
          <cell r="AA285">
            <v>25543.596273291932</v>
          </cell>
          <cell r="AB285">
            <v>7.0000000000000007E-2</v>
          </cell>
          <cell r="AC285">
            <v>7.0000000000000007E-2</v>
          </cell>
          <cell r="AD285">
            <v>0.3</v>
          </cell>
          <cell r="AE285" t="str">
            <v>D</v>
          </cell>
          <cell r="AF285">
            <v>25543.596273291932</v>
          </cell>
          <cell r="AG285">
            <v>0.30000000000000004</v>
          </cell>
          <cell r="AH285">
            <v>25542.79</v>
          </cell>
          <cell r="AI285">
            <v>22029.672043010756</v>
          </cell>
          <cell r="AJ285">
            <v>19226.362786348767</v>
          </cell>
          <cell r="AK285">
            <v>0.26881720430107536</v>
          </cell>
          <cell r="AL285">
            <v>0.24731182795698925</v>
          </cell>
          <cell r="AM285"/>
          <cell r="AN285" t="str">
            <v>KK</v>
          </cell>
          <cell r="AO285"/>
          <cell r="AP285"/>
          <cell r="AQ285">
            <v>8954</v>
          </cell>
          <cell r="AR285"/>
          <cell r="AS285"/>
          <cell r="AT285"/>
          <cell r="AU285">
            <v>17815.300000000003</v>
          </cell>
          <cell r="AV285">
            <v>17880.517391304351</v>
          </cell>
          <cell r="AW285"/>
          <cell r="AX285"/>
          <cell r="AZ285">
            <v>85145.320910973111</v>
          </cell>
          <cell r="BA285">
            <v>51087.192546583865</v>
          </cell>
          <cell r="BB285">
            <v>42572.660455486555</v>
          </cell>
          <cell r="BC285">
            <v>34058.128364389246</v>
          </cell>
        </row>
        <row r="286">
          <cell r="I286" t="str">
            <v>KSALCDS40</v>
          </cell>
          <cell r="J286" t="str">
            <v>U0601002</v>
          </cell>
          <cell r="K286" t="str">
            <v>LC DUPLEX SINGLEMODE BLUE ADAPTOR 40PCS PER ECO FRIENDLY BAG</v>
          </cell>
          <cell r="L286" t="str">
            <v>TRAVERSEE MONOMODE BLEU LC DUPLEX 40PCS PAR SAC ÉCOLOGIQUE</v>
          </cell>
          <cell r="M286"/>
          <cell r="N286" t="str">
            <v>China</v>
          </cell>
          <cell r="O286"/>
          <cell r="P286" t="str">
            <v>40 pcs friendly bag</v>
          </cell>
          <cell r="Q286" t="str">
            <v>1000 pcs</v>
          </cell>
          <cell r="R286">
            <v>51840</v>
          </cell>
          <cell r="S286" t="str">
            <v>4897108882654</v>
          </cell>
          <cell r="T286" t="str">
            <v>392690 9700</v>
          </cell>
          <cell r="U286">
            <v>0</v>
          </cell>
          <cell r="V286">
            <v>30</v>
          </cell>
          <cell r="W286">
            <v>45</v>
          </cell>
          <cell r="X286">
            <v>55</v>
          </cell>
          <cell r="Y286" t="str">
            <v>T/T 60 days</v>
          </cell>
          <cell r="Z286">
            <v>0.47691265821577439</v>
          </cell>
          <cell r="AA286">
            <v>0.36509524703030805</v>
          </cell>
          <cell r="AB286">
            <v>0.1</v>
          </cell>
          <cell r="AC286">
            <v>0.1</v>
          </cell>
          <cell r="AD286">
            <v>0.32</v>
          </cell>
          <cell r="AE286" t="str">
            <v>C</v>
          </cell>
          <cell r="AF286">
            <v>0.36509524703030805</v>
          </cell>
          <cell r="AG286">
            <v>0.32000000000000006</v>
          </cell>
          <cell r="AH286">
            <v>0.36</v>
          </cell>
          <cell r="AI286">
            <v>0.31476235442241107</v>
          </cell>
          <cell r="AJ286">
            <v>0.27584974220067715</v>
          </cell>
          <cell r="AK286">
            <v>0.34000000000000008</v>
          </cell>
          <cell r="AL286">
            <v>0.24444444444444458</v>
          </cell>
          <cell r="AM286"/>
          <cell r="AN286" t="str">
            <v>OTRANS</v>
          </cell>
          <cell r="AO286"/>
          <cell r="AP286"/>
          <cell r="AQ286"/>
          <cell r="AR286"/>
          <cell r="AS286">
            <v>2</v>
          </cell>
          <cell r="AT286">
            <v>2</v>
          </cell>
          <cell r="AU286">
            <v>0.28328611898016998</v>
          </cell>
          <cell r="AV286">
            <v>0.24826476798060945</v>
          </cell>
          <cell r="AW286"/>
          <cell r="AX286">
            <v>8536700000</v>
          </cell>
          <cell r="AZ286">
            <v>1.2169841567676936</v>
          </cell>
          <cell r="BA286">
            <v>0.73019049406061609</v>
          </cell>
          <cell r="BB286">
            <v>0.60849207838384678</v>
          </cell>
          <cell r="BC286">
            <v>0.48679366270707747</v>
          </cell>
        </row>
        <row r="287">
          <cell r="I287" t="str">
            <v>KSALCDM40</v>
          </cell>
          <cell r="J287" t="str">
            <v>U0601001</v>
          </cell>
          <cell r="K287" t="str">
            <v>LC DUPLEX MULTIMODE BEIGE ADAPTOR 40PCS PER ECO FRIENDLY BAG</v>
          </cell>
          <cell r="L287" t="str">
            <v>TRAVERSEE MULTIMODE BEIGE LC DUPLEX 40PCS PAR SAC ÉCOLOGIQUE</v>
          </cell>
          <cell r="M287"/>
          <cell r="N287" t="str">
            <v>China</v>
          </cell>
          <cell r="O287"/>
          <cell r="P287" t="str">
            <v>40 pcs friendly bag</v>
          </cell>
          <cell r="Q287" t="str">
            <v>1000 pcs</v>
          </cell>
          <cell r="R287">
            <v>51840</v>
          </cell>
          <cell r="S287" t="str">
            <v>4897108882661</v>
          </cell>
          <cell r="T287" t="str">
            <v>392690 9700</v>
          </cell>
          <cell r="U287">
            <v>0</v>
          </cell>
          <cell r="V287">
            <v>30</v>
          </cell>
          <cell r="W287">
            <v>45</v>
          </cell>
          <cell r="X287">
            <v>55</v>
          </cell>
          <cell r="Y287" t="str">
            <v>T/T 60 days</v>
          </cell>
          <cell r="Z287">
            <v>0.47691265821577439</v>
          </cell>
          <cell r="AA287">
            <v>0.36509524703030805</v>
          </cell>
          <cell r="AB287">
            <v>0.1</v>
          </cell>
          <cell r="AC287">
            <v>0.1</v>
          </cell>
          <cell r="AD287">
            <v>0.32</v>
          </cell>
          <cell r="AE287" t="str">
            <v>C</v>
          </cell>
          <cell r="AF287">
            <v>0.36509524703030805</v>
          </cell>
          <cell r="AG287">
            <v>0.32000000000000006</v>
          </cell>
          <cell r="AH287">
            <v>0.36</v>
          </cell>
          <cell r="AI287">
            <v>0.31476235442241107</v>
          </cell>
          <cell r="AJ287">
            <v>0.27584974220067715</v>
          </cell>
          <cell r="AK287">
            <v>0.34000000000000008</v>
          </cell>
          <cell r="AL287">
            <v>0.24444444444444458</v>
          </cell>
          <cell r="AM287"/>
          <cell r="AN287" t="str">
            <v>OTRANS</v>
          </cell>
          <cell r="AO287"/>
          <cell r="AP287"/>
          <cell r="AQ287"/>
          <cell r="AR287"/>
          <cell r="AS287">
            <v>2</v>
          </cell>
          <cell r="AT287">
            <v>2</v>
          </cell>
          <cell r="AU287">
            <v>0.28328611898016998</v>
          </cell>
          <cell r="AV287">
            <v>0.24826476798060945</v>
          </cell>
          <cell r="AW287"/>
          <cell r="AX287">
            <v>8536700000</v>
          </cell>
          <cell r="AZ287">
            <v>1.2169841567676936</v>
          </cell>
          <cell r="BA287">
            <v>0.73019049406061609</v>
          </cell>
          <cell r="BB287">
            <v>0.60849207838384678</v>
          </cell>
          <cell r="BC287">
            <v>0.48679366270707747</v>
          </cell>
        </row>
        <row r="288">
          <cell r="I288" t="str">
            <v>KSALCADS40</v>
          </cell>
          <cell r="J288" t="str">
            <v/>
          </cell>
          <cell r="K288" t="str">
            <v>LC APC DUPLEX SINGLEMODE GREEN ADAPTOR 40PCS PER ECO FRIENDLY BAG</v>
          </cell>
          <cell r="L288" t="str">
            <v>TRAVERSEE MONOMODE VERT LC APC DUPLEX 40PCS PAR SAC ÉCOLOGIQUE</v>
          </cell>
          <cell r="M288"/>
          <cell r="N288" t="str">
            <v>China</v>
          </cell>
          <cell r="O288"/>
          <cell r="P288" t="str">
            <v>40 pcs friendly bag</v>
          </cell>
          <cell r="Q288" t="str">
            <v>1000 pcs</v>
          </cell>
          <cell r="R288">
            <v>51840</v>
          </cell>
          <cell r="S288" t="e">
            <v>#N/A</v>
          </cell>
          <cell r="T288" t="str">
            <v>392690 9700</v>
          </cell>
          <cell r="U288">
            <v>0</v>
          </cell>
          <cell r="V288">
            <v>30</v>
          </cell>
          <cell r="W288">
            <v>45</v>
          </cell>
          <cell r="X288">
            <v>55</v>
          </cell>
          <cell r="Y288" t="str">
            <v>T/T 60 days</v>
          </cell>
          <cell r="Z288">
            <v>0.47691265821577439</v>
          </cell>
          <cell r="AA288">
            <v>0.36509524703030805</v>
          </cell>
          <cell r="AB288">
            <v>0.1</v>
          </cell>
          <cell r="AC288">
            <v>0.1</v>
          </cell>
          <cell r="AD288">
            <v>0.32</v>
          </cell>
          <cell r="AE288" t="str">
            <v>C</v>
          </cell>
          <cell r="AF288">
            <v>0.36509524703030805</v>
          </cell>
          <cell r="AG288">
            <v>0.32000000000000006</v>
          </cell>
          <cell r="AH288">
            <v>0.36</v>
          </cell>
          <cell r="AI288">
            <v>0.31476235442241107</v>
          </cell>
          <cell r="AJ288">
            <v>0.27584974220067715</v>
          </cell>
          <cell r="AK288">
            <v>0.34000000000000008</v>
          </cell>
          <cell r="AL288">
            <v>0.24444444444444458</v>
          </cell>
          <cell r="AM288"/>
          <cell r="AN288" t="str">
            <v>OTRANS</v>
          </cell>
          <cell r="AO288"/>
          <cell r="AP288"/>
          <cell r="AQ288"/>
          <cell r="AR288"/>
          <cell r="AS288">
            <v>2</v>
          </cell>
          <cell r="AT288">
            <v>2</v>
          </cell>
          <cell r="AU288">
            <v>0.28328611898016998</v>
          </cell>
          <cell r="AV288">
            <v>0.24826476798060945</v>
          </cell>
          <cell r="AW288"/>
          <cell r="AX288">
            <v>8536700000</v>
          </cell>
          <cell r="AZ288">
            <v>1.2169841567676936</v>
          </cell>
          <cell r="BA288">
            <v>0.73019049406061609</v>
          </cell>
          <cell r="BB288">
            <v>0.60849207838384678</v>
          </cell>
          <cell r="BC288">
            <v>0.48679366270707747</v>
          </cell>
        </row>
        <row r="289">
          <cell r="I289" t="str">
            <v>KSALCAQSXX</v>
          </cell>
          <cell r="J289" t="str">
            <v/>
          </cell>
          <cell r="K289" t="str">
            <v>LC APC QUAD SINGLEMODE GREEN ADAPTOR 20PCS PER ECO FRIENDLY BAG</v>
          </cell>
          <cell r="L289" t="str">
            <v>TRAVERSEE MONOMODE VERT LC APC QUAD 40PCS PAR SAC ÉCOLOGIQUE</v>
          </cell>
          <cell r="M289"/>
          <cell r="N289" t="str">
            <v>China</v>
          </cell>
          <cell r="O289"/>
          <cell r="P289" t="str">
            <v>20 pcs friendly bag</v>
          </cell>
          <cell r="Q289" t="str">
            <v>1000 pcs</v>
          </cell>
          <cell r="R289">
            <v>25920</v>
          </cell>
          <cell r="S289" t="e">
            <v>#N/A</v>
          </cell>
          <cell r="T289" t="str">
            <v>392690 9700</v>
          </cell>
          <cell r="U289">
            <v>0</v>
          </cell>
          <cell r="V289">
            <v>30</v>
          </cell>
          <cell r="W289">
            <v>45</v>
          </cell>
          <cell r="X289">
            <v>55</v>
          </cell>
          <cell r="Y289" t="str">
            <v>T/T 60 days</v>
          </cell>
          <cell r="Z289">
            <v>0.95382531643154878</v>
          </cell>
          <cell r="AA289">
            <v>0.73019049406061609</v>
          </cell>
          <cell r="AB289">
            <v>0.1</v>
          </cell>
          <cell r="AC289">
            <v>0.1</v>
          </cell>
          <cell r="AD289">
            <v>0.32</v>
          </cell>
          <cell r="AE289" t="str">
            <v>C</v>
          </cell>
          <cell r="AF289">
            <v>0.73019049406061609</v>
          </cell>
          <cell r="AG289">
            <v>0.32000000000000006</v>
          </cell>
          <cell r="AH289">
            <v>0.72</v>
          </cell>
          <cell r="AI289">
            <v>0.62952470884482215</v>
          </cell>
          <cell r="AJ289">
            <v>0.5516994844013543</v>
          </cell>
          <cell r="AK289">
            <v>0.34000000000000008</v>
          </cell>
          <cell r="AL289">
            <v>0.24444444444444458</v>
          </cell>
          <cell r="AM289"/>
          <cell r="AN289" t="str">
            <v>OTRANS</v>
          </cell>
          <cell r="AO289"/>
          <cell r="AP289"/>
          <cell r="AQ289"/>
          <cell r="AR289"/>
          <cell r="AS289">
            <v>4</v>
          </cell>
          <cell r="AT289">
            <v>4</v>
          </cell>
          <cell r="AU289">
            <v>0.56657223796033995</v>
          </cell>
          <cell r="AV289">
            <v>0.4965295359612189</v>
          </cell>
          <cell r="AW289"/>
          <cell r="AX289"/>
          <cell r="AZ289">
            <v>2.4339683135353871</v>
          </cell>
          <cell r="BA289">
            <v>1.4603809881212322</v>
          </cell>
          <cell r="BB289">
            <v>1.2169841567676936</v>
          </cell>
          <cell r="BC289">
            <v>0.97358732541415494</v>
          </cell>
        </row>
        <row r="290">
          <cell r="I290" t="str">
            <v>KSASCDS20</v>
          </cell>
          <cell r="J290" t="str">
            <v>U0601004</v>
          </cell>
          <cell r="K290" t="str">
            <v>SC DUPLEX SINGLEMODE BLUE ADAPTOR 20PCS PER ECO FRIENDLY BAG</v>
          </cell>
          <cell r="L290" t="str">
            <v>TRAVERSEE SC DUPLEX MONOMODE BLEU 20PCS PAR SAC ÉCOLOGIQUE</v>
          </cell>
          <cell r="M290"/>
          <cell r="N290" t="str">
            <v>China</v>
          </cell>
          <cell r="O290"/>
          <cell r="P290" t="str">
            <v>20 pcs friendly bag</v>
          </cell>
          <cell r="Q290" t="str">
            <v>1000 pcs</v>
          </cell>
          <cell r="R290">
            <v>25920</v>
          </cell>
          <cell r="S290" t="str">
            <v>4897108882678</v>
          </cell>
          <cell r="T290" t="str">
            <v>392690 9700</v>
          </cell>
          <cell r="U290">
            <v>0</v>
          </cell>
          <cell r="V290">
            <v>30</v>
          </cell>
          <cell r="W290">
            <v>45</v>
          </cell>
          <cell r="X290">
            <v>55</v>
          </cell>
          <cell r="Y290" t="str">
            <v>T/T 60 days</v>
          </cell>
          <cell r="Z290">
            <v>0.3576844936618308</v>
          </cell>
          <cell r="AA290">
            <v>0.27736741384934688</v>
          </cell>
          <cell r="AB290">
            <v>0.1</v>
          </cell>
          <cell r="AC290">
            <v>0.1</v>
          </cell>
          <cell r="AD290">
            <v>0.32</v>
          </cell>
          <cell r="AE290" t="str">
            <v>C</v>
          </cell>
          <cell r="AF290">
            <v>0.27736741384934688</v>
          </cell>
          <cell r="AG290">
            <v>0.32000000000000006</v>
          </cell>
          <cell r="AH290">
            <v>0.28000000000000003</v>
          </cell>
          <cell r="AI290">
            <v>0.2360717658168083</v>
          </cell>
          <cell r="AJ290">
            <v>0.20956649046395093</v>
          </cell>
          <cell r="AK290">
            <v>0.34000000000000008</v>
          </cell>
          <cell r="AL290">
            <v>0.24444444444444458</v>
          </cell>
          <cell r="AM290"/>
          <cell r="AN290" t="str">
            <v>OTRANS</v>
          </cell>
          <cell r="AO290"/>
          <cell r="AP290"/>
          <cell r="AQ290"/>
          <cell r="AR290"/>
          <cell r="AS290">
            <v>1.5</v>
          </cell>
          <cell r="AT290">
            <v>1.5</v>
          </cell>
          <cell r="AU290">
            <v>0.21246458923512748</v>
          </cell>
          <cell r="AV290">
            <v>0.18860984141755585</v>
          </cell>
          <cell r="AW290"/>
          <cell r="AX290">
            <v>8536700000</v>
          </cell>
          <cell r="AZ290">
            <v>0.92455804616448967</v>
          </cell>
          <cell r="BA290">
            <v>0.55473482769869376</v>
          </cell>
          <cell r="BB290">
            <v>0.46227902308224483</v>
          </cell>
          <cell r="BC290">
            <v>0.36982321846579591</v>
          </cell>
        </row>
        <row r="291">
          <cell r="I291" t="str">
            <v>KSASCDM20</v>
          </cell>
          <cell r="J291" t="str">
            <v>U0601003</v>
          </cell>
          <cell r="K291" t="str">
            <v>SC DUPLEX MULTIMODE BEIGE ADAPTOR 20PCS PER ECO FRIENDLY BAG</v>
          </cell>
          <cell r="L291" t="str">
            <v>TRAVERSEE SC DUPLEX MULTIMODE BEIGE 20PCS PAR SAC ÉCOLOGIQUE</v>
          </cell>
          <cell r="M291"/>
          <cell r="N291" t="str">
            <v>China</v>
          </cell>
          <cell r="O291"/>
          <cell r="P291" t="str">
            <v>20 pcs friendly bag</v>
          </cell>
          <cell r="Q291" t="str">
            <v>1000 pcs</v>
          </cell>
          <cell r="R291">
            <v>25920</v>
          </cell>
          <cell r="S291" t="str">
            <v>4897108882685</v>
          </cell>
          <cell r="T291" t="str">
            <v>392690 9700</v>
          </cell>
          <cell r="U291">
            <v>0</v>
          </cell>
          <cell r="V291">
            <v>30</v>
          </cell>
          <cell r="W291">
            <v>45</v>
          </cell>
          <cell r="X291">
            <v>55</v>
          </cell>
          <cell r="Y291" t="str">
            <v>T/T 60 days</v>
          </cell>
          <cell r="Z291">
            <v>0.3576844936618308</v>
          </cell>
          <cell r="AA291">
            <v>0.27736741384934688</v>
          </cell>
          <cell r="AB291">
            <v>0.1</v>
          </cell>
          <cell r="AC291">
            <v>0.1</v>
          </cell>
          <cell r="AD291">
            <v>0.32</v>
          </cell>
          <cell r="AE291" t="str">
            <v>C</v>
          </cell>
          <cell r="AF291">
            <v>0.27736741384934688</v>
          </cell>
          <cell r="AG291">
            <v>0.32000000000000006</v>
          </cell>
          <cell r="AH291">
            <v>0.28000000000000003</v>
          </cell>
          <cell r="AI291">
            <v>0.2360717658168083</v>
          </cell>
          <cell r="AJ291">
            <v>0.20956649046395093</v>
          </cell>
          <cell r="AK291">
            <v>0.34000000000000008</v>
          </cell>
          <cell r="AL291">
            <v>0.24444444444444458</v>
          </cell>
          <cell r="AM291"/>
          <cell r="AN291" t="str">
            <v>OTRANS</v>
          </cell>
          <cell r="AO291"/>
          <cell r="AP291"/>
          <cell r="AQ291"/>
          <cell r="AR291"/>
          <cell r="AS291">
            <v>1.5</v>
          </cell>
          <cell r="AT291">
            <v>1.5</v>
          </cell>
          <cell r="AU291">
            <v>0.21246458923512748</v>
          </cell>
          <cell r="AV291">
            <v>0.18860984141755585</v>
          </cell>
          <cell r="AW291"/>
          <cell r="AX291">
            <v>8536700000</v>
          </cell>
          <cell r="AZ291">
            <v>0.92455804616448967</v>
          </cell>
          <cell r="BA291">
            <v>0.55473482769869376</v>
          </cell>
          <cell r="BB291">
            <v>0.46227902308224483</v>
          </cell>
          <cell r="BC291">
            <v>0.36982321846579591</v>
          </cell>
        </row>
        <row r="292">
          <cell r="I292" t="str">
            <v>KSASCADS20</v>
          </cell>
          <cell r="J292" t="str">
            <v/>
          </cell>
          <cell r="K292" t="str">
            <v>SC APC DUPLEX SINGLEMODE GREEN ADAPTOR 20PCS PER ECO FRIENDLY BAG</v>
          </cell>
          <cell r="L292" t="str">
            <v>TRAVERSEE SC APC DUPLEX MONOMODE VERT 20PCS PAR SAC ÉCOLOGIQUE</v>
          </cell>
          <cell r="M292"/>
          <cell r="N292" t="str">
            <v>China</v>
          </cell>
          <cell r="O292"/>
          <cell r="P292" t="str">
            <v>20 pcs friendly bag</v>
          </cell>
          <cell r="Q292" t="str">
            <v>1000 pcs</v>
          </cell>
          <cell r="R292">
            <v>25920</v>
          </cell>
          <cell r="S292" t="e">
            <v>#N/A</v>
          </cell>
          <cell r="T292" t="str">
            <v>392690 9700</v>
          </cell>
          <cell r="U292">
            <v>0</v>
          </cell>
          <cell r="V292">
            <v>30</v>
          </cell>
          <cell r="W292">
            <v>45</v>
          </cell>
          <cell r="X292">
            <v>55</v>
          </cell>
          <cell r="Y292" t="str">
            <v>T/T 60 days</v>
          </cell>
          <cell r="Z292">
            <v>0.3576844936618308</v>
          </cell>
          <cell r="AA292">
            <v>0.27736741384934688</v>
          </cell>
          <cell r="AB292">
            <v>0.1</v>
          </cell>
          <cell r="AC292">
            <v>0.1</v>
          </cell>
          <cell r="AD292">
            <v>0.32</v>
          </cell>
          <cell r="AE292" t="str">
            <v>C</v>
          </cell>
          <cell r="AF292">
            <v>0.27736741384934688</v>
          </cell>
          <cell r="AG292">
            <v>0.32000000000000006</v>
          </cell>
          <cell r="AH292">
            <v>0.28000000000000003</v>
          </cell>
          <cell r="AI292">
            <v>0.2360717658168083</v>
          </cell>
          <cell r="AJ292">
            <v>0.20956649046395093</v>
          </cell>
          <cell r="AK292">
            <v>0.34000000000000008</v>
          </cell>
          <cell r="AL292">
            <v>0.24444444444444458</v>
          </cell>
          <cell r="AM292"/>
          <cell r="AN292" t="str">
            <v>OTRANS</v>
          </cell>
          <cell r="AO292"/>
          <cell r="AP292"/>
          <cell r="AQ292"/>
          <cell r="AR292"/>
          <cell r="AS292">
            <v>1.5</v>
          </cell>
          <cell r="AT292">
            <v>1.5</v>
          </cell>
          <cell r="AU292">
            <v>0.21246458923512748</v>
          </cell>
          <cell r="AV292">
            <v>0.18860984141755585</v>
          </cell>
          <cell r="AW292"/>
          <cell r="AX292">
            <v>8536700000</v>
          </cell>
          <cell r="AZ292">
            <v>0.92455804616448967</v>
          </cell>
          <cell r="BA292">
            <v>0.55473482769869376</v>
          </cell>
          <cell r="BB292">
            <v>0.46227902308224483</v>
          </cell>
          <cell r="BC292">
            <v>0.36982321846579591</v>
          </cell>
        </row>
        <row r="293">
          <cell r="I293" t="str">
            <v>KSASCSSXX</v>
          </cell>
          <cell r="J293" t="str">
            <v/>
          </cell>
          <cell r="K293" t="str">
            <v>SC SIMPLEX SINGLEMODE  BLUE ADAPTOR 20PCS PER ECO FRIENDLY BAG</v>
          </cell>
          <cell r="L293" t="str">
            <v>TRAVERSEE SC SIMPLEX MONOMODE BLEU 20PCS PAR SAC ÉCOLOGIQUE</v>
          </cell>
          <cell r="M293"/>
          <cell r="N293" t="str">
            <v>China</v>
          </cell>
          <cell r="O293"/>
          <cell r="P293" t="str">
            <v>20 pcs friendly bag</v>
          </cell>
          <cell r="Q293" t="str">
            <v>1000 pcs</v>
          </cell>
          <cell r="R293">
            <v>25920</v>
          </cell>
          <cell r="S293" t="e">
            <v>#N/A</v>
          </cell>
          <cell r="T293" t="str">
            <v>392690 9700</v>
          </cell>
          <cell r="U293">
            <v>0</v>
          </cell>
          <cell r="V293">
            <v>30</v>
          </cell>
          <cell r="W293">
            <v>45</v>
          </cell>
          <cell r="X293">
            <v>55</v>
          </cell>
          <cell r="Y293" t="str">
            <v>T/T 60 days</v>
          </cell>
          <cell r="Z293">
            <v>0.16691943037552104</v>
          </cell>
          <cell r="AA293">
            <v>0.26</v>
          </cell>
          <cell r="AB293">
            <v>0.1</v>
          </cell>
          <cell r="AC293">
            <v>0.1</v>
          </cell>
          <cell r="AD293">
            <v>0.32</v>
          </cell>
          <cell r="AE293" t="str">
            <v>C</v>
          </cell>
          <cell r="AF293">
            <v>0.26</v>
          </cell>
          <cell r="AG293">
            <v>0.65355561860160116</v>
          </cell>
          <cell r="AH293">
            <v>0.26</v>
          </cell>
          <cell r="AI293">
            <v>0.11016682404784388</v>
          </cell>
          <cell r="AJ293">
            <v>0.10008393240398186</v>
          </cell>
          <cell r="AK293">
            <v>0.34000000000000008</v>
          </cell>
          <cell r="AL293">
            <v>0.61506179844622366</v>
          </cell>
          <cell r="AM293"/>
          <cell r="AN293" t="str">
            <v>OTRANS</v>
          </cell>
          <cell r="AO293"/>
          <cell r="AP293"/>
          <cell r="AQ293"/>
          <cell r="AR293"/>
          <cell r="AS293">
            <v>0.7</v>
          </cell>
          <cell r="AT293">
            <v>0.7</v>
          </cell>
          <cell r="AU293">
            <v>9.9150141643059492E-2</v>
          </cell>
          <cell r="AV293">
            <v>9.0075539163583684E-2</v>
          </cell>
          <cell r="AW293"/>
          <cell r="AX293"/>
          <cell r="AZ293">
            <v>0.8666666666666667</v>
          </cell>
          <cell r="BA293">
            <v>0.52</v>
          </cell>
          <cell r="BB293">
            <v>0.43333333333333335</v>
          </cell>
          <cell r="BC293">
            <v>0.34666666666666668</v>
          </cell>
        </row>
        <row r="294">
          <cell r="I294" t="str">
            <v>KSASCSMXX</v>
          </cell>
          <cell r="J294" t="str">
            <v/>
          </cell>
          <cell r="K294" t="str">
            <v>SC SIMPLEX MUTLIMODE BEIGE ADAPTOR 20PCS PER ECO FRIENDLY BAG</v>
          </cell>
          <cell r="L294" t="str">
            <v>TRAVERSEE SC SIMPLEX MONOMODE BLEU 20PCS PAR SAC ÉCOLOGIQUE</v>
          </cell>
          <cell r="M294"/>
          <cell r="N294" t="str">
            <v>China</v>
          </cell>
          <cell r="O294"/>
          <cell r="P294" t="str">
            <v>20 pcs friendly bag</v>
          </cell>
          <cell r="Q294" t="str">
            <v>1000 pcs</v>
          </cell>
          <cell r="R294">
            <v>25920</v>
          </cell>
          <cell r="S294" t="e">
            <v>#N/A</v>
          </cell>
          <cell r="T294" t="str">
            <v>392690 9700</v>
          </cell>
          <cell r="U294">
            <v>0</v>
          </cell>
          <cell r="V294">
            <v>30</v>
          </cell>
          <cell r="W294">
            <v>45</v>
          </cell>
          <cell r="X294">
            <v>55</v>
          </cell>
          <cell r="Y294" t="str">
            <v>T/T 60 days</v>
          </cell>
          <cell r="Z294">
            <v>0.16691943037552104</v>
          </cell>
          <cell r="AA294">
            <v>0.26</v>
          </cell>
          <cell r="AB294">
            <v>0.1</v>
          </cell>
          <cell r="AC294">
            <v>0.1</v>
          </cell>
          <cell r="AD294">
            <v>0.32</v>
          </cell>
          <cell r="AE294" t="str">
            <v>C</v>
          </cell>
          <cell r="AF294">
            <v>0.26</v>
          </cell>
          <cell r="AG294">
            <v>0.65355561860160116</v>
          </cell>
          <cell r="AH294">
            <v>0.26</v>
          </cell>
          <cell r="AI294">
            <v>0.11016682404784388</v>
          </cell>
          <cell r="AJ294">
            <v>0.10008393240398186</v>
          </cell>
          <cell r="AK294">
            <v>0.34000000000000008</v>
          </cell>
          <cell r="AL294">
            <v>0.61506179844622366</v>
          </cell>
          <cell r="AM294"/>
          <cell r="AN294" t="str">
            <v>OTRANS</v>
          </cell>
          <cell r="AO294"/>
          <cell r="AP294"/>
          <cell r="AQ294"/>
          <cell r="AR294"/>
          <cell r="AS294">
            <v>0.7</v>
          </cell>
          <cell r="AT294">
            <v>0.7</v>
          </cell>
          <cell r="AU294">
            <v>9.9150141643059492E-2</v>
          </cell>
          <cell r="AV294">
            <v>9.0075539163583684E-2</v>
          </cell>
          <cell r="AW294"/>
          <cell r="AX294"/>
          <cell r="AZ294">
            <v>0.8666666666666667</v>
          </cell>
          <cell r="BA294">
            <v>0.52</v>
          </cell>
          <cell r="BB294">
            <v>0.43333333333333335</v>
          </cell>
          <cell r="BC294">
            <v>0.34666666666666668</v>
          </cell>
        </row>
        <row r="295">
          <cell r="I295" t="str">
            <v>KSET24FO</v>
          </cell>
          <cell r="J295" t="str">
            <v>U0701002</v>
          </cell>
          <cell r="K295" t="str">
            <v>SPLICE CASSETTE WITH SPLICE HOLDER STACKABLE 24FO</v>
          </cell>
          <cell r="L295" t="str">
            <v>CASSETTE DE LOVAGE STACKABLE 24FO</v>
          </cell>
          <cell r="M295"/>
          <cell r="N295" t="str">
            <v>China</v>
          </cell>
          <cell r="O295"/>
          <cell r="P295" t="str">
            <v>1 pc eco friendly box</v>
          </cell>
          <cell r="Q295" t="str">
            <v>500 pcs</v>
          </cell>
          <cell r="R295">
            <v>1800</v>
          </cell>
          <cell r="S295" t="str">
            <v>4897108884214</v>
          </cell>
          <cell r="T295" t="str">
            <v>853890 9900</v>
          </cell>
          <cell r="U295">
            <v>1.7000000000000001E-2</v>
          </cell>
          <cell r="V295">
            <v>30</v>
          </cell>
          <cell r="W295">
            <v>45</v>
          </cell>
          <cell r="X295">
            <v>55</v>
          </cell>
          <cell r="Y295" t="str">
            <v>T/T 60 days</v>
          </cell>
          <cell r="Z295">
            <v>1.2240758227538209</v>
          </cell>
          <cell r="AA295">
            <v>1.0321184980256295</v>
          </cell>
          <cell r="AB295">
            <v>0.1</v>
          </cell>
          <cell r="AC295">
            <v>0.1</v>
          </cell>
          <cell r="AD295">
            <v>0.35</v>
          </cell>
          <cell r="AE295" t="str">
            <v>C</v>
          </cell>
          <cell r="AF295">
            <v>1.0321184980256295</v>
          </cell>
          <cell r="AG295">
            <v>0.35</v>
          </cell>
          <cell r="AH295">
            <v>1.02</v>
          </cell>
          <cell r="AI295">
            <v>0.77116776833490719</v>
          </cell>
          <cell r="AJ295">
            <v>0.74541891524073245</v>
          </cell>
          <cell r="AK295">
            <v>0.37</v>
          </cell>
          <cell r="AL295">
            <v>0.27777777777777779</v>
          </cell>
          <cell r="AM295"/>
          <cell r="AN295" t="str">
            <v>OTRANS</v>
          </cell>
          <cell r="AO295"/>
          <cell r="AP295"/>
          <cell r="AQ295"/>
          <cell r="AR295"/>
          <cell r="AS295">
            <v>4.9000000000000004</v>
          </cell>
          <cell r="AT295">
            <v>4.9000000000000004</v>
          </cell>
          <cell r="AU295">
            <v>0.69405099150141647</v>
          </cell>
          <cell r="AV295">
            <v>0.67087702371665925</v>
          </cell>
          <cell r="AW295" t="str">
            <v>5.1?</v>
          </cell>
          <cell r="AX295"/>
          <cell r="AZ295">
            <v>3.440394993418765</v>
          </cell>
          <cell r="BA295">
            <v>2.064236996051259</v>
          </cell>
          <cell r="BB295">
            <v>1.7201974967093825</v>
          </cell>
          <cell r="BC295">
            <v>1.376157997367506</v>
          </cell>
        </row>
        <row r="296">
          <cell r="I296" t="str">
            <v>KSPLICE60MM</v>
          </cell>
          <cell r="J296" t="str">
            <v>U0701001</v>
          </cell>
          <cell r="K296" t="str">
            <v>SPLICE PROTECTION HEAT SHRINKABLE 60MM</v>
          </cell>
          <cell r="L296" t="str">
            <v>PROTECTION EPISSURE THERMORETRACTABLE 60MM</v>
          </cell>
          <cell r="M296"/>
          <cell r="N296" t="str">
            <v>China</v>
          </cell>
          <cell r="O296"/>
          <cell r="P296" t="str">
            <v>1 pc eco friendly box</v>
          </cell>
          <cell r="Q296" t="str">
            <v>500 pcs</v>
          </cell>
          <cell r="R296">
            <v>90000</v>
          </cell>
          <cell r="S296" t="str">
            <v>4897108884207</v>
          </cell>
          <cell r="T296" t="str">
            <v>853890 9900</v>
          </cell>
          <cell r="U296">
            <v>1.7000000000000001E-2</v>
          </cell>
          <cell r="V296">
            <v>30</v>
          </cell>
          <cell r="W296">
            <v>45</v>
          </cell>
          <cell r="X296">
            <v>55</v>
          </cell>
          <cell r="Y296" t="str">
            <v>T/T 60 days</v>
          </cell>
          <cell r="Z296">
            <v>3.2561622871283911E-2</v>
          </cell>
          <cell r="AA296">
            <v>2.6967013817611185E-2</v>
          </cell>
          <cell r="AB296">
            <v>0.1</v>
          </cell>
          <cell r="AC296">
            <v>0.1</v>
          </cell>
          <cell r="AD296">
            <v>0.4</v>
          </cell>
          <cell r="AE296" t="str">
            <v>C</v>
          </cell>
          <cell r="AF296">
            <v>2.6967013817611185E-2</v>
          </cell>
          <cell r="AG296">
            <v>0.4</v>
          </cell>
          <cell r="AH296">
            <v>0.03</v>
          </cell>
          <cell r="AI296">
            <v>1.8885741265344667E-2</v>
          </cell>
          <cell r="AJ296">
            <v>1.7978009211740791E-2</v>
          </cell>
          <cell r="AK296">
            <v>0.42000000000000004</v>
          </cell>
          <cell r="AL296">
            <v>0.33333333333333326</v>
          </cell>
          <cell r="AM296"/>
          <cell r="AN296" t="str">
            <v>OTRANS</v>
          </cell>
          <cell r="AO296"/>
          <cell r="AP296"/>
          <cell r="AQ296"/>
          <cell r="AR296"/>
          <cell r="AS296">
            <v>0.12</v>
          </cell>
          <cell r="AT296">
            <v>0.12</v>
          </cell>
          <cell r="AU296">
            <v>1.69971671388102E-2</v>
          </cell>
          <cell r="AV296">
            <v>1.6180208290566711E-2</v>
          </cell>
          <cell r="AW296"/>
          <cell r="AX296"/>
          <cell r="AZ296">
            <v>8.989004605870396E-2</v>
          </cell>
          <cell r="BA296">
            <v>5.3934027635222377E-2</v>
          </cell>
          <cell r="BB296">
            <v>4.494502302935198E-2</v>
          </cell>
          <cell r="BC296">
            <v>3.5956018423481582E-2</v>
          </cell>
        </row>
        <row r="297">
          <cell r="I297" t="str">
            <v>KCDOM3SCSC1MEF</v>
          </cell>
          <cell r="J297" t="str">
            <v>U0901009</v>
          </cell>
          <cell r="K297" t="str">
            <v>SC/SC OM3 DUPLEX OPTICAL PATCH CORD 1M ECO FRIENDLY BAG</v>
          </cell>
          <cell r="L297" t="str">
            <v>JARRETIERE OPTIQUE DUPLEX SC/SC OM3 1M SAC ÉCOLOGIQUE</v>
          </cell>
          <cell r="M297"/>
          <cell r="N297" t="str">
            <v>China</v>
          </cell>
          <cell r="O297"/>
          <cell r="P297" t="str">
            <v>1 pc eco friendly bag</v>
          </cell>
          <cell r="Q297" t="str">
            <v>2km per cable</v>
          </cell>
          <cell r="R297">
            <v>2160</v>
          </cell>
          <cell r="S297" t="e">
            <v>#N/A</v>
          </cell>
          <cell r="T297">
            <v>8544700000</v>
          </cell>
          <cell r="U297">
            <v>0</v>
          </cell>
          <cell r="V297">
            <v>30</v>
          </cell>
          <cell r="W297">
            <v>45</v>
          </cell>
          <cell r="X297">
            <v>55</v>
          </cell>
          <cell r="Y297" t="str">
            <v>T/T 60 days</v>
          </cell>
          <cell r="Z297">
            <v>2.3034881391821904</v>
          </cell>
          <cell r="AA297">
            <v>1.8177911706073682</v>
          </cell>
          <cell r="AB297">
            <v>0.1</v>
          </cell>
          <cell r="AC297">
            <v>0.1</v>
          </cell>
          <cell r="AD297">
            <v>0.32</v>
          </cell>
          <cell r="AE297" t="str">
            <v>C</v>
          </cell>
          <cell r="AF297">
            <v>1.8177911706073682</v>
          </cell>
          <cell r="AG297">
            <v>0.32000000000000006</v>
          </cell>
          <cell r="AH297">
            <v>1.8</v>
          </cell>
          <cell r="AI297">
            <v>1.5203021718602456</v>
          </cell>
          <cell r="AJ297">
            <v>1.3734422177922336</v>
          </cell>
          <cell r="AK297">
            <v>0.33999999999999997</v>
          </cell>
          <cell r="AL297">
            <v>0.24444444444444446</v>
          </cell>
          <cell r="AM297"/>
          <cell r="AN297" t="str">
            <v>OTRANS</v>
          </cell>
          <cell r="AO297"/>
          <cell r="AP297"/>
          <cell r="AQ297"/>
          <cell r="AR297"/>
          <cell r="AS297">
            <v>9.66</v>
          </cell>
          <cell r="AT297">
            <v>9.66</v>
          </cell>
          <cell r="AU297">
            <v>1.368271954674221</v>
          </cell>
          <cell r="AV297">
            <v>1.2360979960130103</v>
          </cell>
          <cell r="AW297"/>
          <cell r="AX297">
            <v>8544700000</v>
          </cell>
          <cell r="AZ297">
            <v>6.0593039020245607</v>
          </cell>
          <cell r="BA297">
            <v>3.6355823412147363</v>
          </cell>
          <cell r="BB297">
            <v>3.0296519510122804</v>
          </cell>
          <cell r="BC297">
            <v>2.4237215608098244</v>
          </cell>
        </row>
        <row r="298">
          <cell r="I298" t="str">
            <v>KCDOM3SCSC2MEF</v>
          </cell>
          <cell r="J298" t="str">
            <v>U0901010</v>
          </cell>
          <cell r="K298" t="str">
            <v>SC/SC OM3 DUPLEX OPTICAL PATCH CORD 2M ECO FRIENDLY BAG</v>
          </cell>
          <cell r="L298" t="str">
            <v>JARRETIERE OPTIQUE DUPLEX SC/SC OM3 2M SAC ÉCOLOGIQUE</v>
          </cell>
          <cell r="M298"/>
          <cell r="N298" t="str">
            <v>China</v>
          </cell>
          <cell r="O298"/>
          <cell r="P298" t="str">
            <v>1 pc eco friendly bag</v>
          </cell>
          <cell r="Q298" t="str">
            <v>2km per cable</v>
          </cell>
          <cell r="R298">
            <v>1920</v>
          </cell>
          <cell r="S298" t="e">
            <v>#N/A</v>
          </cell>
          <cell r="T298">
            <v>8544700000</v>
          </cell>
          <cell r="U298">
            <v>0</v>
          </cell>
          <cell r="V298">
            <v>30</v>
          </cell>
          <cell r="W298">
            <v>45</v>
          </cell>
          <cell r="X298">
            <v>55</v>
          </cell>
          <cell r="Y298" t="str">
            <v>T/T 60 days</v>
          </cell>
          <cell r="Z298">
            <v>2.5347907784168413</v>
          </cell>
          <cell r="AA298">
            <v>2.0019968743132188</v>
          </cell>
          <cell r="AB298">
            <v>0.1</v>
          </cell>
          <cell r="AC298">
            <v>0.1</v>
          </cell>
          <cell r="AD298">
            <v>0.32</v>
          </cell>
          <cell r="AE298" t="str">
            <v>C</v>
          </cell>
          <cell r="AF298">
            <v>2.0019968743132188</v>
          </cell>
          <cell r="AG298">
            <v>0.32000000000000006</v>
          </cell>
          <cell r="AH298">
            <v>1.99</v>
          </cell>
          <cell r="AI298">
            <v>1.672961913755115</v>
          </cell>
          <cell r="AJ298">
            <v>1.5126198605922094</v>
          </cell>
          <cell r="AK298">
            <v>0.34000000000000008</v>
          </cell>
          <cell r="AL298">
            <v>0.24444444444444458</v>
          </cell>
          <cell r="AM298"/>
          <cell r="AN298" t="str">
            <v>OTRANS</v>
          </cell>
          <cell r="AO298"/>
          <cell r="AP298"/>
          <cell r="AQ298"/>
          <cell r="AR298"/>
          <cell r="AS298">
            <v>10.63</v>
          </cell>
          <cell r="AT298">
            <v>10.63</v>
          </cell>
          <cell r="AU298">
            <v>1.5056657223796035</v>
          </cell>
          <cell r="AV298">
            <v>1.3613578745329886</v>
          </cell>
          <cell r="AW298"/>
          <cell r="AX298">
            <v>8544700000</v>
          </cell>
          <cell r="AZ298">
            <v>6.6733229143773967</v>
          </cell>
          <cell r="BA298">
            <v>4.0039937486264376</v>
          </cell>
          <cell r="BB298">
            <v>3.3366614571886983</v>
          </cell>
          <cell r="BC298">
            <v>2.669329165750959</v>
          </cell>
        </row>
        <row r="299">
          <cell r="I299" t="str">
            <v>KCDOM3SCSC3MEF</v>
          </cell>
          <cell r="J299" t="str">
            <v>U0901011</v>
          </cell>
          <cell r="K299" t="str">
            <v>SC/SC OM3 DUPLEX OPTICAL PATCH CORD 3M ECO FRIENDLY BAG</v>
          </cell>
          <cell r="L299" t="str">
            <v xml:space="preserve">JARRETIERE OPTIQUE DUPLEX SC/SC OM3 3M SAC ÉCOLOGIQUE </v>
          </cell>
          <cell r="M299"/>
          <cell r="N299" t="str">
            <v>China</v>
          </cell>
          <cell r="O299"/>
          <cell r="P299" t="str">
            <v>1 pc eco friendly bag</v>
          </cell>
          <cell r="Q299" t="str">
            <v>2km per cable</v>
          </cell>
          <cell r="R299">
            <v>1920</v>
          </cell>
          <cell r="S299" t="e">
            <v>#N/A</v>
          </cell>
          <cell r="T299">
            <v>8544700000</v>
          </cell>
          <cell r="U299">
            <v>0</v>
          </cell>
          <cell r="V299">
            <v>30</v>
          </cell>
          <cell r="W299">
            <v>45</v>
          </cell>
          <cell r="X299">
            <v>55</v>
          </cell>
          <cell r="Y299" t="str">
            <v>T/T 60 days</v>
          </cell>
          <cell r="Z299">
            <v>2.7637088543604129</v>
          </cell>
          <cell r="AA299">
            <v>2.1758809371143459</v>
          </cell>
          <cell r="AB299">
            <v>0.1</v>
          </cell>
          <cell r="AC299">
            <v>0.1</v>
          </cell>
          <cell r="AD299">
            <v>0.32</v>
          </cell>
          <cell r="AE299" t="str">
            <v>C</v>
          </cell>
          <cell r="AF299">
            <v>2.1758809371143459</v>
          </cell>
          <cell r="AG299">
            <v>0.32000000000000006</v>
          </cell>
          <cell r="AH299">
            <v>2.16</v>
          </cell>
          <cell r="AI299">
            <v>1.8240478438778722</v>
          </cell>
          <cell r="AJ299">
            <v>1.6439989302641724</v>
          </cell>
          <cell r="AK299">
            <v>0.34000000000000008</v>
          </cell>
          <cell r="AL299">
            <v>0.24444444444444446</v>
          </cell>
          <cell r="AM299"/>
          <cell r="AN299" t="str">
            <v>OTRANS</v>
          </cell>
          <cell r="AO299"/>
          <cell r="AP299"/>
          <cell r="AQ299"/>
          <cell r="AR299"/>
          <cell r="AS299">
            <v>11.59</v>
          </cell>
          <cell r="AT299">
            <v>11.59</v>
          </cell>
          <cell r="AU299">
            <v>1.641643059490085</v>
          </cell>
          <cell r="AV299">
            <v>1.4795990372377552</v>
          </cell>
          <cell r="AW299"/>
          <cell r="AX299">
            <v>8544700000</v>
          </cell>
          <cell r="AZ299">
            <v>7.2529364570478201</v>
          </cell>
          <cell r="BA299">
            <v>4.3517618742286919</v>
          </cell>
          <cell r="BB299">
            <v>3.62646822852391</v>
          </cell>
          <cell r="BC299">
            <v>2.9011745828191282</v>
          </cell>
        </row>
        <row r="300">
          <cell r="I300" t="str">
            <v>KCDOM3SCSC5MEF</v>
          </cell>
          <cell r="J300" t="str">
            <v>U0901012</v>
          </cell>
          <cell r="K300" t="str">
            <v>SC/SC OM3 DUPLEX OPTICAL PATCH CORD 5M ECO FRIENDLY BAG</v>
          </cell>
          <cell r="L300" t="str">
            <v>JARRETIERE OPTIQUE DUPLEX SC/SC OM3 5M SAC ÉCOLOGIQUE</v>
          </cell>
          <cell r="M300"/>
          <cell r="N300" t="str">
            <v>China</v>
          </cell>
          <cell r="O300"/>
          <cell r="P300" t="str">
            <v>1 pc eco friendly bag</v>
          </cell>
          <cell r="Q300" t="str">
            <v>2km per cable</v>
          </cell>
          <cell r="R300">
            <v>1440</v>
          </cell>
          <cell r="S300" t="e">
            <v>#N/A</v>
          </cell>
          <cell r="T300">
            <v>8544700000</v>
          </cell>
          <cell r="U300">
            <v>0</v>
          </cell>
          <cell r="V300">
            <v>30</v>
          </cell>
          <cell r="W300">
            <v>45</v>
          </cell>
          <cell r="X300">
            <v>55</v>
          </cell>
          <cell r="Y300" t="str">
            <v>T/T 60 days</v>
          </cell>
          <cell r="Z300">
            <v>3.209622189792162</v>
          </cell>
          <cell r="AA300">
            <v>2.5401236468640098</v>
          </cell>
          <cell r="AB300">
            <v>0.1</v>
          </cell>
          <cell r="AC300">
            <v>0.1</v>
          </cell>
          <cell r="AD300">
            <v>0.32</v>
          </cell>
          <cell r="AE300" t="str">
            <v>C</v>
          </cell>
          <cell r="AF300">
            <v>2.5401236468640098</v>
          </cell>
          <cell r="AG300">
            <v>0.32000000000000006</v>
          </cell>
          <cell r="AH300">
            <v>2.52</v>
          </cell>
          <cell r="AI300">
            <v>2.1183506452628267</v>
          </cell>
          <cell r="AJ300">
            <v>1.9192045331861405</v>
          </cell>
          <cell r="AK300">
            <v>0.34000000000000008</v>
          </cell>
          <cell r="AL300">
            <v>0.24444444444444458</v>
          </cell>
          <cell r="AM300"/>
          <cell r="AN300" t="str">
            <v>OTRANS</v>
          </cell>
          <cell r="AO300"/>
          <cell r="AP300"/>
          <cell r="AQ300"/>
          <cell r="AR300"/>
          <cell r="AS300">
            <v>13.46</v>
          </cell>
          <cell r="AT300">
            <v>13.46</v>
          </cell>
          <cell r="AU300">
            <v>1.9065155807365441</v>
          </cell>
          <cell r="AV300">
            <v>1.7272840798675264</v>
          </cell>
          <cell r="AW300"/>
          <cell r="AX300">
            <v>8544700000</v>
          </cell>
          <cell r="AZ300">
            <v>8.4670788228800333</v>
          </cell>
          <cell r="BA300">
            <v>5.0802472937280196</v>
          </cell>
          <cell r="BB300">
            <v>4.2335394114400167</v>
          </cell>
          <cell r="BC300">
            <v>3.3868315291520137</v>
          </cell>
        </row>
        <row r="301">
          <cell r="I301" t="str">
            <v>KCDOM3SCSC10MEF</v>
          </cell>
          <cell r="J301" t="str">
            <v/>
          </cell>
          <cell r="K301" t="str">
            <v>SC/SC OM3 DUPLEX OPTICAL PATCH CORD 10M ECO FRIENDLY BAG</v>
          </cell>
          <cell r="L301" t="str">
            <v xml:space="preserve">JARRETIERE OPTIQUE DUPLEX SC/SC OM3 10M SAC ÉCOLOGIQUE </v>
          </cell>
          <cell r="M301"/>
          <cell r="N301" t="str">
            <v>China</v>
          </cell>
          <cell r="O301"/>
          <cell r="P301" t="str">
            <v>1 pc eco friendly bag</v>
          </cell>
          <cell r="Q301" t="str">
            <v>2km per cable</v>
          </cell>
          <cell r="R301">
            <v>720</v>
          </cell>
          <cell r="S301" t="e">
            <v>#N/A</v>
          </cell>
          <cell r="T301">
            <v>8544700000</v>
          </cell>
          <cell r="U301">
            <v>0</v>
          </cell>
          <cell r="V301">
            <v>30</v>
          </cell>
          <cell r="W301">
            <v>45</v>
          </cell>
          <cell r="X301">
            <v>55</v>
          </cell>
          <cell r="Y301" t="str">
            <v>T/T 60 days</v>
          </cell>
          <cell r="Z301">
            <v>4.6928205568432197</v>
          </cell>
          <cell r="AA301">
            <v>3.7688716534361832</v>
          </cell>
          <cell r="AB301">
            <v>0.1</v>
          </cell>
          <cell r="AC301">
            <v>0.1</v>
          </cell>
          <cell r="AD301">
            <v>0.32</v>
          </cell>
          <cell r="AE301" t="str">
            <v>C</v>
          </cell>
          <cell r="AF301">
            <v>3.7688716534361832</v>
          </cell>
          <cell r="AG301">
            <v>0.32000000000000006</v>
          </cell>
          <cell r="AH301">
            <v>3.74</v>
          </cell>
          <cell r="AI301">
            <v>3.0972615675165249</v>
          </cell>
          <cell r="AJ301">
            <v>2.8475919159295602</v>
          </cell>
          <cell r="AK301">
            <v>0.33999999999999997</v>
          </cell>
          <cell r="AL301">
            <v>0.24444444444444458</v>
          </cell>
          <cell r="AM301"/>
          <cell r="AN301" t="str">
            <v>OTRANS</v>
          </cell>
          <cell r="AO301"/>
          <cell r="AP301"/>
          <cell r="AQ301"/>
          <cell r="AR301"/>
          <cell r="AS301">
            <v>19.68</v>
          </cell>
          <cell r="AT301">
            <v>19.68</v>
          </cell>
          <cell r="AU301">
            <v>2.7875354107648724</v>
          </cell>
          <cell r="AV301">
            <v>2.5628327243366043</v>
          </cell>
          <cell r="AW301"/>
          <cell r="AX301">
            <v>8544700000</v>
          </cell>
          <cell r="AZ301">
            <v>12.562905511453945</v>
          </cell>
          <cell r="BA301">
            <v>7.5377433068723665</v>
          </cell>
          <cell r="BB301">
            <v>6.2814527557269724</v>
          </cell>
          <cell r="BC301">
            <v>5.0251622045815783</v>
          </cell>
        </row>
        <row r="302">
          <cell r="I302" t="str">
            <v>KCDOM3SCSC15MEF</v>
          </cell>
          <cell r="J302" t="str">
            <v/>
          </cell>
          <cell r="K302" t="str">
            <v>SC/SC OM3 DUPLEX OPTICAL PATCH CORD 15M ECO FRIENDLY BAG</v>
          </cell>
          <cell r="L302" t="str">
            <v>JARRETIERE OPTIQUE DUPLEX SC/SC OM3 15M SAC ÉCOLOGIQUE</v>
          </cell>
          <cell r="M302"/>
          <cell r="N302" t="str">
            <v>China</v>
          </cell>
          <cell r="O302"/>
          <cell r="P302" t="str">
            <v>1 pc eco friendly bag</v>
          </cell>
          <cell r="Q302" t="str">
            <v>2km per cable</v>
          </cell>
          <cell r="R302">
            <v>480</v>
          </cell>
          <cell r="S302" t="e">
            <v>#N/A</v>
          </cell>
          <cell r="T302">
            <v>8544700000</v>
          </cell>
          <cell r="U302">
            <v>0</v>
          </cell>
          <cell r="V302">
            <v>30</v>
          </cell>
          <cell r="W302">
            <v>45</v>
          </cell>
          <cell r="X302">
            <v>55</v>
          </cell>
          <cell r="Y302" t="str">
            <v>T/T 60 days</v>
          </cell>
          <cell r="Z302">
            <v>6.0281759998473889</v>
          </cell>
          <cell r="AA302">
            <v>4.8853195361159623</v>
          </cell>
          <cell r="AB302">
            <v>0.1</v>
          </cell>
          <cell r="AC302">
            <v>0.1</v>
          </cell>
          <cell r="AD302">
            <v>0.32</v>
          </cell>
          <cell r="AE302" t="str">
            <v>C</v>
          </cell>
          <cell r="AF302">
            <v>4.8853195361159623</v>
          </cell>
          <cell r="AG302">
            <v>0.32000000000000006</v>
          </cell>
          <cell r="AH302">
            <v>4.8499999999999996</v>
          </cell>
          <cell r="AI302">
            <v>3.9785961598992761</v>
          </cell>
          <cell r="AJ302">
            <v>3.6911303161765043</v>
          </cell>
          <cell r="AK302">
            <v>0.34000000000000008</v>
          </cell>
          <cell r="AL302">
            <v>0.24444444444444458</v>
          </cell>
          <cell r="AM302"/>
          <cell r="AN302" t="str">
            <v>OTRANS</v>
          </cell>
          <cell r="AO302"/>
          <cell r="AP302"/>
          <cell r="AQ302"/>
          <cell r="AR302"/>
          <cell r="AS302">
            <v>25.28</v>
          </cell>
          <cell r="AT302">
            <v>25.28</v>
          </cell>
          <cell r="AU302">
            <v>3.5807365439093486</v>
          </cell>
          <cell r="AV302">
            <v>3.322017284558854</v>
          </cell>
          <cell r="AW302"/>
          <cell r="AX302">
            <v>8544700000</v>
          </cell>
          <cell r="AZ302">
            <v>16.284398453719874</v>
          </cell>
          <cell r="BA302">
            <v>9.7706390722319245</v>
          </cell>
          <cell r="BB302">
            <v>8.1421992268599368</v>
          </cell>
          <cell r="BC302">
            <v>6.51375938148795</v>
          </cell>
        </row>
        <row r="303">
          <cell r="I303" t="str">
            <v>KCDOM3SCLC1MEF</v>
          </cell>
          <cell r="J303" t="str">
            <v>U0901005</v>
          </cell>
          <cell r="K303" t="str">
            <v>SC/LC OM3 DUPLEX OPTICAL PATCH CORD 1M ECO FRIENDLY BAG</v>
          </cell>
          <cell r="L303" t="str">
            <v>JARRETIERE OPTIQUE DUPLEX SC/LC OM3 1M SAC ÉCOLOGIQUE</v>
          </cell>
          <cell r="M303"/>
          <cell r="N303" t="str">
            <v>China</v>
          </cell>
          <cell r="O303"/>
          <cell r="P303" t="str">
            <v>1 pc eco friendly bag</v>
          </cell>
          <cell r="Q303" t="str">
            <v>2km per cable</v>
          </cell>
          <cell r="R303">
            <v>2160</v>
          </cell>
          <cell r="S303" t="str">
            <v>4897108884085</v>
          </cell>
          <cell r="T303">
            <v>8544700000</v>
          </cell>
          <cell r="U303">
            <v>0</v>
          </cell>
          <cell r="V303">
            <v>30</v>
          </cell>
          <cell r="W303">
            <v>45</v>
          </cell>
          <cell r="X303">
            <v>55</v>
          </cell>
          <cell r="Y303" t="str">
            <v>T/T 60 days</v>
          </cell>
          <cell r="Z303">
            <v>2.3034881391821904</v>
          </cell>
          <cell r="AA303">
            <v>1.8177911706073682</v>
          </cell>
          <cell r="AB303">
            <v>0.1</v>
          </cell>
          <cell r="AC303">
            <v>0.1</v>
          </cell>
          <cell r="AD303">
            <v>0.32</v>
          </cell>
          <cell r="AE303" t="str">
            <v>C</v>
          </cell>
          <cell r="AF303">
            <v>1.8177911706073682</v>
          </cell>
          <cell r="AG303">
            <v>0.32000000000000006</v>
          </cell>
          <cell r="AH303">
            <v>1.8</v>
          </cell>
          <cell r="AI303">
            <v>1.5203021718602456</v>
          </cell>
          <cell r="AJ303">
            <v>1.3734422177922336</v>
          </cell>
          <cell r="AK303">
            <v>0.33999999999999997</v>
          </cell>
          <cell r="AL303">
            <v>0.24444444444444446</v>
          </cell>
          <cell r="AM303"/>
          <cell r="AN303" t="str">
            <v>OTRANS</v>
          </cell>
          <cell r="AO303"/>
          <cell r="AP303"/>
          <cell r="AQ303"/>
          <cell r="AR303"/>
          <cell r="AS303">
            <v>9.66</v>
          </cell>
          <cell r="AT303">
            <v>9.66</v>
          </cell>
          <cell r="AU303">
            <v>1.368271954674221</v>
          </cell>
          <cell r="AV303">
            <v>1.2360979960130103</v>
          </cell>
          <cell r="AW303"/>
          <cell r="AX303">
            <v>8544700000</v>
          </cell>
          <cell r="AZ303">
            <v>6.0593039020245607</v>
          </cell>
          <cell r="BA303">
            <v>3.6355823412147363</v>
          </cell>
          <cell r="BB303">
            <v>3.0296519510122804</v>
          </cell>
          <cell r="BC303">
            <v>2.4237215608098244</v>
          </cell>
        </row>
        <row r="304">
          <cell r="I304" t="str">
            <v>KCDOM3SCLC2MEF</v>
          </cell>
          <cell r="J304" t="str">
            <v>U0901006</v>
          </cell>
          <cell r="K304" t="str">
            <v>SC/LC OM3 DUPLEX OPTICAL PATCH CORD 2M ECO FRIENDLY BAG</v>
          </cell>
          <cell r="L304" t="str">
            <v>JARRETIERE OPTIQUE DUPLEX SC/LC OM3 2M SAC ÉCOLOGIQUE</v>
          </cell>
          <cell r="M304"/>
          <cell r="N304" t="str">
            <v>China</v>
          </cell>
          <cell r="O304"/>
          <cell r="P304" t="str">
            <v>1 pc eco friendly bag</v>
          </cell>
          <cell r="Q304" t="str">
            <v>2km per cable</v>
          </cell>
          <cell r="R304">
            <v>1920</v>
          </cell>
          <cell r="S304" t="e">
            <v>#N/A</v>
          </cell>
          <cell r="T304">
            <v>8544700000</v>
          </cell>
          <cell r="U304">
            <v>0</v>
          </cell>
          <cell r="V304">
            <v>30</v>
          </cell>
          <cell r="W304">
            <v>45</v>
          </cell>
          <cell r="X304">
            <v>55</v>
          </cell>
          <cell r="Y304" t="str">
            <v>T/T 60 days</v>
          </cell>
          <cell r="Z304">
            <v>2.5347907784168413</v>
          </cell>
          <cell r="AA304">
            <v>2.0019968743132188</v>
          </cell>
          <cell r="AB304">
            <v>0.1</v>
          </cell>
          <cell r="AC304">
            <v>0.1</v>
          </cell>
          <cell r="AD304">
            <v>0.32</v>
          </cell>
          <cell r="AE304" t="str">
            <v>C</v>
          </cell>
          <cell r="AF304">
            <v>2.0019968743132188</v>
          </cell>
          <cell r="AG304">
            <v>0.32000000000000006</v>
          </cell>
          <cell r="AH304">
            <v>1.99</v>
          </cell>
          <cell r="AI304">
            <v>1.672961913755115</v>
          </cell>
          <cell r="AJ304">
            <v>1.5126198605922094</v>
          </cell>
          <cell r="AK304">
            <v>0.34000000000000008</v>
          </cell>
          <cell r="AL304">
            <v>0.24444444444444458</v>
          </cell>
          <cell r="AM304"/>
          <cell r="AN304" t="str">
            <v>OTRANS</v>
          </cell>
          <cell r="AO304"/>
          <cell r="AP304"/>
          <cell r="AQ304"/>
          <cell r="AR304"/>
          <cell r="AS304">
            <v>10.63</v>
          </cell>
          <cell r="AT304">
            <v>10.63</v>
          </cell>
          <cell r="AU304">
            <v>1.5056657223796035</v>
          </cell>
          <cell r="AV304">
            <v>1.3613578745329886</v>
          </cell>
          <cell r="AW304"/>
          <cell r="AX304">
            <v>8544700000</v>
          </cell>
          <cell r="AZ304">
            <v>6.6733229143773967</v>
          </cell>
          <cell r="BA304">
            <v>4.0039937486264376</v>
          </cell>
          <cell r="BB304">
            <v>3.3366614571886983</v>
          </cell>
          <cell r="BC304">
            <v>2.669329165750959</v>
          </cell>
        </row>
        <row r="305">
          <cell r="I305" t="str">
            <v>KCDOM3SCLC3MEF</v>
          </cell>
          <cell r="J305" t="str">
            <v>U0901007</v>
          </cell>
          <cell r="K305" t="str">
            <v>SC/LC OM3 DUPLEX OPTICAL PATCH CORD 3M ECO FRIENDLY BAG</v>
          </cell>
          <cell r="L305" t="str">
            <v>JARRETIERE OPTIQUE DUPLEX SC/LC OM3 3M SAC ÉCOLOGIQUE</v>
          </cell>
          <cell r="M305"/>
          <cell r="N305" t="str">
            <v>China</v>
          </cell>
          <cell r="O305"/>
          <cell r="P305" t="str">
            <v>1 pc eco friendly bag</v>
          </cell>
          <cell r="Q305" t="str">
            <v>2km per cable</v>
          </cell>
          <cell r="R305">
            <v>1920</v>
          </cell>
          <cell r="S305" t="str">
            <v>4897108884092</v>
          </cell>
          <cell r="T305">
            <v>8544700000</v>
          </cell>
          <cell r="U305">
            <v>0</v>
          </cell>
          <cell r="V305">
            <v>30</v>
          </cell>
          <cell r="W305">
            <v>45</v>
          </cell>
          <cell r="X305">
            <v>55</v>
          </cell>
          <cell r="Y305" t="str">
            <v>T/T 60 days</v>
          </cell>
          <cell r="Z305">
            <v>2.7637088543604129</v>
          </cell>
          <cell r="AA305">
            <v>2.1758809371143459</v>
          </cell>
          <cell r="AB305">
            <v>0.1</v>
          </cell>
          <cell r="AC305">
            <v>0.1</v>
          </cell>
          <cell r="AD305">
            <v>0.32</v>
          </cell>
          <cell r="AE305" t="str">
            <v>C</v>
          </cell>
          <cell r="AF305">
            <v>2.1758809371143459</v>
          </cell>
          <cell r="AG305">
            <v>0.32000000000000006</v>
          </cell>
          <cell r="AH305">
            <v>2.16</v>
          </cell>
          <cell r="AI305">
            <v>1.8240478438778722</v>
          </cell>
          <cell r="AJ305">
            <v>1.6439989302641724</v>
          </cell>
          <cell r="AK305">
            <v>0.34000000000000008</v>
          </cell>
          <cell r="AL305">
            <v>0.24444444444444446</v>
          </cell>
          <cell r="AM305"/>
          <cell r="AN305" t="str">
            <v>OTRANS</v>
          </cell>
          <cell r="AO305"/>
          <cell r="AP305"/>
          <cell r="AQ305"/>
          <cell r="AR305"/>
          <cell r="AS305">
            <v>11.59</v>
          </cell>
          <cell r="AT305">
            <v>11.59</v>
          </cell>
          <cell r="AU305">
            <v>1.641643059490085</v>
          </cell>
          <cell r="AV305">
            <v>1.4795990372377552</v>
          </cell>
          <cell r="AW305"/>
          <cell r="AX305">
            <v>8544700000</v>
          </cell>
          <cell r="AZ305">
            <v>7.2529364570478201</v>
          </cell>
          <cell r="BA305">
            <v>4.3517618742286919</v>
          </cell>
          <cell r="BB305">
            <v>3.62646822852391</v>
          </cell>
          <cell r="BC305">
            <v>2.9011745828191282</v>
          </cell>
        </row>
        <row r="306">
          <cell r="I306" t="str">
            <v>KCDOM3SCLC5MEF</v>
          </cell>
          <cell r="J306" t="str">
            <v>U0901008</v>
          </cell>
          <cell r="K306" t="str">
            <v>SC/LC OM3 DUPLEX OPTICAL PATCH CORD 5M ECO FRIENDLY BAG</v>
          </cell>
          <cell r="L306" t="str">
            <v>JARRETIERE OPTIQUE DUPLEX SC/LC OM3 5M SAC ÉCOLOGIQUE</v>
          </cell>
          <cell r="M306"/>
          <cell r="N306" t="str">
            <v>China</v>
          </cell>
          <cell r="O306"/>
          <cell r="P306" t="str">
            <v>1 pc eco friendly bag</v>
          </cell>
          <cell r="Q306" t="str">
            <v>2km per cable</v>
          </cell>
          <cell r="R306">
            <v>1440</v>
          </cell>
          <cell r="S306" t="e">
            <v>#N/A</v>
          </cell>
          <cell r="T306">
            <v>8544700000</v>
          </cell>
          <cell r="U306">
            <v>0</v>
          </cell>
          <cell r="V306">
            <v>30</v>
          </cell>
          <cell r="W306">
            <v>45</v>
          </cell>
          <cell r="X306">
            <v>55</v>
          </cell>
          <cell r="Y306" t="str">
            <v>T/T 60 days</v>
          </cell>
          <cell r="Z306">
            <v>3.209622189792162</v>
          </cell>
          <cell r="AA306">
            <v>2.5401236468640098</v>
          </cell>
          <cell r="AB306">
            <v>0.1</v>
          </cell>
          <cell r="AC306">
            <v>0.1</v>
          </cell>
          <cell r="AD306">
            <v>0.32</v>
          </cell>
          <cell r="AE306" t="str">
            <v>C</v>
          </cell>
          <cell r="AF306">
            <v>2.5401236468640098</v>
          </cell>
          <cell r="AG306">
            <v>0.32000000000000006</v>
          </cell>
          <cell r="AH306">
            <v>2.52</v>
          </cell>
          <cell r="AI306">
            <v>2.1183506452628267</v>
          </cell>
          <cell r="AJ306">
            <v>1.9192045331861405</v>
          </cell>
          <cell r="AK306">
            <v>0.34000000000000008</v>
          </cell>
          <cell r="AL306">
            <v>0.24444444444444458</v>
          </cell>
          <cell r="AM306"/>
          <cell r="AN306" t="str">
            <v>OTRANS</v>
          </cell>
          <cell r="AO306"/>
          <cell r="AP306"/>
          <cell r="AQ306"/>
          <cell r="AR306"/>
          <cell r="AS306">
            <v>13.46</v>
          </cell>
          <cell r="AT306">
            <v>13.46</v>
          </cell>
          <cell r="AU306">
            <v>1.9065155807365441</v>
          </cell>
          <cell r="AV306">
            <v>1.7272840798675264</v>
          </cell>
          <cell r="AW306"/>
          <cell r="AX306">
            <v>8544700000</v>
          </cell>
          <cell r="AZ306">
            <v>8.4670788228800333</v>
          </cell>
          <cell r="BA306">
            <v>5.0802472937280196</v>
          </cell>
          <cell r="BB306">
            <v>4.2335394114400167</v>
          </cell>
          <cell r="BC306">
            <v>3.3868315291520137</v>
          </cell>
        </row>
        <row r="307">
          <cell r="I307" t="str">
            <v>KCDOM3SCLC10MEF</v>
          </cell>
          <cell r="J307" t="str">
            <v/>
          </cell>
          <cell r="K307" t="str">
            <v>SC/LC OM3 DUPLEX OPTICAL PATCH CORD 10M ECO FRIENDLY BAG</v>
          </cell>
          <cell r="L307" t="str">
            <v>JARRETIERE OPTIQUE DUPLEX SC/LC OM3 10M SAC ÉCOLOGIQUE</v>
          </cell>
          <cell r="M307"/>
          <cell r="N307" t="str">
            <v>China</v>
          </cell>
          <cell r="O307"/>
          <cell r="P307" t="str">
            <v>1 pc eco friendly bag</v>
          </cell>
          <cell r="Q307" t="str">
            <v>2km per cable</v>
          </cell>
          <cell r="R307">
            <v>720</v>
          </cell>
          <cell r="S307" t="e">
            <v>#N/A</v>
          </cell>
          <cell r="T307">
            <v>8544700000</v>
          </cell>
          <cell r="U307">
            <v>0</v>
          </cell>
          <cell r="V307">
            <v>30</v>
          </cell>
          <cell r="W307">
            <v>45</v>
          </cell>
          <cell r="X307">
            <v>55</v>
          </cell>
          <cell r="Y307" t="str">
            <v>T/T 60 days</v>
          </cell>
          <cell r="Z307">
            <v>4.6928205568432197</v>
          </cell>
          <cell r="AA307">
            <v>3.7688716534361832</v>
          </cell>
          <cell r="AB307">
            <v>0.1</v>
          </cell>
          <cell r="AC307">
            <v>0.1</v>
          </cell>
          <cell r="AD307">
            <v>0.32</v>
          </cell>
          <cell r="AE307" t="str">
            <v>C</v>
          </cell>
          <cell r="AF307">
            <v>3.7688716534361832</v>
          </cell>
          <cell r="AG307">
            <v>0.32000000000000006</v>
          </cell>
          <cell r="AH307">
            <v>3.74</v>
          </cell>
          <cell r="AI307">
            <v>3.0972615675165249</v>
          </cell>
          <cell r="AJ307">
            <v>2.8475919159295602</v>
          </cell>
          <cell r="AK307">
            <v>0.33999999999999997</v>
          </cell>
          <cell r="AL307">
            <v>0.24444444444444458</v>
          </cell>
          <cell r="AM307"/>
          <cell r="AN307" t="str">
            <v>OTRANS</v>
          </cell>
          <cell r="AO307"/>
          <cell r="AP307"/>
          <cell r="AQ307"/>
          <cell r="AR307"/>
          <cell r="AS307">
            <v>19.68</v>
          </cell>
          <cell r="AT307">
            <v>19.68</v>
          </cell>
          <cell r="AU307">
            <v>2.7875354107648724</v>
          </cell>
          <cell r="AV307">
            <v>2.5628327243366043</v>
          </cell>
          <cell r="AW307"/>
          <cell r="AX307">
            <v>8544700000</v>
          </cell>
          <cell r="AZ307">
            <v>12.562905511453945</v>
          </cell>
          <cell r="BA307">
            <v>7.5377433068723665</v>
          </cell>
          <cell r="BB307">
            <v>6.2814527557269724</v>
          </cell>
          <cell r="BC307">
            <v>5.0251622045815783</v>
          </cell>
        </row>
        <row r="308">
          <cell r="I308" t="str">
            <v>KCDOM3SCLC15MEF</v>
          </cell>
          <cell r="J308" t="str">
            <v/>
          </cell>
          <cell r="K308" t="str">
            <v>SC/LC OM3 DUPLEX OPTICAL PATCH CORD 15M ECO FRIENDLY BAG</v>
          </cell>
          <cell r="L308" t="str">
            <v>JARRETIERE OPTIQUE DUPLEX SC/LC OM3 15M SAC ÉCOLOGIQUE</v>
          </cell>
          <cell r="M308"/>
          <cell r="N308" t="str">
            <v>China</v>
          </cell>
          <cell r="O308"/>
          <cell r="P308" t="str">
            <v>1 pc eco friendly bag</v>
          </cell>
          <cell r="Q308" t="str">
            <v>2km per cable</v>
          </cell>
          <cell r="R308">
            <v>480</v>
          </cell>
          <cell r="S308" t="e">
            <v>#N/A</v>
          </cell>
          <cell r="T308">
            <v>8544700000</v>
          </cell>
          <cell r="U308">
            <v>0</v>
          </cell>
          <cell r="V308">
            <v>30</v>
          </cell>
          <cell r="W308">
            <v>45</v>
          </cell>
          <cell r="X308">
            <v>55</v>
          </cell>
          <cell r="Y308" t="str">
            <v>T/T 60 days</v>
          </cell>
          <cell r="Z308">
            <v>6.0281759998473889</v>
          </cell>
          <cell r="AA308">
            <v>4.8853195361159623</v>
          </cell>
          <cell r="AB308">
            <v>0.1</v>
          </cell>
          <cell r="AC308">
            <v>0.1</v>
          </cell>
          <cell r="AD308">
            <v>0.32</v>
          </cell>
          <cell r="AE308" t="str">
            <v>C</v>
          </cell>
          <cell r="AF308">
            <v>4.8853195361159623</v>
          </cell>
          <cell r="AG308">
            <v>0.32000000000000006</v>
          </cell>
          <cell r="AH308">
            <v>4.8499999999999996</v>
          </cell>
          <cell r="AI308">
            <v>3.9785961598992761</v>
          </cell>
          <cell r="AJ308">
            <v>3.6911303161765043</v>
          </cell>
          <cell r="AK308">
            <v>0.34000000000000008</v>
          </cell>
          <cell r="AL308">
            <v>0.24444444444444458</v>
          </cell>
          <cell r="AM308"/>
          <cell r="AN308" t="str">
            <v>OTRANS</v>
          </cell>
          <cell r="AO308"/>
          <cell r="AP308"/>
          <cell r="AQ308"/>
          <cell r="AR308"/>
          <cell r="AS308">
            <v>25.28</v>
          </cell>
          <cell r="AT308">
            <v>25.28</v>
          </cell>
          <cell r="AU308">
            <v>3.5807365439093486</v>
          </cell>
          <cell r="AV308">
            <v>3.322017284558854</v>
          </cell>
          <cell r="AW308"/>
          <cell r="AX308">
            <v>8544700000</v>
          </cell>
          <cell r="AZ308">
            <v>16.284398453719874</v>
          </cell>
          <cell r="BA308">
            <v>9.7706390722319245</v>
          </cell>
          <cell r="BB308">
            <v>8.1421992268599368</v>
          </cell>
          <cell r="BC308">
            <v>6.51375938148795</v>
          </cell>
        </row>
        <row r="309">
          <cell r="I309" t="str">
            <v>KCDOM3LCLC1MEF</v>
          </cell>
          <cell r="J309" t="str">
            <v>U0901001</v>
          </cell>
          <cell r="K309" t="str">
            <v>LC/LC OM3 DUPLEX OPTICAL PATCH CORD 1M ECO FRIENDLY BAG</v>
          </cell>
          <cell r="L309" t="str">
            <v>JARRETIERE OPTIQUE DUPLEX LC/LC OM3 1M SAC ÉCOLOGIQUE</v>
          </cell>
          <cell r="M309"/>
          <cell r="N309" t="str">
            <v>China</v>
          </cell>
          <cell r="O309"/>
          <cell r="P309" t="str">
            <v>1 pc eco friendly bag</v>
          </cell>
          <cell r="Q309" t="str">
            <v>2km per cable</v>
          </cell>
          <cell r="R309">
            <v>2160</v>
          </cell>
          <cell r="S309" t="str">
            <v>4897108884054</v>
          </cell>
          <cell r="T309">
            <v>8544700000</v>
          </cell>
          <cell r="U309">
            <v>0</v>
          </cell>
          <cell r="V309">
            <v>30</v>
          </cell>
          <cell r="W309">
            <v>45</v>
          </cell>
          <cell r="X309">
            <v>55</v>
          </cell>
          <cell r="Y309" t="str">
            <v>T/T 60 days</v>
          </cell>
          <cell r="Z309">
            <v>2.3034881391821904</v>
          </cell>
          <cell r="AA309">
            <v>1.8177911706073682</v>
          </cell>
          <cell r="AB309">
            <v>0.1</v>
          </cell>
          <cell r="AC309">
            <v>0.1</v>
          </cell>
          <cell r="AD309">
            <v>0.32</v>
          </cell>
          <cell r="AE309" t="str">
            <v>C</v>
          </cell>
          <cell r="AF309">
            <v>1.8177911706073682</v>
          </cell>
          <cell r="AG309">
            <v>0.32000000000000006</v>
          </cell>
          <cell r="AH309">
            <v>1.8</v>
          </cell>
          <cell r="AI309">
            <v>1.5203021718602456</v>
          </cell>
          <cell r="AJ309">
            <v>1.3734422177922336</v>
          </cell>
          <cell r="AK309">
            <v>0.33999999999999997</v>
          </cell>
          <cell r="AL309">
            <v>0.24444444444444446</v>
          </cell>
          <cell r="AM309"/>
          <cell r="AN309" t="str">
            <v>OTRANS</v>
          </cell>
          <cell r="AO309"/>
          <cell r="AP309"/>
          <cell r="AQ309"/>
          <cell r="AR309"/>
          <cell r="AS309">
            <v>9.66</v>
          </cell>
          <cell r="AT309">
            <v>9.66</v>
          </cell>
          <cell r="AU309">
            <v>1.368271954674221</v>
          </cell>
          <cell r="AV309">
            <v>1.2360979960130103</v>
          </cell>
          <cell r="AW309"/>
          <cell r="AX309">
            <v>8544700000</v>
          </cell>
          <cell r="AZ309">
            <v>6.0593039020245607</v>
          </cell>
          <cell r="BA309">
            <v>3.6355823412147363</v>
          </cell>
          <cell r="BB309">
            <v>3.0296519510122804</v>
          </cell>
          <cell r="BC309">
            <v>2.4237215608098244</v>
          </cell>
        </row>
        <row r="310">
          <cell r="I310" t="str">
            <v>KCDOM3LCLC2MEF</v>
          </cell>
          <cell r="J310" t="str">
            <v>U0901002</v>
          </cell>
          <cell r="K310" t="str">
            <v>LC/LC OM3 DUPLEX OPTICAL PATCH CORD 2M ECO FRIENDLY BAG</v>
          </cell>
          <cell r="L310" t="str">
            <v>JARRETIERE OPTIQUE DUPLEX LC/LC OM3 2M SAC ÉCOLOGIQUE</v>
          </cell>
          <cell r="M310"/>
          <cell r="N310" t="str">
            <v>China</v>
          </cell>
          <cell r="O310"/>
          <cell r="P310" t="str">
            <v>1 pc eco friendly bag</v>
          </cell>
          <cell r="Q310" t="str">
            <v>2km per cable</v>
          </cell>
          <cell r="R310">
            <v>1920</v>
          </cell>
          <cell r="S310" t="e">
            <v>#N/A</v>
          </cell>
          <cell r="T310">
            <v>8544700000</v>
          </cell>
          <cell r="U310">
            <v>0</v>
          </cell>
          <cell r="V310">
            <v>30</v>
          </cell>
          <cell r="W310">
            <v>45</v>
          </cell>
          <cell r="X310">
            <v>55</v>
          </cell>
          <cell r="Y310" t="str">
            <v>T/T 60 days</v>
          </cell>
          <cell r="Z310">
            <v>2.5347907784168413</v>
          </cell>
          <cell r="AA310">
            <v>2.0019968743132188</v>
          </cell>
          <cell r="AB310">
            <v>0.1</v>
          </cell>
          <cell r="AC310">
            <v>0.1</v>
          </cell>
          <cell r="AD310">
            <v>0.32</v>
          </cell>
          <cell r="AE310" t="str">
            <v>C</v>
          </cell>
          <cell r="AF310">
            <v>2.0019968743132188</v>
          </cell>
          <cell r="AG310">
            <v>0.32000000000000006</v>
          </cell>
          <cell r="AH310">
            <v>1.99</v>
          </cell>
          <cell r="AI310">
            <v>1.672961913755115</v>
          </cell>
          <cell r="AJ310">
            <v>1.5126198605922094</v>
          </cell>
          <cell r="AK310">
            <v>0.34000000000000008</v>
          </cell>
          <cell r="AL310">
            <v>0.24444444444444458</v>
          </cell>
          <cell r="AM310"/>
          <cell r="AN310" t="str">
            <v>OTRANS</v>
          </cell>
          <cell r="AO310"/>
          <cell r="AP310"/>
          <cell r="AQ310"/>
          <cell r="AR310"/>
          <cell r="AS310">
            <v>10.63</v>
          </cell>
          <cell r="AT310">
            <v>10.63</v>
          </cell>
          <cell r="AU310">
            <v>1.5056657223796035</v>
          </cell>
          <cell r="AV310">
            <v>1.3613578745329886</v>
          </cell>
          <cell r="AW310"/>
          <cell r="AX310">
            <v>8544700000</v>
          </cell>
          <cell r="AZ310">
            <v>6.6733229143773967</v>
          </cell>
          <cell r="BA310">
            <v>4.0039937486264376</v>
          </cell>
          <cell r="BB310">
            <v>3.3366614571886983</v>
          </cell>
          <cell r="BC310">
            <v>2.669329165750959</v>
          </cell>
        </row>
        <row r="311">
          <cell r="I311" t="str">
            <v>KCDOM3LCLC3MEF</v>
          </cell>
          <cell r="J311" t="str">
            <v>U0901003</v>
          </cell>
          <cell r="K311" t="str">
            <v>LC/LC OM3 DUPLEX OPTICAL PATCH CORD 3M ECO FRIENDLY BAG</v>
          </cell>
          <cell r="L311" t="str">
            <v>JARRETIERE OPTIQUE DUPLEX LC/LC OM3 3M SAC ÉCOLOGIQUE</v>
          </cell>
          <cell r="M311"/>
          <cell r="N311" t="str">
            <v>China</v>
          </cell>
          <cell r="O311"/>
          <cell r="P311" t="str">
            <v>1 pc eco friendly bag</v>
          </cell>
          <cell r="Q311" t="str">
            <v>2km per cable</v>
          </cell>
          <cell r="R311">
            <v>1920</v>
          </cell>
          <cell r="S311" t="str">
            <v>4897108884061</v>
          </cell>
          <cell r="T311">
            <v>8544700000</v>
          </cell>
          <cell r="U311">
            <v>0</v>
          </cell>
          <cell r="V311">
            <v>30</v>
          </cell>
          <cell r="W311">
            <v>45</v>
          </cell>
          <cell r="X311">
            <v>55</v>
          </cell>
          <cell r="Y311" t="str">
            <v>T/T 60 days</v>
          </cell>
          <cell r="Z311">
            <v>2.7637088543604129</v>
          </cell>
          <cell r="AA311">
            <v>2.1758809371143459</v>
          </cell>
          <cell r="AB311">
            <v>0.1</v>
          </cell>
          <cell r="AC311">
            <v>0.1</v>
          </cell>
          <cell r="AD311">
            <v>0.32</v>
          </cell>
          <cell r="AE311" t="str">
            <v>C</v>
          </cell>
          <cell r="AF311">
            <v>2.1758809371143459</v>
          </cell>
          <cell r="AG311">
            <v>0.32000000000000006</v>
          </cell>
          <cell r="AH311">
            <v>2.16</v>
          </cell>
          <cell r="AI311">
            <v>1.8240478438778722</v>
          </cell>
          <cell r="AJ311">
            <v>1.6439989302641724</v>
          </cell>
          <cell r="AK311">
            <v>0.34000000000000008</v>
          </cell>
          <cell r="AL311">
            <v>0.24444444444444446</v>
          </cell>
          <cell r="AM311"/>
          <cell r="AN311" t="str">
            <v>OTRANS</v>
          </cell>
          <cell r="AO311"/>
          <cell r="AP311"/>
          <cell r="AQ311"/>
          <cell r="AR311"/>
          <cell r="AS311">
            <v>11.59</v>
          </cell>
          <cell r="AT311">
            <v>11.59</v>
          </cell>
          <cell r="AU311">
            <v>1.641643059490085</v>
          </cell>
          <cell r="AV311">
            <v>1.4795990372377552</v>
          </cell>
          <cell r="AW311"/>
          <cell r="AX311">
            <v>8544700000</v>
          </cell>
          <cell r="AZ311">
            <v>7.2529364570478201</v>
          </cell>
          <cell r="BA311">
            <v>4.3517618742286919</v>
          </cell>
          <cell r="BB311">
            <v>3.62646822852391</v>
          </cell>
          <cell r="BC311">
            <v>2.9011745828191282</v>
          </cell>
        </row>
        <row r="312">
          <cell r="I312" t="str">
            <v>KCDOM3LCLC5MEF</v>
          </cell>
          <cell r="J312" t="str">
            <v>U0901004</v>
          </cell>
          <cell r="K312" t="str">
            <v>LC/LC OM3 DUPLEX OPTICAL PATCH CORD 5M ECO FRIENDLY BAG</v>
          </cell>
          <cell r="L312" t="str">
            <v>JARRETIERE OPTIQUE DUPLEX LC/LC OM3 5M SAC ÉCOLOGIQUE</v>
          </cell>
          <cell r="M312"/>
          <cell r="N312" t="str">
            <v>China</v>
          </cell>
          <cell r="O312"/>
          <cell r="P312" t="str">
            <v>1 pc eco friendly bag</v>
          </cell>
          <cell r="Q312" t="str">
            <v>2km per cable</v>
          </cell>
          <cell r="R312">
            <v>1440</v>
          </cell>
          <cell r="S312" t="str">
            <v>4897108884078</v>
          </cell>
          <cell r="T312">
            <v>8544700000</v>
          </cell>
          <cell r="U312">
            <v>0</v>
          </cell>
          <cell r="V312">
            <v>30</v>
          </cell>
          <cell r="W312">
            <v>45</v>
          </cell>
          <cell r="X312">
            <v>55</v>
          </cell>
          <cell r="Y312" t="str">
            <v>T/T 60 days</v>
          </cell>
          <cell r="Z312">
            <v>3.209622189792162</v>
          </cell>
          <cell r="AA312">
            <v>2.5401236468640098</v>
          </cell>
          <cell r="AB312">
            <v>0.1</v>
          </cell>
          <cell r="AC312">
            <v>0.1</v>
          </cell>
          <cell r="AD312">
            <v>0.32</v>
          </cell>
          <cell r="AE312" t="str">
            <v>C</v>
          </cell>
          <cell r="AF312">
            <v>2.5401236468640098</v>
          </cell>
          <cell r="AG312">
            <v>0.32000000000000006</v>
          </cell>
          <cell r="AH312">
            <v>2.52</v>
          </cell>
          <cell r="AI312">
            <v>2.1183506452628267</v>
          </cell>
          <cell r="AJ312">
            <v>1.9192045331861405</v>
          </cell>
          <cell r="AK312">
            <v>0.34000000000000008</v>
          </cell>
          <cell r="AL312">
            <v>0.24444444444444458</v>
          </cell>
          <cell r="AM312"/>
          <cell r="AN312" t="str">
            <v>OTRANS</v>
          </cell>
          <cell r="AO312"/>
          <cell r="AP312"/>
          <cell r="AQ312"/>
          <cell r="AR312"/>
          <cell r="AS312">
            <v>13.46</v>
          </cell>
          <cell r="AT312">
            <v>13.46</v>
          </cell>
          <cell r="AU312">
            <v>1.9065155807365441</v>
          </cell>
          <cell r="AV312">
            <v>1.7272840798675264</v>
          </cell>
          <cell r="AW312"/>
          <cell r="AX312">
            <v>8544700000</v>
          </cell>
          <cell r="AZ312">
            <v>8.4670788228800333</v>
          </cell>
          <cell r="BA312">
            <v>5.0802472937280196</v>
          </cell>
          <cell r="BB312">
            <v>4.2335394114400167</v>
          </cell>
          <cell r="BC312">
            <v>3.3868315291520137</v>
          </cell>
        </row>
        <row r="313">
          <cell r="I313" t="str">
            <v>KCDOM3LCLC10MEF</v>
          </cell>
          <cell r="J313" t="str">
            <v/>
          </cell>
          <cell r="K313" t="str">
            <v>LC/LC OM3 DUPLEX OPTICAL PATCH CORD 10M ECO FRIENDLY BAG</v>
          </cell>
          <cell r="L313" t="str">
            <v>JARRETIERE OPTIQUE DUPLEX LC/LC OM3 10M SAC ÉCOLOGIQUE</v>
          </cell>
          <cell r="M313"/>
          <cell r="N313" t="str">
            <v>China</v>
          </cell>
          <cell r="O313"/>
          <cell r="P313" t="str">
            <v>1 pc eco friendly bag</v>
          </cell>
          <cell r="Q313" t="str">
            <v>2km per cable</v>
          </cell>
          <cell r="R313">
            <v>720</v>
          </cell>
          <cell r="S313" t="e">
            <v>#N/A</v>
          </cell>
          <cell r="T313">
            <v>8544700000</v>
          </cell>
          <cell r="U313">
            <v>0</v>
          </cell>
          <cell r="V313">
            <v>30</v>
          </cell>
          <cell r="W313">
            <v>45</v>
          </cell>
          <cell r="X313">
            <v>55</v>
          </cell>
          <cell r="Y313" t="str">
            <v>T/T 60 days</v>
          </cell>
          <cell r="Z313">
            <v>4.6928205568432197</v>
          </cell>
          <cell r="AA313">
            <v>3.7688716534361832</v>
          </cell>
          <cell r="AB313">
            <v>0.1</v>
          </cell>
          <cell r="AC313">
            <v>0.1</v>
          </cell>
          <cell r="AD313">
            <v>0.32</v>
          </cell>
          <cell r="AE313" t="str">
            <v>C</v>
          </cell>
          <cell r="AF313">
            <v>3.7688716534361832</v>
          </cell>
          <cell r="AG313">
            <v>0.32000000000000006</v>
          </cell>
          <cell r="AH313">
            <v>3.74</v>
          </cell>
          <cell r="AI313">
            <v>3.0972615675165249</v>
          </cell>
          <cell r="AJ313">
            <v>2.8475919159295602</v>
          </cell>
          <cell r="AK313">
            <v>0.33999999999999997</v>
          </cell>
          <cell r="AL313">
            <v>0.24444444444444458</v>
          </cell>
          <cell r="AM313"/>
          <cell r="AN313" t="str">
            <v>OTRANS</v>
          </cell>
          <cell r="AO313"/>
          <cell r="AP313"/>
          <cell r="AQ313"/>
          <cell r="AR313"/>
          <cell r="AS313">
            <v>19.68</v>
          </cell>
          <cell r="AT313">
            <v>19.68</v>
          </cell>
          <cell r="AU313">
            <v>2.7875354107648724</v>
          </cell>
          <cell r="AV313">
            <v>2.5628327243366043</v>
          </cell>
          <cell r="AW313"/>
          <cell r="AX313">
            <v>8544700000</v>
          </cell>
          <cell r="AZ313">
            <v>12.562905511453945</v>
          </cell>
          <cell r="BA313">
            <v>7.5377433068723665</v>
          </cell>
          <cell r="BB313">
            <v>6.2814527557269724</v>
          </cell>
          <cell r="BC313">
            <v>5.0251622045815783</v>
          </cell>
        </row>
        <row r="314">
          <cell r="I314" t="str">
            <v>KCDOM3LCLC15MEF</v>
          </cell>
          <cell r="J314" t="str">
            <v/>
          </cell>
          <cell r="K314" t="str">
            <v>LC/LC OM3 DUPLEX OPTICAL PATCH CORD 15M ECO FRIENDLY BAG</v>
          </cell>
          <cell r="L314" t="str">
            <v>JARRETIERE OPTIQUE DUPLEX LC/LC OM3 15M SAC ÉCOLOGIQUE</v>
          </cell>
          <cell r="M314"/>
          <cell r="N314" t="str">
            <v>China</v>
          </cell>
          <cell r="O314"/>
          <cell r="P314" t="str">
            <v>1 pc eco friendly bag</v>
          </cell>
          <cell r="Q314" t="str">
            <v>2km per cable</v>
          </cell>
          <cell r="R314">
            <v>480</v>
          </cell>
          <cell r="S314" t="e">
            <v>#N/A</v>
          </cell>
          <cell r="T314">
            <v>8544700000</v>
          </cell>
          <cell r="U314">
            <v>0</v>
          </cell>
          <cell r="V314">
            <v>30</v>
          </cell>
          <cell r="W314">
            <v>45</v>
          </cell>
          <cell r="X314">
            <v>55</v>
          </cell>
          <cell r="Y314" t="str">
            <v>T/T 60 days</v>
          </cell>
          <cell r="Z314">
            <v>6.0281759998473889</v>
          </cell>
          <cell r="AA314">
            <v>4.8853195361159623</v>
          </cell>
          <cell r="AB314">
            <v>0.1</v>
          </cell>
          <cell r="AC314">
            <v>0.1</v>
          </cell>
          <cell r="AD314">
            <v>0.32</v>
          </cell>
          <cell r="AE314" t="str">
            <v>C</v>
          </cell>
          <cell r="AF314">
            <v>4.8853195361159623</v>
          </cell>
          <cell r="AG314">
            <v>0.32000000000000006</v>
          </cell>
          <cell r="AH314">
            <v>4.8499999999999996</v>
          </cell>
          <cell r="AI314">
            <v>3.9785961598992761</v>
          </cell>
          <cell r="AJ314">
            <v>3.6911303161765043</v>
          </cell>
          <cell r="AK314">
            <v>0.34000000000000008</v>
          </cell>
          <cell r="AL314">
            <v>0.24444444444444458</v>
          </cell>
          <cell r="AM314"/>
          <cell r="AN314" t="str">
            <v>OTRANS</v>
          </cell>
          <cell r="AO314"/>
          <cell r="AP314"/>
          <cell r="AQ314"/>
          <cell r="AR314"/>
          <cell r="AS314">
            <v>25.28</v>
          </cell>
          <cell r="AT314">
            <v>25.28</v>
          </cell>
          <cell r="AU314">
            <v>3.5807365439093486</v>
          </cell>
          <cell r="AV314">
            <v>3.322017284558854</v>
          </cell>
          <cell r="AW314"/>
          <cell r="AX314">
            <v>8544700000</v>
          </cell>
          <cell r="AZ314">
            <v>16.284398453719874</v>
          </cell>
          <cell r="BA314">
            <v>9.7706390722319245</v>
          </cell>
          <cell r="BB314">
            <v>8.1421992268599368</v>
          </cell>
          <cell r="BC314">
            <v>6.51375938148795</v>
          </cell>
        </row>
        <row r="315">
          <cell r="I315" t="str">
            <v>KCDOM4SCSC1MEF</v>
          </cell>
          <cell r="J315" t="str">
            <v>U0902009</v>
          </cell>
          <cell r="K315" t="str">
            <v>SC/SC OM4 DUPLEX OPTICAL PATCH CORD 1M ECO FRIENDLY BAG</v>
          </cell>
          <cell r="L315" t="str">
            <v>JARRETIERE OPTIQUE DUPLEX SC/SC OM4 1M SAC ÉCOLOGIQUE</v>
          </cell>
          <cell r="M315"/>
          <cell r="N315" t="str">
            <v>China</v>
          </cell>
          <cell r="O315"/>
          <cell r="P315" t="str">
            <v>1 pc eco friendly bag</v>
          </cell>
          <cell r="Q315" t="str">
            <v>2km per cable</v>
          </cell>
          <cell r="R315">
            <v>2160</v>
          </cell>
          <cell r="S315" t="e">
            <v>#N/A</v>
          </cell>
          <cell r="T315">
            <v>8544700000</v>
          </cell>
          <cell r="U315">
            <v>0</v>
          </cell>
          <cell r="V315">
            <v>30</v>
          </cell>
          <cell r="W315">
            <v>45</v>
          </cell>
          <cell r="X315">
            <v>55</v>
          </cell>
          <cell r="Y315" t="str">
            <v>T/T 60 days</v>
          </cell>
          <cell r="Z315">
            <v>2.4680230062666326</v>
          </cell>
          <cell r="AA315">
            <v>1.9427703407456784</v>
          </cell>
          <cell r="AB315">
            <v>0.1</v>
          </cell>
          <cell r="AC315">
            <v>0.1</v>
          </cell>
          <cell r="AD315">
            <v>0.32</v>
          </cell>
          <cell r="AE315" t="str">
            <v>C</v>
          </cell>
          <cell r="AF315">
            <v>1.9427703407456784</v>
          </cell>
          <cell r="AG315">
            <v>0.32000000000000006</v>
          </cell>
          <cell r="AH315">
            <v>1.93</v>
          </cell>
          <cell r="AI315">
            <v>1.6288951841359773</v>
          </cell>
          <cell r="AJ315">
            <v>1.4678709241189569</v>
          </cell>
          <cell r="AK315">
            <v>0.34000000000000008</v>
          </cell>
          <cell r="AL315">
            <v>0.24444444444444446</v>
          </cell>
          <cell r="AM315"/>
          <cell r="AN315" t="str">
            <v>OTRANS</v>
          </cell>
          <cell r="AO315"/>
          <cell r="AP315"/>
          <cell r="AQ315"/>
          <cell r="AR315"/>
          <cell r="AS315">
            <v>10.35</v>
          </cell>
          <cell r="AT315">
            <v>10.35</v>
          </cell>
          <cell r="AU315">
            <v>1.4660056657223797</v>
          </cell>
          <cell r="AV315">
            <v>1.3210838317070612</v>
          </cell>
          <cell r="AW315"/>
          <cell r="AX315">
            <v>8544700000</v>
          </cell>
          <cell r="AZ315">
            <v>6.475901135818928</v>
          </cell>
          <cell r="BA315">
            <v>3.8855406814913565</v>
          </cell>
          <cell r="BB315">
            <v>3.237950567909464</v>
          </cell>
          <cell r="BC315">
            <v>2.5903604543275716</v>
          </cell>
        </row>
        <row r="316">
          <cell r="I316" t="str">
            <v>KCDOM4SCSC2MEF</v>
          </cell>
          <cell r="J316" t="str">
            <v>U0902010</v>
          </cell>
          <cell r="K316" t="str">
            <v>SC/SC OM4 DUPLEX OPTICAL PATCH CORD 2M ECO FRIENDLY BAG</v>
          </cell>
          <cell r="L316" t="str">
            <v>JARRETIERE OPTIQUE DUPLEX SC/SC OM4 2M SAC ÉCOLOGIQUE</v>
          </cell>
          <cell r="M316"/>
          <cell r="N316" t="str">
            <v>China</v>
          </cell>
          <cell r="O316"/>
          <cell r="P316" t="str">
            <v>1 pc eco friendly bag</v>
          </cell>
          <cell r="Q316" t="str">
            <v>2km per cable</v>
          </cell>
          <cell r="R316">
            <v>1920</v>
          </cell>
          <cell r="S316" t="e">
            <v>#N/A</v>
          </cell>
          <cell r="T316">
            <v>8544700000</v>
          </cell>
          <cell r="U316">
            <v>0</v>
          </cell>
          <cell r="V316">
            <v>30</v>
          </cell>
          <cell r="W316">
            <v>45</v>
          </cell>
          <cell r="X316">
            <v>55</v>
          </cell>
          <cell r="Y316" t="str">
            <v>T/T 60 days</v>
          </cell>
          <cell r="Z316">
            <v>2.847168569548173</v>
          </cell>
          <cell r="AA316">
            <v>2.2392761683439235</v>
          </cell>
          <cell r="AB316">
            <v>0.1</v>
          </cell>
          <cell r="AC316">
            <v>0.1</v>
          </cell>
          <cell r="AD316">
            <v>0.32</v>
          </cell>
          <cell r="AE316" t="str">
            <v>C</v>
          </cell>
          <cell r="AF316">
            <v>2.2392761683439235</v>
          </cell>
          <cell r="AG316">
            <v>0.32000000000000006</v>
          </cell>
          <cell r="AH316">
            <v>2.2200000000000002</v>
          </cell>
          <cell r="AI316">
            <v>1.8791312559017941</v>
          </cell>
          <cell r="AJ316">
            <v>1.6918975494154087</v>
          </cell>
          <cell r="AK316">
            <v>0.34000000000000008</v>
          </cell>
          <cell r="AL316">
            <v>0.24444444444444446</v>
          </cell>
          <cell r="AM316"/>
          <cell r="AN316" t="str">
            <v>OTRANS</v>
          </cell>
          <cell r="AO316"/>
          <cell r="AP316"/>
          <cell r="AQ316"/>
          <cell r="AR316"/>
          <cell r="AS316">
            <v>11.94</v>
          </cell>
          <cell r="AT316">
            <v>11.94</v>
          </cell>
          <cell r="AU316">
            <v>1.6912181303116147</v>
          </cell>
          <cell r="AV316">
            <v>1.5227077944738678</v>
          </cell>
          <cell r="AW316"/>
          <cell r="AX316">
            <v>8544700000</v>
          </cell>
          <cell r="AZ316">
            <v>7.4642538944797456</v>
          </cell>
          <cell r="BA316">
            <v>4.478552336687847</v>
          </cell>
          <cell r="BB316">
            <v>3.7321269472398728</v>
          </cell>
          <cell r="BC316">
            <v>2.9857015577918986</v>
          </cell>
        </row>
        <row r="317">
          <cell r="I317" t="str">
            <v>KCDOM4SCSC3MEF</v>
          </cell>
          <cell r="J317" t="str">
            <v>U0902011</v>
          </cell>
          <cell r="K317" t="str">
            <v>SC/SC OM4 DUPLEX OPTICAL PATCH CORD 3M ECO FRIENDLY BAG</v>
          </cell>
          <cell r="L317" t="str">
            <v>JARRETIERE OPTIQUE DUPLEX SC/SC OM4 3M SAC ÉCOLOGIQUE</v>
          </cell>
          <cell r="M317"/>
          <cell r="N317" t="str">
            <v>China</v>
          </cell>
          <cell r="O317"/>
          <cell r="P317" t="str">
            <v>1 pc eco friendly bag</v>
          </cell>
          <cell r="Q317" t="str">
            <v>2km per cable</v>
          </cell>
          <cell r="R317">
            <v>1920</v>
          </cell>
          <cell r="S317" t="e">
            <v>#N/A</v>
          </cell>
          <cell r="T317">
            <v>8544700000</v>
          </cell>
          <cell r="U317">
            <v>0</v>
          </cell>
          <cell r="V317">
            <v>30</v>
          </cell>
          <cell r="W317">
            <v>45</v>
          </cell>
          <cell r="X317">
            <v>55</v>
          </cell>
          <cell r="Y317" t="str">
            <v>T/T 60 days</v>
          </cell>
          <cell r="Z317">
            <v>3.2406215125761877</v>
          </cell>
          <cell r="AA317">
            <v>2.5381394012833614</v>
          </cell>
          <cell r="AB317">
            <v>0.1</v>
          </cell>
          <cell r="AC317">
            <v>0.1</v>
          </cell>
          <cell r="AD317">
            <v>0.32</v>
          </cell>
          <cell r="AE317" t="str">
            <v>C</v>
          </cell>
          <cell r="AF317">
            <v>2.5381394012833614</v>
          </cell>
          <cell r="AG317">
            <v>0.32000000000000006</v>
          </cell>
          <cell r="AH317">
            <v>2.52</v>
          </cell>
          <cell r="AI317">
            <v>2.1388101983002836</v>
          </cell>
          <cell r="AJ317">
            <v>1.917705325414095</v>
          </cell>
          <cell r="AK317">
            <v>0.34000000000000008</v>
          </cell>
          <cell r="AL317">
            <v>0.24444444444444458</v>
          </cell>
          <cell r="AM317"/>
          <cell r="AN317" t="str">
            <v>OTRANS</v>
          </cell>
          <cell r="AO317"/>
          <cell r="AP317"/>
          <cell r="AQ317"/>
          <cell r="AR317"/>
          <cell r="AS317">
            <v>13.59</v>
          </cell>
          <cell r="AT317">
            <v>13.59</v>
          </cell>
          <cell r="AU317">
            <v>1.9249291784702551</v>
          </cell>
          <cell r="AV317">
            <v>1.7259347928726856</v>
          </cell>
          <cell r="AW317"/>
          <cell r="AX317">
            <v>8544700000</v>
          </cell>
          <cell r="AZ317">
            <v>8.460464670944539</v>
          </cell>
          <cell r="BA317">
            <v>5.0762788025667236</v>
          </cell>
          <cell r="BB317">
            <v>4.2302323354722695</v>
          </cell>
          <cell r="BC317">
            <v>3.3841858683778159</v>
          </cell>
        </row>
        <row r="318">
          <cell r="I318" t="str">
            <v>KCDOM4SCSC5MEF</v>
          </cell>
          <cell r="J318" t="str">
            <v>U0902012</v>
          </cell>
          <cell r="K318" t="str">
            <v>SC/SC OM4 DUPLEX OPTICAL PATCH CORD 5M ECO FRIENDLY BAG</v>
          </cell>
          <cell r="L318" t="str">
            <v>JARRETIERE OPTIQUE DUPLEX SC/SC OM4 5M SAC ÉCOLOGIQUE</v>
          </cell>
          <cell r="M318"/>
          <cell r="N318" t="str">
            <v>China</v>
          </cell>
          <cell r="O318"/>
          <cell r="P318" t="str">
            <v>1 pc eco friendly bag</v>
          </cell>
          <cell r="Q318" t="str">
            <v>2km per cable</v>
          </cell>
          <cell r="R318">
            <v>1440</v>
          </cell>
          <cell r="S318" t="e">
            <v>#N/A</v>
          </cell>
          <cell r="T318">
            <v>8544700000</v>
          </cell>
          <cell r="U318">
            <v>0</v>
          </cell>
          <cell r="V318">
            <v>30</v>
          </cell>
          <cell r="W318">
            <v>45</v>
          </cell>
          <cell r="X318">
            <v>55</v>
          </cell>
          <cell r="Y318" t="str">
            <v>T/T 60 days</v>
          </cell>
          <cell r="Z318">
            <v>4.0156045821768211</v>
          </cell>
          <cell r="AA318">
            <v>3.1523404513096462</v>
          </cell>
          <cell r="AB318">
            <v>0.1</v>
          </cell>
          <cell r="AC318">
            <v>0.1</v>
          </cell>
          <cell r="AD318">
            <v>0.32</v>
          </cell>
          <cell r="AE318" t="str">
            <v>C</v>
          </cell>
          <cell r="AF318">
            <v>3.1523404513096462</v>
          </cell>
          <cell r="AG318">
            <v>0.32000000000000006</v>
          </cell>
          <cell r="AH318">
            <v>3.13</v>
          </cell>
          <cell r="AI318">
            <v>2.6502990242367015</v>
          </cell>
          <cell r="AJ318">
            <v>2.3817683409895101</v>
          </cell>
          <cell r="AK318">
            <v>0.34000000000000008</v>
          </cell>
          <cell r="AL318">
            <v>0.24444444444444458</v>
          </cell>
          <cell r="AM318"/>
          <cell r="AN318" t="str">
            <v>OTRANS</v>
          </cell>
          <cell r="AO318"/>
          <cell r="AP318"/>
          <cell r="AQ318"/>
          <cell r="AR318"/>
          <cell r="AS318">
            <v>16.84</v>
          </cell>
          <cell r="AT318">
            <v>16.84</v>
          </cell>
          <cell r="AU318">
            <v>2.3852691218130313</v>
          </cell>
          <cell r="AV318">
            <v>2.1435915068905591</v>
          </cell>
          <cell r="AW318"/>
          <cell r="AX318">
            <v>8544700000</v>
          </cell>
          <cell r="AZ318">
            <v>10.507801504365489</v>
          </cell>
          <cell r="BA318">
            <v>6.3046809026192934</v>
          </cell>
          <cell r="BB318">
            <v>5.2539007521827443</v>
          </cell>
          <cell r="BC318">
            <v>4.2031206017461953</v>
          </cell>
        </row>
        <row r="319">
          <cell r="I319" t="str">
            <v>KCDOM4SCSC10MEF</v>
          </cell>
          <cell r="J319" t="str">
            <v/>
          </cell>
          <cell r="K319" t="str">
            <v>SC/SC OM4 DUPLEX OPTICAL PATCH CORD 10M ECO FRIENDLY BAG</v>
          </cell>
          <cell r="L319" t="str">
            <v>JARRETIERE OPTIQUE DUPLEX SC/SC OM4 10M SAC ÉCOLOGIQUE</v>
          </cell>
          <cell r="M319"/>
          <cell r="N319" t="str">
            <v>China</v>
          </cell>
          <cell r="O319"/>
          <cell r="P319" t="str">
            <v>1 pc eco friendly bag</v>
          </cell>
          <cell r="Q319" t="str">
            <v>2km per cable</v>
          </cell>
          <cell r="R319">
            <v>720</v>
          </cell>
          <cell r="S319" t="e">
            <v>#N/A</v>
          </cell>
          <cell r="T319">
            <v>8544700000</v>
          </cell>
          <cell r="U319">
            <v>0</v>
          </cell>
          <cell r="V319">
            <v>30</v>
          </cell>
          <cell r="W319">
            <v>45</v>
          </cell>
          <cell r="X319">
            <v>55</v>
          </cell>
          <cell r="Y319" t="str">
            <v>T/T 60 days</v>
          </cell>
          <cell r="Z319">
            <v>6.0758672656689674</v>
          </cell>
          <cell r="AA319">
            <v>4.8194211995263281</v>
          </cell>
          <cell r="AB319">
            <v>0.1</v>
          </cell>
          <cell r="AC319">
            <v>0.1</v>
          </cell>
          <cell r="AD319">
            <v>0.32</v>
          </cell>
          <cell r="AE319" t="str">
            <v>C</v>
          </cell>
          <cell r="AF319">
            <v>4.8194211995263281</v>
          </cell>
          <cell r="AG319">
            <v>0.32000000000000006</v>
          </cell>
          <cell r="AH319">
            <v>4.78</v>
          </cell>
          <cell r="AI319">
            <v>4.0100723953415178</v>
          </cell>
          <cell r="AJ319">
            <v>3.6413404618643366</v>
          </cell>
          <cell r="AK319">
            <v>0.34000000000000008</v>
          </cell>
          <cell r="AL319">
            <v>0.24444444444444446</v>
          </cell>
          <cell r="AM319"/>
          <cell r="AN319" t="str">
            <v>OTRANS</v>
          </cell>
          <cell r="AO319"/>
          <cell r="AP319"/>
          <cell r="AQ319"/>
          <cell r="AR319"/>
          <cell r="AS319">
            <v>25.48</v>
          </cell>
          <cell r="AT319">
            <v>25.48</v>
          </cell>
          <cell r="AU319">
            <v>3.6090651558073659</v>
          </cell>
          <cell r="AV319">
            <v>3.2772064156779028</v>
          </cell>
          <cell r="AW319"/>
          <cell r="AX319">
            <v>8544700000</v>
          </cell>
          <cell r="AZ319">
            <v>16.064737331754429</v>
          </cell>
          <cell r="BA319">
            <v>9.6388423990526579</v>
          </cell>
          <cell r="BB319">
            <v>8.0323686658772147</v>
          </cell>
          <cell r="BC319">
            <v>6.4258949327017723</v>
          </cell>
        </row>
        <row r="320">
          <cell r="I320" t="str">
            <v>KCDOM4SCSC15MEF</v>
          </cell>
          <cell r="J320" t="str">
            <v/>
          </cell>
          <cell r="K320" t="str">
            <v>SC/SC OM4 DUPLEX OPTICAL PATCH CORD 15M ECO FRIENDLY BAG</v>
          </cell>
          <cell r="L320" t="str">
            <v>JARRETIERE OPTIQUE DUPLEX SC/SC OM4 15M SAC ÉCOLOGIQUE</v>
          </cell>
          <cell r="M320"/>
          <cell r="N320" t="str">
            <v>China</v>
          </cell>
          <cell r="O320"/>
          <cell r="P320" t="str">
            <v>1 pc eco friendly bag</v>
          </cell>
          <cell r="Q320" t="str">
            <v>2km per cable</v>
          </cell>
          <cell r="R320">
            <v>480</v>
          </cell>
          <cell r="S320" t="e">
            <v>#N/A</v>
          </cell>
          <cell r="T320">
            <v>8544700000</v>
          </cell>
          <cell r="U320">
            <v>0</v>
          </cell>
          <cell r="V320">
            <v>30</v>
          </cell>
          <cell r="W320">
            <v>45</v>
          </cell>
          <cell r="X320">
            <v>55</v>
          </cell>
          <cell r="Y320" t="str">
            <v>T/T 60 days</v>
          </cell>
          <cell r="Z320">
            <v>8.1027460630860073</v>
          </cell>
          <cell r="AA320">
            <v>6.4611438552511791</v>
          </cell>
          <cell r="AB320">
            <v>0.1</v>
          </cell>
          <cell r="AC320">
            <v>0.1</v>
          </cell>
          <cell r="AD320">
            <v>0.32</v>
          </cell>
          <cell r="AE320" t="str">
            <v>C</v>
          </cell>
          <cell r="AF320">
            <v>6.4611438552511791</v>
          </cell>
          <cell r="AG320">
            <v>0.32000000000000006</v>
          </cell>
          <cell r="AH320">
            <v>6.41</v>
          </cell>
          <cell r="AI320">
            <v>5.3478124016367641</v>
          </cell>
          <cell r="AJ320">
            <v>4.881753135078668</v>
          </cell>
          <cell r="AK320">
            <v>0.34000000000000008</v>
          </cell>
          <cell r="AL320">
            <v>0.24444444444444458</v>
          </cell>
          <cell r="AM320"/>
          <cell r="AN320" t="str">
            <v>OTRANS</v>
          </cell>
          <cell r="AO320"/>
          <cell r="AP320"/>
          <cell r="AQ320"/>
          <cell r="AR320"/>
          <cell r="AS320">
            <v>33.979999999999997</v>
          </cell>
          <cell r="AT320">
            <v>33.979999999999997</v>
          </cell>
          <cell r="AU320">
            <v>4.8130311614730878</v>
          </cell>
          <cell r="AV320">
            <v>4.3935778215708012</v>
          </cell>
          <cell r="AW320"/>
          <cell r="AX320">
            <v>8544700000</v>
          </cell>
          <cell r="AZ320">
            <v>21.537146184170599</v>
          </cell>
          <cell r="BA320">
            <v>12.922287710502358</v>
          </cell>
          <cell r="BB320">
            <v>10.768573092085299</v>
          </cell>
          <cell r="BC320">
            <v>8.6148584736682405</v>
          </cell>
        </row>
        <row r="321">
          <cell r="I321" t="str">
            <v>KCDOM4SCLC1MEF</v>
          </cell>
          <cell r="J321" t="str">
            <v>U0902005</v>
          </cell>
          <cell r="K321" t="str">
            <v>SC/LC OM4 DUPLEX OPTICAL PATCH CORD 1M ECO FRIENDLY BAG</v>
          </cell>
          <cell r="L321" t="str">
            <v>JARRETIERE OPTIQUE DUPLEX SC/LC OM4 1M SAC ÉCOLOGIQUE</v>
          </cell>
          <cell r="M321"/>
          <cell r="N321" t="str">
            <v>China</v>
          </cell>
          <cell r="O321"/>
          <cell r="P321" t="str">
            <v>1 pc eco friendly bag</v>
          </cell>
          <cell r="Q321" t="str">
            <v>2km per cable</v>
          </cell>
          <cell r="R321">
            <v>2160</v>
          </cell>
          <cell r="S321" t="e">
            <v>#N/A</v>
          </cell>
          <cell r="T321">
            <v>8544700000</v>
          </cell>
          <cell r="U321">
            <v>0</v>
          </cell>
          <cell r="V321">
            <v>30</v>
          </cell>
          <cell r="W321">
            <v>45</v>
          </cell>
          <cell r="X321">
            <v>55</v>
          </cell>
          <cell r="Y321" t="str">
            <v>T/T 60 days</v>
          </cell>
          <cell r="Z321">
            <v>2.4680230062666326</v>
          </cell>
          <cell r="AA321">
            <v>1.9427703407456784</v>
          </cell>
          <cell r="AB321">
            <v>0.1</v>
          </cell>
          <cell r="AC321">
            <v>0.1</v>
          </cell>
          <cell r="AD321">
            <v>0.32</v>
          </cell>
          <cell r="AE321" t="str">
            <v>C</v>
          </cell>
          <cell r="AF321">
            <v>1.9427703407456784</v>
          </cell>
          <cell r="AG321">
            <v>0.32000000000000006</v>
          </cell>
          <cell r="AH321">
            <v>1.93</v>
          </cell>
          <cell r="AI321">
            <v>1.6288951841359773</v>
          </cell>
          <cell r="AJ321">
            <v>1.4678709241189569</v>
          </cell>
          <cell r="AK321">
            <v>0.34000000000000008</v>
          </cell>
          <cell r="AL321">
            <v>0.24444444444444446</v>
          </cell>
          <cell r="AM321"/>
          <cell r="AN321" t="str">
            <v>OTRANS</v>
          </cell>
          <cell r="AO321"/>
          <cell r="AP321"/>
          <cell r="AQ321"/>
          <cell r="AR321"/>
          <cell r="AS321">
            <v>10.35</v>
          </cell>
          <cell r="AT321">
            <v>10.35</v>
          </cell>
          <cell r="AU321">
            <v>1.4660056657223797</v>
          </cell>
          <cell r="AV321">
            <v>1.3210838317070612</v>
          </cell>
          <cell r="AW321"/>
          <cell r="AX321">
            <v>8544700000</v>
          </cell>
          <cell r="AZ321">
            <v>6.475901135818928</v>
          </cell>
          <cell r="BA321">
            <v>3.8855406814913565</v>
          </cell>
          <cell r="BB321">
            <v>3.237950567909464</v>
          </cell>
          <cell r="BC321">
            <v>2.5903604543275716</v>
          </cell>
        </row>
        <row r="322">
          <cell r="I322" t="str">
            <v>KCDOM4SCLC2MEF</v>
          </cell>
          <cell r="J322" t="str">
            <v>U0902006</v>
          </cell>
          <cell r="K322" t="str">
            <v>SC/LC OM4 DUPLEX OPTICAL PATCH CORD 2M ECO FRIENDLY BAG</v>
          </cell>
          <cell r="L322" t="str">
            <v>JARRETIERE OPTIQUE DUPLEX SC/LC OM4 2M SAC ÉCOLOGIQUE</v>
          </cell>
          <cell r="M322"/>
          <cell r="N322" t="str">
            <v>China</v>
          </cell>
          <cell r="O322"/>
          <cell r="P322" t="str">
            <v>1 pc eco friendly bag</v>
          </cell>
          <cell r="Q322" t="str">
            <v>2km per cable</v>
          </cell>
          <cell r="R322">
            <v>1920</v>
          </cell>
          <cell r="S322" t="e">
            <v>#N/A</v>
          </cell>
          <cell r="T322">
            <v>8544700000</v>
          </cell>
          <cell r="U322">
            <v>0</v>
          </cell>
          <cell r="V322">
            <v>30</v>
          </cell>
          <cell r="W322">
            <v>45</v>
          </cell>
          <cell r="X322">
            <v>55</v>
          </cell>
          <cell r="Y322" t="str">
            <v>T/T 60 days</v>
          </cell>
          <cell r="Z322">
            <v>2.847168569548173</v>
          </cell>
          <cell r="AA322">
            <v>2.2392761683439235</v>
          </cell>
          <cell r="AB322">
            <v>0.1</v>
          </cell>
          <cell r="AC322">
            <v>0.1</v>
          </cell>
          <cell r="AD322">
            <v>0.32</v>
          </cell>
          <cell r="AE322" t="str">
            <v>C</v>
          </cell>
          <cell r="AF322">
            <v>2.2392761683439235</v>
          </cell>
          <cell r="AG322">
            <v>0.32000000000000006</v>
          </cell>
          <cell r="AH322">
            <v>2.2200000000000002</v>
          </cell>
          <cell r="AI322">
            <v>1.8791312559017941</v>
          </cell>
          <cell r="AJ322">
            <v>1.6918975494154087</v>
          </cell>
          <cell r="AK322">
            <v>0.34000000000000008</v>
          </cell>
          <cell r="AL322">
            <v>0.24444444444444446</v>
          </cell>
          <cell r="AM322"/>
          <cell r="AN322" t="str">
            <v>OTRANS</v>
          </cell>
          <cell r="AO322"/>
          <cell r="AP322"/>
          <cell r="AQ322"/>
          <cell r="AR322"/>
          <cell r="AS322">
            <v>11.94</v>
          </cell>
          <cell r="AT322">
            <v>11.94</v>
          </cell>
          <cell r="AU322">
            <v>1.6912181303116147</v>
          </cell>
          <cell r="AV322">
            <v>1.5227077944738678</v>
          </cell>
          <cell r="AW322"/>
          <cell r="AX322">
            <v>8544700000</v>
          </cell>
          <cell r="AZ322">
            <v>7.4642538944797456</v>
          </cell>
          <cell r="BA322">
            <v>4.478552336687847</v>
          </cell>
          <cell r="BB322">
            <v>3.7321269472398728</v>
          </cell>
          <cell r="BC322">
            <v>2.9857015577918986</v>
          </cell>
        </row>
        <row r="323">
          <cell r="I323" t="str">
            <v>KCDOM4SCLC3MEF</v>
          </cell>
          <cell r="J323" t="str">
            <v>U0902007</v>
          </cell>
          <cell r="K323" t="str">
            <v>SC/LC OM4 DUPLEX OPTICAL PATCH CORD 3M ECO FRIENDLY BAG</v>
          </cell>
          <cell r="L323" t="str">
            <v>JARRETIERE OPTIQUE DUPLEX SC/LC OM4 3M SAC ÉCOLOGIQUE</v>
          </cell>
          <cell r="M323"/>
          <cell r="N323" t="str">
            <v>China</v>
          </cell>
          <cell r="O323"/>
          <cell r="P323" t="str">
            <v>1 pc eco friendly bag</v>
          </cell>
          <cell r="Q323" t="str">
            <v>2km per cable</v>
          </cell>
          <cell r="R323">
            <v>1920</v>
          </cell>
          <cell r="S323" t="e">
            <v>#N/A</v>
          </cell>
          <cell r="T323">
            <v>8544700000</v>
          </cell>
          <cell r="U323">
            <v>0</v>
          </cell>
          <cell r="V323">
            <v>30</v>
          </cell>
          <cell r="W323">
            <v>45</v>
          </cell>
          <cell r="X323">
            <v>55</v>
          </cell>
          <cell r="Y323" t="str">
            <v>T/T 60 days</v>
          </cell>
          <cell r="Z323">
            <v>3.2406215125761877</v>
          </cell>
          <cell r="AA323">
            <v>2.5381394012833614</v>
          </cell>
          <cell r="AB323">
            <v>0.1</v>
          </cell>
          <cell r="AC323">
            <v>0.1</v>
          </cell>
          <cell r="AD323">
            <v>0.32</v>
          </cell>
          <cell r="AE323" t="str">
            <v>C</v>
          </cell>
          <cell r="AF323">
            <v>2.5381394012833614</v>
          </cell>
          <cell r="AG323">
            <v>0.32000000000000006</v>
          </cell>
          <cell r="AH323">
            <v>2.52</v>
          </cell>
          <cell r="AI323">
            <v>2.1388101983002836</v>
          </cell>
          <cell r="AJ323">
            <v>1.917705325414095</v>
          </cell>
          <cell r="AK323">
            <v>0.34000000000000008</v>
          </cell>
          <cell r="AL323">
            <v>0.24444444444444458</v>
          </cell>
          <cell r="AM323"/>
          <cell r="AN323" t="str">
            <v>OTRANS</v>
          </cell>
          <cell r="AO323"/>
          <cell r="AP323"/>
          <cell r="AQ323"/>
          <cell r="AR323"/>
          <cell r="AS323">
            <v>13.59</v>
          </cell>
          <cell r="AT323">
            <v>13.59</v>
          </cell>
          <cell r="AU323">
            <v>1.9249291784702551</v>
          </cell>
          <cell r="AV323">
            <v>1.7259347928726856</v>
          </cell>
          <cell r="AW323"/>
          <cell r="AX323">
            <v>8544700000</v>
          </cell>
          <cell r="AZ323">
            <v>8.460464670944539</v>
          </cell>
          <cell r="BA323">
            <v>5.0762788025667236</v>
          </cell>
          <cell r="BB323">
            <v>4.2302323354722695</v>
          </cell>
          <cell r="BC323">
            <v>3.3841858683778159</v>
          </cell>
        </row>
        <row r="324">
          <cell r="I324" t="str">
            <v>KCDOM4SCLC5MEF</v>
          </cell>
          <cell r="J324" t="str">
            <v>U0902008</v>
          </cell>
          <cell r="K324" t="str">
            <v>SC/LC OM4 DUPLEX OPTICAL PATCH CORD 5M ECO FRIENDLY BAG</v>
          </cell>
          <cell r="L324" t="str">
            <v>JARRETIERE OPTIQUE DUPLEX SC/LC OM4 5M SAC ÉCOLOGIQUE</v>
          </cell>
          <cell r="M324"/>
          <cell r="N324" t="str">
            <v>China</v>
          </cell>
          <cell r="O324"/>
          <cell r="P324" t="str">
            <v>1 pc eco friendly bag</v>
          </cell>
          <cell r="Q324" t="str">
            <v>2km per cable</v>
          </cell>
          <cell r="R324">
            <v>1440</v>
          </cell>
          <cell r="S324" t="e">
            <v>#N/A</v>
          </cell>
          <cell r="T324">
            <v>8544700000</v>
          </cell>
          <cell r="U324">
            <v>0</v>
          </cell>
          <cell r="V324">
            <v>30</v>
          </cell>
          <cell r="W324">
            <v>45</v>
          </cell>
          <cell r="X324">
            <v>55</v>
          </cell>
          <cell r="Y324" t="str">
            <v>T/T 60 days</v>
          </cell>
          <cell r="Z324">
            <v>4.0156045821768211</v>
          </cell>
          <cell r="AA324">
            <v>3.1523404513096462</v>
          </cell>
          <cell r="AB324">
            <v>0.1</v>
          </cell>
          <cell r="AC324">
            <v>0.1</v>
          </cell>
          <cell r="AD324">
            <v>0.32</v>
          </cell>
          <cell r="AE324" t="str">
            <v>C</v>
          </cell>
          <cell r="AF324">
            <v>3.1523404513096462</v>
          </cell>
          <cell r="AG324">
            <v>0.32000000000000006</v>
          </cell>
          <cell r="AH324">
            <v>3.13</v>
          </cell>
          <cell r="AI324">
            <v>2.6502990242367015</v>
          </cell>
          <cell r="AJ324">
            <v>2.3817683409895101</v>
          </cell>
          <cell r="AK324">
            <v>0.34000000000000008</v>
          </cell>
          <cell r="AL324">
            <v>0.24444444444444458</v>
          </cell>
          <cell r="AM324"/>
          <cell r="AN324" t="str">
            <v>OTRANS</v>
          </cell>
          <cell r="AO324"/>
          <cell r="AP324"/>
          <cell r="AQ324"/>
          <cell r="AR324"/>
          <cell r="AS324">
            <v>16.84</v>
          </cell>
          <cell r="AT324">
            <v>16.84</v>
          </cell>
          <cell r="AU324">
            <v>2.3852691218130313</v>
          </cell>
          <cell r="AV324">
            <v>2.1435915068905591</v>
          </cell>
          <cell r="AW324"/>
          <cell r="AX324">
            <v>8544700000</v>
          </cell>
          <cell r="AZ324">
            <v>10.507801504365489</v>
          </cell>
          <cell r="BA324">
            <v>6.3046809026192934</v>
          </cell>
          <cell r="BB324">
            <v>5.2539007521827443</v>
          </cell>
          <cell r="BC324">
            <v>4.2031206017461953</v>
          </cell>
        </row>
        <row r="325">
          <cell r="I325" t="str">
            <v>KCDOM4SCLC10MEF</v>
          </cell>
          <cell r="J325" t="str">
            <v/>
          </cell>
          <cell r="K325" t="str">
            <v>SC/LC OM4 DUPLEX OPTICAL PATCH CORD 10M ECO FRIENDLY BAG</v>
          </cell>
          <cell r="L325" t="str">
            <v>JARRETIERE OPTIQUE DUPLEX SC/LC OM4 10M SAC ÉCOLOGIQUE</v>
          </cell>
          <cell r="M325"/>
          <cell r="N325" t="str">
            <v>China</v>
          </cell>
          <cell r="O325"/>
          <cell r="P325" t="str">
            <v>1 pc eco friendly bag</v>
          </cell>
          <cell r="Q325" t="str">
            <v>2km per cable</v>
          </cell>
          <cell r="R325">
            <v>720</v>
          </cell>
          <cell r="S325" t="e">
            <v>#N/A</v>
          </cell>
          <cell r="T325">
            <v>8544700000</v>
          </cell>
          <cell r="U325">
            <v>0</v>
          </cell>
          <cell r="V325">
            <v>30</v>
          </cell>
          <cell r="W325">
            <v>45</v>
          </cell>
          <cell r="X325">
            <v>55</v>
          </cell>
          <cell r="Y325" t="str">
            <v>T/T 60 days</v>
          </cell>
          <cell r="Z325">
            <v>6.0758672656689674</v>
          </cell>
          <cell r="AA325">
            <v>4.8194211995263281</v>
          </cell>
          <cell r="AB325">
            <v>0.1</v>
          </cell>
          <cell r="AC325">
            <v>0.1</v>
          </cell>
          <cell r="AD325">
            <v>0.32</v>
          </cell>
          <cell r="AE325" t="str">
            <v>C</v>
          </cell>
          <cell r="AF325">
            <v>4.8194211995263281</v>
          </cell>
          <cell r="AG325">
            <v>0.32000000000000006</v>
          </cell>
          <cell r="AH325">
            <v>4.78</v>
          </cell>
          <cell r="AI325">
            <v>4.0100723953415178</v>
          </cell>
          <cell r="AJ325">
            <v>3.6413404618643366</v>
          </cell>
          <cell r="AK325">
            <v>0.34000000000000008</v>
          </cell>
          <cell r="AL325">
            <v>0.24444444444444446</v>
          </cell>
          <cell r="AM325"/>
          <cell r="AN325" t="str">
            <v>OTRANS</v>
          </cell>
          <cell r="AO325"/>
          <cell r="AP325"/>
          <cell r="AQ325"/>
          <cell r="AR325"/>
          <cell r="AS325">
            <v>25.48</v>
          </cell>
          <cell r="AT325">
            <v>25.48</v>
          </cell>
          <cell r="AU325">
            <v>3.6090651558073659</v>
          </cell>
          <cell r="AV325">
            <v>3.2772064156779028</v>
          </cell>
          <cell r="AW325"/>
          <cell r="AX325">
            <v>8544700000</v>
          </cell>
          <cell r="AZ325">
            <v>16.064737331754429</v>
          </cell>
          <cell r="BA325">
            <v>9.6388423990526579</v>
          </cell>
          <cell r="BB325">
            <v>8.0323686658772147</v>
          </cell>
          <cell r="BC325">
            <v>6.4258949327017723</v>
          </cell>
        </row>
        <row r="326">
          <cell r="I326" t="str">
            <v>KCDOM4SCLC15MEF</v>
          </cell>
          <cell r="J326" t="str">
            <v/>
          </cell>
          <cell r="K326" t="str">
            <v>SC/LC OM4 DUPLEX OPTICAL PATCH CORD 15M ECO FRIENDLY BAG</v>
          </cell>
          <cell r="L326" t="str">
            <v>JARRETIERE OPTIQUE DUPLEX SC/LC OM4 15M SAC ÉCOLOGIQUE</v>
          </cell>
          <cell r="M326"/>
          <cell r="N326" t="str">
            <v>China</v>
          </cell>
          <cell r="O326"/>
          <cell r="P326" t="str">
            <v>1 pc eco friendly bag</v>
          </cell>
          <cell r="Q326" t="str">
            <v>2km per cable</v>
          </cell>
          <cell r="R326">
            <v>480</v>
          </cell>
          <cell r="S326" t="e">
            <v>#N/A</v>
          </cell>
          <cell r="T326">
            <v>8544700000</v>
          </cell>
          <cell r="U326">
            <v>0</v>
          </cell>
          <cell r="V326">
            <v>30</v>
          </cell>
          <cell r="W326">
            <v>45</v>
          </cell>
          <cell r="X326">
            <v>55</v>
          </cell>
          <cell r="Y326" t="str">
            <v>T/T 60 days</v>
          </cell>
          <cell r="Z326">
            <v>8.1027460630860073</v>
          </cell>
          <cell r="AA326">
            <v>6.4611438552511791</v>
          </cell>
          <cell r="AB326">
            <v>0.1</v>
          </cell>
          <cell r="AC326">
            <v>0.1</v>
          </cell>
          <cell r="AD326">
            <v>0.32</v>
          </cell>
          <cell r="AE326" t="str">
            <v>C</v>
          </cell>
          <cell r="AF326">
            <v>6.4611438552511791</v>
          </cell>
          <cell r="AG326">
            <v>0.32000000000000006</v>
          </cell>
          <cell r="AH326">
            <v>6.41</v>
          </cell>
          <cell r="AI326">
            <v>5.3478124016367641</v>
          </cell>
          <cell r="AJ326">
            <v>4.881753135078668</v>
          </cell>
          <cell r="AK326">
            <v>0.34000000000000008</v>
          </cell>
          <cell r="AL326">
            <v>0.24444444444444458</v>
          </cell>
          <cell r="AM326"/>
          <cell r="AN326" t="str">
            <v>OTRANS</v>
          </cell>
          <cell r="AO326"/>
          <cell r="AP326"/>
          <cell r="AQ326"/>
          <cell r="AR326"/>
          <cell r="AS326">
            <v>33.979999999999997</v>
          </cell>
          <cell r="AT326">
            <v>33.979999999999997</v>
          </cell>
          <cell r="AU326">
            <v>4.8130311614730878</v>
          </cell>
          <cell r="AV326">
            <v>4.3935778215708012</v>
          </cell>
          <cell r="AW326"/>
          <cell r="AX326">
            <v>8544700000</v>
          </cell>
          <cell r="AZ326">
            <v>21.537146184170599</v>
          </cell>
          <cell r="BA326">
            <v>12.922287710502358</v>
          </cell>
          <cell r="BB326">
            <v>10.768573092085299</v>
          </cell>
          <cell r="BC326">
            <v>8.6148584736682405</v>
          </cell>
        </row>
        <row r="327">
          <cell r="I327" t="str">
            <v>KCDOM4LCLC1MEF</v>
          </cell>
          <cell r="J327" t="str">
            <v>U0902001</v>
          </cell>
          <cell r="K327" t="str">
            <v>LC/LC OM4 DUPLEX OPTICAL PATCH CORD 1M ECO FRIENDLY BAG</v>
          </cell>
          <cell r="L327" t="str">
            <v>JARRETIERE OPTIQUE DUPLEX LC/LC OM4 1M SAC ÉCOLOGIQUE</v>
          </cell>
          <cell r="M327"/>
          <cell r="N327" t="str">
            <v>China</v>
          </cell>
          <cell r="O327"/>
          <cell r="P327" t="str">
            <v>1 pc eco friendly bag</v>
          </cell>
          <cell r="Q327" t="str">
            <v>2km per cable</v>
          </cell>
          <cell r="R327">
            <v>2160</v>
          </cell>
          <cell r="S327" t="str">
            <v>4897108884108</v>
          </cell>
          <cell r="T327">
            <v>8544700000</v>
          </cell>
          <cell r="U327">
            <v>0</v>
          </cell>
          <cell r="V327">
            <v>30</v>
          </cell>
          <cell r="W327">
            <v>45</v>
          </cell>
          <cell r="X327">
            <v>55</v>
          </cell>
          <cell r="Y327" t="str">
            <v>T/T 60 days</v>
          </cell>
          <cell r="Z327">
            <v>2.4680230062666326</v>
          </cell>
          <cell r="AA327">
            <v>1.9427703407456784</v>
          </cell>
          <cell r="AB327">
            <v>0.1</v>
          </cell>
          <cell r="AC327">
            <v>0.1</v>
          </cell>
          <cell r="AD327">
            <v>0.32</v>
          </cell>
          <cell r="AE327" t="str">
            <v>C</v>
          </cell>
          <cell r="AF327">
            <v>1.9427703407456784</v>
          </cell>
          <cell r="AG327">
            <v>0.32000000000000006</v>
          </cell>
          <cell r="AH327">
            <v>1.93</v>
          </cell>
          <cell r="AI327">
            <v>1.6288951841359773</v>
          </cell>
          <cell r="AJ327">
            <v>1.4678709241189569</v>
          </cell>
          <cell r="AK327">
            <v>0.34000000000000008</v>
          </cell>
          <cell r="AL327">
            <v>0.24444444444444446</v>
          </cell>
          <cell r="AM327"/>
          <cell r="AN327" t="str">
            <v>OTRANS</v>
          </cell>
          <cell r="AO327"/>
          <cell r="AP327"/>
          <cell r="AQ327"/>
          <cell r="AR327"/>
          <cell r="AS327">
            <v>10.35</v>
          </cell>
          <cell r="AT327">
            <v>10.35</v>
          </cell>
          <cell r="AU327">
            <v>1.4660056657223797</v>
          </cell>
          <cell r="AV327">
            <v>1.3210838317070612</v>
          </cell>
          <cell r="AW327"/>
          <cell r="AX327">
            <v>8544700000</v>
          </cell>
          <cell r="AZ327">
            <v>6.475901135818928</v>
          </cell>
          <cell r="BA327">
            <v>3.8855406814913565</v>
          </cell>
          <cell r="BB327">
            <v>3.237950567909464</v>
          </cell>
          <cell r="BC327">
            <v>2.5903604543275716</v>
          </cell>
        </row>
        <row r="328">
          <cell r="I328" t="str">
            <v>KCDOM4LCLC2MEF</v>
          </cell>
          <cell r="J328" t="str">
            <v>U0902002</v>
          </cell>
          <cell r="K328" t="str">
            <v>LC/LC OM4 DUPLEX OPTICAL PATCH CORD 2M ECO FRIENDLY BAG</v>
          </cell>
          <cell r="L328" t="str">
            <v>JARRETIERE OPTIQUE DUPLEX LC/LC OM4 2M SAC ÉCOLOGIQUE</v>
          </cell>
          <cell r="M328"/>
          <cell r="N328" t="str">
            <v>China</v>
          </cell>
          <cell r="O328"/>
          <cell r="P328" t="str">
            <v>1 pc eco friendly bag</v>
          </cell>
          <cell r="Q328" t="str">
            <v>2km per cable</v>
          </cell>
          <cell r="R328">
            <v>1920</v>
          </cell>
          <cell r="S328" t="str">
            <v>4897108884115</v>
          </cell>
          <cell r="T328">
            <v>8544700000</v>
          </cell>
          <cell r="U328">
            <v>0</v>
          </cell>
          <cell r="V328">
            <v>30</v>
          </cell>
          <cell r="W328">
            <v>45</v>
          </cell>
          <cell r="X328">
            <v>55</v>
          </cell>
          <cell r="Y328" t="str">
            <v>T/T 60 days</v>
          </cell>
          <cell r="Z328">
            <v>2.847168569548173</v>
          </cell>
          <cell r="AA328">
            <v>2.2392761683439235</v>
          </cell>
          <cell r="AB328">
            <v>0.1</v>
          </cell>
          <cell r="AC328">
            <v>0.1</v>
          </cell>
          <cell r="AD328">
            <v>0.32</v>
          </cell>
          <cell r="AE328" t="str">
            <v>C</v>
          </cell>
          <cell r="AF328">
            <v>2.2392761683439235</v>
          </cell>
          <cell r="AG328">
            <v>0.32000000000000006</v>
          </cell>
          <cell r="AH328">
            <v>2.2200000000000002</v>
          </cell>
          <cell r="AI328">
            <v>1.8791312559017941</v>
          </cell>
          <cell r="AJ328">
            <v>1.6918975494154087</v>
          </cell>
          <cell r="AK328">
            <v>0.34000000000000008</v>
          </cell>
          <cell r="AL328">
            <v>0.24444444444444446</v>
          </cell>
          <cell r="AM328"/>
          <cell r="AN328" t="str">
            <v>OTRANS</v>
          </cell>
          <cell r="AO328"/>
          <cell r="AP328"/>
          <cell r="AQ328"/>
          <cell r="AR328"/>
          <cell r="AS328">
            <v>11.94</v>
          </cell>
          <cell r="AT328">
            <v>11.94</v>
          </cell>
          <cell r="AU328">
            <v>1.6912181303116147</v>
          </cell>
          <cell r="AV328">
            <v>1.5227077944738678</v>
          </cell>
          <cell r="AW328"/>
          <cell r="AX328">
            <v>8544700000</v>
          </cell>
          <cell r="AZ328">
            <v>7.4642538944797456</v>
          </cell>
          <cell r="BA328">
            <v>4.478552336687847</v>
          </cell>
          <cell r="BB328">
            <v>3.7321269472398728</v>
          </cell>
          <cell r="BC328">
            <v>2.9857015577918986</v>
          </cell>
        </row>
        <row r="329">
          <cell r="I329" t="str">
            <v>KCDOM4LCLC3MEF</v>
          </cell>
          <cell r="J329" t="str">
            <v>U0902003</v>
          </cell>
          <cell r="K329" t="str">
            <v>LC/LC OM4 DUPLEX OPTICAL PATCH CORD 3M ECO FRIENDLY BAG</v>
          </cell>
          <cell r="L329" t="str">
            <v>JARRETIERE OPTIQUE DUPLEX LC/LC OM4 3M SAC ÉCOLOGIQUE</v>
          </cell>
          <cell r="M329"/>
          <cell r="N329" t="str">
            <v>China</v>
          </cell>
          <cell r="O329"/>
          <cell r="P329" t="str">
            <v>1 pc eco friendly bag</v>
          </cell>
          <cell r="Q329" t="str">
            <v>2km per cable</v>
          </cell>
          <cell r="R329">
            <v>1920</v>
          </cell>
          <cell r="S329" t="str">
            <v>4897108884122</v>
          </cell>
          <cell r="T329">
            <v>8544700000</v>
          </cell>
          <cell r="U329">
            <v>0</v>
          </cell>
          <cell r="V329">
            <v>30</v>
          </cell>
          <cell r="W329">
            <v>45</v>
          </cell>
          <cell r="X329">
            <v>55</v>
          </cell>
          <cell r="Y329" t="str">
            <v>T/T 60 days</v>
          </cell>
          <cell r="Z329">
            <v>3.2406215125761877</v>
          </cell>
          <cell r="AA329">
            <v>2.5381394012833614</v>
          </cell>
          <cell r="AB329">
            <v>0.1</v>
          </cell>
          <cell r="AC329">
            <v>0.1</v>
          </cell>
          <cell r="AD329">
            <v>0.32</v>
          </cell>
          <cell r="AE329" t="str">
            <v>C</v>
          </cell>
          <cell r="AF329">
            <v>2.5381394012833614</v>
          </cell>
          <cell r="AG329">
            <v>0.32000000000000006</v>
          </cell>
          <cell r="AH329">
            <v>2.52</v>
          </cell>
          <cell r="AI329">
            <v>2.1388101983002836</v>
          </cell>
          <cell r="AJ329">
            <v>1.917705325414095</v>
          </cell>
          <cell r="AK329">
            <v>0.34000000000000008</v>
          </cell>
          <cell r="AL329">
            <v>0.24444444444444458</v>
          </cell>
          <cell r="AM329"/>
          <cell r="AN329" t="str">
            <v>OTRANS</v>
          </cell>
          <cell r="AO329"/>
          <cell r="AP329"/>
          <cell r="AQ329"/>
          <cell r="AR329"/>
          <cell r="AS329">
            <v>13.59</v>
          </cell>
          <cell r="AT329">
            <v>13.59</v>
          </cell>
          <cell r="AU329">
            <v>1.9249291784702551</v>
          </cell>
          <cell r="AV329">
            <v>1.7259347928726856</v>
          </cell>
          <cell r="AW329"/>
          <cell r="AX329">
            <v>8544700000</v>
          </cell>
          <cell r="AZ329">
            <v>8.460464670944539</v>
          </cell>
          <cell r="BA329">
            <v>5.0762788025667236</v>
          </cell>
          <cell r="BB329">
            <v>4.2302323354722695</v>
          </cell>
          <cell r="BC329">
            <v>3.3841858683778159</v>
          </cell>
        </row>
        <row r="330">
          <cell r="I330" t="str">
            <v>KCDOM4LCLC5MEF</v>
          </cell>
          <cell r="J330" t="str">
            <v>U0902004</v>
          </cell>
          <cell r="K330" t="str">
            <v>LC/LC OM4 DUPLEX OPTICAL PATCH CORD 5M ECO FRIENDLY BAG</v>
          </cell>
          <cell r="L330" t="str">
            <v>JARRETIERE OPTIQUE DUPLEX LC/LC OM4 5M SAC ÉCOLOGIQUE</v>
          </cell>
          <cell r="M330"/>
          <cell r="N330" t="str">
            <v>China</v>
          </cell>
          <cell r="O330"/>
          <cell r="P330" t="str">
            <v>1 pc eco friendly bag</v>
          </cell>
          <cell r="Q330" t="str">
            <v>2km per cable</v>
          </cell>
          <cell r="R330">
            <v>1440</v>
          </cell>
          <cell r="S330" t="str">
            <v>4897108884139</v>
          </cell>
          <cell r="T330">
            <v>8544700000</v>
          </cell>
          <cell r="U330">
            <v>0</v>
          </cell>
          <cell r="V330">
            <v>30</v>
          </cell>
          <cell r="W330">
            <v>45</v>
          </cell>
          <cell r="X330">
            <v>55</v>
          </cell>
          <cell r="Y330" t="str">
            <v>T/T 60 days</v>
          </cell>
          <cell r="Z330">
            <v>4.0156045821768211</v>
          </cell>
          <cell r="AA330">
            <v>3.1523404513096462</v>
          </cell>
          <cell r="AB330">
            <v>0.1</v>
          </cell>
          <cell r="AC330">
            <v>0.1</v>
          </cell>
          <cell r="AD330">
            <v>0.32</v>
          </cell>
          <cell r="AE330" t="str">
            <v>C</v>
          </cell>
          <cell r="AF330">
            <v>3.1523404513096462</v>
          </cell>
          <cell r="AG330">
            <v>0.32000000000000006</v>
          </cell>
          <cell r="AH330">
            <v>3.13</v>
          </cell>
          <cell r="AI330">
            <v>2.6502990242367015</v>
          </cell>
          <cell r="AJ330">
            <v>2.3817683409895101</v>
          </cell>
          <cell r="AK330">
            <v>0.34000000000000008</v>
          </cell>
          <cell r="AL330">
            <v>0.24444444444444458</v>
          </cell>
          <cell r="AM330"/>
          <cell r="AN330" t="str">
            <v>OTRANS</v>
          </cell>
          <cell r="AO330"/>
          <cell r="AP330"/>
          <cell r="AQ330"/>
          <cell r="AR330"/>
          <cell r="AS330">
            <v>16.84</v>
          </cell>
          <cell r="AT330">
            <v>16.84</v>
          </cell>
          <cell r="AU330">
            <v>2.3852691218130313</v>
          </cell>
          <cell r="AV330">
            <v>2.1435915068905591</v>
          </cell>
          <cell r="AW330"/>
          <cell r="AX330">
            <v>8544700000</v>
          </cell>
          <cell r="AZ330">
            <v>10.507801504365489</v>
          </cell>
          <cell r="BA330">
            <v>6.3046809026192934</v>
          </cell>
          <cell r="BB330">
            <v>5.2539007521827443</v>
          </cell>
          <cell r="BC330">
            <v>4.2031206017461953</v>
          </cell>
        </row>
        <row r="331">
          <cell r="I331" t="str">
            <v>KCDOM4LCLC10MEF</v>
          </cell>
          <cell r="J331" t="str">
            <v/>
          </cell>
          <cell r="K331" t="str">
            <v>LC/LC OM4 DUPLEX OPTICAL PATCH CORD 10M ECO FRIENDLY BAG</v>
          </cell>
          <cell r="L331" t="str">
            <v>JARRETIERE OPTIQUE DUPLEX LC/LC OM4 10M SAC ÉCOLOGIQUE</v>
          </cell>
          <cell r="M331"/>
          <cell r="N331" t="str">
            <v>China</v>
          </cell>
          <cell r="O331"/>
          <cell r="P331" t="str">
            <v>1 pc eco friendly bag</v>
          </cell>
          <cell r="Q331" t="str">
            <v>2km per cable</v>
          </cell>
          <cell r="R331">
            <v>720</v>
          </cell>
          <cell r="S331" t="e">
            <v>#N/A</v>
          </cell>
          <cell r="T331">
            <v>8544700000</v>
          </cell>
          <cell r="U331">
            <v>0</v>
          </cell>
          <cell r="V331">
            <v>30</v>
          </cell>
          <cell r="W331">
            <v>45</v>
          </cell>
          <cell r="X331">
            <v>55</v>
          </cell>
          <cell r="Y331" t="str">
            <v>T/T 60 days</v>
          </cell>
          <cell r="Z331">
            <v>6.0758672656689674</v>
          </cell>
          <cell r="AA331">
            <v>4.8194211995263281</v>
          </cell>
          <cell r="AB331">
            <v>0.1</v>
          </cell>
          <cell r="AC331">
            <v>0.1</v>
          </cell>
          <cell r="AD331">
            <v>0.32</v>
          </cell>
          <cell r="AE331" t="str">
            <v>C</v>
          </cell>
          <cell r="AF331">
            <v>4.8194211995263281</v>
          </cell>
          <cell r="AG331">
            <v>0.32000000000000006</v>
          </cell>
          <cell r="AH331">
            <v>4.78</v>
          </cell>
          <cell r="AI331">
            <v>4.0100723953415178</v>
          </cell>
          <cell r="AJ331">
            <v>3.6413404618643366</v>
          </cell>
          <cell r="AK331">
            <v>0.34000000000000008</v>
          </cell>
          <cell r="AL331">
            <v>0.24444444444444446</v>
          </cell>
          <cell r="AM331"/>
          <cell r="AN331" t="str">
            <v>OTRANS</v>
          </cell>
          <cell r="AO331"/>
          <cell r="AP331"/>
          <cell r="AQ331"/>
          <cell r="AR331"/>
          <cell r="AS331">
            <v>25.48</v>
          </cell>
          <cell r="AT331">
            <v>25.48</v>
          </cell>
          <cell r="AU331">
            <v>3.6090651558073659</v>
          </cell>
          <cell r="AV331">
            <v>3.2772064156779028</v>
          </cell>
          <cell r="AW331"/>
          <cell r="AX331">
            <v>8544700000</v>
          </cell>
          <cell r="AZ331">
            <v>16.064737331754429</v>
          </cell>
          <cell r="BA331">
            <v>9.6388423990526579</v>
          </cell>
          <cell r="BB331">
            <v>8.0323686658772147</v>
          </cell>
          <cell r="BC331">
            <v>6.4258949327017723</v>
          </cell>
        </row>
        <row r="332">
          <cell r="I332" t="str">
            <v>KCDOM4LCLC15MEF</v>
          </cell>
          <cell r="J332" t="str">
            <v/>
          </cell>
          <cell r="K332" t="str">
            <v>LC/LC OM4 DUPLEX OPTICAL PATCH CORD 15M ECO FRIENDLY BAG</v>
          </cell>
          <cell r="L332" t="str">
            <v>JARRETIERE OPTIQUE DUPLEX LC/LC OM4 15M SAC ÉCOLOGIQUE</v>
          </cell>
          <cell r="M332"/>
          <cell r="N332" t="str">
            <v>China</v>
          </cell>
          <cell r="O332"/>
          <cell r="P332" t="str">
            <v>1 pc eco friendly bag</v>
          </cell>
          <cell r="Q332" t="str">
            <v>2km per cable</v>
          </cell>
          <cell r="R332">
            <v>480</v>
          </cell>
          <cell r="S332" t="e">
            <v>#N/A</v>
          </cell>
          <cell r="T332">
            <v>8544700000</v>
          </cell>
          <cell r="U332">
            <v>0</v>
          </cell>
          <cell r="V332">
            <v>30</v>
          </cell>
          <cell r="W332">
            <v>45</v>
          </cell>
          <cell r="X332">
            <v>55</v>
          </cell>
          <cell r="Y332" t="str">
            <v>T/T 60 days</v>
          </cell>
          <cell r="Z332">
            <v>8.1027460630860073</v>
          </cell>
          <cell r="AA332">
            <v>6.4611438552511791</v>
          </cell>
          <cell r="AB332">
            <v>0.1</v>
          </cell>
          <cell r="AC332">
            <v>0.1</v>
          </cell>
          <cell r="AD332">
            <v>0.32</v>
          </cell>
          <cell r="AE332" t="str">
            <v>C</v>
          </cell>
          <cell r="AF332">
            <v>6.4611438552511791</v>
          </cell>
          <cell r="AG332">
            <v>0.32000000000000006</v>
          </cell>
          <cell r="AH332">
            <v>6.41</v>
          </cell>
          <cell r="AI332">
            <v>5.3478124016367641</v>
          </cell>
          <cell r="AJ332">
            <v>4.881753135078668</v>
          </cell>
          <cell r="AK332">
            <v>0.34000000000000008</v>
          </cell>
          <cell r="AL332">
            <v>0.24444444444444458</v>
          </cell>
          <cell r="AM332"/>
          <cell r="AN332" t="str">
            <v>OTRANS</v>
          </cell>
          <cell r="AO332"/>
          <cell r="AP332"/>
          <cell r="AQ332"/>
          <cell r="AR332"/>
          <cell r="AS332">
            <v>33.979999999999997</v>
          </cell>
          <cell r="AT332">
            <v>33.979999999999997</v>
          </cell>
          <cell r="AU332">
            <v>4.8130311614730878</v>
          </cell>
          <cell r="AV332">
            <v>4.3935778215708012</v>
          </cell>
          <cell r="AW332"/>
          <cell r="AX332">
            <v>8544700000</v>
          </cell>
          <cell r="AZ332">
            <v>21.537146184170599</v>
          </cell>
          <cell r="BA332">
            <v>12.922287710502358</v>
          </cell>
          <cell r="BB332">
            <v>10.768573092085299</v>
          </cell>
          <cell r="BC332">
            <v>8.6148584736682405</v>
          </cell>
        </row>
        <row r="333">
          <cell r="I333" t="str">
            <v>KCDOM5SCSC1MEF</v>
          </cell>
          <cell r="J333" t="str">
            <v>U0903009</v>
          </cell>
          <cell r="K333" t="str">
            <v>SC/SC OM5 DUPLEX OPTICAL PATCH CORD 1M ECO FRIENDLY BAG</v>
          </cell>
          <cell r="L333" t="str">
            <v>JARRETIERE OPTIQUE DUPLEX SC/SC OM5 1M SAC ÉCOLOGIQUE</v>
          </cell>
          <cell r="M333"/>
          <cell r="N333" t="str">
            <v>China</v>
          </cell>
          <cell r="O333"/>
          <cell r="P333" t="str">
            <v>1 pc eco friendly bag</v>
          </cell>
          <cell r="Q333" t="str">
            <v>2km per cable</v>
          </cell>
          <cell r="R333">
            <v>2160</v>
          </cell>
          <cell r="S333" t="e">
            <v>#N/A</v>
          </cell>
          <cell r="T333">
            <v>8544700000</v>
          </cell>
          <cell r="U333">
            <v>0</v>
          </cell>
          <cell r="V333">
            <v>30</v>
          </cell>
          <cell r="W333">
            <v>45</v>
          </cell>
          <cell r="X333">
            <v>55</v>
          </cell>
          <cell r="Y333" t="str">
            <v>T/T 60 days</v>
          </cell>
          <cell r="Z333">
            <v>2.518098835379289</v>
          </cell>
          <cell r="AA333">
            <v>1.9808074794834254</v>
          </cell>
          <cell r="AB333">
            <v>0.1</v>
          </cell>
          <cell r="AC333">
            <v>0.1</v>
          </cell>
          <cell r="AD333">
            <v>0.32</v>
          </cell>
          <cell r="AE333" t="str">
            <v>C</v>
          </cell>
          <cell r="AF333">
            <v>1.9808074794834254</v>
          </cell>
          <cell r="AG333">
            <v>0.32000000000000006</v>
          </cell>
          <cell r="AH333">
            <v>1.96</v>
          </cell>
          <cell r="AI333">
            <v>1.6619452313503307</v>
          </cell>
          <cell r="AJ333">
            <v>1.496610095609699</v>
          </cell>
          <cell r="AK333">
            <v>0.34000000000000008</v>
          </cell>
          <cell r="AL333">
            <v>0.24444444444444446</v>
          </cell>
          <cell r="AM333"/>
          <cell r="AN333" t="str">
            <v>OTRANS</v>
          </cell>
          <cell r="AO333"/>
          <cell r="AP333"/>
          <cell r="AQ333"/>
          <cell r="AR333"/>
          <cell r="AS333">
            <v>10.56</v>
          </cell>
          <cell r="AT333">
            <v>10.56</v>
          </cell>
          <cell r="AU333">
            <v>1.4957507082152977</v>
          </cell>
          <cell r="AV333">
            <v>1.3469490860487292</v>
          </cell>
          <cell r="AW333"/>
          <cell r="AX333">
            <v>8544700000</v>
          </cell>
          <cell r="AZ333">
            <v>6.6026915982780849</v>
          </cell>
          <cell r="BA333">
            <v>3.9616149589668508</v>
          </cell>
          <cell r="BB333">
            <v>3.3013457991390425</v>
          </cell>
          <cell r="BC333">
            <v>2.6410766393112342</v>
          </cell>
        </row>
        <row r="334">
          <cell r="I334" t="str">
            <v>KCDOM5SCSC2MEF</v>
          </cell>
          <cell r="J334" t="str">
            <v>U0903010</v>
          </cell>
          <cell r="K334" t="str">
            <v>SC/SC OM5 DUPLEX OPTICAL PATCH CORD 2M ECO FRIENDLY BAG</v>
          </cell>
          <cell r="L334" t="str">
            <v>JARRETIERE OPTIQUE DUPLEX SC/SC OM5 2M SAC ÉCOLOGIQUE</v>
          </cell>
          <cell r="M334"/>
          <cell r="N334" t="str">
            <v>China</v>
          </cell>
          <cell r="O334"/>
          <cell r="P334" t="str">
            <v>1 pc eco friendly bag</v>
          </cell>
          <cell r="Q334" t="str">
            <v>2km per cable</v>
          </cell>
          <cell r="R334">
            <v>1920</v>
          </cell>
          <cell r="S334" t="e">
            <v>#N/A</v>
          </cell>
          <cell r="T334">
            <v>8544700000</v>
          </cell>
          <cell r="U334">
            <v>0</v>
          </cell>
          <cell r="V334">
            <v>30</v>
          </cell>
          <cell r="W334">
            <v>45</v>
          </cell>
          <cell r="X334">
            <v>55</v>
          </cell>
          <cell r="Y334" t="str">
            <v>T/T 60 days</v>
          </cell>
          <cell r="Z334">
            <v>3.1929302467546101</v>
          </cell>
          <cell r="AA334">
            <v>2.5019135548664599</v>
          </cell>
          <cell r="AB334">
            <v>0.1</v>
          </cell>
          <cell r="AC334">
            <v>0.1</v>
          </cell>
          <cell r="AD334">
            <v>0.32</v>
          </cell>
          <cell r="AE334" t="str">
            <v>C</v>
          </cell>
          <cell r="AF334">
            <v>2.5019135548664599</v>
          </cell>
          <cell r="AG334">
            <v>0.32000000000000006</v>
          </cell>
          <cell r="AH334">
            <v>2.48</v>
          </cell>
          <cell r="AI334">
            <v>2.1073339628580423</v>
          </cell>
          <cell r="AJ334">
            <v>1.8903346858991028</v>
          </cell>
          <cell r="AK334">
            <v>0.34000000000000008</v>
          </cell>
          <cell r="AL334">
            <v>0.24444444444444458</v>
          </cell>
          <cell r="AM334"/>
          <cell r="AN334" t="str">
            <v>OTRANS</v>
          </cell>
          <cell r="AO334"/>
          <cell r="AP334"/>
          <cell r="AQ334"/>
          <cell r="AR334"/>
          <cell r="AS334">
            <v>13.39</v>
          </cell>
          <cell r="AT334">
            <v>13.39</v>
          </cell>
          <cell r="AU334">
            <v>1.8966005665722381</v>
          </cell>
          <cell r="AV334">
            <v>1.7013012173091926</v>
          </cell>
          <cell r="AW334"/>
          <cell r="AX334">
            <v>8544700000</v>
          </cell>
          <cell r="AZ334">
            <v>8.3397118495548668</v>
          </cell>
          <cell r="BA334">
            <v>5.0038271097329199</v>
          </cell>
          <cell r="BB334">
            <v>4.1698559247774334</v>
          </cell>
          <cell r="BC334">
            <v>3.3358847398219469</v>
          </cell>
        </row>
        <row r="335">
          <cell r="I335" t="str">
            <v>KCDOM5SCSC3MEF</v>
          </cell>
          <cell r="J335" t="str">
            <v>U0903011</v>
          </cell>
          <cell r="K335" t="str">
            <v>SC/SC OM5 DUPLEX OPTICAL PATCH CORD 3M ECO FRIENDLY BAG</v>
          </cell>
          <cell r="L335" t="str">
            <v>JARRETIERE OPTIQUE DUPLEX SC/SC OM5 3M SAC ÉCOLOGIQUE</v>
          </cell>
          <cell r="M335"/>
          <cell r="N335" t="str">
            <v>China</v>
          </cell>
          <cell r="O335"/>
          <cell r="P335" t="str">
            <v>1 pc eco friendly bag</v>
          </cell>
          <cell r="Q335" t="str">
            <v>2km per cable</v>
          </cell>
          <cell r="R335">
            <v>1920</v>
          </cell>
          <cell r="S335" t="e">
            <v>#N/A</v>
          </cell>
          <cell r="T335">
            <v>8544700000</v>
          </cell>
          <cell r="U335">
            <v>0</v>
          </cell>
          <cell r="V335">
            <v>30</v>
          </cell>
          <cell r="W335">
            <v>45</v>
          </cell>
          <cell r="X335">
            <v>55</v>
          </cell>
          <cell r="Y335" t="str">
            <v>T/T 60 days</v>
          </cell>
          <cell r="Z335">
            <v>3.8677616581299308</v>
          </cell>
          <cell r="AA335">
            <v>3.0145092816656165</v>
          </cell>
          <cell r="AB335">
            <v>0.1</v>
          </cell>
          <cell r="AC335">
            <v>0.1</v>
          </cell>
          <cell r="AD335">
            <v>0.32</v>
          </cell>
          <cell r="AE335" t="str">
            <v>C</v>
          </cell>
          <cell r="AF335">
            <v>3.0145092816656165</v>
          </cell>
          <cell r="AG335">
            <v>0.32000000000000006</v>
          </cell>
          <cell r="AH335">
            <v>2.99</v>
          </cell>
          <cell r="AI335">
            <v>2.5527226943657539</v>
          </cell>
          <cell r="AJ335">
            <v>2.2776292350362435</v>
          </cell>
          <cell r="AK335">
            <v>0.34000000000000008</v>
          </cell>
          <cell r="AL335">
            <v>0.24444444444444446</v>
          </cell>
          <cell r="AM335"/>
          <cell r="AN335" t="str">
            <v>OTRANS</v>
          </cell>
          <cell r="AO335"/>
          <cell r="AP335"/>
          <cell r="AQ335"/>
          <cell r="AR335"/>
          <cell r="AS335">
            <v>16.22</v>
          </cell>
          <cell r="AT335">
            <v>16.22</v>
          </cell>
          <cell r="AU335">
            <v>2.2974504249291785</v>
          </cell>
          <cell r="AV335">
            <v>2.049866311532619</v>
          </cell>
          <cell r="AW335"/>
          <cell r="AX335">
            <v>8544700000</v>
          </cell>
          <cell r="AZ335">
            <v>10.048364272218722</v>
          </cell>
          <cell r="BA335">
            <v>6.029018563331233</v>
          </cell>
          <cell r="BB335">
            <v>5.0241821361093608</v>
          </cell>
          <cell r="BC335">
            <v>4.0193457088874887</v>
          </cell>
        </row>
        <row r="336">
          <cell r="I336" t="str">
            <v>KCDOM5SCSC5MEF</v>
          </cell>
          <cell r="J336" t="str">
            <v>U0903012</v>
          </cell>
          <cell r="K336" t="str">
            <v>SC/SC OM5 DUPLEX OPTICAL PATCH CORD 5M ECO FRIENDLY BAG</v>
          </cell>
          <cell r="L336" t="str">
            <v>JARRETIERE OPTIQUE DUPLEX SC/SC OM5 5M SAC ÉCOLOGIQUE</v>
          </cell>
          <cell r="M336"/>
          <cell r="N336" t="str">
            <v>China</v>
          </cell>
          <cell r="O336"/>
          <cell r="P336" t="str">
            <v>1 pc eco friendly bag</v>
          </cell>
          <cell r="Q336" t="str">
            <v>2km per cable</v>
          </cell>
          <cell r="R336">
            <v>1440</v>
          </cell>
          <cell r="S336" t="e">
            <v>#N/A</v>
          </cell>
          <cell r="T336">
            <v>8544700000</v>
          </cell>
          <cell r="U336">
            <v>0</v>
          </cell>
          <cell r="V336">
            <v>30</v>
          </cell>
          <cell r="W336">
            <v>45</v>
          </cell>
          <cell r="X336">
            <v>55</v>
          </cell>
          <cell r="Y336" t="str">
            <v>T/T 60 days</v>
          </cell>
          <cell r="Z336">
            <v>5.2150399175894933</v>
          </cell>
          <cell r="AA336">
            <v>4.0634204886947201</v>
          </cell>
          <cell r="AB336">
            <v>0.1</v>
          </cell>
          <cell r="AC336">
            <v>0.1</v>
          </cell>
          <cell r="AD336">
            <v>0.32</v>
          </cell>
          <cell r="AE336" t="str">
            <v>C</v>
          </cell>
          <cell r="AF336">
            <v>4.0634204886947201</v>
          </cell>
          <cell r="AG336">
            <v>0.32000000000000017</v>
          </cell>
          <cell r="AH336">
            <v>4.03</v>
          </cell>
          <cell r="AI336">
            <v>3.4419263456090654</v>
          </cell>
          <cell r="AJ336">
            <v>3.0701399247915657</v>
          </cell>
          <cell r="AK336">
            <v>0.34000000000000008</v>
          </cell>
          <cell r="AL336">
            <v>0.24444444444444458</v>
          </cell>
          <cell r="AM336"/>
          <cell r="AN336" t="str">
            <v>OTRANS</v>
          </cell>
          <cell r="AO336"/>
          <cell r="AP336"/>
          <cell r="AQ336"/>
          <cell r="AR336"/>
          <cell r="AS336">
            <v>21.87</v>
          </cell>
          <cell r="AT336">
            <v>21.87</v>
          </cell>
          <cell r="AU336">
            <v>3.0977337110481589</v>
          </cell>
          <cell r="AV336">
            <v>2.7631259323124091</v>
          </cell>
          <cell r="AW336"/>
          <cell r="AX336">
            <v>8544700000</v>
          </cell>
          <cell r="AZ336">
            <v>13.544734962315735</v>
          </cell>
          <cell r="BA336">
            <v>8.1268409773894401</v>
          </cell>
          <cell r="BB336">
            <v>6.7723674811578674</v>
          </cell>
          <cell r="BC336">
            <v>5.4178939849262946</v>
          </cell>
        </row>
        <row r="337">
          <cell r="I337" t="str">
            <v>KCDOM5SCSC10MEF</v>
          </cell>
          <cell r="J337" t="str">
            <v/>
          </cell>
          <cell r="K337" t="str">
            <v>SC/SC OM5 DUPLEX OPTICAL PATCH CORD 10M ECO FRIENDLY BAG</v>
          </cell>
          <cell r="L337" t="str">
            <v>JARRETIERE OPTIQUE DUPLEX SC/SC OM5 10M SAC ÉCOLOGIQUE</v>
          </cell>
          <cell r="M337"/>
          <cell r="N337" t="str">
            <v>China</v>
          </cell>
          <cell r="O337"/>
          <cell r="P337" t="str">
            <v>1 pc eco friendly bag</v>
          </cell>
          <cell r="Q337" t="str">
            <v>2km per cable</v>
          </cell>
          <cell r="R337">
            <v>720</v>
          </cell>
          <cell r="S337" t="e">
            <v>#N/A</v>
          </cell>
          <cell r="T337">
            <v>8544700000</v>
          </cell>
          <cell r="U337">
            <v>0</v>
          </cell>
          <cell r="V337">
            <v>30</v>
          </cell>
          <cell r="W337">
            <v>45</v>
          </cell>
          <cell r="X337">
            <v>55</v>
          </cell>
          <cell r="Y337" t="str">
            <v>T/T 60 days</v>
          </cell>
          <cell r="Z337">
            <v>8.9611888478744</v>
          </cell>
          <cell r="AA337">
            <v>7.0110849077488702</v>
          </cell>
          <cell r="AB337">
            <v>0.1</v>
          </cell>
          <cell r="AC337">
            <v>0.1</v>
          </cell>
          <cell r="AD337">
            <v>0.32</v>
          </cell>
          <cell r="AE337" t="str">
            <v>C</v>
          </cell>
          <cell r="AF337">
            <v>7.0110849077488702</v>
          </cell>
          <cell r="AG337">
            <v>0.32000000000000006</v>
          </cell>
          <cell r="AH337">
            <v>6.95</v>
          </cell>
          <cell r="AI337">
            <v>5.9143846395971034</v>
          </cell>
          <cell r="AJ337">
            <v>5.2972641525213682</v>
          </cell>
          <cell r="AK337">
            <v>0.34000000000000008</v>
          </cell>
          <cell r="AL337">
            <v>0.24444444444444446</v>
          </cell>
          <cell r="AM337"/>
          <cell r="AN337" t="str">
            <v>OTRANS</v>
          </cell>
          <cell r="AO337"/>
          <cell r="AP337"/>
          <cell r="AQ337"/>
          <cell r="AR337"/>
          <cell r="AS337">
            <v>37.58</v>
          </cell>
          <cell r="AT337">
            <v>37.58</v>
          </cell>
          <cell r="AU337">
            <v>5.3229461756373935</v>
          </cell>
          <cell r="AV337">
            <v>4.7675377372692314</v>
          </cell>
          <cell r="AW337"/>
          <cell r="AX337">
            <v>8544700000</v>
          </cell>
          <cell r="AZ337">
            <v>23.370283025829568</v>
          </cell>
          <cell r="BA337">
            <v>14.02216981549774</v>
          </cell>
          <cell r="BB337">
            <v>11.685141512914784</v>
          </cell>
          <cell r="BC337">
            <v>9.3481132103318281</v>
          </cell>
        </row>
        <row r="338">
          <cell r="I338" t="str">
            <v>KCDOM5SCSC15MEF</v>
          </cell>
          <cell r="J338" t="str">
            <v/>
          </cell>
          <cell r="K338" t="str">
            <v>SC/SC OM5 DUPLEX OPTICAL PATCH CORD 15M ECO FRIENDLY BAG</v>
          </cell>
          <cell r="L338" t="str">
            <v>JARRETIERE OPTIQUE DUPLEX SC/SC OM5 15M SAC ÉCOLOGIQUE</v>
          </cell>
          <cell r="M338"/>
          <cell r="N338" t="str">
            <v>China</v>
          </cell>
          <cell r="O338"/>
          <cell r="P338" t="str">
            <v>1 pc eco friendly bag</v>
          </cell>
          <cell r="Q338" t="str">
            <v>2km per cable</v>
          </cell>
          <cell r="R338">
            <v>480</v>
          </cell>
          <cell r="S338" t="e">
            <v>#N/A</v>
          </cell>
          <cell r="T338">
            <v>8544700000</v>
          </cell>
          <cell r="U338">
            <v>0</v>
          </cell>
          <cell r="V338">
            <v>30</v>
          </cell>
          <cell r="W338">
            <v>45</v>
          </cell>
          <cell r="X338">
            <v>55</v>
          </cell>
          <cell r="Y338" t="str">
            <v>T/T 60 days</v>
          </cell>
          <cell r="Z338">
            <v>12.430728436394162</v>
          </cell>
          <cell r="AA338">
            <v>9.7486394175849931</v>
          </cell>
          <cell r="AB338">
            <v>0.1</v>
          </cell>
          <cell r="AC338">
            <v>0.1</v>
          </cell>
          <cell r="AD338">
            <v>0.32</v>
          </cell>
          <cell r="AE338" t="str">
            <v>C</v>
          </cell>
          <cell r="AF338">
            <v>9.7486394175849931</v>
          </cell>
          <cell r="AG338">
            <v>0.32000000000000006</v>
          </cell>
          <cell r="AH338">
            <v>9.67</v>
          </cell>
          <cell r="AI338">
            <v>8.2042807680201459</v>
          </cell>
          <cell r="AJ338">
            <v>7.3656386710642163</v>
          </cell>
          <cell r="AK338">
            <v>0.34000000000000008</v>
          </cell>
          <cell r="AL338">
            <v>0.24444444444444446</v>
          </cell>
          <cell r="AM338"/>
          <cell r="AN338" t="str">
            <v>OTRANS</v>
          </cell>
          <cell r="AO338"/>
          <cell r="AP338"/>
          <cell r="AQ338"/>
          <cell r="AR338"/>
          <cell r="AS338">
            <v>52.13</v>
          </cell>
          <cell r="AT338">
            <v>52.13</v>
          </cell>
          <cell r="AU338">
            <v>7.3838526912181308</v>
          </cell>
          <cell r="AV338">
            <v>6.6290748039577947</v>
          </cell>
          <cell r="AW338"/>
          <cell r="AX338">
            <v>8544700000</v>
          </cell>
          <cell r="AZ338">
            <v>32.495464725283313</v>
          </cell>
          <cell r="BA338">
            <v>19.497278835169986</v>
          </cell>
          <cell r="BB338">
            <v>16.247732362641656</v>
          </cell>
          <cell r="BC338">
            <v>12.998185890113326</v>
          </cell>
        </row>
        <row r="339">
          <cell r="I339" t="str">
            <v>KCDOM5SCLC1MEF</v>
          </cell>
          <cell r="J339" t="str">
            <v>U0903005</v>
          </cell>
          <cell r="K339" t="str">
            <v>SC/LC OM5 DUPLEX OPTICAL PATCH CORD 1M ECO FRIENDLY BAG</v>
          </cell>
          <cell r="L339" t="str">
            <v>JARRETIERE OPTIQUE DUPLEX SC/LC OM5 1M SAC ÉCOLOGIQUE</v>
          </cell>
          <cell r="M339"/>
          <cell r="N339" t="str">
            <v>China</v>
          </cell>
          <cell r="O339"/>
          <cell r="P339" t="str">
            <v>1 pc eco friendly bag</v>
          </cell>
          <cell r="Q339" t="str">
            <v>2km per cable</v>
          </cell>
          <cell r="R339">
            <v>2160</v>
          </cell>
          <cell r="S339" t="e">
            <v>#N/A</v>
          </cell>
          <cell r="T339">
            <v>8544700000</v>
          </cell>
          <cell r="U339">
            <v>0</v>
          </cell>
          <cell r="V339">
            <v>30</v>
          </cell>
          <cell r="W339">
            <v>45</v>
          </cell>
          <cell r="X339">
            <v>55</v>
          </cell>
          <cell r="Y339" t="str">
            <v>T/T 60 days</v>
          </cell>
          <cell r="Z339">
            <v>2.518098835379289</v>
          </cell>
          <cell r="AA339">
            <v>1.9808074794834254</v>
          </cell>
          <cell r="AB339">
            <v>0.1</v>
          </cell>
          <cell r="AC339">
            <v>0.1</v>
          </cell>
          <cell r="AD339">
            <v>0.32</v>
          </cell>
          <cell r="AE339" t="str">
            <v>C</v>
          </cell>
          <cell r="AF339">
            <v>1.9808074794834254</v>
          </cell>
          <cell r="AG339">
            <v>0.32000000000000006</v>
          </cell>
          <cell r="AH339">
            <v>1.96</v>
          </cell>
          <cell r="AI339">
            <v>1.6619452313503307</v>
          </cell>
          <cell r="AJ339">
            <v>1.496610095609699</v>
          </cell>
          <cell r="AK339">
            <v>0.34000000000000008</v>
          </cell>
          <cell r="AL339">
            <v>0.24444444444444446</v>
          </cell>
          <cell r="AM339"/>
          <cell r="AN339" t="str">
            <v>OTRANS</v>
          </cell>
          <cell r="AO339"/>
          <cell r="AP339"/>
          <cell r="AQ339"/>
          <cell r="AR339"/>
          <cell r="AS339">
            <v>10.56</v>
          </cell>
          <cell r="AT339">
            <v>10.56</v>
          </cell>
          <cell r="AU339">
            <v>1.4957507082152977</v>
          </cell>
          <cell r="AV339">
            <v>1.3469490860487292</v>
          </cell>
          <cell r="AW339"/>
          <cell r="AX339">
            <v>8544700000</v>
          </cell>
          <cell r="AZ339">
            <v>6.6026915982780849</v>
          </cell>
          <cell r="BA339">
            <v>3.9616149589668508</v>
          </cell>
          <cell r="BB339">
            <v>3.3013457991390425</v>
          </cell>
          <cell r="BC339">
            <v>2.6410766393112342</v>
          </cell>
        </row>
        <row r="340">
          <cell r="I340" t="str">
            <v>KCDOM5SCLC2MEF</v>
          </cell>
          <cell r="J340" t="str">
            <v>U0903006</v>
          </cell>
          <cell r="K340" t="str">
            <v>SC/LC OM5 DUPLEX OPTICAL PATCH CORD 2M ECO FRIENDLY BAG</v>
          </cell>
          <cell r="L340" t="str">
            <v>JARRETIERE OPTIQUE DUPLEX SC/LC OM5 2M SAC ÉCOLOGIQUE</v>
          </cell>
          <cell r="M340"/>
          <cell r="N340" t="str">
            <v>China</v>
          </cell>
          <cell r="O340"/>
          <cell r="P340" t="str">
            <v>1 pc eco friendly bag</v>
          </cell>
          <cell r="Q340" t="str">
            <v>2km per cable</v>
          </cell>
          <cell r="R340">
            <v>1920</v>
          </cell>
          <cell r="S340" t="e">
            <v>#N/A</v>
          </cell>
          <cell r="T340">
            <v>8544700000</v>
          </cell>
          <cell r="U340">
            <v>0</v>
          </cell>
          <cell r="V340">
            <v>30</v>
          </cell>
          <cell r="W340">
            <v>45</v>
          </cell>
          <cell r="X340">
            <v>55</v>
          </cell>
          <cell r="Y340" t="str">
            <v>T/T 60 days</v>
          </cell>
          <cell r="Z340">
            <v>3.1929302467546101</v>
          </cell>
          <cell r="AA340">
            <v>2.5019135548664599</v>
          </cell>
          <cell r="AB340">
            <v>0.1</v>
          </cell>
          <cell r="AC340">
            <v>0.1</v>
          </cell>
          <cell r="AD340">
            <v>0.32</v>
          </cell>
          <cell r="AE340" t="str">
            <v>C</v>
          </cell>
          <cell r="AF340">
            <v>2.5019135548664599</v>
          </cell>
          <cell r="AG340">
            <v>0.32000000000000006</v>
          </cell>
          <cell r="AH340">
            <v>2.48</v>
          </cell>
          <cell r="AI340">
            <v>2.1073339628580423</v>
          </cell>
          <cell r="AJ340">
            <v>1.8903346858991028</v>
          </cell>
          <cell r="AK340">
            <v>0.34000000000000008</v>
          </cell>
          <cell r="AL340">
            <v>0.24444444444444458</v>
          </cell>
          <cell r="AM340"/>
          <cell r="AN340" t="str">
            <v>OTRANS</v>
          </cell>
          <cell r="AO340"/>
          <cell r="AP340"/>
          <cell r="AQ340"/>
          <cell r="AR340"/>
          <cell r="AS340">
            <v>13.39</v>
          </cell>
          <cell r="AT340">
            <v>13.39</v>
          </cell>
          <cell r="AU340">
            <v>1.8966005665722381</v>
          </cell>
          <cell r="AV340">
            <v>1.7013012173091926</v>
          </cell>
          <cell r="AW340"/>
          <cell r="AX340">
            <v>8544700000</v>
          </cell>
          <cell r="AZ340">
            <v>8.3397118495548668</v>
          </cell>
          <cell r="BA340">
            <v>5.0038271097329199</v>
          </cell>
          <cell r="BB340">
            <v>4.1698559247774334</v>
          </cell>
          <cell r="BC340">
            <v>3.3358847398219469</v>
          </cell>
        </row>
        <row r="341">
          <cell r="I341" t="str">
            <v>KCDOM5SCLC3MEF</v>
          </cell>
          <cell r="J341" t="str">
            <v>U0903007</v>
          </cell>
          <cell r="K341" t="str">
            <v>SC/LC OM5 DUPLEX OPTICAL PATCH CORD 3M ECO FRIENDLY BAG</v>
          </cell>
          <cell r="L341" t="str">
            <v>JARRETIERE OPTIQUE DUPLEX SC/LC OM5 3M SAC ÉCOLOGIQUE</v>
          </cell>
          <cell r="M341"/>
          <cell r="N341" t="str">
            <v>China</v>
          </cell>
          <cell r="O341"/>
          <cell r="P341" t="str">
            <v>1 pc eco friendly bag</v>
          </cell>
          <cell r="Q341" t="str">
            <v>2km per cable</v>
          </cell>
          <cell r="R341">
            <v>1920</v>
          </cell>
          <cell r="S341" t="e">
            <v>#N/A</v>
          </cell>
          <cell r="T341">
            <v>8544700000</v>
          </cell>
          <cell r="U341">
            <v>0</v>
          </cell>
          <cell r="V341">
            <v>30</v>
          </cell>
          <cell r="W341">
            <v>45</v>
          </cell>
          <cell r="X341">
            <v>55</v>
          </cell>
          <cell r="Y341" t="str">
            <v>T/T 60 days</v>
          </cell>
          <cell r="Z341">
            <v>3.8677616581299308</v>
          </cell>
          <cell r="AA341">
            <v>3.0145092816656165</v>
          </cell>
          <cell r="AB341">
            <v>0.1</v>
          </cell>
          <cell r="AC341">
            <v>0.1</v>
          </cell>
          <cell r="AD341">
            <v>0.32</v>
          </cell>
          <cell r="AE341" t="str">
            <v>C</v>
          </cell>
          <cell r="AF341">
            <v>3.0145092816656165</v>
          </cell>
          <cell r="AG341">
            <v>0.32000000000000006</v>
          </cell>
          <cell r="AH341">
            <v>2.99</v>
          </cell>
          <cell r="AI341">
            <v>2.5527226943657539</v>
          </cell>
          <cell r="AJ341">
            <v>2.2776292350362435</v>
          </cell>
          <cell r="AK341">
            <v>0.34000000000000008</v>
          </cell>
          <cell r="AL341">
            <v>0.24444444444444446</v>
          </cell>
          <cell r="AM341"/>
          <cell r="AN341" t="str">
            <v>OTRANS</v>
          </cell>
          <cell r="AO341"/>
          <cell r="AP341"/>
          <cell r="AQ341"/>
          <cell r="AR341"/>
          <cell r="AS341">
            <v>16.22</v>
          </cell>
          <cell r="AT341">
            <v>16.22</v>
          </cell>
          <cell r="AU341">
            <v>2.2974504249291785</v>
          </cell>
          <cell r="AV341">
            <v>2.049866311532619</v>
          </cell>
          <cell r="AW341"/>
          <cell r="AX341">
            <v>8544700000</v>
          </cell>
          <cell r="AZ341">
            <v>10.048364272218722</v>
          </cell>
          <cell r="BA341">
            <v>6.029018563331233</v>
          </cell>
          <cell r="BB341">
            <v>5.0241821361093608</v>
          </cell>
          <cell r="BC341">
            <v>4.0193457088874887</v>
          </cell>
        </row>
        <row r="342">
          <cell r="I342" t="str">
            <v>KCDOM5SCLC5MEF</v>
          </cell>
          <cell r="J342" t="str">
            <v>U0903008</v>
          </cell>
          <cell r="K342" t="str">
            <v>SC/LC OM5 DUPLEX OPTICAL PATCH CORD 5M ECO FRIENDLY BAG</v>
          </cell>
          <cell r="L342" t="str">
            <v>JARRETIERE OPTIQUE DUPLEX SC/LC OM5 5M SAC ÉCOLOGIQUE</v>
          </cell>
          <cell r="M342"/>
          <cell r="N342" t="str">
            <v>China</v>
          </cell>
          <cell r="O342"/>
          <cell r="P342" t="str">
            <v>1 pc eco friendly bag</v>
          </cell>
          <cell r="Q342" t="str">
            <v>2km per cable</v>
          </cell>
          <cell r="R342">
            <v>1440</v>
          </cell>
          <cell r="S342" t="e">
            <v>#N/A</v>
          </cell>
          <cell r="T342">
            <v>8544700000</v>
          </cell>
          <cell r="U342">
            <v>0</v>
          </cell>
          <cell r="V342">
            <v>30</v>
          </cell>
          <cell r="W342">
            <v>45</v>
          </cell>
          <cell r="X342">
            <v>55</v>
          </cell>
          <cell r="Y342" t="str">
            <v>T/T 60 days</v>
          </cell>
          <cell r="Z342">
            <v>5.2150399175894933</v>
          </cell>
          <cell r="AA342">
            <v>4.0634204886947201</v>
          </cell>
          <cell r="AB342">
            <v>0.1</v>
          </cell>
          <cell r="AC342">
            <v>0.1</v>
          </cell>
          <cell r="AD342">
            <v>0.32</v>
          </cell>
          <cell r="AE342" t="str">
            <v>C</v>
          </cell>
          <cell r="AF342">
            <v>4.0634204886947201</v>
          </cell>
          <cell r="AG342">
            <v>0.32000000000000017</v>
          </cell>
          <cell r="AH342">
            <v>4.03</v>
          </cell>
          <cell r="AI342">
            <v>3.4419263456090654</v>
          </cell>
          <cell r="AJ342">
            <v>3.0701399247915657</v>
          </cell>
          <cell r="AK342">
            <v>0.34000000000000008</v>
          </cell>
          <cell r="AL342">
            <v>0.24444444444444458</v>
          </cell>
          <cell r="AM342"/>
          <cell r="AN342" t="str">
            <v>OTRANS</v>
          </cell>
          <cell r="AO342"/>
          <cell r="AP342"/>
          <cell r="AQ342"/>
          <cell r="AR342"/>
          <cell r="AS342">
            <v>21.87</v>
          </cell>
          <cell r="AT342">
            <v>21.87</v>
          </cell>
          <cell r="AU342">
            <v>3.0977337110481589</v>
          </cell>
          <cell r="AV342">
            <v>2.7631259323124091</v>
          </cell>
          <cell r="AW342"/>
          <cell r="AX342">
            <v>8544700000</v>
          </cell>
          <cell r="AZ342">
            <v>13.544734962315735</v>
          </cell>
          <cell r="BA342">
            <v>8.1268409773894401</v>
          </cell>
          <cell r="BB342">
            <v>6.7723674811578674</v>
          </cell>
          <cell r="BC342">
            <v>5.4178939849262946</v>
          </cell>
        </row>
        <row r="343">
          <cell r="I343" t="str">
            <v>KCDOM5SCLC10MEF</v>
          </cell>
          <cell r="J343" t="str">
            <v/>
          </cell>
          <cell r="K343" t="str">
            <v>SC/LC OM5 DUPLEX OPTICAL PATCH CORD 10M ECO FRIENDLY BAG</v>
          </cell>
          <cell r="L343" t="str">
            <v>JARRETIERE OPTIQUE DUPLEX SC/LC OM5 10M SAC ÉCOLOGIQUE</v>
          </cell>
          <cell r="M343"/>
          <cell r="N343" t="str">
            <v>China</v>
          </cell>
          <cell r="O343"/>
          <cell r="P343" t="str">
            <v>1 pc eco friendly bag</v>
          </cell>
          <cell r="Q343" t="str">
            <v>2km per cable</v>
          </cell>
          <cell r="R343">
            <v>720</v>
          </cell>
          <cell r="S343" t="e">
            <v>#N/A</v>
          </cell>
          <cell r="T343">
            <v>8544700000</v>
          </cell>
          <cell r="U343">
            <v>0</v>
          </cell>
          <cell r="V343">
            <v>30</v>
          </cell>
          <cell r="W343">
            <v>45</v>
          </cell>
          <cell r="X343">
            <v>55</v>
          </cell>
          <cell r="Y343" t="str">
            <v>T/T 60 days</v>
          </cell>
          <cell r="Z343">
            <v>8.9611888478744</v>
          </cell>
          <cell r="AA343">
            <v>7.0110849077488702</v>
          </cell>
          <cell r="AB343">
            <v>0.1</v>
          </cell>
          <cell r="AC343">
            <v>0.1</v>
          </cell>
          <cell r="AD343">
            <v>0.32</v>
          </cell>
          <cell r="AE343" t="str">
            <v>C</v>
          </cell>
          <cell r="AF343">
            <v>7.0110849077488702</v>
          </cell>
          <cell r="AG343">
            <v>0.32000000000000006</v>
          </cell>
          <cell r="AH343">
            <v>6.95</v>
          </cell>
          <cell r="AI343">
            <v>5.9143846395971034</v>
          </cell>
          <cell r="AJ343">
            <v>5.2972641525213682</v>
          </cell>
          <cell r="AK343">
            <v>0.34000000000000008</v>
          </cell>
          <cell r="AL343">
            <v>0.24444444444444446</v>
          </cell>
          <cell r="AM343"/>
          <cell r="AN343" t="str">
            <v>OTRANS</v>
          </cell>
          <cell r="AO343"/>
          <cell r="AP343"/>
          <cell r="AQ343"/>
          <cell r="AR343"/>
          <cell r="AS343">
            <v>37.58</v>
          </cell>
          <cell r="AT343">
            <v>37.58</v>
          </cell>
          <cell r="AU343">
            <v>5.3229461756373935</v>
          </cell>
          <cell r="AV343">
            <v>4.7675377372692314</v>
          </cell>
          <cell r="AW343"/>
          <cell r="AX343">
            <v>8544700000</v>
          </cell>
          <cell r="AZ343">
            <v>23.370283025829568</v>
          </cell>
          <cell r="BA343">
            <v>14.02216981549774</v>
          </cell>
          <cell r="BB343">
            <v>11.685141512914784</v>
          </cell>
          <cell r="BC343">
            <v>9.3481132103318281</v>
          </cell>
        </row>
        <row r="344">
          <cell r="I344" t="str">
            <v>KCDOM5SCLC15MEF</v>
          </cell>
          <cell r="J344" t="str">
            <v/>
          </cell>
          <cell r="K344" t="str">
            <v>SC/LC OM5 DUPLEX OPTICAL PATCH CORD 15M ECO FRIENDLY BAG</v>
          </cell>
          <cell r="L344" t="str">
            <v>JARRETIERE OPTIQUE DUPLEX SC/LC OM5 15M SAC ÉCOLOGIQUE</v>
          </cell>
          <cell r="M344"/>
          <cell r="N344" t="str">
            <v>China</v>
          </cell>
          <cell r="O344"/>
          <cell r="P344" t="str">
            <v>1 pc eco friendly bag</v>
          </cell>
          <cell r="Q344" t="str">
            <v>2km per cable</v>
          </cell>
          <cell r="R344">
            <v>480</v>
          </cell>
          <cell r="S344" t="e">
            <v>#N/A</v>
          </cell>
          <cell r="T344">
            <v>8544700000</v>
          </cell>
          <cell r="U344">
            <v>0</v>
          </cell>
          <cell r="V344">
            <v>30</v>
          </cell>
          <cell r="W344">
            <v>45</v>
          </cell>
          <cell r="X344">
            <v>55</v>
          </cell>
          <cell r="Y344" t="str">
            <v>T/T 60 days</v>
          </cell>
          <cell r="Z344">
            <v>12.430728436394162</v>
          </cell>
          <cell r="AA344">
            <v>9.7486394175849931</v>
          </cell>
          <cell r="AB344">
            <v>0.1</v>
          </cell>
          <cell r="AC344">
            <v>0.1</v>
          </cell>
          <cell r="AD344">
            <v>0.32</v>
          </cell>
          <cell r="AE344" t="str">
            <v>C</v>
          </cell>
          <cell r="AF344">
            <v>9.7486394175849931</v>
          </cell>
          <cell r="AG344">
            <v>0.32000000000000006</v>
          </cell>
          <cell r="AH344">
            <v>9.67</v>
          </cell>
          <cell r="AI344">
            <v>8.2042807680201459</v>
          </cell>
          <cell r="AJ344">
            <v>7.3656386710642163</v>
          </cell>
          <cell r="AK344">
            <v>0.34000000000000008</v>
          </cell>
          <cell r="AL344">
            <v>0.24444444444444446</v>
          </cell>
          <cell r="AM344"/>
          <cell r="AN344" t="str">
            <v>OTRANS</v>
          </cell>
          <cell r="AO344"/>
          <cell r="AP344"/>
          <cell r="AQ344"/>
          <cell r="AR344"/>
          <cell r="AS344">
            <v>52.13</v>
          </cell>
          <cell r="AT344">
            <v>52.13</v>
          </cell>
          <cell r="AU344">
            <v>7.3838526912181308</v>
          </cell>
          <cell r="AV344">
            <v>6.6290748039577947</v>
          </cell>
          <cell r="AW344"/>
          <cell r="AX344">
            <v>8544700000</v>
          </cell>
          <cell r="AZ344">
            <v>32.495464725283313</v>
          </cell>
          <cell r="BA344">
            <v>19.497278835169986</v>
          </cell>
          <cell r="BB344">
            <v>16.247732362641656</v>
          </cell>
          <cell r="BC344">
            <v>12.998185890113326</v>
          </cell>
        </row>
        <row r="345">
          <cell r="I345" t="str">
            <v>KCDOM5LCLC1MEF</v>
          </cell>
          <cell r="J345" t="str">
            <v>U0903001</v>
          </cell>
          <cell r="K345" t="str">
            <v>LC/LC OM5 DUPLEX OPTICAL PATCH CORD 1M ECO FRIENDLY BAG</v>
          </cell>
          <cell r="L345" t="str">
            <v>JARRETIERE OPTIQUE DUPLEX LC/LC OM5 1M SAC ÉCOLOGIQUE</v>
          </cell>
          <cell r="M345"/>
          <cell r="N345" t="str">
            <v>China</v>
          </cell>
          <cell r="O345"/>
          <cell r="P345" t="str">
            <v>1 pc eco friendly bag</v>
          </cell>
          <cell r="Q345" t="str">
            <v>2km per cable</v>
          </cell>
          <cell r="R345">
            <v>2160</v>
          </cell>
          <cell r="S345" t="e">
            <v>#N/A</v>
          </cell>
          <cell r="T345">
            <v>8544700000</v>
          </cell>
          <cell r="U345">
            <v>0</v>
          </cell>
          <cell r="V345">
            <v>30</v>
          </cell>
          <cell r="W345">
            <v>45</v>
          </cell>
          <cell r="X345">
            <v>55</v>
          </cell>
          <cell r="Y345" t="str">
            <v>T/T 60 days</v>
          </cell>
          <cell r="Z345">
            <v>2.518098835379289</v>
          </cell>
          <cell r="AA345">
            <v>1.9808074794834254</v>
          </cell>
          <cell r="AB345">
            <v>0.1</v>
          </cell>
          <cell r="AC345">
            <v>0.1</v>
          </cell>
          <cell r="AD345">
            <v>0.32</v>
          </cell>
          <cell r="AE345" t="str">
            <v>C</v>
          </cell>
          <cell r="AF345">
            <v>1.9808074794834254</v>
          </cell>
          <cell r="AG345">
            <v>0.32000000000000006</v>
          </cell>
          <cell r="AH345">
            <v>1.96</v>
          </cell>
          <cell r="AI345">
            <v>1.6619452313503307</v>
          </cell>
          <cell r="AJ345">
            <v>1.496610095609699</v>
          </cell>
          <cell r="AK345">
            <v>0.34000000000000008</v>
          </cell>
          <cell r="AL345">
            <v>0.24444444444444446</v>
          </cell>
          <cell r="AM345"/>
          <cell r="AN345" t="str">
            <v>OTRANS</v>
          </cell>
          <cell r="AO345"/>
          <cell r="AP345"/>
          <cell r="AQ345"/>
          <cell r="AR345"/>
          <cell r="AS345">
            <v>10.56</v>
          </cell>
          <cell r="AT345">
            <v>10.56</v>
          </cell>
          <cell r="AU345">
            <v>1.4957507082152977</v>
          </cell>
          <cell r="AV345">
            <v>1.3469490860487292</v>
          </cell>
          <cell r="AW345"/>
          <cell r="AX345">
            <v>8544700000</v>
          </cell>
          <cell r="AZ345">
            <v>6.6026915982780849</v>
          </cell>
          <cell r="BA345">
            <v>3.9616149589668508</v>
          </cell>
          <cell r="BB345">
            <v>3.3013457991390425</v>
          </cell>
          <cell r="BC345">
            <v>2.6410766393112342</v>
          </cell>
        </row>
        <row r="346">
          <cell r="I346" t="str">
            <v>KCDOM5LCLC2MEF</v>
          </cell>
          <cell r="J346" t="str">
            <v>U0903002</v>
          </cell>
          <cell r="K346" t="str">
            <v>LC/LC OM5 DUPLEX OPTICAL PATCH CORD 2M ECO FRIENDLY BAG</v>
          </cell>
          <cell r="L346" t="str">
            <v>JARRETIERE OPTIQUE DUPLEX LC/LC OM5 2M SAC ÉCOLOGIQUE</v>
          </cell>
          <cell r="M346"/>
          <cell r="N346" t="str">
            <v>China</v>
          </cell>
          <cell r="O346"/>
          <cell r="P346" t="str">
            <v>1 pc eco friendly bag</v>
          </cell>
          <cell r="Q346" t="str">
            <v>2km per cable</v>
          </cell>
          <cell r="R346">
            <v>1920</v>
          </cell>
          <cell r="S346" t="e">
            <v>#N/A</v>
          </cell>
          <cell r="T346">
            <v>8544700000</v>
          </cell>
          <cell r="U346">
            <v>0</v>
          </cell>
          <cell r="V346">
            <v>30</v>
          </cell>
          <cell r="W346">
            <v>45</v>
          </cell>
          <cell r="X346">
            <v>55</v>
          </cell>
          <cell r="Y346" t="str">
            <v>T/T 60 days</v>
          </cell>
          <cell r="Z346">
            <v>3.1929302467546101</v>
          </cell>
          <cell r="AA346">
            <v>2.5019135548664599</v>
          </cell>
          <cell r="AB346">
            <v>0.1</v>
          </cell>
          <cell r="AC346">
            <v>0.1</v>
          </cell>
          <cell r="AD346">
            <v>0.32</v>
          </cell>
          <cell r="AE346" t="str">
            <v>C</v>
          </cell>
          <cell r="AF346">
            <v>2.5019135548664599</v>
          </cell>
          <cell r="AG346">
            <v>0.32000000000000006</v>
          </cell>
          <cell r="AH346">
            <v>2.48</v>
          </cell>
          <cell r="AI346">
            <v>2.1073339628580423</v>
          </cell>
          <cell r="AJ346">
            <v>1.8903346858991028</v>
          </cell>
          <cell r="AK346">
            <v>0.34000000000000008</v>
          </cell>
          <cell r="AL346">
            <v>0.24444444444444458</v>
          </cell>
          <cell r="AM346"/>
          <cell r="AN346" t="str">
            <v>OTRANS</v>
          </cell>
          <cell r="AO346"/>
          <cell r="AP346"/>
          <cell r="AQ346"/>
          <cell r="AR346"/>
          <cell r="AS346">
            <v>13.39</v>
          </cell>
          <cell r="AT346">
            <v>13.39</v>
          </cell>
          <cell r="AU346">
            <v>1.8966005665722381</v>
          </cell>
          <cell r="AV346">
            <v>1.7013012173091926</v>
          </cell>
          <cell r="AW346"/>
          <cell r="AX346">
            <v>8544700000</v>
          </cell>
          <cell r="AZ346">
            <v>8.3397118495548668</v>
          </cell>
          <cell r="BA346">
            <v>5.0038271097329199</v>
          </cell>
          <cell r="BB346">
            <v>4.1698559247774334</v>
          </cell>
          <cell r="BC346">
            <v>3.3358847398219469</v>
          </cell>
        </row>
        <row r="347">
          <cell r="I347" t="str">
            <v>KCDOM5LCLC3MEF</v>
          </cell>
          <cell r="J347" t="str">
            <v>U0903003</v>
          </cell>
          <cell r="K347" t="str">
            <v>LC/LC OM5 DUPLEX OPTICAL PATCH CORD 3M ECO FRIENDLY BAG</v>
          </cell>
          <cell r="L347" t="str">
            <v>JARRETIERE OPTIQUE DUPLEX LC/LC OM5 3M SAC ÉCOLOGIQUE</v>
          </cell>
          <cell r="M347"/>
          <cell r="N347" t="str">
            <v>China</v>
          </cell>
          <cell r="O347"/>
          <cell r="P347" t="str">
            <v>1 pc eco friendly bag</v>
          </cell>
          <cell r="Q347" t="str">
            <v>2km per cable</v>
          </cell>
          <cell r="R347">
            <v>1920</v>
          </cell>
          <cell r="S347" t="e">
            <v>#N/A</v>
          </cell>
          <cell r="T347">
            <v>8544700000</v>
          </cell>
          <cell r="U347">
            <v>0</v>
          </cell>
          <cell r="V347">
            <v>30</v>
          </cell>
          <cell r="W347">
            <v>45</v>
          </cell>
          <cell r="X347">
            <v>55</v>
          </cell>
          <cell r="Y347" t="str">
            <v>T/T 60 days</v>
          </cell>
          <cell r="Z347">
            <v>3.8677616581299308</v>
          </cell>
          <cell r="AA347">
            <v>3.0145092816656165</v>
          </cell>
          <cell r="AB347">
            <v>0.1</v>
          </cell>
          <cell r="AC347">
            <v>0.1</v>
          </cell>
          <cell r="AD347">
            <v>0.32</v>
          </cell>
          <cell r="AE347" t="str">
            <v>C</v>
          </cell>
          <cell r="AF347">
            <v>3.0145092816656165</v>
          </cell>
          <cell r="AG347">
            <v>0.32000000000000006</v>
          </cell>
          <cell r="AH347">
            <v>2.99</v>
          </cell>
          <cell r="AI347">
            <v>2.5527226943657539</v>
          </cell>
          <cell r="AJ347">
            <v>2.2776292350362435</v>
          </cell>
          <cell r="AK347">
            <v>0.34000000000000008</v>
          </cell>
          <cell r="AL347">
            <v>0.24444444444444446</v>
          </cell>
          <cell r="AM347"/>
          <cell r="AN347" t="str">
            <v>OTRANS</v>
          </cell>
          <cell r="AO347"/>
          <cell r="AP347"/>
          <cell r="AQ347"/>
          <cell r="AR347"/>
          <cell r="AS347">
            <v>16.22</v>
          </cell>
          <cell r="AT347">
            <v>16.22</v>
          </cell>
          <cell r="AU347">
            <v>2.2974504249291785</v>
          </cell>
          <cell r="AV347">
            <v>2.049866311532619</v>
          </cell>
          <cell r="AW347"/>
          <cell r="AX347">
            <v>8544700000</v>
          </cell>
          <cell r="AZ347">
            <v>10.048364272218722</v>
          </cell>
          <cell r="BA347">
            <v>6.029018563331233</v>
          </cell>
          <cell r="BB347">
            <v>5.0241821361093608</v>
          </cell>
          <cell r="BC347">
            <v>4.0193457088874887</v>
          </cell>
        </row>
        <row r="348">
          <cell r="I348" t="str">
            <v>KCDOM5LCLC5MEF</v>
          </cell>
          <cell r="J348" t="str">
            <v>U0903004</v>
          </cell>
          <cell r="K348" t="str">
            <v>LC/LC OM5 DUPLEX OPTICAL PATCH CORD 5M ECO FRIENDLY BAG</v>
          </cell>
          <cell r="L348" t="str">
            <v>JARRETIERE OPTIQUE DUPLEX LC/LC OM5 5M SAC ÉCOLOGIQUE</v>
          </cell>
          <cell r="M348"/>
          <cell r="N348" t="str">
            <v>China</v>
          </cell>
          <cell r="O348"/>
          <cell r="P348" t="str">
            <v>1 pc eco friendly bag</v>
          </cell>
          <cell r="Q348" t="str">
            <v>2km per cable</v>
          </cell>
          <cell r="R348">
            <v>1440</v>
          </cell>
          <cell r="S348" t="e">
            <v>#N/A</v>
          </cell>
          <cell r="T348">
            <v>8544700000</v>
          </cell>
          <cell r="U348">
            <v>0</v>
          </cell>
          <cell r="V348">
            <v>30</v>
          </cell>
          <cell r="W348">
            <v>45</v>
          </cell>
          <cell r="X348">
            <v>55</v>
          </cell>
          <cell r="Y348" t="str">
            <v>T/T 60 days</v>
          </cell>
          <cell r="Z348">
            <v>5.2150399175894933</v>
          </cell>
          <cell r="AA348">
            <v>4.0634204886947201</v>
          </cell>
          <cell r="AB348">
            <v>0.1</v>
          </cell>
          <cell r="AC348">
            <v>0.1</v>
          </cell>
          <cell r="AD348">
            <v>0.32</v>
          </cell>
          <cell r="AE348" t="str">
            <v>C</v>
          </cell>
          <cell r="AF348">
            <v>4.0634204886947201</v>
          </cell>
          <cell r="AG348">
            <v>0.32000000000000017</v>
          </cell>
          <cell r="AH348">
            <v>4.03</v>
          </cell>
          <cell r="AI348">
            <v>3.4419263456090654</v>
          </cell>
          <cell r="AJ348">
            <v>3.0701399247915657</v>
          </cell>
          <cell r="AK348">
            <v>0.34000000000000008</v>
          </cell>
          <cell r="AL348">
            <v>0.24444444444444458</v>
          </cell>
          <cell r="AM348"/>
          <cell r="AN348" t="str">
            <v>OTRANS</v>
          </cell>
          <cell r="AO348"/>
          <cell r="AP348"/>
          <cell r="AQ348"/>
          <cell r="AR348"/>
          <cell r="AS348">
            <v>21.87</v>
          </cell>
          <cell r="AT348">
            <v>21.87</v>
          </cell>
          <cell r="AU348">
            <v>3.0977337110481589</v>
          </cell>
          <cell r="AV348">
            <v>2.7631259323124091</v>
          </cell>
          <cell r="AW348"/>
          <cell r="AX348">
            <v>8544700000</v>
          </cell>
          <cell r="AZ348">
            <v>13.544734962315735</v>
          </cell>
          <cell r="BA348">
            <v>8.1268409773894401</v>
          </cell>
          <cell r="BB348">
            <v>6.7723674811578674</v>
          </cell>
          <cell r="BC348">
            <v>5.4178939849262946</v>
          </cell>
        </row>
        <row r="349">
          <cell r="I349" t="str">
            <v>KCDOM5LCLC10MEF</v>
          </cell>
          <cell r="J349" t="str">
            <v/>
          </cell>
          <cell r="K349" t="str">
            <v>LC/LC OM5 DUPLEX OPTICAL PATCH CORD 10M ECO FRIENDLY BAG</v>
          </cell>
          <cell r="L349" t="str">
            <v>JARRETIERE OPTIQUE DUPLEX LC/LC OM5 10M SAC ÉCOLOGIQUE</v>
          </cell>
          <cell r="M349"/>
          <cell r="N349" t="str">
            <v>China</v>
          </cell>
          <cell r="O349"/>
          <cell r="P349" t="str">
            <v>1 pc eco friendly bag</v>
          </cell>
          <cell r="Q349" t="str">
            <v>2km per cable</v>
          </cell>
          <cell r="R349">
            <v>720</v>
          </cell>
          <cell r="S349" t="e">
            <v>#N/A</v>
          </cell>
          <cell r="T349">
            <v>8544700000</v>
          </cell>
          <cell r="U349">
            <v>0</v>
          </cell>
          <cell r="V349">
            <v>30</v>
          </cell>
          <cell r="W349">
            <v>45</v>
          </cell>
          <cell r="X349">
            <v>55</v>
          </cell>
          <cell r="Y349" t="str">
            <v>T/T 60 days</v>
          </cell>
          <cell r="Z349">
            <v>8.9611888478744</v>
          </cell>
          <cell r="AA349">
            <v>7.0110849077488702</v>
          </cell>
          <cell r="AB349">
            <v>0.1</v>
          </cell>
          <cell r="AC349">
            <v>0.1</v>
          </cell>
          <cell r="AD349">
            <v>0.32</v>
          </cell>
          <cell r="AE349" t="str">
            <v>C</v>
          </cell>
          <cell r="AF349">
            <v>7.0110849077488702</v>
          </cell>
          <cell r="AG349">
            <v>0.32000000000000006</v>
          </cell>
          <cell r="AH349">
            <v>6.95</v>
          </cell>
          <cell r="AI349">
            <v>5.9143846395971034</v>
          </cell>
          <cell r="AJ349">
            <v>5.2972641525213682</v>
          </cell>
          <cell r="AK349">
            <v>0.34000000000000008</v>
          </cell>
          <cell r="AL349">
            <v>0.24444444444444446</v>
          </cell>
          <cell r="AM349"/>
          <cell r="AN349" t="str">
            <v>OTRANS</v>
          </cell>
          <cell r="AO349"/>
          <cell r="AP349"/>
          <cell r="AQ349"/>
          <cell r="AR349"/>
          <cell r="AS349">
            <v>37.58</v>
          </cell>
          <cell r="AT349">
            <v>37.58</v>
          </cell>
          <cell r="AU349">
            <v>5.3229461756373935</v>
          </cell>
          <cell r="AV349">
            <v>4.7675377372692314</v>
          </cell>
          <cell r="AW349"/>
          <cell r="AX349">
            <v>8544700000</v>
          </cell>
          <cell r="AZ349">
            <v>23.370283025829568</v>
          </cell>
          <cell r="BA349">
            <v>14.02216981549774</v>
          </cell>
          <cell r="BB349">
            <v>11.685141512914784</v>
          </cell>
          <cell r="BC349">
            <v>9.3481132103318281</v>
          </cell>
        </row>
        <row r="350">
          <cell r="I350" t="str">
            <v>KCDOM5LCLC15MEF</v>
          </cell>
          <cell r="J350" t="str">
            <v/>
          </cell>
          <cell r="K350" t="str">
            <v>LC/LC OM5 DUPLEX OPTICAL PATCH CORD 15M ECO FRIENDLY BAG</v>
          </cell>
          <cell r="L350" t="str">
            <v>JARRETIERE OPTIQUE DUPLEX LC/LC OM5 15M SAC ÉCOLOGIQUE</v>
          </cell>
          <cell r="M350"/>
          <cell r="N350" t="str">
            <v>China</v>
          </cell>
          <cell r="O350"/>
          <cell r="P350" t="str">
            <v>1 pc eco friendly bag</v>
          </cell>
          <cell r="Q350" t="str">
            <v>2km per cable</v>
          </cell>
          <cell r="R350">
            <v>480</v>
          </cell>
          <cell r="S350" t="e">
            <v>#N/A</v>
          </cell>
          <cell r="T350">
            <v>8544700000</v>
          </cell>
          <cell r="U350">
            <v>0</v>
          </cell>
          <cell r="V350">
            <v>30</v>
          </cell>
          <cell r="W350">
            <v>45</v>
          </cell>
          <cell r="X350">
            <v>55</v>
          </cell>
          <cell r="Y350" t="str">
            <v>T/T 60 days</v>
          </cell>
          <cell r="Z350">
            <v>12.430728436394162</v>
          </cell>
          <cell r="AA350">
            <v>9.7486394175849931</v>
          </cell>
          <cell r="AB350">
            <v>0.1</v>
          </cell>
          <cell r="AC350">
            <v>0.1</v>
          </cell>
          <cell r="AD350">
            <v>0.32</v>
          </cell>
          <cell r="AE350" t="str">
            <v>C</v>
          </cell>
          <cell r="AF350">
            <v>9.7486394175849931</v>
          </cell>
          <cell r="AG350">
            <v>0.32000000000000006</v>
          </cell>
          <cell r="AH350">
            <v>9.67</v>
          </cell>
          <cell r="AI350">
            <v>8.2042807680201459</v>
          </cell>
          <cell r="AJ350">
            <v>7.3656386710642163</v>
          </cell>
          <cell r="AK350">
            <v>0.34000000000000008</v>
          </cell>
          <cell r="AL350">
            <v>0.24444444444444446</v>
          </cell>
          <cell r="AM350"/>
          <cell r="AN350" t="str">
            <v>OTRANS</v>
          </cell>
          <cell r="AO350"/>
          <cell r="AP350"/>
          <cell r="AQ350"/>
          <cell r="AR350"/>
          <cell r="AS350">
            <v>52.13</v>
          </cell>
          <cell r="AT350">
            <v>52.13</v>
          </cell>
          <cell r="AU350">
            <v>7.3838526912181308</v>
          </cell>
          <cell r="AV350">
            <v>6.6290748039577947</v>
          </cell>
          <cell r="AW350"/>
          <cell r="AX350">
            <v>8544700000</v>
          </cell>
          <cell r="AZ350">
            <v>32.495464725283313</v>
          </cell>
          <cell r="BA350">
            <v>19.497278835169986</v>
          </cell>
          <cell r="BB350">
            <v>16.247732362641656</v>
          </cell>
          <cell r="BC350">
            <v>12.998185890113326</v>
          </cell>
        </row>
        <row r="351">
          <cell r="I351" t="str">
            <v>KCDOS2SCSC1MEF</v>
          </cell>
          <cell r="J351" t="str">
            <v>U0904009</v>
          </cell>
          <cell r="K351" t="str">
            <v>SC/SC OS2 DUPLEX OPTICAL PATCH CORD 1M ECO FRIENDLY BAG</v>
          </cell>
          <cell r="L351" t="str">
            <v>JARRETIERE OPTIQUE DUPLEX SC/SC OS2 1M SAC ÉCOLOGIQUE</v>
          </cell>
          <cell r="M351"/>
          <cell r="N351" t="str">
            <v>China</v>
          </cell>
          <cell r="O351"/>
          <cell r="P351" t="str">
            <v>1 pc eco friendly bag</v>
          </cell>
          <cell r="Q351" t="str">
            <v>2km per cable</v>
          </cell>
          <cell r="R351">
            <v>2160</v>
          </cell>
          <cell r="S351" t="e">
            <v>#N/A</v>
          </cell>
          <cell r="T351">
            <v>8544700000</v>
          </cell>
          <cell r="U351">
            <v>0</v>
          </cell>
          <cell r="V351">
            <v>30</v>
          </cell>
          <cell r="W351">
            <v>45</v>
          </cell>
          <cell r="X351">
            <v>55</v>
          </cell>
          <cell r="Y351" t="str">
            <v>T/T 60 days</v>
          </cell>
          <cell r="Z351">
            <v>3.5386919239610459</v>
          </cell>
          <cell r="AA351">
            <v>2.7560405928051179</v>
          </cell>
          <cell r="AB351">
            <v>0.1</v>
          </cell>
          <cell r="AC351">
            <v>0.1</v>
          </cell>
          <cell r="AD351">
            <v>0.32</v>
          </cell>
          <cell r="AE351" t="str">
            <v>C</v>
          </cell>
          <cell r="AF351">
            <v>2.7560405928051179</v>
          </cell>
          <cell r="AG351">
            <v>0.32000000000000006</v>
          </cell>
          <cell r="AH351">
            <v>2.73</v>
          </cell>
          <cell r="AI351">
            <v>2.3355366698142901</v>
          </cell>
          <cell r="AJ351">
            <v>2.0823417812305336</v>
          </cell>
          <cell r="AK351">
            <v>0.34000000000000008</v>
          </cell>
          <cell r="AL351">
            <v>0.24444444444444446</v>
          </cell>
          <cell r="AM351"/>
          <cell r="AN351" t="str">
            <v>OTRANS</v>
          </cell>
          <cell r="AO351"/>
          <cell r="AP351"/>
          <cell r="AQ351"/>
          <cell r="AR351">
            <v>5.04</v>
          </cell>
          <cell r="AS351">
            <v>9.8000000000000007</v>
          </cell>
          <cell r="AT351">
            <v>14.84</v>
          </cell>
          <cell r="AU351">
            <v>2.1019830028328612</v>
          </cell>
          <cell r="AV351">
            <v>1.8741076031074801</v>
          </cell>
          <cell r="AW351"/>
          <cell r="AX351">
            <v>8544700000</v>
          </cell>
          <cell r="AZ351">
            <v>9.1868019760170601</v>
          </cell>
          <cell r="BA351">
            <v>5.5120811856102359</v>
          </cell>
          <cell r="BB351">
            <v>4.59340098800853</v>
          </cell>
          <cell r="BC351">
            <v>3.6747207904068242</v>
          </cell>
        </row>
        <row r="352">
          <cell r="I352" t="str">
            <v>KCDOS2SCSC2MEF</v>
          </cell>
          <cell r="J352" t="str">
            <v>U0904010</v>
          </cell>
          <cell r="K352" t="str">
            <v>SC/SC OS2 DUPLEX OPTICAL PATCH CORD 2M ECO FRIENDLY BAG</v>
          </cell>
          <cell r="L352" t="str">
            <v>JARRETIERE OPTIQUE DUPLEX SC/SC OS2 2M SAC ÉCOLOGIQUE</v>
          </cell>
          <cell r="M352"/>
          <cell r="N352" t="str">
            <v>China</v>
          </cell>
          <cell r="O352"/>
          <cell r="P352" t="str">
            <v>1 pc eco friendly bag</v>
          </cell>
          <cell r="Q352" t="str">
            <v>2km per cable</v>
          </cell>
          <cell r="R352">
            <v>1920</v>
          </cell>
          <cell r="S352" t="e">
            <v>#N/A</v>
          </cell>
          <cell r="T352">
            <v>8544700000</v>
          </cell>
          <cell r="U352">
            <v>0</v>
          </cell>
          <cell r="V352">
            <v>30</v>
          </cell>
          <cell r="W352">
            <v>45</v>
          </cell>
          <cell r="X352">
            <v>55</v>
          </cell>
          <cell r="Y352" t="str">
            <v>T/T 60 days</v>
          </cell>
          <cell r="Z352">
            <v>3.669842904970384</v>
          </cell>
          <cell r="AA352">
            <v>2.8641720190354754</v>
          </cell>
          <cell r="AB352">
            <v>0.1</v>
          </cell>
          <cell r="AC352">
            <v>0.1</v>
          </cell>
          <cell r="AD352">
            <v>0.32</v>
          </cell>
          <cell r="AE352" t="str">
            <v>C</v>
          </cell>
          <cell r="AF352">
            <v>2.8641720190354754</v>
          </cell>
          <cell r="AG352">
            <v>0.32000000000000006</v>
          </cell>
          <cell r="AH352">
            <v>2.84</v>
          </cell>
          <cell r="AI352">
            <v>2.4220963172804533</v>
          </cell>
          <cell r="AJ352">
            <v>2.1640410810490254</v>
          </cell>
          <cell r="AK352">
            <v>0.34000000000000008</v>
          </cell>
          <cell r="AL352">
            <v>0.24444444444444458</v>
          </cell>
          <cell r="AM352"/>
          <cell r="AN352" t="str">
            <v>OTRANS</v>
          </cell>
          <cell r="AO352"/>
          <cell r="AP352"/>
          <cell r="AQ352"/>
          <cell r="AR352">
            <v>5.04</v>
          </cell>
          <cell r="AS352">
            <v>10.35</v>
          </cell>
          <cell r="AT352">
            <v>15.39</v>
          </cell>
          <cell r="AU352">
            <v>2.1798866855524079</v>
          </cell>
          <cell r="AV352">
            <v>1.947636972944123</v>
          </cell>
          <cell r="AW352"/>
          <cell r="AX352">
            <v>8544700000</v>
          </cell>
          <cell r="AZ352">
            <v>9.5472400634515857</v>
          </cell>
          <cell r="BA352">
            <v>5.7283440380709516</v>
          </cell>
          <cell r="BB352">
            <v>4.7736200317257929</v>
          </cell>
          <cell r="BC352">
            <v>3.8188960253806346</v>
          </cell>
        </row>
        <row r="353">
          <cell r="I353" t="str">
            <v>KCDOS2SCSC3MEF</v>
          </cell>
          <cell r="J353" t="str">
            <v>U0904011</v>
          </cell>
          <cell r="K353" t="str">
            <v>SC/SC OS2 DUPLEX OPTICAL PATCH CORD 3M ECO FRIENDLY BAG</v>
          </cell>
          <cell r="L353" t="str">
            <v>JARRETIERE OPTIQUE DUPLEX SC/SC OS2 3M SAC ÉCOLOGIQUE</v>
          </cell>
          <cell r="M353"/>
          <cell r="N353" t="str">
            <v>China</v>
          </cell>
          <cell r="O353"/>
          <cell r="P353" t="str">
            <v>1 pc eco friendly bag</v>
          </cell>
          <cell r="Q353" t="str">
            <v>2km per cable</v>
          </cell>
          <cell r="R353">
            <v>1920</v>
          </cell>
          <cell r="S353" t="e">
            <v>#N/A</v>
          </cell>
          <cell r="T353">
            <v>8544700000</v>
          </cell>
          <cell r="U353">
            <v>0</v>
          </cell>
          <cell r="V353">
            <v>30</v>
          </cell>
          <cell r="W353">
            <v>45</v>
          </cell>
          <cell r="X353">
            <v>55</v>
          </cell>
          <cell r="Y353" t="str">
            <v>T/T 60 days</v>
          </cell>
          <cell r="Z353">
            <v>3.800993885979723</v>
          </cell>
          <cell r="AA353">
            <v>2.9637930966819552</v>
          </cell>
          <cell r="AB353">
            <v>0.1</v>
          </cell>
          <cell r="AC353">
            <v>0.1</v>
          </cell>
          <cell r="AD353">
            <v>0.32</v>
          </cell>
          <cell r="AE353" t="str">
            <v>C</v>
          </cell>
          <cell r="AF353">
            <v>2.9637930966819552</v>
          </cell>
          <cell r="AG353">
            <v>0.32000000000000006</v>
          </cell>
          <cell r="AH353">
            <v>2.94</v>
          </cell>
          <cell r="AI353">
            <v>2.5086559647466169</v>
          </cell>
          <cell r="AJ353">
            <v>2.2393103397152547</v>
          </cell>
          <cell r="AK353">
            <v>0.34000000000000008</v>
          </cell>
          <cell r="AL353">
            <v>0.24444444444444458</v>
          </cell>
          <cell r="AM353"/>
          <cell r="AN353" t="str">
            <v>OTRANS</v>
          </cell>
          <cell r="AO353"/>
          <cell r="AP353"/>
          <cell r="AQ353"/>
          <cell r="AR353">
            <v>5.04</v>
          </cell>
          <cell r="AS353">
            <v>10.9</v>
          </cell>
          <cell r="AT353">
            <v>15.940000000000001</v>
          </cell>
          <cell r="AU353">
            <v>2.2577903682719551</v>
          </cell>
          <cell r="AV353">
            <v>2.0153793057437293</v>
          </cell>
          <cell r="AW353"/>
          <cell r="AX353">
            <v>8544700000</v>
          </cell>
          <cell r="AZ353">
            <v>9.8793103222731844</v>
          </cell>
          <cell r="BA353">
            <v>5.9275861933639105</v>
          </cell>
          <cell r="BB353">
            <v>4.9396551611365922</v>
          </cell>
          <cell r="BC353">
            <v>3.9517241289092739</v>
          </cell>
        </row>
        <row r="354">
          <cell r="I354" t="str">
            <v>KCDOS2SCSC5MEF</v>
          </cell>
          <cell r="J354" t="str">
            <v>U0904012</v>
          </cell>
          <cell r="K354" t="str">
            <v>SC/SC OS2 DUPLEX OPTICAL PATCH CORD 5M ECO FRIENDLY BAG</v>
          </cell>
          <cell r="L354" t="str">
            <v>JARRETIERE OPTIQUE DUPLEX SC/SC OS2 5M SAC ÉCOLOGIQUE</v>
          </cell>
          <cell r="M354"/>
          <cell r="N354" t="str">
            <v>China</v>
          </cell>
          <cell r="O354"/>
          <cell r="P354" t="str">
            <v>1 pc eco friendly bag</v>
          </cell>
          <cell r="Q354" t="str">
            <v>2km per cable</v>
          </cell>
          <cell r="R354">
            <v>1440</v>
          </cell>
          <cell r="S354" t="e">
            <v>#N/A</v>
          </cell>
          <cell r="T354">
            <v>8544700000</v>
          </cell>
          <cell r="U354">
            <v>0</v>
          </cell>
          <cell r="V354">
            <v>30</v>
          </cell>
          <cell r="W354">
            <v>45</v>
          </cell>
          <cell r="X354">
            <v>55</v>
          </cell>
          <cell r="Y354" t="str">
            <v>T/T 60 days</v>
          </cell>
          <cell r="Z354">
            <v>4.0489884682519248</v>
          </cell>
          <cell r="AA354">
            <v>3.1776985438014775</v>
          </cell>
          <cell r="AB354">
            <v>0.1</v>
          </cell>
          <cell r="AC354">
            <v>0.1</v>
          </cell>
          <cell r="AD354">
            <v>0.32</v>
          </cell>
          <cell r="AE354" t="str">
            <v>C</v>
          </cell>
          <cell r="AF354">
            <v>3.1776985438014775</v>
          </cell>
          <cell r="AG354">
            <v>0.32000000000000006</v>
          </cell>
          <cell r="AH354">
            <v>3.15</v>
          </cell>
          <cell r="AI354">
            <v>2.6723323890462702</v>
          </cell>
          <cell r="AJ354">
            <v>2.4009277886500047</v>
          </cell>
          <cell r="AK354">
            <v>0.34000000000000008</v>
          </cell>
          <cell r="AL354">
            <v>0.24444444444444458</v>
          </cell>
          <cell r="AM354"/>
          <cell r="AN354" t="str">
            <v>OTRANS</v>
          </cell>
          <cell r="AO354"/>
          <cell r="AP354"/>
          <cell r="AQ354"/>
          <cell r="AR354">
            <v>5.04</v>
          </cell>
          <cell r="AS354">
            <v>11.94</v>
          </cell>
          <cell r="AT354">
            <v>16.98</v>
          </cell>
          <cell r="AU354">
            <v>2.4050991501416434</v>
          </cell>
          <cell r="AV354">
            <v>2.1608350097850044</v>
          </cell>
          <cell r="AW354"/>
          <cell r="AX354">
            <v>8544700000</v>
          </cell>
          <cell r="AZ354">
            <v>10.592328479338258</v>
          </cell>
          <cell r="BA354">
            <v>6.3553970876029551</v>
          </cell>
          <cell r="BB354">
            <v>5.2961642396691291</v>
          </cell>
          <cell r="BC354">
            <v>4.2369313917353031</v>
          </cell>
        </row>
        <row r="355">
          <cell r="I355" t="str">
            <v>KCDOS2SCSC10MEF</v>
          </cell>
          <cell r="J355" t="str">
            <v/>
          </cell>
          <cell r="K355" t="str">
            <v>SC/SC OS2 DUPLEX OPTICAL PATCH CORD 10M ECO FRIENDLY BAG</v>
          </cell>
          <cell r="L355" t="str">
            <v>JARRETIERE OPTIQUE DUPLEX SC/SC OS2 10M SAC ÉCOLOGIQUE</v>
          </cell>
          <cell r="M355"/>
          <cell r="N355" t="str">
            <v>China</v>
          </cell>
          <cell r="O355"/>
          <cell r="P355" t="str">
            <v>1 pc eco friendly bag</v>
          </cell>
          <cell r="Q355" t="str">
            <v>2km per cable</v>
          </cell>
          <cell r="R355">
            <v>720</v>
          </cell>
          <cell r="S355" t="e">
            <v>#N/A</v>
          </cell>
          <cell r="T355">
            <v>8544700000</v>
          </cell>
          <cell r="U355">
            <v>0</v>
          </cell>
          <cell r="V355">
            <v>30</v>
          </cell>
          <cell r="W355">
            <v>45</v>
          </cell>
          <cell r="X355">
            <v>55</v>
          </cell>
          <cell r="Y355" t="str">
            <v>T/T 60 days</v>
          </cell>
          <cell r="Z355">
            <v>4.5831306454535925</v>
          </cell>
          <cell r="AA355">
            <v>3.6855522066773099</v>
          </cell>
          <cell r="AB355">
            <v>0.1</v>
          </cell>
          <cell r="AC355">
            <v>0.1</v>
          </cell>
          <cell r="AD355">
            <v>0.32</v>
          </cell>
          <cell r="AE355" t="str">
            <v>C</v>
          </cell>
          <cell r="AF355">
            <v>3.6855522066773099</v>
          </cell>
          <cell r="AG355">
            <v>0.32000000000000006</v>
          </cell>
          <cell r="AH355">
            <v>3.66</v>
          </cell>
          <cell r="AI355">
            <v>3.0248662259993706</v>
          </cell>
          <cell r="AJ355">
            <v>2.7846394450450784</v>
          </cell>
          <cell r="AK355">
            <v>0.34000000000000008</v>
          </cell>
          <cell r="AL355">
            <v>0.24444444444444446</v>
          </cell>
          <cell r="AM355"/>
          <cell r="AN355" t="str">
            <v>OTRANS</v>
          </cell>
          <cell r="AO355"/>
          <cell r="AP355"/>
          <cell r="AQ355"/>
          <cell r="AR355">
            <v>5.04</v>
          </cell>
          <cell r="AS355">
            <v>14.18</v>
          </cell>
          <cell r="AT355">
            <v>19.22</v>
          </cell>
          <cell r="AU355">
            <v>2.7223796033994336</v>
          </cell>
          <cell r="AV355">
            <v>2.5061755005405706</v>
          </cell>
          <cell r="AW355"/>
          <cell r="AX355">
            <v>8544700000</v>
          </cell>
          <cell r="AZ355">
            <v>12.285174022257699</v>
          </cell>
          <cell r="BA355">
            <v>7.3711044133546189</v>
          </cell>
          <cell r="BB355">
            <v>6.1425870111288496</v>
          </cell>
          <cell r="BC355">
            <v>4.9140696089030804</v>
          </cell>
        </row>
        <row r="356">
          <cell r="I356" t="str">
            <v>KCDOS2SCSC15MEF</v>
          </cell>
          <cell r="J356" t="str">
            <v/>
          </cell>
          <cell r="K356" t="str">
            <v>SC/SC OS2 DUPLEX OPTICAL PATCH CORD 15M ECO FRIENDLY BAG</v>
          </cell>
          <cell r="L356" t="str">
            <v>JARRETIERE OPTIQUE DUPLEX SC/SC OS2 15M SAC ÉCOLOGIQUE</v>
          </cell>
          <cell r="M356"/>
          <cell r="N356" t="str">
            <v>China</v>
          </cell>
          <cell r="O356"/>
          <cell r="P356" t="str">
            <v>1 pc eco friendly bag</v>
          </cell>
          <cell r="Q356" t="str">
            <v>2km per cable</v>
          </cell>
          <cell r="R356">
            <v>480</v>
          </cell>
          <cell r="S356" t="e">
            <v>#N/A</v>
          </cell>
          <cell r="T356">
            <v>8544700000</v>
          </cell>
          <cell r="U356">
            <v>0</v>
          </cell>
          <cell r="V356">
            <v>30</v>
          </cell>
          <cell r="W356">
            <v>45</v>
          </cell>
          <cell r="X356">
            <v>55</v>
          </cell>
          <cell r="Y356" t="str">
            <v>T/T 60 days</v>
          </cell>
          <cell r="Z356">
            <v>5.2627311834110708</v>
          </cell>
          <cell r="AA356">
            <v>4.3038947011246931</v>
          </cell>
          <cell r="AB356">
            <v>0.1</v>
          </cell>
          <cell r="AC356">
            <v>0.1</v>
          </cell>
          <cell r="AD356">
            <v>0.32</v>
          </cell>
          <cell r="AE356" t="str">
            <v>C</v>
          </cell>
          <cell r="AF356">
            <v>4.3038947011246931</v>
          </cell>
          <cell r="AG356">
            <v>0.32000000000000006</v>
          </cell>
          <cell r="AH356">
            <v>4.2699999999999996</v>
          </cell>
          <cell r="AI356">
            <v>3.4734025810513063</v>
          </cell>
          <cell r="AJ356">
            <v>3.2518315519608789</v>
          </cell>
          <cell r="AK356">
            <v>0.34000000000000008</v>
          </cell>
          <cell r="AL356">
            <v>0.24444444444444446</v>
          </cell>
          <cell r="AM356"/>
          <cell r="AN356" t="str">
            <v>OTRANS</v>
          </cell>
          <cell r="AO356"/>
          <cell r="AP356"/>
          <cell r="AQ356"/>
          <cell r="AR356">
            <v>5.04</v>
          </cell>
          <cell r="AS356">
            <v>17.03</v>
          </cell>
          <cell r="AT356">
            <v>22.07</v>
          </cell>
          <cell r="AU356">
            <v>3.1260623229461757</v>
          </cell>
          <cell r="AV356">
            <v>2.9266483967647909</v>
          </cell>
          <cell r="AW356"/>
          <cell r="AX356">
            <v>8544700000</v>
          </cell>
          <cell r="AZ356">
            <v>14.346315670415644</v>
          </cell>
          <cell r="BA356">
            <v>8.6077894022493862</v>
          </cell>
          <cell r="BB356">
            <v>7.1731578352078218</v>
          </cell>
          <cell r="BC356">
            <v>5.7385262681662574</v>
          </cell>
        </row>
        <row r="357">
          <cell r="I357" t="str">
            <v>KCDOS2SCLC1MEF</v>
          </cell>
          <cell r="J357" t="str">
            <v>U0904005</v>
          </cell>
          <cell r="K357" t="str">
            <v>SC/LC OS2 DUPLEX OPTICAL PATCH CORD 1M ECO FRIENDLY BAG</v>
          </cell>
          <cell r="L357" t="str">
            <v>JARRETIERE OPTIQUE DUPLEX SC/LC OS2 1M SAC ÉCOLOGIQUE</v>
          </cell>
          <cell r="M357"/>
          <cell r="N357" t="str">
            <v>China</v>
          </cell>
          <cell r="O357"/>
          <cell r="P357" t="str">
            <v>1 pc eco friendly bag</v>
          </cell>
          <cell r="Q357" t="str">
            <v>2km per cable</v>
          </cell>
          <cell r="R357">
            <v>2160</v>
          </cell>
          <cell r="S357" t="str">
            <v>4897108884177</v>
          </cell>
          <cell r="T357">
            <v>8544700000</v>
          </cell>
          <cell r="U357">
            <v>0</v>
          </cell>
          <cell r="V357">
            <v>30</v>
          </cell>
          <cell r="W357">
            <v>45</v>
          </cell>
          <cell r="X357">
            <v>55</v>
          </cell>
          <cell r="Y357" t="str">
            <v>T/T 60 days</v>
          </cell>
          <cell r="Z357">
            <v>3.5386919239610459</v>
          </cell>
          <cell r="AA357">
            <v>2.7560405928051179</v>
          </cell>
          <cell r="AB357">
            <v>0.1</v>
          </cell>
          <cell r="AC357">
            <v>0.1</v>
          </cell>
          <cell r="AD357">
            <v>0.32</v>
          </cell>
          <cell r="AE357" t="str">
            <v>C</v>
          </cell>
          <cell r="AF357">
            <v>2.7560405928051179</v>
          </cell>
          <cell r="AG357">
            <v>0.32000000000000006</v>
          </cell>
          <cell r="AH357">
            <v>2.73</v>
          </cell>
          <cell r="AI357">
            <v>2.3355366698142901</v>
          </cell>
          <cell r="AJ357">
            <v>2.0823417812305336</v>
          </cell>
          <cell r="AK357">
            <v>0.34000000000000008</v>
          </cell>
          <cell r="AL357">
            <v>0.24444444444444446</v>
          </cell>
          <cell r="AM357"/>
          <cell r="AN357" t="str">
            <v>OTRANS</v>
          </cell>
          <cell r="AO357"/>
          <cell r="AP357"/>
          <cell r="AQ357"/>
          <cell r="AR357">
            <v>5.04</v>
          </cell>
          <cell r="AS357">
            <v>9.8000000000000007</v>
          </cell>
          <cell r="AT357">
            <v>14.84</v>
          </cell>
          <cell r="AU357">
            <v>2.1019830028328612</v>
          </cell>
          <cell r="AV357">
            <v>1.8741076031074801</v>
          </cell>
          <cell r="AW357"/>
          <cell r="AX357">
            <v>8544700000</v>
          </cell>
          <cell r="AZ357">
            <v>9.1868019760170601</v>
          </cell>
          <cell r="BA357">
            <v>5.5120811856102359</v>
          </cell>
          <cell r="BB357">
            <v>4.59340098800853</v>
          </cell>
          <cell r="BC357">
            <v>3.6747207904068242</v>
          </cell>
        </row>
        <row r="358">
          <cell r="I358" t="str">
            <v>KCDOS2SCLC2MEF</v>
          </cell>
          <cell r="J358" t="str">
            <v>U0904006</v>
          </cell>
          <cell r="K358" t="str">
            <v>SC/LC OS2 DUPLEX OPTICAL PATCH CORD 2M ECO FRIENDLY BAG</v>
          </cell>
          <cell r="L358" t="str">
            <v>JARRETIERE OPTIQUE DUPLEX SC/LC OS2 2M SAC ÉCOLOGIQUE</v>
          </cell>
          <cell r="M358"/>
          <cell r="N358" t="str">
            <v>China</v>
          </cell>
          <cell r="O358"/>
          <cell r="P358" t="str">
            <v>1 pc eco friendly bag</v>
          </cell>
          <cell r="Q358" t="str">
            <v>2km per cable</v>
          </cell>
          <cell r="R358">
            <v>1920</v>
          </cell>
          <cell r="S358" t="e">
            <v>#N/A</v>
          </cell>
          <cell r="T358">
            <v>8544700000</v>
          </cell>
          <cell r="U358">
            <v>0</v>
          </cell>
          <cell r="V358">
            <v>30</v>
          </cell>
          <cell r="W358">
            <v>45</v>
          </cell>
          <cell r="X358">
            <v>55</v>
          </cell>
          <cell r="Y358" t="str">
            <v>T/T 60 days</v>
          </cell>
          <cell r="Z358">
            <v>3.669842904970384</v>
          </cell>
          <cell r="AA358">
            <v>2.8641720190354754</v>
          </cell>
          <cell r="AB358">
            <v>0.1</v>
          </cell>
          <cell r="AC358">
            <v>0.1</v>
          </cell>
          <cell r="AD358">
            <v>0.32</v>
          </cell>
          <cell r="AE358" t="str">
            <v>C</v>
          </cell>
          <cell r="AF358">
            <v>2.8641720190354754</v>
          </cell>
          <cell r="AG358">
            <v>0.32000000000000006</v>
          </cell>
          <cell r="AH358">
            <v>2.84</v>
          </cell>
          <cell r="AI358">
            <v>2.4220963172804533</v>
          </cell>
          <cell r="AJ358">
            <v>2.1640410810490254</v>
          </cell>
          <cell r="AK358">
            <v>0.34000000000000008</v>
          </cell>
          <cell r="AL358">
            <v>0.24444444444444458</v>
          </cell>
          <cell r="AM358"/>
          <cell r="AN358" t="str">
            <v>OTRANS</v>
          </cell>
          <cell r="AO358"/>
          <cell r="AP358"/>
          <cell r="AQ358"/>
          <cell r="AR358">
            <v>5.04</v>
          </cell>
          <cell r="AS358">
            <v>10.35</v>
          </cell>
          <cell r="AT358">
            <v>15.39</v>
          </cell>
          <cell r="AU358">
            <v>2.1798866855524079</v>
          </cell>
          <cell r="AV358">
            <v>1.947636972944123</v>
          </cell>
          <cell r="AW358"/>
          <cell r="AX358">
            <v>8544700000</v>
          </cell>
          <cell r="AZ358">
            <v>9.5472400634515857</v>
          </cell>
          <cell r="BA358">
            <v>5.7283440380709516</v>
          </cell>
          <cell r="BB358">
            <v>4.7736200317257929</v>
          </cell>
          <cell r="BC358">
            <v>3.8188960253806346</v>
          </cell>
        </row>
        <row r="359">
          <cell r="I359" t="str">
            <v>KCDOS2SCLC3MEF</v>
          </cell>
          <cell r="J359" t="str">
            <v>U0904007</v>
          </cell>
          <cell r="K359" t="str">
            <v>SC/LC OS2 DUPLEX OPTICAL PATCH CORD 3M ECO FRIENDLY BAG</v>
          </cell>
          <cell r="L359" t="str">
            <v>JARRETIERE OPTIQUE DUPLEX SC/LC OS2 3M SAC ÉCOLOGIQUE</v>
          </cell>
          <cell r="M359"/>
          <cell r="N359" t="str">
            <v>China</v>
          </cell>
          <cell r="O359"/>
          <cell r="P359" t="str">
            <v>1 pc eco friendly bag</v>
          </cell>
          <cell r="Q359" t="str">
            <v>2km per cable</v>
          </cell>
          <cell r="R359">
            <v>1920</v>
          </cell>
          <cell r="S359" t="e">
            <v>#N/A</v>
          </cell>
          <cell r="T359">
            <v>8544700000</v>
          </cell>
          <cell r="U359">
            <v>0</v>
          </cell>
          <cell r="V359">
            <v>30</v>
          </cell>
          <cell r="W359">
            <v>45</v>
          </cell>
          <cell r="X359">
            <v>55</v>
          </cell>
          <cell r="Y359" t="str">
            <v>T/T 60 days</v>
          </cell>
          <cell r="Z359">
            <v>3.800993885979723</v>
          </cell>
          <cell r="AA359">
            <v>2.9637930966819552</v>
          </cell>
          <cell r="AB359">
            <v>0.1</v>
          </cell>
          <cell r="AC359">
            <v>0.1</v>
          </cell>
          <cell r="AD359">
            <v>0.32</v>
          </cell>
          <cell r="AE359" t="str">
            <v>C</v>
          </cell>
          <cell r="AF359">
            <v>2.9637930966819552</v>
          </cell>
          <cell r="AG359">
            <v>0.32000000000000006</v>
          </cell>
          <cell r="AH359">
            <v>2.94</v>
          </cell>
          <cell r="AI359">
            <v>2.5086559647466169</v>
          </cell>
          <cell r="AJ359">
            <v>2.2393103397152547</v>
          </cell>
          <cell r="AK359">
            <v>0.34000000000000008</v>
          </cell>
          <cell r="AL359">
            <v>0.24444444444444458</v>
          </cell>
          <cell r="AM359"/>
          <cell r="AN359" t="str">
            <v>OTRANS</v>
          </cell>
          <cell r="AO359"/>
          <cell r="AP359"/>
          <cell r="AQ359"/>
          <cell r="AR359">
            <v>5.04</v>
          </cell>
          <cell r="AS359">
            <v>10.9</v>
          </cell>
          <cell r="AT359">
            <v>15.940000000000001</v>
          </cell>
          <cell r="AU359">
            <v>2.2577903682719551</v>
          </cell>
          <cell r="AV359">
            <v>2.0153793057437293</v>
          </cell>
          <cell r="AW359"/>
          <cell r="AX359">
            <v>8544700000</v>
          </cell>
          <cell r="AZ359">
            <v>9.8793103222731844</v>
          </cell>
          <cell r="BA359">
            <v>5.9275861933639105</v>
          </cell>
          <cell r="BB359">
            <v>4.9396551611365922</v>
          </cell>
          <cell r="BC359">
            <v>3.9517241289092739</v>
          </cell>
        </row>
        <row r="360">
          <cell r="I360" t="str">
            <v>KCDOS2SCLC5MEF</v>
          </cell>
          <cell r="J360" t="str">
            <v>U0904008</v>
          </cell>
          <cell r="K360" t="str">
            <v>SC/LC OS2 DUPLEX OPTICAL PATCH CORD 5M ECO FRIENDLY BAG</v>
          </cell>
          <cell r="L360" t="str">
            <v>JARRETIERE OPTIQUE DUPLEX SC/LC OS2 5M SAC ÉCOLOGIQUE</v>
          </cell>
          <cell r="M360"/>
          <cell r="N360" t="str">
            <v>China</v>
          </cell>
          <cell r="O360"/>
          <cell r="P360" t="str">
            <v>1 pc eco friendly bag</v>
          </cell>
          <cell r="Q360" t="str">
            <v>2km per cable</v>
          </cell>
          <cell r="R360">
            <v>1440</v>
          </cell>
          <cell r="S360" t="e">
            <v>#N/A</v>
          </cell>
          <cell r="T360">
            <v>8544700000</v>
          </cell>
          <cell r="U360">
            <v>0</v>
          </cell>
          <cell r="V360">
            <v>30</v>
          </cell>
          <cell r="W360">
            <v>45</v>
          </cell>
          <cell r="X360">
            <v>55</v>
          </cell>
          <cell r="Y360" t="str">
            <v>T/T 60 days</v>
          </cell>
          <cell r="Z360">
            <v>4.0489884682519248</v>
          </cell>
          <cell r="AA360">
            <v>3.1776985438014775</v>
          </cell>
          <cell r="AB360">
            <v>0.1</v>
          </cell>
          <cell r="AC360">
            <v>0.1</v>
          </cell>
          <cell r="AD360">
            <v>0.32</v>
          </cell>
          <cell r="AE360" t="str">
            <v>C</v>
          </cell>
          <cell r="AF360">
            <v>3.1776985438014775</v>
          </cell>
          <cell r="AG360">
            <v>0.32000000000000006</v>
          </cell>
          <cell r="AH360">
            <v>3.15</v>
          </cell>
          <cell r="AI360">
            <v>2.6723323890462702</v>
          </cell>
          <cell r="AJ360">
            <v>2.4009277886500047</v>
          </cell>
          <cell r="AK360">
            <v>0.34000000000000008</v>
          </cell>
          <cell r="AL360">
            <v>0.24444444444444458</v>
          </cell>
          <cell r="AM360"/>
          <cell r="AN360" t="str">
            <v>OTRANS</v>
          </cell>
          <cell r="AO360"/>
          <cell r="AP360"/>
          <cell r="AQ360"/>
          <cell r="AR360">
            <v>5.04</v>
          </cell>
          <cell r="AS360">
            <v>11.94</v>
          </cell>
          <cell r="AT360">
            <v>16.98</v>
          </cell>
          <cell r="AU360">
            <v>2.4050991501416434</v>
          </cell>
          <cell r="AV360">
            <v>2.1608350097850044</v>
          </cell>
          <cell r="AW360"/>
          <cell r="AX360">
            <v>8544700000</v>
          </cell>
          <cell r="AZ360">
            <v>10.592328479338258</v>
          </cell>
          <cell r="BA360">
            <v>6.3553970876029551</v>
          </cell>
          <cell r="BB360">
            <v>5.2961642396691291</v>
          </cell>
          <cell r="BC360">
            <v>4.2369313917353031</v>
          </cell>
        </row>
        <row r="361">
          <cell r="I361" t="str">
            <v>KCDOS2SCLC10MEF</v>
          </cell>
          <cell r="J361" t="str">
            <v/>
          </cell>
          <cell r="K361" t="str">
            <v>SC/LC OS2 DUPLEX OPTICAL PATCH CORD 10M ECO FRIENDLY BAG</v>
          </cell>
          <cell r="L361" t="str">
            <v>JARRETIERE OPTIQUE DUPLEX SC/LC OS2 10M SAC ÉCOLOGIQUE</v>
          </cell>
          <cell r="M361"/>
          <cell r="N361" t="str">
            <v>China</v>
          </cell>
          <cell r="O361"/>
          <cell r="P361" t="str">
            <v>1 pc eco friendly bag</v>
          </cell>
          <cell r="Q361" t="str">
            <v>2km per cable</v>
          </cell>
          <cell r="R361">
            <v>720</v>
          </cell>
          <cell r="S361" t="e">
            <v>#N/A</v>
          </cell>
          <cell r="T361">
            <v>8544700000</v>
          </cell>
          <cell r="U361">
            <v>0</v>
          </cell>
          <cell r="V361">
            <v>30</v>
          </cell>
          <cell r="W361">
            <v>45</v>
          </cell>
          <cell r="X361">
            <v>55</v>
          </cell>
          <cell r="Y361" t="str">
            <v>T/T 60 days</v>
          </cell>
          <cell r="Z361">
            <v>4.5831306454535925</v>
          </cell>
          <cell r="AA361">
            <v>3.6855522066773099</v>
          </cell>
          <cell r="AB361">
            <v>0.1</v>
          </cell>
          <cell r="AC361">
            <v>0.1</v>
          </cell>
          <cell r="AD361">
            <v>0.32</v>
          </cell>
          <cell r="AE361" t="str">
            <v>C</v>
          </cell>
          <cell r="AF361">
            <v>3.6855522066773099</v>
          </cell>
          <cell r="AG361">
            <v>0.32000000000000006</v>
          </cell>
          <cell r="AH361">
            <v>3.66</v>
          </cell>
          <cell r="AI361">
            <v>3.0248662259993706</v>
          </cell>
          <cell r="AJ361">
            <v>2.7846394450450784</v>
          </cell>
          <cell r="AK361">
            <v>0.34000000000000008</v>
          </cell>
          <cell r="AL361">
            <v>0.24444444444444446</v>
          </cell>
          <cell r="AM361"/>
          <cell r="AN361" t="str">
            <v>OTRANS</v>
          </cell>
          <cell r="AO361"/>
          <cell r="AP361"/>
          <cell r="AQ361"/>
          <cell r="AR361">
            <v>5.04</v>
          </cell>
          <cell r="AS361">
            <v>14.18</v>
          </cell>
          <cell r="AT361">
            <v>19.22</v>
          </cell>
          <cell r="AU361">
            <v>2.7223796033994336</v>
          </cell>
          <cell r="AV361">
            <v>2.5061755005405706</v>
          </cell>
          <cell r="AW361"/>
          <cell r="AX361">
            <v>8544700000</v>
          </cell>
          <cell r="AZ361">
            <v>12.285174022257699</v>
          </cell>
          <cell r="BA361">
            <v>7.3711044133546189</v>
          </cell>
          <cell r="BB361">
            <v>6.1425870111288496</v>
          </cell>
          <cell r="BC361">
            <v>4.9140696089030804</v>
          </cell>
        </row>
        <row r="362">
          <cell r="I362" t="str">
            <v>KCDOS2SCLC15MEF</v>
          </cell>
          <cell r="J362" t="str">
            <v/>
          </cell>
          <cell r="K362" t="str">
            <v>SC/LC OS2 DUPLEX OPTICAL PATCH CORD 15M ECO FRIENDLY BAG</v>
          </cell>
          <cell r="L362" t="str">
            <v>JARRETIERE OPTIQUE DUPLEX SC/LC OS2 15M SAC ÉCOLOGIQUE</v>
          </cell>
          <cell r="M362"/>
          <cell r="N362" t="str">
            <v>China</v>
          </cell>
          <cell r="O362"/>
          <cell r="P362" t="str">
            <v>1 pc eco friendly bag</v>
          </cell>
          <cell r="Q362" t="str">
            <v>2km per cable</v>
          </cell>
          <cell r="R362">
            <v>480</v>
          </cell>
          <cell r="S362" t="e">
            <v>#N/A</v>
          </cell>
          <cell r="T362">
            <v>8544700000</v>
          </cell>
          <cell r="U362">
            <v>0</v>
          </cell>
          <cell r="V362">
            <v>30</v>
          </cell>
          <cell r="W362">
            <v>45</v>
          </cell>
          <cell r="X362">
            <v>55</v>
          </cell>
          <cell r="Y362" t="str">
            <v>T/T 60 days</v>
          </cell>
          <cell r="Z362">
            <v>5.2627311834110708</v>
          </cell>
          <cell r="AA362">
            <v>4.3038947011246931</v>
          </cell>
          <cell r="AB362">
            <v>0.1</v>
          </cell>
          <cell r="AC362">
            <v>0.1</v>
          </cell>
          <cell r="AD362">
            <v>0.32</v>
          </cell>
          <cell r="AE362" t="str">
            <v>C</v>
          </cell>
          <cell r="AF362">
            <v>4.3038947011246931</v>
          </cell>
          <cell r="AG362">
            <v>0.32000000000000006</v>
          </cell>
          <cell r="AH362">
            <v>4.2699999999999996</v>
          </cell>
          <cell r="AI362">
            <v>3.4734025810513063</v>
          </cell>
          <cell r="AJ362">
            <v>3.2518315519608789</v>
          </cell>
          <cell r="AK362">
            <v>0.34000000000000008</v>
          </cell>
          <cell r="AL362">
            <v>0.24444444444444446</v>
          </cell>
          <cell r="AM362"/>
          <cell r="AN362" t="str">
            <v>OTRANS</v>
          </cell>
          <cell r="AO362"/>
          <cell r="AP362"/>
          <cell r="AQ362"/>
          <cell r="AR362">
            <v>5.04</v>
          </cell>
          <cell r="AS362">
            <v>17.03</v>
          </cell>
          <cell r="AT362">
            <v>22.07</v>
          </cell>
          <cell r="AU362">
            <v>3.1260623229461757</v>
          </cell>
          <cell r="AV362">
            <v>2.9266483967647909</v>
          </cell>
          <cell r="AW362"/>
          <cell r="AX362">
            <v>8544700000</v>
          </cell>
          <cell r="AZ362">
            <v>14.346315670415644</v>
          </cell>
          <cell r="BA362">
            <v>8.6077894022493862</v>
          </cell>
          <cell r="BB362">
            <v>7.1731578352078218</v>
          </cell>
          <cell r="BC362">
            <v>5.7385262681662574</v>
          </cell>
        </row>
        <row r="363">
          <cell r="I363" t="str">
            <v>KCDOS2LCLC1MEF</v>
          </cell>
          <cell r="J363" t="str">
            <v>U0904001</v>
          </cell>
          <cell r="K363" t="str">
            <v>LC/LC OS2 DUPLEX OPTICAL PATCH CORD 1M ECO FRIENDLY BAG</v>
          </cell>
          <cell r="L363" t="str">
            <v>JARRETIERE OPTIQUE DUPLEX LC/LC OS2 1M SAC ÉCOLOGIQUE</v>
          </cell>
          <cell r="M363"/>
          <cell r="N363" t="str">
            <v>China</v>
          </cell>
          <cell r="O363"/>
          <cell r="P363" t="str">
            <v>1 pc eco friendly bag</v>
          </cell>
          <cell r="Q363" t="str">
            <v>2km per cable</v>
          </cell>
          <cell r="R363">
            <v>2160</v>
          </cell>
          <cell r="S363" t="str">
            <v>4897108884146</v>
          </cell>
          <cell r="T363">
            <v>8544700000</v>
          </cell>
          <cell r="U363">
            <v>0</v>
          </cell>
          <cell r="V363">
            <v>30</v>
          </cell>
          <cell r="W363">
            <v>45</v>
          </cell>
          <cell r="X363">
            <v>55</v>
          </cell>
          <cell r="Y363" t="str">
            <v>T/T 60 days</v>
          </cell>
          <cell r="Z363">
            <v>3.5386919239610459</v>
          </cell>
          <cell r="AA363">
            <v>2.7560405928051179</v>
          </cell>
          <cell r="AB363">
            <v>0.1</v>
          </cell>
          <cell r="AC363">
            <v>0.1</v>
          </cell>
          <cell r="AD363">
            <v>0.32</v>
          </cell>
          <cell r="AE363" t="str">
            <v>C</v>
          </cell>
          <cell r="AF363">
            <v>2.7560405928051179</v>
          </cell>
          <cell r="AG363">
            <v>0.32000000000000006</v>
          </cell>
          <cell r="AH363">
            <v>2.73</v>
          </cell>
          <cell r="AI363">
            <v>2.3355366698142901</v>
          </cell>
          <cell r="AJ363">
            <v>2.0823417812305336</v>
          </cell>
          <cell r="AK363">
            <v>0.34000000000000008</v>
          </cell>
          <cell r="AL363">
            <v>0.24444444444444446</v>
          </cell>
          <cell r="AM363"/>
          <cell r="AN363" t="str">
            <v>OTRANS</v>
          </cell>
          <cell r="AO363"/>
          <cell r="AP363"/>
          <cell r="AQ363"/>
          <cell r="AR363">
            <v>5.04</v>
          </cell>
          <cell r="AS363">
            <v>9.8000000000000007</v>
          </cell>
          <cell r="AT363">
            <v>14.84</v>
          </cell>
          <cell r="AU363">
            <v>2.1019830028328612</v>
          </cell>
          <cell r="AV363">
            <v>1.8741076031074801</v>
          </cell>
          <cell r="AW363"/>
          <cell r="AX363">
            <v>8544700000</v>
          </cell>
          <cell r="AZ363">
            <v>9.1868019760170601</v>
          </cell>
          <cell r="BA363">
            <v>5.5120811856102359</v>
          </cell>
          <cell r="BB363">
            <v>4.59340098800853</v>
          </cell>
          <cell r="BC363">
            <v>3.6747207904068242</v>
          </cell>
        </row>
        <row r="364">
          <cell r="I364" t="str">
            <v>KCDOS2LCLC2MEF</v>
          </cell>
          <cell r="J364" t="str">
            <v>U0904002</v>
          </cell>
          <cell r="K364" t="str">
            <v>LC/LC OS2 DUPLEX OPTICAL PATCH CORD 2M ECO FRIENDLY BAG</v>
          </cell>
          <cell r="L364" t="str">
            <v>JARRETIERE OPTIQUE DUPLEX LC/LC OS2 2M SAC ÉCOLOGIQUE</v>
          </cell>
          <cell r="M364"/>
          <cell r="N364" t="str">
            <v>China</v>
          </cell>
          <cell r="O364"/>
          <cell r="P364" t="str">
            <v>1 pc eco friendly bag</v>
          </cell>
          <cell r="Q364" t="str">
            <v>2km per cable</v>
          </cell>
          <cell r="R364">
            <v>1920</v>
          </cell>
          <cell r="S364" t="e">
            <v>#N/A</v>
          </cell>
          <cell r="T364">
            <v>8544700000</v>
          </cell>
          <cell r="U364">
            <v>0</v>
          </cell>
          <cell r="V364">
            <v>30</v>
          </cell>
          <cell r="W364">
            <v>45</v>
          </cell>
          <cell r="X364">
            <v>55</v>
          </cell>
          <cell r="Y364" t="str">
            <v>T/T 60 days</v>
          </cell>
          <cell r="Z364">
            <v>3.669842904970384</v>
          </cell>
          <cell r="AA364">
            <v>2.8641720190354754</v>
          </cell>
          <cell r="AB364">
            <v>0.1</v>
          </cell>
          <cell r="AC364">
            <v>0.1</v>
          </cell>
          <cell r="AD364">
            <v>0.32</v>
          </cell>
          <cell r="AE364" t="str">
            <v>C</v>
          </cell>
          <cell r="AF364">
            <v>2.8641720190354754</v>
          </cell>
          <cell r="AG364">
            <v>0.32000000000000006</v>
          </cell>
          <cell r="AH364">
            <v>2.84</v>
          </cell>
          <cell r="AI364">
            <v>2.4220963172804533</v>
          </cell>
          <cell r="AJ364">
            <v>2.1640410810490254</v>
          </cell>
          <cell r="AK364">
            <v>0.34000000000000008</v>
          </cell>
          <cell r="AL364">
            <v>0.24444444444444458</v>
          </cell>
          <cell r="AM364"/>
          <cell r="AN364" t="str">
            <v>OTRANS</v>
          </cell>
          <cell r="AO364"/>
          <cell r="AP364"/>
          <cell r="AQ364"/>
          <cell r="AR364">
            <v>5.04</v>
          </cell>
          <cell r="AS364">
            <v>10.35</v>
          </cell>
          <cell r="AT364">
            <v>15.39</v>
          </cell>
          <cell r="AU364">
            <v>2.1798866855524079</v>
          </cell>
          <cell r="AV364">
            <v>1.947636972944123</v>
          </cell>
          <cell r="AW364"/>
          <cell r="AX364">
            <v>8544700000</v>
          </cell>
          <cell r="AZ364">
            <v>9.5472400634515857</v>
          </cell>
          <cell r="BA364">
            <v>5.7283440380709516</v>
          </cell>
          <cell r="BB364">
            <v>4.7736200317257929</v>
          </cell>
          <cell r="BC364">
            <v>3.8188960253806346</v>
          </cell>
        </row>
        <row r="365">
          <cell r="I365" t="str">
            <v>KCDOS2LCLC3MEF</v>
          </cell>
          <cell r="J365" t="str">
            <v>U0904003</v>
          </cell>
          <cell r="K365" t="str">
            <v>LC/LC OS2 DUPLEX OPTICAL PATCH CORD 3M ECO FRIENDLY BAG</v>
          </cell>
          <cell r="L365" t="str">
            <v>JARRETIERE OPTIQUE DUPLEX LC/LC OS2 3MSAC ÉCOLOGIQUE</v>
          </cell>
          <cell r="M365"/>
          <cell r="N365" t="str">
            <v>China</v>
          </cell>
          <cell r="O365"/>
          <cell r="P365" t="str">
            <v>1 pc eco friendly bag</v>
          </cell>
          <cell r="Q365" t="str">
            <v>2km per cable</v>
          </cell>
          <cell r="R365">
            <v>1920</v>
          </cell>
          <cell r="S365" t="str">
            <v>4897108884153</v>
          </cell>
          <cell r="T365">
            <v>8544700000</v>
          </cell>
          <cell r="U365">
            <v>0</v>
          </cell>
          <cell r="V365">
            <v>30</v>
          </cell>
          <cell r="W365">
            <v>45</v>
          </cell>
          <cell r="X365">
            <v>55</v>
          </cell>
          <cell r="Y365" t="str">
            <v>T/T 60 days</v>
          </cell>
          <cell r="Z365">
            <v>3.800993885979723</v>
          </cell>
          <cell r="AA365">
            <v>2.9637930966819552</v>
          </cell>
          <cell r="AB365">
            <v>0.1</v>
          </cell>
          <cell r="AC365">
            <v>0.1</v>
          </cell>
          <cell r="AD365">
            <v>0.32</v>
          </cell>
          <cell r="AE365" t="str">
            <v>C</v>
          </cell>
          <cell r="AF365">
            <v>2.9637930966819552</v>
          </cell>
          <cell r="AG365">
            <v>0.32000000000000006</v>
          </cell>
          <cell r="AH365">
            <v>2.94</v>
          </cell>
          <cell r="AI365">
            <v>2.5086559647466169</v>
          </cell>
          <cell r="AJ365">
            <v>2.2393103397152547</v>
          </cell>
          <cell r="AK365">
            <v>0.34000000000000008</v>
          </cell>
          <cell r="AL365">
            <v>0.24444444444444458</v>
          </cell>
          <cell r="AM365"/>
          <cell r="AN365" t="str">
            <v>OTRANS</v>
          </cell>
          <cell r="AO365"/>
          <cell r="AP365"/>
          <cell r="AQ365"/>
          <cell r="AR365">
            <v>5.04</v>
          </cell>
          <cell r="AS365">
            <v>10.9</v>
          </cell>
          <cell r="AT365">
            <v>15.940000000000001</v>
          </cell>
          <cell r="AU365">
            <v>2.2577903682719551</v>
          </cell>
          <cell r="AV365">
            <v>2.0153793057437293</v>
          </cell>
          <cell r="AW365"/>
          <cell r="AX365">
            <v>8544700000</v>
          </cell>
          <cell r="AZ365">
            <v>9.8793103222731844</v>
          </cell>
          <cell r="BA365">
            <v>5.9275861933639105</v>
          </cell>
          <cell r="BB365">
            <v>4.9396551611365922</v>
          </cell>
          <cell r="BC365">
            <v>3.9517241289092739</v>
          </cell>
        </row>
        <row r="366">
          <cell r="I366" t="str">
            <v>KCDOS2LCLC5MEF</v>
          </cell>
          <cell r="J366" t="str">
            <v>U0904004</v>
          </cell>
          <cell r="K366" t="str">
            <v>LC/LC OS2 DUPLEX OPTICAL PATCH CORD 5M ECO FRIENDLY BAG</v>
          </cell>
          <cell r="L366" t="str">
            <v>JARRETIERE OPTIQUE DUPLEX LC/LC OS2 5M SAC ÉCOLOGIQUE</v>
          </cell>
          <cell r="M366"/>
          <cell r="N366" t="str">
            <v>China</v>
          </cell>
          <cell r="O366"/>
          <cell r="P366" t="str">
            <v>1 pc eco friendly bag</v>
          </cell>
          <cell r="Q366" t="str">
            <v>2km per cable</v>
          </cell>
          <cell r="R366">
            <v>1440</v>
          </cell>
          <cell r="S366" t="str">
            <v>4897108884160</v>
          </cell>
          <cell r="T366">
            <v>8544700000</v>
          </cell>
          <cell r="U366">
            <v>0</v>
          </cell>
          <cell r="V366">
            <v>30</v>
          </cell>
          <cell r="W366">
            <v>45</v>
          </cell>
          <cell r="X366">
            <v>55</v>
          </cell>
          <cell r="Y366" t="str">
            <v>T/T 60 days</v>
          </cell>
          <cell r="Z366">
            <v>4.0489884682519248</v>
          </cell>
          <cell r="AA366">
            <v>3.1776985438014775</v>
          </cell>
          <cell r="AB366">
            <v>0.1</v>
          </cell>
          <cell r="AC366">
            <v>0.1</v>
          </cell>
          <cell r="AD366">
            <v>0.32</v>
          </cell>
          <cell r="AE366" t="str">
            <v>C</v>
          </cell>
          <cell r="AF366">
            <v>3.1776985438014775</v>
          </cell>
          <cell r="AG366">
            <v>0.32000000000000006</v>
          </cell>
          <cell r="AH366">
            <v>3.15</v>
          </cell>
          <cell r="AI366">
            <v>2.6723323890462702</v>
          </cell>
          <cell r="AJ366">
            <v>2.4009277886500047</v>
          </cell>
          <cell r="AK366">
            <v>0.34000000000000008</v>
          </cell>
          <cell r="AL366">
            <v>0.24444444444444458</v>
          </cell>
          <cell r="AM366"/>
          <cell r="AN366" t="str">
            <v>OTRANS</v>
          </cell>
          <cell r="AO366"/>
          <cell r="AP366"/>
          <cell r="AQ366"/>
          <cell r="AR366">
            <v>5.04</v>
          </cell>
          <cell r="AS366">
            <v>11.94</v>
          </cell>
          <cell r="AT366">
            <v>16.98</v>
          </cell>
          <cell r="AU366">
            <v>2.4050991501416434</v>
          </cell>
          <cell r="AV366">
            <v>2.1608350097850044</v>
          </cell>
          <cell r="AW366"/>
          <cell r="AX366">
            <v>8544700000</v>
          </cell>
          <cell r="AZ366">
            <v>10.592328479338258</v>
          </cell>
          <cell r="BA366">
            <v>6.3553970876029551</v>
          </cell>
          <cell r="BB366">
            <v>5.2961642396691291</v>
          </cell>
          <cell r="BC366">
            <v>4.2369313917353031</v>
          </cell>
        </row>
        <row r="367">
          <cell r="I367" t="str">
            <v>KCDOS2LCLC10MEF</v>
          </cell>
          <cell r="J367" t="str">
            <v/>
          </cell>
          <cell r="K367" t="str">
            <v>LC/LC OS2 DUPLEX OPTICAL PATCH CORD 10M ECO FRIENDLY BAG</v>
          </cell>
          <cell r="L367" t="str">
            <v>JARRETIERE OPTIQUE DUPLEX LC/LC OS2 10M SAC ÉCOLOGIQUE</v>
          </cell>
          <cell r="M367"/>
          <cell r="N367" t="str">
            <v>China</v>
          </cell>
          <cell r="O367"/>
          <cell r="P367" t="str">
            <v>1 pc eco friendly bag</v>
          </cell>
          <cell r="Q367" t="str">
            <v>2km per cable</v>
          </cell>
          <cell r="R367">
            <v>720</v>
          </cell>
          <cell r="S367" t="e">
            <v>#N/A</v>
          </cell>
          <cell r="T367">
            <v>8544700000</v>
          </cell>
          <cell r="U367">
            <v>0</v>
          </cell>
          <cell r="V367">
            <v>30</v>
          </cell>
          <cell r="W367">
            <v>45</v>
          </cell>
          <cell r="X367">
            <v>55</v>
          </cell>
          <cell r="Y367" t="str">
            <v>T/T 60 days</v>
          </cell>
          <cell r="Z367">
            <v>4.5831306454535925</v>
          </cell>
          <cell r="AA367">
            <v>3.6855522066773099</v>
          </cell>
          <cell r="AB367">
            <v>0.1</v>
          </cell>
          <cell r="AC367">
            <v>0.1</v>
          </cell>
          <cell r="AD367">
            <v>0.32</v>
          </cell>
          <cell r="AE367" t="str">
            <v>C</v>
          </cell>
          <cell r="AF367">
            <v>3.6855522066773099</v>
          </cell>
          <cell r="AG367">
            <v>0.32000000000000006</v>
          </cell>
          <cell r="AH367">
            <v>3.66</v>
          </cell>
          <cell r="AI367">
            <v>3.0248662259993706</v>
          </cell>
          <cell r="AJ367">
            <v>2.7846394450450784</v>
          </cell>
          <cell r="AK367">
            <v>0.34000000000000008</v>
          </cell>
          <cell r="AL367">
            <v>0.24444444444444446</v>
          </cell>
          <cell r="AM367"/>
          <cell r="AN367" t="str">
            <v>OTRANS</v>
          </cell>
          <cell r="AO367"/>
          <cell r="AP367"/>
          <cell r="AQ367"/>
          <cell r="AR367">
            <v>5.04</v>
          </cell>
          <cell r="AS367">
            <v>14.18</v>
          </cell>
          <cell r="AT367">
            <v>19.22</v>
          </cell>
          <cell r="AU367">
            <v>2.7223796033994336</v>
          </cell>
          <cell r="AV367">
            <v>2.5061755005405706</v>
          </cell>
          <cell r="AW367"/>
          <cell r="AX367">
            <v>8544700000</v>
          </cell>
          <cell r="AZ367">
            <v>12.285174022257699</v>
          </cell>
          <cell r="BA367">
            <v>7.3711044133546189</v>
          </cell>
          <cell r="BB367">
            <v>6.1425870111288496</v>
          </cell>
          <cell r="BC367">
            <v>4.9140696089030804</v>
          </cell>
        </row>
        <row r="368">
          <cell r="I368" t="str">
            <v>KCDOS2LCLC15MEF</v>
          </cell>
          <cell r="J368" t="str">
            <v/>
          </cell>
          <cell r="K368" t="str">
            <v>LC/LC OS2 DUPLEX OPTICAL PATCH CORD 15M ECO FRIENDLY BAG</v>
          </cell>
          <cell r="L368" t="str">
            <v>JARRETIERE OPTIQUE DUPLEX LC/LC OS2 15M SAC ÉCOLOGIQUE</v>
          </cell>
          <cell r="M368"/>
          <cell r="N368" t="str">
            <v>China</v>
          </cell>
          <cell r="O368"/>
          <cell r="P368" t="str">
            <v>1 pc eco friendly bag</v>
          </cell>
          <cell r="Q368" t="str">
            <v>2km per cable</v>
          </cell>
          <cell r="R368">
            <v>480</v>
          </cell>
          <cell r="S368" t="e">
            <v>#N/A</v>
          </cell>
          <cell r="T368">
            <v>8544700000</v>
          </cell>
          <cell r="U368">
            <v>0</v>
          </cell>
          <cell r="V368">
            <v>30</v>
          </cell>
          <cell r="W368">
            <v>45</v>
          </cell>
          <cell r="X368">
            <v>55</v>
          </cell>
          <cell r="Y368" t="str">
            <v>T/T 60 days</v>
          </cell>
          <cell r="Z368">
            <v>5.2627311834110708</v>
          </cell>
          <cell r="AA368">
            <v>4.3038947011246931</v>
          </cell>
          <cell r="AB368">
            <v>0.1</v>
          </cell>
          <cell r="AC368">
            <v>0.1</v>
          </cell>
          <cell r="AD368">
            <v>0.32</v>
          </cell>
          <cell r="AE368" t="str">
            <v>C</v>
          </cell>
          <cell r="AF368">
            <v>4.3038947011246931</v>
          </cell>
          <cell r="AG368">
            <v>0.32000000000000006</v>
          </cell>
          <cell r="AH368">
            <v>4.2699999999999996</v>
          </cell>
          <cell r="AI368">
            <v>3.4734025810513063</v>
          </cell>
          <cell r="AJ368">
            <v>3.2518315519608789</v>
          </cell>
          <cell r="AK368">
            <v>0.34000000000000008</v>
          </cell>
          <cell r="AL368">
            <v>0.24444444444444446</v>
          </cell>
          <cell r="AM368"/>
          <cell r="AN368" t="str">
            <v>OTRANS</v>
          </cell>
          <cell r="AO368"/>
          <cell r="AP368"/>
          <cell r="AQ368"/>
          <cell r="AR368">
            <v>5.04</v>
          </cell>
          <cell r="AS368">
            <v>17.03</v>
          </cell>
          <cell r="AT368">
            <v>22.07</v>
          </cell>
          <cell r="AU368">
            <v>3.1260623229461757</v>
          </cell>
          <cell r="AV368">
            <v>2.9266483967647909</v>
          </cell>
          <cell r="AW368"/>
          <cell r="AX368">
            <v>8544700000</v>
          </cell>
          <cell r="AZ368">
            <v>14.346315670415644</v>
          </cell>
          <cell r="BA368">
            <v>8.6077894022493862</v>
          </cell>
          <cell r="BB368">
            <v>7.1731578352078218</v>
          </cell>
          <cell r="BC368">
            <v>5.7385262681662574</v>
          </cell>
        </row>
        <row r="369">
          <cell r="I369" t="str">
            <v>KCDOS2LCLC1MEF</v>
          </cell>
          <cell r="J369" t="str">
            <v>U0904001</v>
          </cell>
          <cell r="K369" t="str">
            <v>LC/LC OS2 DUPLEX OPTICAL PATCH CORD 1M ECO FRIENDLY BAG</v>
          </cell>
          <cell r="L369" t="str">
            <v>JARRETIERE OPTIQUE DUPLEX LC/LC OS2 1M SAC ÉCOLOGIQUE</v>
          </cell>
          <cell r="M369"/>
          <cell r="N369" t="str">
            <v>China</v>
          </cell>
          <cell r="O369"/>
          <cell r="P369" t="str">
            <v>1 pc eco friendly bag</v>
          </cell>
          <cell r="Q369" t="str">
            <v>2km per cable</v>
          </cell>
          <cell r="R369">
            <v>2160</v>
          </cell>
          <cell r="S369" t="str">
            <v>4897108884146</v>
          </cell>
          <cell r="T369">
            <v>8544700000</v>
          </cell>
          <cell r="U369">
            <v>0</v>
          </cell>
          <cell r="V369">
            <v>30</v>
          </cell>
          <cell r="W369">
            <v>45</v>
          </cell>
          <cell r="X369">
            <v>55</v>
          </cell>
          <cell r="Y369" t="str">
            <v>T/T 60 days</v>
          </cell>
          <cell r="Z369">
            <v>3.5386919239610459</v>
          </cell>
          <cell r="AA369">
            <v>2.7560405928051179</v>
          </cell>
          <cell r="AB369">
            <v>0.1</v>
          </cell>
          <cell r="AC369">
            <v>0.1</v>
          </cell>
          <cell r="AD369">
            <v>0.32</v>
          </cell>
          <cell r="AE369" t="str">
            <v>C</v>
          </cell>
          <cell r="AF369">
            <v>2.7560405928051179</v>
          </cell>
          <cell r="AG369">
            <v>0.32000000000000006</v>
          </cell>
          <cell r="AH369">
            <v>2.73</v>
          </cell>
          <cell r="AI369">
            <v>2.3355366698142901</v>
          </cell>
          <cell r="AJ369">
            <v>2.0823417812305336</v>
          </cell>
          <cell r="AK369">
            <v>0.34000000000000008</v>
          </cell>
          <cell r="AL369">
            <v>0.24444444444444446</v>
          </cell>
          <cell r="AM369"/>
          <cell r="AN369" t="str">
            <v>OTRANS</v>
          </cell>
          <cell r="AO369"/>
          <cell r="AP369"/>
          <cell r="AQ369"/>
          <cell r="AR369">
            <v>5.04</v>
          </cell>
          <cell r="AS369">
            <v>9.8000000000000007</v>
          </cell>
          <cell r="AT369">
            <v>14.84</v>
          </cell>
          <cell r="AU369">
            <v>2.1019830028328612</v>
          </cell>
          <cell r="AV369">
            <v>1.8741076031074801</v>
          </cell>
          <cell r="AW369"/>
          <cell r="AX369">
            <v>8544700000</v>
          </cell>
          <cell r="AZ369">
            <v>9.1868019760170601</v>
          </cell>
          <cell r="BA369">
            <v>5.5120811856102359</v>
          </cell>
          <cell r="BB369">
            <v>4.59340098800853</v>
          </cell>
          <cell r="BC369">
            <v>3.6747207904068242</v>
          </cell>
        </row>
        <row r="370">
          <cell r="I370" t="str">
            <v>KCDOS2LCLC2MEF</v>
          </cell>
          <cell r="J370" t="str">
            <v>U0904002</v>
          </cell>
          <cell r="K370" t="str">
            <v>LC/LC OS2 DUPLEX OPTICAL PATCH CORD 2M ECO FRIENDLY BAG</v>
          </cell>
          <cell r="L370" t="str">
            <v>JARRETIERE OPTIQUE DUPLEX LC/LC OS2 2M SAC ÉCOLOGIQUE</v>
          </cell>
          <cell r="M370"/>
          <cell r="N370" t="str">
            <v>China</v>
          </cell>
          <cell r="O370"/>
          <cell r="P370" t="str">
            <v>1 pc eco friendly bag</v>
          </cell>
          <cell r="Q370" t="str">
            <v>2km per cable</v>
          </cell>
          <cell r="R370">
            <v>1920</v>
          </cell>
          <cell r="S370" t="e">
            <v>#N/A</v>
          </cell>
          <cell r="T370">
            <v>8544700000</v>
          </cell>
          <cell r="U370">
            <v>0</v>
          </cell>
          <cell r="V370">
            <v>30</v>
          </cell>
          <cell r="W370">
            <v>45</v>
          </cell>
          <cell r="X370">
            <v>55</v>
          </cell>
          <cell r="Y370" t="str">
            <v>T/T 60 days</v>
          </cell>
          <cell r="Z370">
            <v>3.669842904970384</v>
          </cell>
          <cell r="AA370">
            <v>2.8641720190354754</v>
          </cell>
          <cell r="AB370">
            <v>0.1</v>
          </cell>
          <cell r="AC370">
            <v>0.1</v>
          </cell>
          <cell r="AD370">
            <v>0.32</v>
          </cell>
          <cell r="AE370" t="str">
            <v>C</v>
          </cell>
          <cell r="AF370">
            <v>2.8641720190354754</v>
          </cell>
          <cell r="AG370">
            <v>0.32000000000000006</v>
          </cell>
          <cell r="AH370">
            <v>2.84</v>
          </cell>
          <cell r="AI370">
            <v>2.4220963172804533</v>
          </cell>
          <cell r="AJ370">
            <v>2.1640410810490254</v>
          </cell>
          <cell r="AK370">
            <v>0.34000000000000008</v>
          </cell>
          <cell r="AL370">
            <v>0.24444444444444458</v>
          </cell>
          <cell r="AM370"/>
          <cell r="AN370" t="str">
            <v>OTRANS</v>
          </cell>
          <cell r="AO370"/>
          <cell r="AP370"/>
          <cell r="AQ370"/>
          <cell r="AR370">
            <v>5.04</v>
          </cell>
          <cell r="AS370">
            <v>10.35</v>
          </cell>
          <cell r="AT370">
            <v>15.39</v>
          </cell>
          <cell r="AU370">
            <v>2.1798866855524079</v>
          </cell>
          <cell r="AV370">
            <v>1.947636972944123</v>
          </cell>
          <cell r="AW370"/>
          <cell r="AX370">
            <v>8544700000</v>
          </cell>
          <cell r="AZ370">
            <v>9.5472400634515857</v>
          </cell>
          <cell r="BA370">
            <v>5.7283440380709516</v>
          </cell>
          <cell r="BB370">
            <v>4.7736200317257929</v>
          </cell>
          <cell r="BC370">
            <v>3.8188960253806346</v>
          </cell>
        </row>
        <row r="371">
          <cell r="I371" t="str">
            <v>KCDOS2LCLC3MEF</v>
          </cell>
          <cell r="J371" t="str">
            <v>U0904003</v>
          </cell>
          <cell r="K371" t="str">
            <v>LC/LC OS2 DUPLEX OPTICAL PATCH CORD 3M ECO FRIENDLY BAG</v>
          </cell>
          <cell r="L371" t="str">
            <v>JARRETIERE OPTIQUE DUPLEX LC/LC OS2 3MSAC ÉCOLOGIQUE</v>
          </cell>
          <cell r="M371"/>
          <cell r="N371" t="str">
            <v>China</v>
          </cell>
          <cell r="O371"/>
          <cell r="P371" t="str">
            <v>1 pc eco friendly bag</v>
          </cell>
          <cell r="Q371" t="str">
            <v>2km per cable</v>
          </cell>
          <cell r="R371">
            <v>1920</v>
          </cell>
          <cell r="S371" t="str">
            <v>4897108884153</v>
          </cell>
          <cell r="T371">
            <v>8544700000</v>
          </cell>
          <cell r="U371">
            <v>0</v>
          </cell>
          <cell r="V371">
            <v>30</v>
          </cell>
          <cell r="W371">
            <v>45</v>
          </cell>
          <cell r="X371">
            <v>55</v>
          </cell>
          <cell r="Y371" t="str">
            <v>T/T 60 days</v>
          </cell>
          <cell r="Z371">
            <v>3.800993885979723</v>
          </cell>
          <cell r="AA371">
            <v>2.9637930966819552</v>
          </cell>
          <cell r="AB371">
            <v>0.1</v>
          </cell>
          <cell r="AC371">
            <v>0.1</v>
          </cell>
          <cell r="AD371">
            <v>0.32</v>
          </cell>
          <cell r="AE371" t="str">
            <v>C</v>
          </cell>
          <cell r="AF371">
            <v>2.9637930966819552</v>
          </cell>
          <cell r="AG371">
            <v>0.32000000000000006</v>
          </cell>
          <cell r="AH371">
            <v>2.94</v>
          </cell>
          <cell r="AI371">
            <v>2.5086559647466169</v>
          </cell>
          <cell r="AJ371">
            <v>2.2393103397152547</v>
          </cell>
          <cell r="AK371">
            <v>0.34000000000000008</v>
          </cell>
          <cell r="AL371">
            <v>0.24444444444444458</v>
          </cell>
          <cell r="AM371"/>
          <cell r="AN371" t="str">
            <v>OTRANS</v>
          </cell>
          <cell r="AO371"/>
          <cell r="AP371"/>
          <cell r="AQ371"/>
          <cell r="AR371">
            <v>5.04</v>
          </cell>
          <cell r="AS371">
            <v>10.9</v>
          </cell>
          <cell r="AT371">
            <v>15.940000000000001</v>
          </cell>
          <cell r="AU371">
            <v>2.2577903682719551</v>
          </cell>
          <cell r="AV371">
            <v>2.0153793057437293</v>
          </cell>
          <cell r="AW371"/>
          <cell r="AX371">
            <v>8544700000</v>
          </cell>
          <cell r="AZ371">
            <v>9.8793103222731844</v>
          </cell>
          <cell r="BA371">
            <v>5.9275861933639105</v>
          </cell>
          <cell r="BB371">
            <v>4.9396551611365922</v>
          </cell>
          <cell r="BC371">
            <v>3.9517241289092739</v>
          </cell>
        </row>
        <row r="372">
          <cell r="I372" t="str">
            <v>KCDOS2LCLC5MEF</v>
          </cell>
          <cell r="J372" t="str">
            <v>U0904004</v>
          </cell>
          <cell r="K372" t="str">
            <v>LC/LC OS2 DUPLEX OPTICAL PATCH CORD 5M ECO FRIENDLY BAG</v>
          </cell>
          <cell r="L372" t="str">
            <v>JARRETIERE OPTIQUE DUPLEX LC/LC OS2 5M SAC ÉCOLOGIQUE</v>
          </cell>
          <cell r="M372"/>
          <cell r="N372" t="str">
            <v>China</v>
          </cell>
          <cell r="O372"/>
          <cell r="P372" t="str">
            <v>1 pc eco friendly bag</v>
          </cell>
          <cell r="Q372" t="str">
            <v>2km per cable</v>
          </cell>
          <cell r="R372">
            <v>1440</v>
          </cell>
          <cell r="S372" t="str">
            <v>4897108884160</v>
          </cell>
          <cell r="T372">
            <v>8544700000</v>
          </cell>
          <cell r="U372">
            <v>0</v>
          </cell>
          <cell r="V372">
            <v>30</v>
          </cell>
          <cell r="W372">
            <v>45</v>
          </cell>
          <cell r="X372">
            <v>55</v>
          </cell>
          <cell r="Y372" t="str">
            <v>T/T 60 days</v>
          </cell>
          <cell r="Z372">
            <v>4.0489884682519248</v>
          </cell>
          <cell r="AA372">
            <v>3.1776985438014775</v>
          </cell>
          <cell r="AB372">
            <v>0.1</v>
          </cell>
          <cell r="AC372">
            <v>0.1</v>
          </cell>
          <cell r="AD372">
            <v>0.32</v>
          </cell>
          <cell r="AE372" t="str">
            <v>C</v>
          </cell>
          <cell r="AF372">
            <v>3.1776985438014775</v>
          </cell>
          <cell r="AG372">
            <v>0.32000000000000006</v>
          </cell>
          <cell r="AH372">
            <v>3.15</v>
          </cell>
          <cell r="AI372">
            <v>2.6723323890462702</v>
          </cell>
          <cell r="AJ372">
            <v>2.4009277886500047</v>
          </cell>
          <cell r="AK372">
            <v>0.34000000000000008</v>
          </cell>
          <cell r="AL372">
            <v>0.24444444444444458</v>
          </cell>
          <cell r="AM372"/>
          <cell r="AN372" t="str">
            <v>OTRANS</v>
          </cell>
          <cell r="AO372"/>
          <cell r="AP372"/>
          <cell r="AQ372"/>
          <cell r="AR372">
            <v>5.04</v>
          </cell>
          <cell r="AS372">
            <v>11.94</v>
          </cell>
          <cell r="AT372">
            <v>16.98</v>
          </cell>
          <cell r="AU372">
            <v>2.4050991501416434</v>
          </cell>
          <cell r="AV372">
            <v>2.1608350097850044</v>
          </cell>
          <cell r="AW372"/>
          <cell r="AX372">
            <v>8544700000</v>
          </cell>
          <cell r="AZ372">
            <v>10.592328479338258</v>
          </cell>
          <cell r="BA372">
            <v>6.3553970876029551</v>
          </cell>
          <cell r="BB372">
            <v>5.2961642396691291</v>
          </cell>
          <cell r="BC372">
            <v>4.2369313917353031</v>
          </cell>
        </row>
        <row r="373">
          <cell r="I373" t="str">
            <v>KCDOS2LCLC10MEF</v>
          </cell>
          <cell r="J373" t="str">
            <v/>
          </cell>
          <cell r="K373" t="str">
            <v>LC/LC OS2 DUPLEX OPTICAL PATCH CORD 10M ECO FRIENDLY BAG</v>
          </cell>
          <cell r="L373" t="str">
            <v>JARRETIERE OPTIQUE DUPLEX LC/LC OS2 10M SAC ÉCOLOGIQUE</v>
          </cell>
          <cell r="M373"/>
          <cell r="N373" t="str">
            <v>China</v>
          </cell>
          <cell r="O373"/>
          <cell r="P373" t="str">
            <v>1 pc eco friendly bag</v>
          </cell>
          <cell r="Q373" t="str">
            <v>2km per cable</v>
          </cell>
          <cell r="R373">
            <v>720</v>
          </cell>
          <cell r="S373" t="e">
            <v>#N/A</v>
          </cell>
          <cell r="T373">
            <v>8544700000</v>
          </cell>
          <cell r="U373">
            <v>0</v>
          </cell>
          <cell r="V373">
            <v>30</v>
          </cell>
          <cell r="W373">
            <v>45</v>
          </cell>
          <cell r="X373">
            <v>55</v>
          </cell>
          <cell r="Y373" t="str">
            <v>T/T 60 days</v>
          </cell>
          <cell r="Z373">
            <v>4.5831306454535925</v>
          </cell>
          <cell r="AA373">
            <v>3.6855522066773099</v>
          </cell>
          <cell r="AB373">
            <v>0.1</v>
          </cell>
          <cell r="AC373">
            <v>0.1</v>
          </cell>
          <cell r="AD373">
            <v>0.32</v>
          </cell>
          <cell r="AE373" t="str">
            <v>C</v>
          </cell>
          <cell r="AF373">
            <v>3.6855522066773099</v>
          </cell>
          <cell r="AG373">
            <v>0.32000000000000006</v>
          </cell>
          <cell r="AH373">
            <v>3.66</v>
          </cell>
          <cell r="AI373">
            <v>3.0248662259993706</v>
          </cell>
          <cell r="AJ373">
            <v>2.7846394450450784</v>
          </cell>
          <cell r="AK373">
            <v>0.34000000000000008</v>
          </cell>
          <cell r="AL373">
            <v>0.24444444444444446</v>
          </cell>
          <cell r="AM373"/>
          <cell r="AN373" t="str">
            <v>OTRANS</v>
          </cell>
          <cell r="AO373"/>
          <cell r="AP373"/>
          <cell r="AQ373"/>
          <cell r="AR373">
            <v>5.04</v>
          </cell>
          <cell r="AS373">
            <v>14.18</v>
          </cell>
          <cell r="AT373">
            <v>19.22</v>
          </cell>
          <cell r="AU373">
            <v>2.7223796033994336</v>
          </cell>
          <cell r="AV373">
            <v>2.5061755005405706</v>
          </cell>
          <cell r="AW373"/>
          <cell r="AX373">
            <v>8544700000</v>
          </cell>
          <cell r="AZ373">
            <v>12.285174022257699</v>
          </cell>
          <cell r="BA373">
            <v>7.3711044133546189</v>
          </cell>
          <cell r="BB373">
            <v>6.1425870111288496</v>
          </cell>
          <cell r="BC373">
            <v>4.9140696089030804</v>
          </cell>
        </row>
        <row r="374">
          <cell r="I374" t="str">
            <v>KCDOS2SCSC1MEF</v>
          </cell>
          <cell r="J374" t="str">
            <v>U0904009</v>
          </cell>
          <cell r="K374" t="str">
            <v>SC/SC OS2 DUPLEX OPTICAL PATCH CORD 1M ECO FRIENDLY BAG</v>
          </cell>
          <cell r="L374" t="str">
            <v>JARRETIERE OPTIQUE DUPLEX SC/SC OS2 1M SAC ÉCOLOGIQUE</v>
          </cell>
          <cell r="M374"/>
          <cell r="N374" t="str">
            <v>China</v>
          </cell>
          <cell r="O374"/>
          <cell r="P374" t="str">
            <v>1 pc eco friendly bag</v>
          </cell>
          <cell r="Q374" t="str">
            <v>2km per cable</v>
          </cell>
          <cell r="R374">
            <v>2160</v>
          </cell>
          <cell r="S374" t="e">
            <v>#N/A</v>
          </cell>
          <cell r="T374">
            <v>8544700000</v>
          </cell>
          <cell r="U374">
            <v>0</v>
          </cell>
          <cell r="V374">
            <v>30</v>
          </cell>
          <cell r="W374">
            <v>45</v>
          </cell>
          <cell r="X374">
            <v>55</v>
          </cell>
          <cell r="Y374" t="str">
            <v>T/T 60 days</v>
          </cell>
          <cell r="Z374">
            <v>3.5506147404164405</v>
          </cell>
          <cell r="AA374">
            <v>2.7650970544093432</v>
          </cell>
          <cell r="AB374">
            <v>0.1</v>
          </cell>
          <cell r="AC374">
            <v>0.1</v>
          </cell>
          <cell r="AD374">
            <v>0.32</v>
          </cell>
          <cell r="AE374" t="str">
            <v>C</v>
          </cell>
          <cell r="AF374">
            <v>2.7650970544093432</v>
          </cell>
          <cell r="AG374">
            <v>0.32000000000000006</v>
          </cell>
          <cell r="AH374">
            <v>2.73</v>
          </cell>
          <cell r="AI374">
            <v>2.3434057286748504</v>
          </cell>
          <cell r="AJ374">
            <v>2.0891844411092815</v>
          </cell>
          <cell r="AK374">
            <v>0.34000000000000008</v>
          </cell>
          <cell r="AL374">
            <v>0.24444444444444446</v>
          </cell>
          <cell r="AM374"/>
          <cell r="AN374" t="str">
            <v>OTRANS</v>
          </cell>
          <cell r="AO374"/>
          <cell r="AP374"/>
          <cell r="AQ374"/>
          <cell r="AR374">
            <v>5.09</v>
          </cell>
          <cell r="AS374">
            <v>9.8000000000000007</v>
          </cell>
          <cell r="AT374">
            <v>14.89</v>
          </cell>
          <cell r="AU374">
            <v>2.1090651558073654</v>
          </cell>
          <cell r="AV374">
            <v>1.8802659969983533</v>
          </cell>
          <cell r="AW374"/>
          <cell r="AX374">
            <v>8544700000</v>
          </cell>
          <cell r="AZ374">
            <v>9.2169901813644781</v>
          </cell>
          <cell r="BA374">
            <v>5.5301941088186863</v>
          </cell>
          <cell r="BB374">
            <v>4.6084950906822391</v>
          </cell>
          <cell r="BC374">
            <v>3.6867960725457913</v>
          </cell>
        </row>
        <row r="375">
          <cell r="I375" t="str">
            <v>KCDOS2SCSC2MEF</v>
          </cell>
          <cell r="J375" t="str">
            <v>U0904010</v>
          </cell>
          <cell r="K375" t="str">
            <v>SC/SC OS2 DUPLEX OPTICAL PATCH CORD 2M ECO FRIENDLY BAG</v>
          </cell>
          <cell r="L375" t="str">
            <v>JARRETIERE OPTIQUE DUPLEX SC/SC OS2 2M SAC ÉCOLOGIQUE</v>
          </cell>
          <cell r="M375"/>
          <cell r="N375" t="str">
            <v>China</v>
          </cell>
          <cell r="O375"/>
          <cell r="P375" t="str">
            <v>1 pc eco friendly bag</v>
          </cell>
          <cell r="Q375" t="str">
            <v>2km per cable</v>
          </cell>
          <cell r="R375">
            <v>1920</v>
          </cell>
          <cell r="S375" t="e">
            <v>#N/A</v>
          </cell>
          <cell r="T375">
            <v>8544700000</v>
          </cell>
          <cell r="U375">
            <v>0</v>
          </cell>
          <cell r="V375">
            <v>30</v>
          </cell>
          <cell r="W375">
            <v>45</v>
          </cell>
          <cell r="X375">
            <v>55</v>
          </cell>
          <cell r="Y375" t="str">
            <v>T/T 60 days</v>
          </cell>
          <cell r="Z375">
            <v>3.6936885378811724</v>
          </cell>
          <cell r="AA375">
            <v>2.8822849422439258</v>
          </cell>
          <cell r="AB375">
            <v>0.1</v>
          </cell>
          <cell r="AC375">
            <v>0.1</v>
          </cell>
          <cell r="AD375">
            <v>0.32</v>
          </cell>
          <cell r="AE375" t="str">
            <v>C</v>
          </cell>
          <cell r="AF375">
            <v>2.8822849422439258</v>
          </cell>
          <cell r="AG375">
            <v>0.32000000000000006</v>
          </cell>
          <cell r="AH375">
            <v>2.84</v>
          </cell>
          <cell r="AI375">
            <v>2.4378344350015735</v>
          </cell>
          <cell r="AJ375">
            <v>2.1777264008065216</v>
          </cell>
          <cell r="AK375">
            <v>0.34000000000000008</v>
          </cell>
          <cell r="AL375">
            <v>0.24444444444444446</v>
          </cell>
          <cell r="AM375"/>
          <cell r="AN375" t="str">
            <v>OTRANS</v>
          </cell>
          <cell r="AO375"/>
          <cell r="AP375"/>
          <cell r="AQ375"/>
          <cell r="AR375">
            <v>5.14</v>
          </cell>
          <cell r="AS375">
            <v>10.35</v>
          </cell>
          <cell r="AT375">
            <v>15.489999999999998</v>
          </cell>
          <cell r="AU375">
            <v>2.1940509915014164</v>
          </cell>
          <cell r="AV375">
            <v>1.9599537607258695</v>
          </cell>
          <cell r="AW375"/>
          <cell r="AX375">
            <v>8544700000</v>
          </cell>
          <cell r="AZ375">
            <v>9.6076164741464201</v>
          </cell>
          <cell r="BA375">
            <v>5.7645698844878517</v>
          </cell>
          <cell r="BB375">
            <v>4.80380823707321</v>
          </cell>
          <cell r="BC375">
            <v>3.8430465896585684</v>
          </cell>
        </row>
        <row r="376">
          <cell r="I376" t="str">
            <v>KCDOS2SCSC3MEF</v>
          </cell>
          <cell r="J376" t="str">
            <v>U0904011</v>
          </cell>
          <cell r="K376" t="str">
            <v>SC/SC OS2 DUPLEX OPTICAL PATCH CORD 3M ECO FRIENDLY BAG</v>
          </cell>
          <cell r="L376" t="str">
            <v>JARRETIERE OPTIQUE DUPLEX SC/SC OS2 3M SAC ÉCOLOGIQUE</v>
          </cell>
          <cell r="M376"/>
          <cell r="N376" t="str">
            <v>China</v>
          </cell>
          <cell r="O376"/>
          <cell r="P376" t="str">
            <v>1 pc eco friendly bag</v>
          </cell>
          <cell r="Q376" t="str">
            <v>2km per cable</v>
          </cell>
          <cell r="R376">
            <v>1920</v>
          </cell>
          <cell r="S376" t="e">
            <v>#N/A</v>
          </cell>
          <cell r="T376">
            <v>8544700000</v>
          </cell>
          <cell r="U376">
            <v>0</v>
          </cell>
          <cell r="V376">
            <v>30</v>
          </cell>
          <cell r="W376">
            <v>45</v>
          </cell>
          <cell r="X376">
            <v>55</v>
          </cell>
          <cell r="Y376" t="str">
            <v>T/T 60 days</v>
          </cell>
          <cell r="Z376">
            <v>3.8367623353459055</v>
          </cell>
          <cell r="AA376">
            <v>2.990962481494631</v>
          </cell>
          <cell r="AB376">
            <v>0.1</v>
          </cell>
          <cell r="AC376">
            <v>0.1</v>
          </cell>
          <cell r="AD376">
            <v>0.32</v>
          </cell>
          <cell r="AE376" t="str">
            <v>C</v>
          </cell>
          <cell r="AF376">
            <v>2.990962481494631</v>
          </cell>
          <cell r="AG376">
            <v>0.32000000000000006</v>
          </cell>
          <cell r="AH376">
            <v>2.94</v>
          </cell>
          <cell r="AI376">
            <v>2.5322631413282974</v>
          </cell>
          <cell r="AJ376">
            <v>2.2598383193514988</v>
          </cell>
          <cell r="AK376">
            <v>0.34000000000000008</v>
          </cell>
          <cell r="AL376">
            <v>0.24444444444444446</v>
          </cell>
          <cell r="AM376"/>
          <cell r="AN376" t="str">
            <v>OTRANS</v>
          </cell>
          <cell r="AO376"/>
          <cell r="AP376"/>
          <cell r="AQ376"/>
          <cell r="AR376">
            <v>5.19</v>
          </cell>
          <cell r="AS376">
            <v>10.9</v>
          </cell>
          <cell r="AT376">
            <v>16.09</v>
          </cell>
          <cell r="AU376">
            <v>2.2790368271954677</v>
          </cell>
          <cell r="AV376">
            <v>2.0338544874163489</v>
          </cell>
          <cell r="AW376"/>
          <cell r="AX376">
            <v>8544700000</v>
          </cell>
          <cell r="AZ376">
            <v>9.9698749383154368</v>
          </cell>
          <cell r="BA376">
            <v>5.9819249629892619</v>
          </cell>
          <cell r="BB376">
            <v>4.9849374691577184</v>
          </cell>
          <cell r="BC376">
            <v>3.9879499753261749</v>
          </cell>
        </row>
        <row r="377">
          <cell r="I377" t="str">
            <v>KCDOS2SCSC5MEF</v>
          </cell>
          <cell r="J377" t="str">
            <v>U0904012</v>
          </cell>
          <cell r="K377" t="str">
            <v>SC/SC OS2 DUPLEX OPTICAL PATCH CORD 5M ECO FRIENDLY BAG</v>
          </cell>
          <cell r="L377" t="str">
            <v>JARRETIERE OPTIQUE DUPLEX SC/SC OS2 5M SAC ÉCOLOGIQUE</v>
          </cell>
          <cell r="M377"/>
          <cell r="N377" t="str">
            <v>China</v>
          </cell>
          <cell r="O377"/>
          <cell r="P377" t="str">
            <v>1 pc eco friendly bag</v>
          </cell>
          <cell r="Q377" t="str">
            <v>2km per cable</v>
          </cell>
          <cell r="R377">
            <v>1440</v>
          </cell>
          <cell r="S377" t="e">
            <v>#N/A</v>
          </cell>
          <cell r="T377">
            <v>8544700000</v>
          </cell>
          <cell r="U377">
            <v>0</v>
          </cell>
          <cell r="V377">
            <v>30</v>
          </cell>
          <cell r="W377">
            <v>45</v>
          </cell>
          <cell r="X377">
            <v>55</v>
          </cell>
          <cell r="Y377" t="str">
            <v>T/T 60 days</v>
          </cell>
          <cell r="Z377">
            <v>4.1086025505288966</v>
          </cell>
          <cell r="AA377">
            <v>3.2229808518226037</v>
          </cell>
          <cell r="AB377">
            <v>0.1</v>
          </cell>
          <cell r="AC377">
            <v>0.1</v>
          </cell>
          <cell r="AD377">
            <v>0.32</v>
          </cell>
          <cell r="AE377" t="str">
            <v>C</v>
          </cell>
          <cell r="AF377">
            <v>3.2229808518226037</v>
          </cell>
          <cell r="AG377">
            <v>0.32000000000000006</v>
          </cell>
          <cell r="AH377">
            <v>3.15</v>
          </cell>
          <cell r="AI377">
            <v>2.7116776833490714</v>
          </cell>
          <cell r="AJ377">
            <v>2.435141088043745</v>
          </cell>
          <cell r="AK377">
            <v>0.34000000000000008</v>
          </cell>
          <cell r="AL377">
            <v>0.24444444444444446</v>
          </cell>
          <cell r="AM377"/>
          <cell r="AN377" t="str">
            <v>OTRANS</v>
          </cell>
          <cell r="AO377"/>
          <cell r="AP377"/>
          <cell r="AQ377"/>
          <cell r="AR377">
            <v>5.29</v>
          </cell>
          <cell r="AS377">
            <v>11.94</v>
          </cell>
          <cell r="AT377">
            <v>17.23</v>
          </cell>
          <cell r="AU377">
            <v>2.4405099150141645</v>
          </cell>
          <cell r="AV377">
            <v>2.1916269792393703</v>
          </cell>
          <cell r="AW377"/>
          <cell r="AX377">
            <v>8544700000</v>
          </cell>
          <cell r="AZ377">
            <v>10.743269506075347</v>
          </cell>
          <cell r="BA377">
            <v>6.4459617036452075</v>
          </cell>
          <cell r="BB377">
            <v>5.3716347530376733</v>
          </cell>
          <cell r="BC377">
            <v>4.2973078024301392</v>
          </cell>
        </row>
        <row r="378">
          <cell r="I378" t="str">
            <v>KCDOS2SCSC10MEF</v>
          </cell>
          <cell r="J378" t="str">
            <v/>
          </cell>
          <cell r="K378" t="str">
            <v>SC/SC OS2 DUPLEX OPTICAL PATCH CORD 10M ECO FRIENDLY BAG</v>
          </cell>
          <cell r="L378" t="str">
            <v>JARRETIERE OPTIQUE DUPLEX SC/SC OS2 10M SAC ÉCOLOGIQUE</v>
          </cell>
          <cell r="M378"/>
          <cell r="N378" t="str">
            <v>China</v>
          </cell>
          <cell r="O378"/>
          <cell r="P378" t="str">
            <v>1 pc eco friendly bag</v>
          </cell>
          <cell r="Q378" t="str">
            <v>2km per cable</v>
          </cell>
          <cell r="R378">
            <v>720</v>
          </cell>
          <cell r="S378" t="e">
            <v>#N/A</v>
          </cell>
          <cell r="T378">
            <v>8544700000</v>
          </cell>
          <cell r="U378">
            <v>0</v>
          </cell>
          <cell r="V378">
            <v>30</v>
          </cell>
          <cell r="W378">
            <v>45</v>
          </cell>
          <cell r="X378">
            <v>55</v>
          </cell>
          <cell r="Y378" t="str">
            <v>T/T 60 days</v>
          </cell>
          <cell r="Z378">
            <v>4.7023588100075351</v>
          </cell>
          <cell r="AA378">
            <v>3.7761168227195632</v>
          </cell>
          <cell r="AB378">
            <v>0.1</v>
          </cell>
          <cell r="AC378">
            <v>0.1</v>
          </cell>
          <cell r="AD378">
            <v>0.32</v>
          </cell>
          <cell r="AE378" t="str">
            <v>C</v>
          </cell>
          <cell r="AF378">
            <v>3.7761168227195632</v>
          </cell>
          <cell r="AG378">
            <v>0.32000000000000006</v>
          </cell>
          <cell r="AH378">
            <v>3.66</v>
          </cell>
          <cell r="AI378">
            <v>3.103556814604973</v>
          </cell>
          <cell r="AJ378">
            <v>2.8530660438325586</v>
          </cell>
          <cell r="AK378">
            <v>0.34000000000000008</v>
          </cell>
          <cell r="AL378">
            <v>0.24444444444444446</v>
          </cell>
          <cell r="AM378"/>
          <cell r="AN378" t="str">
            <v>OTRANS</v>
          </cell>
          <cell r="AO378"/>
          <cell r="AP378"/>
          <cell r="AQ378"/>
          <cell r="AR378">
            <v>5.54</v>
          </cell>
          <cell r="AS378">
            <v>14.18</v>
          </cell>
          <cell r="AT378">
            <v>19.72</v>
          </cell>
          <cell r="AU378">
            <v>2.7932011331444757</v>
          </cell>
          <cell r="AV378">
            <v>2.5677594394493028</v>
          </cell>
          <cell r="AW378"/>
          <cell r="AX378">
            <v>8544700000</v>
          </cell>
          <cell r="AZ378">
            <v>12.587056075731878</v>
          </cell>
          <cell r="BA378">
            <v>7.5522336454391263</v>
          </cell>
          <cell r="BB378">
            <v>6.2935280378659391</v>
          </cell>
          <cell r="BC378">
            <v>5.0348224302927518</v>
          </cell>
        </row>
        <row r="379">
          <cell r="I379" t="str">
            <v>KCDOS2SCSC15MEF</v>
          </cell>
          <cell r="J379" t="str">
            <v/>
          </cell>
          <cell r="K379" t="str">
            <v>SC/SC OS2 DUPLEX OPTICAL PATCH CORD 15M ECO FRIENDLY BAG</v>
          </cell>
          <cell r="L379" t="str">
            <v>JARRETIERE OPTIQUE DUPLEX SC/SC OS2 15M SAC ÉCOLOGIQUE</v>
          </cell>
          <cell r="M379"/>
          <cell r="N379" t="str">
            <v>China</v>
          </cell>
          <cell r="O379"/>
          <cell r="P379" t="str">
            <v>1 pc eco friendly bag</v>
          </cell>
          <cell r="Q379" t="str">
            <v>2km per cable</v>
          </cell>
          <cell r="R379">
            <v>480</v>
          </cell>
          <cell r="S379" t="e">
            <v>#N/A</v>
          </cell>
          <cell r="T379">
            <v>8544700000</v>
          </cell>
          <cell r="U379">
            <v>0</v>
          </cell>
          <cell r="V379">
            <v>30</v>
          </cell>
          <cell r="W379">
            <v>45</v>
          </cell>
          <cell r="X379">
            <v>55</v>
          </cell>
          <cell r="Y379" t="str">
            <v>T/T 60 days</v>
          </cell>
          <cell r="Z379">
            <v>5.4415734302419869</v>
          </cell>
          <cell r="AA379">
            <v>4.4397416251880744</v>
          </cell>
          <cell r="AB379">
            <v>0.1</v>
          </cell>
          <cell r="AC379">
            <v>0.1</v>
          </cell>
          <cell r="AD379">
            <v>0.32</v>
          </cell>
          <cell r="AE379" t="str">
            <v>C</v>
          </cell>
          <cell r="AF379">
            <v>4.4397416251880744</v>
          </cell>
          <cell r="AG379">
            <v>0.32000000000000017</v>
          </cell>
          <cell r="AH379">
            <v>4.2699999999999996</v>
          </cell>
          <cell r="AI379">
            <v>3.5914384639597108</v>
          </cell>
          <cell r="AJ379">
            <v>3.3544714501420998</v>
          </cell>
          <cell r="AK379">
            <v>0.34000000000000008</v>
          </cell>
          <cell r="AL379">
            <v>0.24444444444444469</v>
          </cell>
          <cell r="AM379"/>
          <cell r="AN379" t="str">
            <v>OTRANS</v>
          </cell>
          <cell r="AO379"/>
          <cell r="AP379"/>
          <cell r="AQ379"/>
          <cell r="AR379">
            <v>5.79</v>
          </cell>
          <cell r="AS379">
            <v>17.03</v>
          </cell>
          <cell r="AT379">
            <v>22.82</v>
          </cell>
          <cell r="AU379">
            <v>3.2322946175637397</v>
          </cell>
          <cell r="AV379">
            <v>3.01902430512789</v>
          </cell>
          <cell r="AW379"/>
          <cell r="AX379">
            <v>8544700000</v>
          </cell>
          <cell r="AZ379">
            <v>14.799138750626915</v>
          </cell>
          <cell r="BA379">
            <v>8.8794832503761487</v>
          </cell>
          <cell r="BB379">
            <v>7.3995693753134573</v>
          </cell>
          <cell r="BC379">
            <v>5.9196555002507658</v>
          </cell>
        </row>
        <row r="380">
          <cell r="I380" t="str">
            <v>KCDOS2SCLC1MEF</v>
          </cell>
          <cell r="J380" t="str">
            <v>U0904005</v>
          </cell>
          <cell r="K380" t="str">
            <v>SC/LC OS2 DUPLEX OPTICAL PATCH CORD 1M ECO FRIENDLY BAG</v>
          </cell>
          <cell r="L380" t="str">
            <v>JARRETIERE OPTIQUE DUPLEX SC/LC OS2 1M SAC ÉCOLOGIQUE</v>
          </cell>
          <cell r="M380"/>
          <cell r="N380" t="str">
            <v>China</v>
          </cell>
          <cell r="O380"/>
          <cell r="P380" t="str">
            <v>1 pc eco friendly bag</v>
          </cell>
          <cell r="Q380" t="str">
            <v>2km per cable</v>
          </cell>
          <cell r="R380">
            <v>2160</v>
          </cell>
          <cell r="S380" t="str">
            <v>4897108884177</v>
          </cell>
          <cell r="T380">
            <v>8544700000</v>
          </cell>
          <cell r="U380">
            <v>0</v>
          </cell>
          <cell r="V380">
            <v>30</v>
          </cell>
          <cell r="W380">
            <v>45</v>
          </cell>
          <cell r="X380">
            <v>55</v>
          </cell>
          <cell r="Y380" t="str">
            <v>T/T 60 days</v>
          </cell>
          <cell r="Z380">
            <v>3.5506147404164405</v>
          </cell>
          <cell r="AA380">
            <v>2.7650970544093432</v>
          </cell>
          <cell r="AB380">
            <v>0.1</v>
          </cell>
          <cell r="AC380">
            <v>0.1</v>
          </cell>
          <cell r="AD380">
            <v>0.32</v>
          </cell>
          <cell r="AE380" t="str">
            <v>C</v>
          </cell>
          <cell r="AF380">
            <v>2.7650970544093432</v>
          </cell>
          <cell r="AG380">
            <v>0.32000000000000006</v>
          </cell>
          <cell r="AH380">
            <v>2.73</v>
          </cell>
          <cell r="AI380">
            <v>2.3434057286748504</v>
          </cell>
          <cell r="AJ380">
            <v>2.0891844411092815</v>
          </cell>
          <cell r="AK380">
            <v>0.34000000000000008</v>
          </cell>
          <cell r="AL380">
            <v>0.24444444444444446</v>
          </cell>
          <cell r="AM380"/>
          <cell r="AN380" t="str">
            <v>OTRANS</v>
          </cell>
          <cell r="AO380"/>
          <cell r="AP380"/>
          <cell r="AQ380"/>
          <cell r="AR380">
            <v>5.09</v>
          </cell>
          <cell r="AS380">
            <v>9.8000000000000007</v>
          </cell>
          <cell r="AT380">
            <v>14.89</v>
          </cell>
          <cell r="AU380">
            <v>2.1090651558073654</v>
          </cell>
          <cell r="AV380">
            <v>1.8802659969983533</v>
          </cell>
          <cell r="AW380"/>
          <cell r="AX380">
            <v>8544700000</v>
          </cell>
          <cell r="AZ380">
            <v>9.2169901813644781</v>
          </cell>
          <cell r="BA380">
            <v>5.5301941088186863</v>
          </cell>
          <cell r="BB380">
            <v>4.6084950906822391</v>
          </cell>
          <cell r="BC380">
            <v>3.6867960725457913</v>
          </cell>
        </row>
        <row r="381">
          <cell r="I381" t="str">
            <v>KCDOS2SCLC2MEF</v>
          </cell>
          <cell r="J381" t="str">
            <v>U0904006</v>
          </cell>
          <cell r="K381" t="str">
            <v>SC/LC OS2 DUPLEX OPTICAL PATCH CORD 2M ECO FRIENDLY BAG</v>
          </cell>
          <cell r="L381" t="str">
            <v>JARRETIERE OPTIQUE DUPLEX SC/LC OS2 2M SAC ÉCOLOGIQUE</v>
          </cell>
          <cell r="M381"/>
          <cell r="N381" t="str">
            <v>China</v>
          </cell>
          <cell r="O381"/>
          <cell r="P381" t="str">
            <v>1 pc eco friendly bag</v>
          </cell>
          <cell r="Q381" t="str">
            <v>2km per cable</v>
          </cell>
          <cell r="R381">
            <v>1920</v>
          </cell>
          <cell r="S381" t="e">
            <v>#N/A</v>
          </cell>
          <cell r="T381">
            <v>8544700000</v>
          </cell>
          <cell r="U381">
            <v>0</v>
          </cell>
          <cell r="V381">
            <v>30</v>
          </cell>
          <cell r="W381">
            <v>45</v>
          </cell>
          <cell r="X381">
            <v>55</v>
          </cell>
          <cell r="Y381" t="str">
            <v>T/T 60 days</v>
          </cell>
          <cell r="Z381">
            <v>3.6936885378811724</v>
          </cell>
          <cell r="AA381">
            <v>2.8822849422439258</v>
          </cell>
          <cell r="AB381">
            <v>0.1</v>
          </cell>
          <cell r="AC381">
            <v>0.1</v>
          </cell>
          <cell r="AD381">
            <v>0.32</v>
          </cell>
          <cell r="AE381" t="str">
            <v>C</v>
          </cell>
          <cell r="AF381">
            <v>2.8822849422439258</v>
          </cell>
          <cell r="AG381">
            <v>0.32000000000000006</v>
          </cell>
          <cell r="AH381">
            <v>2.84</v>
          </cell>
          <cell r="AI381">
            <v>2.4378344350015735</v>
          </cell>
          <cell r="AJ381">
            <v>2.1777264008065216</v>
          </cell>
          <cell r="AK381">
            <v>0.34000000000000008</v>
          </cell>
          <cell r="AL381">
            <v>0.24444444444444446</v>
          </cell>
          <cell r="AM381"/>
          <cell r="AN381" t="str">
            <v>OTRANS</v>
          </cell>
          <cell r="AO381"/>
          <cell r="AP381"/>
          <cell r="AQ381"/>
          <cell r="AR381">
            <v>5.14</v>
          </cell>
          <cell r="AS381">
            <v>10.35</v>
          </cell>
          <cell r="AT381">
            <v>15.489999999999998</v>
          </cell>
          <cell r="AU381">
            <v>2.1940509915014164</v>
          </cell>
          <cell r="AV381">
            <v>1.9599537607258695</v>
          </cell>
          <cell r="AW381"/>
          <cell r="AX381">
            <v>8544700000</v>
          </cell>
          <cell r="AZ381">
            <v>9.6076164741464201</v>
          </cell>
          <cell r="BA381">
            <v>5.7645698844878517</v>
          </cell>
          <cell r="BB381">
            <v>4.80380823707321</v>
          </cell>
          <cell r="BC381">
            <v>3.8430465896585684</v>
          </cell>
        </row>
        <row r="382">
          <cell r="I382" t="str">
            <v>KCDOS2SCLC3MEF</v>
          </cell>
          <cell r="J382" t="str">
            <v>U0904007</v>
          </cell>
          <cell r="K382" t="str">
            <v>SC/LC OS2 DUPLEX OPTICAL PATCH CORD 3M ECO FRIENDLY BAG</v>
          </cell>
          <cell r="L382" t="str">
            <v>JARRETIERE OPTIQUE DUPLEX SC/LC OS2 3M SAC ÉCOLOGIQUE</v>
          </cell>
          <cell r="M382"/>
          <cell r="N382" t="str">
            <v>China</v>
          </cell>
          <cell r="O382"/>
          <cell r="P382" t="str">
            <v>1 pc eco friendly bag</v>
          </cell>
          <cell r="Q382" t="str">
            <v>2km per cable</v>
          </cell>
          <cell r="R382">
            <v>1920</v>
          </cell>
          <cell r="S382" t="e">
            <v>#N/A</v>
          </cell>
          <cell r="T382">
            <v>8544700000</v>
          </cell>
          <cell r="U382">
            <v>0</v>
          </cell>
          <cell r="V382">
            <v>30</v>
          </cell>
          <cell r="W382">
            <v>45</v>
          </cell>
          <cell r="X382">
            <v>55</v>
          </cell>
          <cell r="Y382" t="str">
            <v>T/T 60 days</v>
          </cell>
          <cell r="Z382">
            <v>3.8367623353459055</v>
          </cell>
          <cell r="AA382">
            <v>2.990962481494631</v>
          </cell>
          <cell r="AB382">
            <v>0.1</v>
          </cell>
          <cell r="AC382">
            <v>0.1</v>
          </cell>
          <cell r="AD382">
            <v>0.32</v>
          </cell>
          <cell r="AE382" t="str">
            <v>C</v>
          </cell>
          <cell r="AF382">
            <v>2.990962481494631</v>
          </cell>
          <cell r="AG382">
            <v>0.32000000000000006</v>
          </cell>
          <cell r="AH382">
            <v>2.94</v>
          </cell>
          <cell r="AI382">
            <v>2.5322631413282974</v>
          </cell>
          <cell r="AJ382">
            <v>2.2598383193514988</v>
          </cell>
          <cell r="AK382">
            <v>0.34000000000000008</v>
          </cell>
          <cell r="AL382">
            <v>0.24444444444444446</v>
          </cell>
          <cell r="AM382"/>
          <cell r="AN382" t="str">
            <v>OTRANS</v>
          </cell>
          <cell r="AO382"/>
          <cell r="AP382"/>
          <cell r="AQ382"/>
          <cell r="AR382">
            <v>5.19</v>
          </cell>
          <cell r="AS382">
            <v>10.9</v>
          </cell>
          <cell r="AT382">
            <v>16.09</v>
          </cell>
          <cell r="AU382">
            <v>2.2790368271954677</v>
          </cell>
          <cell r="AV382">
            <v>2.0338544874163489</v>
          </cell>
          <cell r="AW382"/>
          <cell r="AX382">
            <v>8544700000</v>
          </cell>
          <cell r="AZ382">
            <v>9.9698749383154368</v>
          </cell>
          <cell r="BA382">
            <v>5.9819249629892619</v>
          </cell>
          <cell r="BB382">
            <v>4.9849374691577184</v>
          </cell>
          <cell r="BC382">
            <v>3.9879499753261749</v>
          </cell>
        </row>
        <row r="383">
          <cell r="I383" t="str">
            <v>KCDOS2SCLC5MEF</v>
          </cell>
          <cell r="J383" t="str">
            <v>U0904008</v>
          </cell>
          <cell r="K383" t="str">
            <v>SC/LC OS2 DUPLEX OPTICAL PATCH CORD 5M ECO FRIENDLY BAG</v>
          </cell>
          <cell r="L383" t="str">
            <v>JARRETIERE OPTIQUE DUPLEX SC/LC OS2 5M SAC ÉCOLOGIQUE</v>
          </cell>
          <cell r="M383"/>
          <cell r="N383" t="str">
            <v>China</v>
          </cell>
          <cell r="O383"/>
          <cell r="P383" t="str">
            <v>1 pc eco friendly bag</v>
          </cell>
          <cell r="Q383" t="str">
            <v>2km per cable</v>
          </cell>
          <cell r="R383">
            <v>1440</v>
          </cell>
          <cell r="S383" t="e">
            <v>#N/A</v>
          </cell>
          <cell r="T383">
            <v>8544700000</v>
          </cell>
          <cell r="U383">
            <v>0</v>
          </cell>
          <cell r="V383">
            <v>30</v>
          </cell>
          <cell r="W383">
            <v>45</v>
          </cell>
          <cell r="X383">
            <v>55</v>
          </cell>
          <cell r="Y383" t="str">
            <v>T/T 60 days</v>
          </cell>
          <cell r="Z383">
            <v>4.1086025505288966</v>
          </cell>
          <cell r="AA383">
            <v>3.2229808518226037</v>
          </cell>
          <cell r="AB383">
            <v>0.1</v>
          </cell>
          <cell r="AC383">
            <v>0.1</v>
          </cell>
          <cell r="AD383">
            <v>0.32</v>
          </cell>
          <cell r="AE383" t="str">
            <v>C</v>
          </cell>
          <cell r="AF383">
            <v>3.2229808518226037</v>
          </cell>
          <cell r="AG383">
            <v>0.32000000000000006</v>
          </cell>
          <cell r="AH383">
            <v>3.15</v>
          </cell>
          <cell r="AI383">
            <v>2.7116776833490714</v>
          </cell>
          <cell r="AJ383">
            <v>2.435141088043745</v>
          </cell>
          <cell r="AK383">
            <v>0.34000000000000008</v>
          </cell>
          <cell r="AL383">
            <v>0.24444444444444446</v>
          </cell>
          <cell r="AM383"/>
          <cell r="AN383" t="str">
            <v>OTRANS</v>
          </cell>
          <cell r="AO383"/>
          <cell r="AP383"/>
          <cell r="AQ383"/>
          <cell r="AR383">
            <v>5.29</v>
          </cell>
          <cell r="AS383">
            <v>11.94</v>
          </cell>
          <cell r="AT383">
            <v>17.23</v>
          </cell>
          <cell r="AU383">
            <v>2.4405099150141645</v>
          </cell>
          <cell r="AV383">
            <v>2.1916269792393703</v>
          </cell>
          <cell r="AW383"/>
          <cell r="AX383">
            <v>8544700000</v>
          </cell>
          <cell r="AZ383">
            <v>10.743269506075347</v>
          </cell>
          <cell r="BA383">
            <v>6.4459617036452075</v>
          </cell>
          <cell r="BB383">
            <v>5.3716347530376733</v>
          </cell>
          <cell r="BC383">
            <v>4.2973078024301392</v>
          </cell>
        </row>
        <row r="384">
          <cell r="I384" t="str">
            <v>KCDOS2SCLC10MEF</v>
          </cell>
          <cell r="J384" t="str">
            <v/>
          </cell>
          <cell r="K384" t="str">
            <v>SC/LC OS2 DUPLEX OPTICAL PATCH CORD 10M ECO FRIENDLY BAG</v>
          </cell>
          <cell r="L384" t="str">
            <v>JARRETIERE OPTIQUE DUPLEX SC/LC OS2 10M SAC ÉCOLOGIQUE</v>
          </cell>
          <cell r="M384"/>
          <cell r="N384" t="str">
            <v>China</v>
          </cell>
          <cell r="O384"/>
          <cell r="P384" t="str">
            <v>1 pc eco friendly bag</v>
          </cell>
          <cell r="Q384" t="str">
            <v>2km per cable</v>
          </cell>
          <cell r="R384">
            <v>720</v>
          </cell>
          <cell r="S384" t="e">
            <v>#N/A</v>
          </cell>
          <cell r="T384">
            <v>8544700000</v>
          </cell>
          <cell r="U384">
            <v>0</v>
          </cell>
          <cell r="V384">
            <v>30</v>
          </cell>
          <cell r="W384">
            <v>45</v>
          </cell>
          <cell r="X384">
            <v>55</v>
          </cell>
          <cell r="Y384" t="str">
            <v>T/T 60 days</v>
          </cell>
          <cell r="Z384">
            <v>4.7023588100075351</v>
          </cell>
          <cell r="AA384">
            <v>3.7761168227195632</v>
          </cell>
          <cell r="AB384">
            <v>0.1</v>
          </cell>
          <cell r="AC384">
            <v>0.1</v>
          </cell>
          <cell r="AD384">
            <v>0.32</v>
          </cell>
          <cell r="AE384" t="str">
            <v>C</v>
          </cell>
          <cell r="AF384">
            <v>3.7761168227195632</v>
          </cell>
          <cell r="AG384">
            <v>0.32000000000000006</v>
          </cell>
          <cell r="AH384">
            <v>3.66</v>
          </cell>
          <cell r="AI384">
            <v>3.103556814604973</v>
          </cell>
          <cell r="AJ384">
            <v>2.8530660438325586</v>
          </cell>
          <cell r="AK384">
            <v>0.34000000000000008</v>
          </cell>
          <cell r="AL384">
            <v>0.24444444444444446</v>
          </cell>
          <cell r="AM384"/>
          <cell r="AN384" t="str">
            <v>OTRANS</v>
          </cell>
          <cell r="AO384"/>
          <cell r="AP384"/>
          <cell r="AQ384"/>
          <cell r="AR384">
            <v>5.54</v>
          </cell>
          <cell r="AS384">
            <v>14.18</v>
          </cell>
          <cell r="AT384">
            <v>19.72</v>
          </cell>
          <cell r="AU384">
            <v>2.7932011331444757</v>
          </cell>
          <cell r="AV384">
            <v>2.5677594394493028</v>
          </cell>
          <cell r="AW384"/>
          <cell r="AX384">
            <v>8544700000</v>
          </cell>
          <cell r="AZ384">
            <v>12.587056075731878</v>
          </cell>
          <cell r="BA384">
            <v>7.5522336454391263</v>
          </cell>
          <cell r="BB384">
            <v>6.2935280378659391</v>
          </cell>
          <cell r="BC384">
            <v>5.0348224302927518</v>
          </cell>
        </row>
        <row r="385">
          <cell r="I385" t="str">
            <v>KCDOS2SCLC15MEF</v>
          </cell>
          <cell r="J385" t="str">
            <v/>
          </cell>
          <cell r="K385" t="str">
            <v>SC/LC OS2 DUPLEX OPTICAL PATCH CORD 15M ECO FRIENDLY BAG</v>
          </cell>
          <cell r="L385" t="str">
            <v>JARRETIERE OPTIQUE DUPLEX SC/LC OS2 15M SAC ÉCOLOGIQUE</v>
          </cell>
          <cell r="M385"/>
          <cell r="N385" t="str">
            <v>China</v>
          </cell>
          <cell r="O385"/>
          <cell r="P385" t="str">
            <v>1 pc eco friendly bag</v>
          </cell>
          <cell r="Q385" t="str">
            <v>2km per cable</v>
          </cell>
          <cell r="R385">
            <v>480</v>
          </cell>
          <cell r="S385" t="e">
            <v>#N/A</v>
          </cell>
          <cell r="T385">
            <v>8544700000</v>
          </cell>
          <cell r="U385">
            <v>0</v>
          </cell>
          <cell r="V385">
            <v>30</v>
          </cell>
          <cell r="W385">
            <v>45</v>
          </cell>
          <cell r="X385">
            <v>55</v>
          </cell>
          <cell r="Y385" t="str">
            <v>T/T 60 days</v>
          </cell>
          <cell r="Z385">
            <v>5.4415734302419869</v>
          </cell>
          <cell r="AA385">
            <v>4.4397416251880744</v>
          </cell>
          <cell r="AB385">
            <v>0.1</v>
          </cell>
          <cell r="AC385">
            <v>0.1</v>
          </cell>
          <cell r="AD385">
            <v>0.32</v>
          </cell>
          <cell r="AE385" t="str">
            <v>C</v>
          </cell>
          <cell r="AF385">
            <v>4.4397416251880744</v>
          </cell>
          <cell r="AG385">
            <v>0.32000000000000017</v>
          </cell>
          <cell r="AH385">
            <v>4.2699999999999996</v>
          </cell>
          <cell r="AI385">
            <v>3.5914384639597108</v>
          </cell>
          <cell r="AJ385">
            <v>3.3544714501420998</v>
          </cell>
          <cell r="AK385">
            <v>0.34000000000000008</v>
          </cell>
          <cell r="AL385">
            <v>0.24444444444444469</v>
          </cell>
          <cell r="AM385"/>
          <cell r="AN385" t="str">
            <v>OTRANS</v>
          </cell>
          <cell r="AO385"/>
          <cell r="AP385"/>
          <cell r="AQ385"/>
          <cell r="AR385">
            <v>5.79</v>
          </cell>
          <cell r="AS385">
            <v>17.03</v>
          </cell>
          <cell r="AT385">
            <v>22.82</v>
          </cell>
          <cell r="AU385">
            <v>3.2322946175637397</v>
          </cell>
          <cell r="AV385">
            <v>3.01902430512789</v>
          </cell>
          <cell r="AW385"/>
          <cell r="AX385">
            <v>8544700000</v>
          </cell>
          <cell r="AZ385">
            <v>14.799138750626915</v>
          </cell>
          <cell r="BA385">
            <v>8.8794832503761487</v>
          </cell>
          <cell r="BB385">
            <v>7.3995693753134573</v>
          </cell>
          <cell r="BC385">
            <v>5.9196555002507658</v>
          </cell>
        </row>
        <row r="386">
          <cell r="I386" t="str">
            <v>KCDOS2LCLC1MEF</v>
          </cell>
          <cell r="J386" t="str">
            <v>U0904001</v>
          </cell>
          <cell r="K386" t="str">
            <v>LC/LC OS2 DUPLEX OPTICAL PATCH CORD 1M ECO FRIENDLY BAG</v>
          </cell>
          <cell r="L386" t="str">
            <v>JARRETIERE OPTIQUE DUPLEX LC/LC OS2 1M SAC ÉCOLOGIQUE</v>
          </cell>
          <cell r="M386"/>
          <cell r="N386" t="str">
            <v>China</v>
          </cell>
          <cell r="O386"/>
          <cell r="P386" t="str">
            <v>1 pc eco friendly bag</v>
          </cell>
          <cell r="Q386" t="str">
            <v>2km per cable</v>
          </cell>
          <cell r="R386">
            <v>2160</v>
          </cell>
          <cell r="S386" t="str">
            <v>4897108884146</v>
          </cell>
          <cell r="T386">
            <v>8544700000</v>
          </cell>
          <cell r="U386">
            <v>0</v>
          </cell>
          <cell r="V386">
            <v>30</v>
          </cell>
          <cell r="W386">
            <v>45</v>
          </cell>
          <cell r="X386">
            <v>55</v>
          </cell>
          <cell r="Y386" t="str">
            <v>T/T 60 days</v>
          </cell>
          <cell r="Z386">
            <v>3.5506147404164405</v>
          </cell>
          <cell r="AA386">
            <v>2.7650970544093432</v>
          </cell>
          <cell r="AB386">
            <v>0.1</v>
          </cell>
          <cell r="AC386">
            <v>0.1</v>
          </cell>
          <cell r="AD386">
            <v>0.32</v>
          </cell>
          <cell r="AE386" t="str">
            <v>C</v>
          </cell>
          <cell r="AF386">
            <v>2.7650970544093432</v>
          </cell>
          <cell r="AG386">
            <v>0.32000000000000006</v>
          </cell>
          <cell r="AH386">
            <v>2.73</v>
          </cell>
          <cell r="AI386">
            <v>2.3434057286748504</v>
          </cell>
          <cell r="AJ386">
            <v>2.0891844411092815</v>
          </cell>
          <cell r="AK386">
            <v>0.34000000000000008</v>
          </cell>
          <cell r="AL386">
            <v>0.24444444444444446</v>
          </cell>
          <cell r="AM386"/>
          <cell r="AN386" t="str">
            <v>OTRANS</v>
          </cell>
          <cell r="AO386"/>
          <cell r="AP386"/>
          <cell r="AQ386"/>
          <cell r="AR386">
            <v>5.09</v>
          </cell>
          <cell r="AS386">
            <v>9.8000000000000007</v>
          </cell>
          <cell r="AT386">
            <v>14.89</v>
          </cell>
          <cell r="AU386">
            <v>2.1090651558073654</v>
          </cell>
          <cell r="AV386">
            <v>1.8802659969983533</v>
          </cell>
          <cell r="AW386"/>
          <cell r="AX386">
            <v>8544700000</v>
          </cell>
          <cell r="AZ386">
            <v>9.2169901813644781</v>
          </cell>
          <cell r="BA386">
            <v>5.5301941088186863</v>
          </cell>
          <cell r="BB386">
            <v>4.6084950906822391</v>
          </cell>
          <cell r="BC386">
            <v>3.6867960725457913</v>
          </cell>
        </row>
        <row r="387">
          <cell r="I387" t="str">
            <v>KCDOS2LCLC2MEF</v>
          </cell>
          <cell r="J387" t="str">
            <v>U0904002</v>
          </cell>
          <cell r="K387" t="str">
            <v>LC/LC OS2 DUPLEX OPTICAL PATCH CORD 2M ECO FRIENDLY BAG</v>
          </cell>
          <cell r="L387" t="str">
            <v>JARRETIERE OPTIQUE DUPLEX LC/LC OS2 2M SAC ÉCOLOGIQUE</v>
          </cell>
          <cell r="M387"/>
          <cell r="N387" t="str">
            <v>China</v>
          </cell>
          <cell r="O387"/>
          <cell r="P387" t="str">
            <v>1 pc eco friendly bag</v>
          </cell>
          <cell r="Q387" t="str">
            <v>2km per cable</v>
          </cell>
          <cell r="R387">
            <v>1920</v>
          </cell>
          <cell r="S387" t="e">
            <v>#N/A</v>
          </cell>
          <cell r="T387">
            <v>8544700000</v>
          </cell>
          <cell r="U387">
            <v>0</v>
          </cell>
          <cell r="V387">
            <v>30</v>
          </cell>
          <cell r="W387">
            <v>45</v>
          </cell>
          <cell r="X387">
            <v>55</v>
          </cell>
          <cell r="Y387" t="str">
            <v>T/T 60 days</v>
          </cell>
          <cell r="Z387">
            <v>3.6936885378811724</v>
          </cell>
          <cell r="AA387">
            <v>2.8822849422439258</v>
          </cell>
          <cell r="AB387">
            <v>0.1</v>
          </cell>
          <cell r="AC387">
            <v>0.1</v>
          </cell>
          <cell r="AD387">
            <v>0.32</v>
          </cell>
          <cell r="AE387" t="str">
            <v>C</v>
          </cell>
          <cell r="AF387">
            <v>2.8822849422439258</v>
          </cell>
          <cell r="AG387">
            <v>0.32000000000000006</v>
          </cell>
          <cell r="AH387">
            <v>2.84</v>
          </cell>
          <cell r="AI387">
            <v>2.4378344350015735</v>
          </cell>
          <cell r="AJ387">
            <v>2.1777264008065216</v>
          </cell>
          <cell r="AK387">
            <v>0.34000000000000008</v>
          </cell>
          <cell r="AL387">
            <v>0.24444444444444446</v>
          </cell>
          <cell r="AM387"/>
          <cell r="AN387" t="str">
            <v>OTRANS</v>
          </cell>
          <cell r="AO387"/>
          <cell r="AP387"/>
          <cell r="AQ387"/>
          <cell r="AR387">
            <v>5.14</v>
          </cell>
          <cell r="AS387">
            <v>10.35</v>
          </cell>
          <cell r="AT387">
            <v>15.489999999999998</v>
          </cell>
          <cell r="AU387">
            <v>2.1940509915014164</v>
          </cell>
          <cell r="AV387">
            <v>1.9599537607258695</v>
          </cell>
          <cell r="AW387"/>
          <cell r="AX387">
            <v>8544700000</v>
          </cell>
          <cell r="AZ387">
            <v>9.6076164741464201</v>
          </cell>
          <cell r="BA387">
            <v>5.7645698844878517</v>
          </cell>
          <cell r="BB387">
            <v>4.80380823707321</v>
          </cell>
          <cell r="BC387">
            <v>3.8430465896585684</v>
          </cell>
        </row>
        <row r="388">
          <cell r="I388" t="str">
            <v>KCDOS2LCLC3MEF</v>
          </cell>
          <cell r="J388" t="str">
            <v>U0904003</v>
          </cell>
          <cell r="K388" t="str">
            <v>LC/LC OS2 DUPLEX OPTICAL PATCH CORD 3M ECO FRIENDLY BAG</v>
          </cell>
          <cell r="L388" t="str">
            <v>JARRETIERE OPTIQUE DUPLEX LC/LC OS2 3MSAC ÉCOLOGIQUE</v>
          </cell>
          <cell r="M388"/>
          <cell r="N388" t="str">
            <v>China</v>
          </cell>
          <cell r="O388"/>
          <cell r="P388" t="str">
            <v>1 pc eco friendly bag</v>
          </cell>
          <cell r="Q388" t="str">
            <v>2km per cable</v>
          </cell>
          <cell r="R388">
            <v>1920</v>
          </cell>
          <cell r="S388" t="str">
            <v>4897108884153</v>
          </cell>
          <cell r="T388">
            <v>8544700000</v>
          </cell>
          <cell r="U388">
            <v>0</v>
          </cell>
          <cell r="V388">
            <v>30</v>
          </cell>
          <cell r="W388">
            <v>45</v>
          </cell>
          <cell r="X388">
            <v>55</v>
          </cell>
          <cell r="Y388" t="str">
            <v>T/T 60 days</v>
          </cell>
          <cell r="Z388">
            <v>3.8367623353459055</v>
          </cell>
          <cell r="AA388">
            <v>2.990962481494631</v>
          </cell>
          <cell r="AB388">
            <v>0.1</v>
          </cell>
          <cell r="AC388">
            <v>0.1</v>
          </cell>
          <cell r="AD388">
            <v>0.32</v>
          </cell>
          <cell r="AE388" t="str">
            <v>C</v>
          </cell>
          <cell r="AF388">
            <v>2.990962481494631</v>
          </cell>
          <cell r="AG388">
            <v>0.32000000000000006</v>
          </cell>
          <cell r="AH388">
            <v>2.94</v>
          </cell>
          <cell r="AI388">
            <v>2.5322631413282974</v>
          </cell>
          <cell r="AJ388">
            <v>2.2598383193514988</v>
          </cell>
          <cell r="AK388">
            <v>0.34000000000000008</v>
          </cell>
          <cell r="AL388">
            <v>0.24444444444444446</v>
          </cell>
          <cell r="AM388"/>
          <cell r="AN388" t="str">
            <v>OTRANS</v>
          </cell>
          <cell r="AO388"/>
          <cell r="AP388"/>
          <cell r="AQ388"/>
          <cell r="AR388">
            <v>5.19</v>
          </cell>
          <cell r="AS388">
            <v>10.9</v>
          </cell>
          <cell r="AT388">
            <v>16.09</v>
          </cell>
          <cell r="AU388">
            <v>2.2790368271954677</v>
          </cell>
          <cell r="AV388">
            <v>2.0338544874163489</v>
          </cell>
          <cell r="AW388"/>
          <cell r="AX388">
            <v>8544700000</v>
          </cell>
          <cell r="AZ388">
            <v>9.9698749383154368</v>
          </cell>
          <cell r="BA388">
            <v>5.9819249629892619</v>
          </cell>
          <cell r="BB388">
            <v>4.9849374691577184</v>
          </cell>
          <cell r="BC388">
            <v>3.9879499753261749</v>
          </cell>
        </row>
        <row r="389">
          <cell r="I389" t="str">
            <v>KCDOS2LCLC5MEF</v>
          </cell>
          <cell r="J389" t="str">
            <v>U0904004</v>
          </cell>
          <cell r="K389" t="str">
            <v>LC/LC OS2 DUPLEX OPTICAL PATCH CORD 5M ECO FRIENDLY BAG</v>
          </cell>
          <cell r="L389" t="str">
            <v>JARRETIERE OPTIQUE DUPLEX LC/LC OS2 5M SAC ÉCOLOGIQUE</v>
          </cell>
          <cell r="M389"/>
          <cell r="N389" t="str">
            <v>China</v>
          </cell>
          <cell r="O389"/>
          <cell r="P389" t="str">
            <v>1 pc eco friendly bag</v>
          </cell>
          <cell r="Q389" t="str">
            <v>2km per cable</v>
          </cell>
          <cell r="R389">
            <v>1440</v>
          </cell>
          <cell r="S389" t="str">
            <v>4897108884160</v>
          </cell>
          <cell r="T389">
            <v>8544700000</v>
          </cell>
          <cell r="U389">
            <v>0</v>
          </cell>
          <cell r="V389">
            <v>30</v>
          </cell>
          <cell r="W389">
            <v>45</v>
          </cell>
          <cell r="X389">
            <v>55</v>
          </cell>
          <cell r="Y389" t="str">
            <v>T/T 60 days</v>
          </cell>
          <cell r="Z389">
            <v>4.1086025505288966</v>
          </cell>
          <cell r="AA389">
            <v>3.2229808518226037</v>
          </cell>
          <cell r="AB389">
            <v>0.1</v>
          </cell>
          <cell r="AC389">
            <v>0.1</v>
          </cell>
          <cell r="AD389">
            <v>0.32</v>
          </cell>
          <cell r="AE389" t="str">
            <v>C</v>
          </cell>
          <cell r="AF389">
            <v>3.2229808518226037</v>
          </cell>
          <cell r="AG389">
            <v>0.32000000000000006</v>
          </cell>
          <cell r="AH389">
            <v>3.15</v>
          </cell>
          <cell r="AI389">
            <v>2.7116776833490714</v>
          </cell>
          <cell r="AJ389">
            <v>2.435141088043745</v>
          </cell>
          <cell r="AK389">
            <v>0.34000000000000008</v>
          </cell>
          <cell r="AL389">
            <v>0.24444444444444446</v>
          </cell>
          <cell r="AM389"/>
          <cell r="AN389" t="str">
            <v>OTRANS</v>
          </cell>
          <cell r="AO389"/>
          <cell r="AP389"/>
          <cell r="AQ389"/>
          <cell r="AR389">
            <v>5.29</v>
          </cell>
          <cell r="AS389">
            <v>11.94</v>
          </cell>
          <cell r="AT389">
            <v>17.23</v>
          </cell>
          <cell r="AU389">
            <v>2.4405099150141645</v>
          </cell>
          <cell r="AV389">
            <v>2.1916269792393703</v>
          </cell>
          <cell r="AW389"/>
          <cell r="AX389">
            <v>8544700000</v>
          </cell>
          <cell r="AZ389">
            <v>10.743269506075347</v>
          </cell>
          <cell r="BA389">
            <v>6.4459617036452075</v>
          </cell>
          <cell r="BB389">
            <v>5.3716347530376733</v>
          </cell>
          <cell r="BC389">
            <v>4.2973078024301392</v>
          </cell>
        </row>
        <row r="390">
          <cell r="I390" t="str">
            <v>KCDOS2LCLC10MEF</v>
          </cell>
          <cell r="J390" t="str">
            <v/>
          </cell>
          <cell r="K390" t="str">
            <v>LC/LC OS2 DUPLEX OPTICAL PATCH CORD 10M ECO FRIENDLY BAG</v>
          </cell>
          <cell r="L390" t="str">
            <v>JARRETIERE OPTIQUE DUPLEX LC/LC OS2 10M SAC ÉCOLOGIQUE</v>
          </cell>
          <cell r="M390"/>
          <cell r="N390" t="str">
            <v>China</v>
          </cell>
          <cell r="O390"/>
          <cell r="P390" t="str">
            <v>1 pc eco friendly bag</v>
          </cell>
          <cell r="Q390" t="str">
            <v>2km per cable</v>
          </cell>
          <cell r="R390">
            <v>720</v>
          </cell>
          <cell r="S390" t="e">
            <v>#N/A</v>
          </cell>
          <cell r="T390">
            <v>8544700000</v>
          </cell>
          <cell r="U390">
            <v>0</v>
          </cell>
          <cell r="V390">
            <v>30</v>
          </cell>
          <cell r="W390">
            <v>45</v>
          </cell>
          <cell r="X390">
            <v>55</v>
          </cell>
          <cell r="Y390" t="str">
            <v>T/T 60 days</v>
          </cell>
          <cell r="Z390">
            <v>4.7023588100075351</v>
          </cell>
          <cell r="AA390">
            <v>3.7761168227195632</v>
          </cell>
          <cell r="AB390">
            <v>0.1</v>
          </cell>
          <cell r="AC390">
            <v>0.1</v>
          </cell>
          <cell r="AD390">
            <v>0.32</v>
          </cell>
          <cell r="AE390" t="str">
            <v>C</v>
          </cell>
          <cell r="AF390">
            <v>3.7761168227195632</v>
          </cell>
          <cell r="AG390">
            <v>0.32000000000000006</v>
          </cell>
          <cell r="AH390">
            <v>3.66</v>
          </cell>
          <cell r="AI390">
            <v>3.103556814604973</v>
          </cell>
          <cell r="AJ390">
            <v>2.8530660438325586</v>
          </cell>
          <cell r="AK390">
            <v>0.34000000000000008</v>
          </cell>
          <cell r="AL390">
            <v>0.24444444444444446</v>
          </cell>
          <cell r="AM390"/>
          <cell r="AN390" t="str">
            <v>OTRANS</v>
          </cell>
          <cell r="AO390"/>
          <cell r="AP390"/>
          <cell r="AQ390"/>
          <cell r="AR390">
            <v>5.54</v>
          </cell>
          <cell r="AS390">
            <v>14.18</v>
          </cell>
          <cell r="AT390">
            <v>19.72</v>
          </cell>
          <cell r="AU390">
            <v>2.7932011331444757</v>
          </cell>
          <cell r="AV390">
            <v>2.5677594394493028</v>
          </cell>
          <cell r="AW390"/>
          <cell r="AX390">
            <v>8544700000</v>
          </cell>
          <cell r="AZ390">
            <v>12.587056075731878</v>
          </cell>
          <cell r="BA390">
            <v>7.5522336454391263</v>
          </cell>
          <cell r="BB390">
            <v>6.2935280378659391</v>
          </cell>
          <cell r="BC390">
            <v>5.0348224302927518</v>
          </cell>
        </row>
        <row r="391">
          <cell r="I391" t="str">
            <v>KCDOS2LCLC15MEF</v>
          </cell>
          <cell r="J391" t="str">
            <v/>
          </cell>
          <cell r="K391" t="str">
            <v>LC/LC OS2 DUPLEX OPTICAL PATCH CORD 15M ECO FRIENDLY BAG</v>
          </cell>
          <cell r="L391" t="str">
            <v>JARRETIERE OPTIQUE DUPLEX LC/LC OS2 15M SAC ÉCOLOGIQUE</v>
          </cell>
          <cell r="M391"/>
          <cell r="N391" t="str">
            <v>China</v>
          </cell>
          <cell r="O391"/>
          <cell r="P391" t="str">
            <v>1 pc eco friendly bag</v>
          </cell>
          <cell r="Q391" t="str">
            <v>2km per cable</v>
          </cell>
          <cell r="R391">
            <v>480</v>
          </cell>
          <cell r="S391" t="e">
            <v>#N/A</v>
          </cell>
          <cell r="T391">
            <v>8544700000</v>
          </cell>
          <cell r="U391">
            <v>0</v>
          </cell>
          <cell r="V391">
            <v>30</v>
          </cell>
          <cell r="W391">
            <v>45</v>
          </cell>
          <cell r="X391">
            <v>55</v>
          </cell>
          <cell r="Y391" t="str">
            <v>T/T 60 days</v>
          </cell>
          <cell r="Z391">
            <v>5.4415734302419869</v>
          </cell>
          <cell r="AA391">
            <v>4.4397416251880744</v>
          </cell>
          <cell r="AB391">
            <v>0.1</v>
          </cell>
          <cell r="AC391">
            <v>0.1</v>
          </cell>
          <cell r="AD391">
            <v>0.32</v>
          </cell>
          <cell r="AE391" t="str">
            <v>C</v>
          </cell>
          <cell r="AF391">
            <v>4.4397416251880744</v>
          </cell>
          <cell r="AG391">
            <v>0.32000000000000017</v>
          </cell>
          <cell r="AH391">
            <v>4.2699999999999996</v>
          </cell>
          <cell r="AI391">
            <v>3.5914384639597108</v>
          </cell>
          <cell r="AJ391">
            <v>3.3544714501420998</v>
          </cell>
          <cell r="AK391">
            <v>0.34000000000000008</v>
          </cell>
          <cell r="AL391">
            <v>0.24444444444444469</v>
          </cell>
          <cell r="AM391"/>
          <cell r="AN391" t="str">
            <v>OTRANS</v>
          </cell>
          <cell r="AO391"/>
          <cell r="AP391"/>
          <cell r="AQ391"/>
          <cell r="AR391">
            <v>5.79</v>
          </cell>
          <cell r="AS391">
            <v>17.03</v>
          </cell>
          <cell r="AT391">
            <v>22.82</v>
          </cell>
          <cell r="AU391">
            <v>3.2322946175637397</v>
          </cell>
          <cell r="AV391">
            <v>3.01902430512789</v>
          </cell>
          <cell r="AW391"/>
          <cell r="AX391">
            <v>8544700000</v>
          </cell>
          <cell r="AZ391">
            <v>14.799138750626915</v>
          </cell>
          <cell r="BA391">
            <v>8.8794832503761487</v>
          </cell>
          <cell r="BB391">
            <v>7.3995693753134573</v>
          </cell>
          <cell r="BC391">
            <v>5.9196555002507658</v>
          </cell>
        </row>
        <row r="392">
          <cell r="I392" t="str">
            <v>KCDOS2LCLC1MEF</v>
          </cell>
          <cell r="J392" t="str">
            <v>U0904001</v>
          </cell>
          <cell r="K392" t="str">
            <v>LC/LC OS2 DUPLEX OPTICAL PATCH CORD 1M ECO FRIENDLY BAG</v>
          </cell>
          <cell r="L392" t="str">
            <v>JARRETIERE OPTIQUE DUPLEX LC/LC OS2 1M SAC ÉCOLOGIQUE</v>
          </cell>
          <cell r="M392"/>
          <cell r="N392" t="str">
            <v>China</v>
          </cell>
          <cell r="O392"/>
          <cell r="P392" t="str">
            <v>1 pc eco friendly bag</v>
          </cell>
          <cell r="Q392" t="str">
            <v>2km per cable</v>
          </cell>
          <cell r="R392">
            <v>2160</v>
          </cell>
          <cell r="S392" t="str">
            <v>4897108884146</v>
          </cell>
          <cell r="T392">
            <v>8544700000</v>
          </cell>
          <cell r="U392">
            <v>0</v>
          </cell>
          <cell r="V392">
            <v>30</v>
          </cell>
          <cell r="W392">
            <v>45</v>
          </cell>
          <cell r="X392">
            <v>55</v>
          </cell>
          <cell r="Y392" t="str">
            <v>T/T 60 days</v>
          </cell>
          <cell r="Z392">
            <v>3.5506147404164405</v>
          </cell>
          <cell r="AA392">
            <v>2.7650970544093432</v>
          </cell>
          <cell r="AB392">
            <v>0.1</v>
          </cell>
          <cell r="AC392">
            <v>0.1</v>
          </cell>
          <cell r="AD392">
            <v>0.32</v>
          </cell>
          <cell r="AE392" t="str">
            <v>C</v>
          </cell>
          <cell r="AF392">
            <v>2.7650970544093432</v>
          </cell>
          <cell r="AG392">
            <v>0.32000000000000006</v>
          </cell>
          <cell r="AH392">
            <v>2.73</v>
          </cell>
          <cell r="AI392">
            <v>2.3434057286748504</v>
          </cell>
          <cell r="AJ392">
            <v>2.0891844411092815</v>
          </cell>
          <cell r="AK392">
            <v>0.34000000000000008</v>
          </cell>
          <cell r="AL392">
            <v>0.24444444444444446</v>
          </cell>
          <cell r="AM392"/>
          <cell r="AN392" t="str">
            <v>OTRANS</v>
          </cell>
          <cell r="AO392"/>
          <cell r="AP392"/>
          <cell r="AQ392"/>
          <cell r="AR392">
            <v>5.09</v>
          </cell>
          <cell r="AS392">
            <v>9.8000000000000007</v>
          </cell>
          <cell r="AT392">
            <v>14.89</v>
          </cell>
          <cell r="AU392">
            <v>2.1090651558073654</v>
          </cell>
          <cell r="AV392">
            <v>1.8802659969983533</v>
          </cell>
          <cell r="AW392"/>
          <cell r="AX392">
            <v>8544700000</v>
          </cell>
          <cell r="AZ392">
            <v>9.2169901813644781</v>
          </cell>
          <cell r="BA392">
            <v>5.5301941088186863</v>
          </cell>
          <cell r="BB392">
            <v>4.6084950906822391</v>
          </cell>
          <cell r="BC392">
            <v>3.6867960725457913</v>
          </cell>
        </row>
        <row r="393">
          <cell r="I393" t="str">
            <v>KCDOS2LCLC2MEF</v>
          </cell>
          <cell r="J393" t="str">
            <v>U0904002</v>
          </cell>
          <cell r="K393" t="str">
            <v>LC/LC OS2 DUPLEX OPTICAL PATCH CORD 2M ECO FRIENDLY BAG</v>
          </cell>
          <cell r="L393" t="str">
            <v>JARRETIERE OPTIQUE DUPLEX LC/LC OS2 2M SAC ÉCOLOGIQUE</v>
          </cell>
          <cell r="M393"/>
          <cell r="N393" t="str">
            <v>China</v>
          </cell>
          <cell r="O393"/>
          <cell r="P393" t="str">
            <v>1 pc eco friendly bag</v>
          </cell>
          <cell r="Q393" t="str">
            <v>2km per cable</v>
          </cell>
          <cell r="R393">
            <v>1920</v>
          </cell>
          <cell r="S393" t="e">
            <v>#N/A</v>
          </cell>
          <cell r="T393">
            <v>8544700000</v>
          </cell>
          <cell r="U393">
            <v>0</v>
          </cell>
          <cell r="V393">
            <v>30</v>
          </cell>
          <cell r="W393">
            <v>45</v>
          </cell>
          <cell r="X393">
            <v>55</v>
          </cell>
          <cell r="Y393" t="str">
            <v>T/T 60 days</v>
          </cell>
          <cell r="Z393">
            <v>3.6936885378811724</v>
          </cell>
          <cell r="AA393">
            <v>2.8822849422439258</v>
          </cell>
          <cell r="AB393">
            <v>0.1</v>
          </cell>
          <cell r="AC393">
            <v>0.1</v>
          </cell>
          <cell r="AD393">
            <v>0.32</v>
          </cell>
          <cell r="AE393" t="str">
            <v>C</v>
          </cell>
          <cell r="AF393">
            <v>2.8822849422439258</v>
          </cell>
          <cell r="AG393">
            <v>0.32000000000000006</v>
          </cell>
          <cell r="AH393">
            <v>2.84</v>
          </cell>
          <cell r="AI393">
            <v>2.4378344350015735</v>
          </cell>
          <cell r="AJ393">
            <v>2.1777264008065216</v>
          </cell>
          <cell r="AK393">
            <v>0.34000000000000008</v>
          </cell>
          <cell r="AL393">
            <v>0.24444444444444446</v>
          </cell>
          <cell r="AM393"/>
          <cell r="AN393" t="str">
            <v>OTRANS</v>
          </cell>
          <cell r="AO393"/>
          <cell r="AP393"/>
          <cell r="AQ393"/>
          <cell r="AR393">
            <v>5.14</v>
          </cell>
          <cell r="AS393">
            <v>10.35</v>
          </cell>
          <cell r="AT393">
            <v>15.489999999999998</v>
          </cell>
          <cell r="AU393">
            <v>2.1940509915014164</v>
          </cell>
          <cell r="AV393">
            <v>1.9599537607258695</v>
          </cell>
          <cell r="AW393"/>
          <cell r="AX393">
            <v>8544700000</v>
          </cell>
          <cell r="AZ393">
            <v>9.6076164741464201</v>
          </cell>
          <cell r="BA393">
            <v>5.7645698844878517</v>
          </cell>
          <cell r="BB393">
            <v>4.80380823707321</v>
          </cell>
          <cell r="BC393">
            <v>3.8430465896585684</v>
          </cell>
        </row>
        <row r="394">
          <cell r="I394" t="str">
            <v>KCDOS2LCLC3MEF</v>
          </cell>
          <cell r="J394" t="str">
            <v>U0904003</v>
          </cell>
          <cell r="K394" t="str">
            <v>LC/LC OS2 DUPLEX OPTICAL PATCH CORD 3M ECO FRIENDLY BAG</v>
          </cell>
          <cell r="L394" t="str">
            <v>JARRETIERE OPTIQUE DUPLEX LC/LC OS2 3MSAC ÉCOLOGIQUE</v>
          </cell>
          <cell r="M394"/>
          <cell r="N394" t="str">
            <v>China</v>
          </cell>
          <cell r="O394"/>
          <cell r="P394" t="str">
            <v>1 pc eco friendly bag</v>
          </cell>
          <cell r="Q394" t="str">
            <v>2km per cable</v>
          </cell>
          <cell r="R394">
            <v>1920</v>
          </cell>
          <cell r="S394" t="str">
            <v>4897108884153</v>
          </cell>
          <cell r="T394">
            <v>8544700000</v>
          </cell>
          <cell r="U394">
            <v>0</v>
          </cell>
          <cell r="V394">
            <v>30</v>
          </cell>
          <cell r="W394">
            <v>45</v>
          </cell>
          <cell r="X394">
            <v>55</v>
          </cell>
          <cell r="Y394" t="str">
            <v>T/T 60 days</v>
          </cell>
          <cell r="Z394">
            <v>3.8367623353459055</v>
          </cell>
          <cell r="AA394">
            <v>2.990962481494631</v>
          </cell>
          <cell r="AB394">
            <v>0.1</v>
          </cell>
          <cell r="AC394">
            <v>0.1</v>
          </cell>
          <cell r="AD394">
            <v>0.32</v>
          </cell>
          <cell r="AE394" t="str">
            <v>C</v>
          </cell>
          <cell r="AF394">
            <v>2.990962481494631</v>
          </cell>
          <cell r="AG394">
            <v>0.32000000000000006</v>
          </cell>
          <cell r="AH394">
            <v>2.94</v>
          </cell>
          <cell r="AI394">
            <v>2.5322631413282974</v>
          </cell>
          <cell r="AJ394">
            <v>2.2598383193514988</v>
          </cell>
          <cell r="AK394">
            <v>0.34000000000000008</v>
          </cell>
          <cell r="AL394">
            <v>0.24444444444444446</v>
          </cell>
          <cell r="AM394"/>
          <cell r="AN394" t="str">
            <v>OTRANS</v>
          </cell>
          <cell r="AO394"/>
          <cell r="AP394"/>
          <cell r="AQ394"/>
          <cell r="AR394">
            <v>5.19</v>
          </cell>
          <cell r="AS394">
            <v>10.9</v>
          </cell>
          <cell r="AT394">
            <v>16.09</v>
          </cell>
          <cell r="AU394">
            <v>2.2790368271954677</v>
          </cell>
          <cell r="AV394">
            <v>2.0338544874163489</v>
          </cell>
          <cell r="AW394"/>
          <cell r="AX394">
            <v>8544700000</v>
          </cell>
          <cell r="AZ394">
            <v>9.9698749383154368</v>
          </cell>
          <cell r="BA394">
            <v>5.9819249629892619</v>
          </cell>
          <cell r="BB394">
            <v>4.9849374691577184</v>
          </cell>
          <cell r="BC394">
            <v>3.9879499753261749</v>
          </cell>
        </row>
        <row r="395">
          <cell r="I395" t="str">
            <v>KCDOS2LCLC5MEF</v>
          </cell>
          <cell r="J395" t="str">
            <v>U0904004</v>
          </cell>
          <cell r="K395" t="str">
            <v>LC/LC OS2 DUPLEX OPTICAL PATCH CORD 5M ECO FRIENDLY BAG</v>
          </cell>
          <cell r="L395" t="str">
            <v>JARRETIERE OPTIQUE DUPLEX LC/LC OS2 5M SAC ÉCOLOGIQUE</v>
          </cell>
          <cell r="M395"/>
          <cell r="N395" t="str">
            <v>China</v>
          </cell>
          <cell r="O395"/>
          <cell r="P395" t="str">
            <v>1 pc eco friendly bag</v>
          </cell>
          <cell r="Q395" t="str">
            <v>2km per cable</v>
          </cell>
          <cell r="R395">
            <v>1440</v>
          </cell>
          <cell r="S395" t="str">
            <v>4897108884160</v>
          </cell>
          <cell r="T395">
            <v>8544700000</v>
          </cell>
          <cell r="U395">
            <v>0</v>
          </cell>
          <cell r="V395">
            <v>30</v>
          </cell>
          <cell r="W395">
            <v>45</v>
          </cell>
          <cell r="X395">
            <v>55</v>
          </cell>
          <cell r="Y395" t="str">
            <v>T/T 60 days</v>
          </cell>
          <cell r="Z395">
            <v>4.1086025505288966</v>
          </cell>
          <cell r="AA395">
            <v>3.2229808518226037</v>
          </cell>
          <cell r="AB395">
            <v>0.1</v>
          </cell>
          <cell r="AC395">
            <v>0.1</v>
          </cell>
          <cell r="AD395">
            <v>0.32</v>
          </cell>
          <cell r="AE395" t="str">
            <v>C</v>
          </cell>
          <cell r="AF395">
            <v>3.2229808518226037</v>
          </cell>
          <cell r="AG395">
            <v>0.32000000000000006</v>
          </cell>
          <cell r="AH395">
            <v>3.15</v>
          </cell>
          <cell r="AI395">
            <v>2.7116776833490714</v>
          </cell>
          <cell r="AJ395">
            <v>2.435141088043745</v>
          </cell>
          <cell r="AK395">
            <v>0.34000000000000008</v>
          </cell>
          <cell r="AL395">
            <v>0.24444444444444446</v>
          </cell>
          <cell r="AM395"/>
          <cell r="AN395" t="str">
            <v>OTRANS</v>
          </cell>
          <cell r="AO395"/>
          <cell r="AP395"/>
          <cell r="AQ395"/>
          <cell r="AR395">
            <v>5.29</v>
          </cell>
          <cell r="AS395">
            <v>11.94</v>
          </cell>
          <cell r="AT395">
            <v>17.23</v>
          </cell>
          <cell r="AU395">
            <v>2.4405099150141645</v>
          </cell>
          <cell r="AV395">
            <v>2.1916269792393703</v>
          </cell>
          <cell r="AW395"/>
          <cell r="AX395">
            <v>8544700000</v>
          </cell>
          <cell r="AZ395">
            <v>10.743269506075347</v>
          </cell>
          <cell r="BA395">
            <v>6.4459617036452075</v>
          </cell>
          <cell r="BB395">
            <v>5.3716347530376733</v>
          </cell>
          <cell r="BC395">
            <v>4.2973078024301392</v>
          </cell>
        </row>
        <row r="396">
          <cell r="I396" t="str">
            <v>KCDOS2LCLC10MEF</v>
          </cell>
          <cell r="J396" t="str">
            <v/>
          </cell>
          <cell r="K396" t="str">
            <v>LC/LC OS2 DUPLEX OPTICAL PATCH CORD 10M ECO FRIENDLY BAG</v>
          </cell>
          <cell r="L396" t="str">
            <v>JARRETIERE OPTIQUE DUPLEX LC/LC OS2 10M SAC ÉCOLOGIQUE</v>
          </cell>
          <cell r="M396"/>
          <cell r="N396" t="str">
            <v>China</v>
          </cell>
          <cell r="O396"/>
          <cell r="P396" t="str">
            <v>1 pc eco friendly bag</v>
          </cell>
          <cell r="Q396" t="str">
            <v>2km per cable</v>
          </cell>
          <cell r="R396">
            <v>720</v>
          </cell>
          <cell r="S396" t="e">
            <v>#N/A</v>
          </cell>
          <cell r="T396">
            <v>8544700000</v>
          </cell>
          <cell r="U396">
            <v>0</v>
          </cell>
          <cell r="V396">
            <v>30</v>
          </cell>
          <cell r="W396">
            <v>45</v>
          </cell>
          <cell r="X396">
            <v>55</v>
          </cell>
          <cell r="Y396" t="str">
            <v>T/T 60 days</v>
          </cell>
          <cell r="Z396">
            <v>4.7023588100075351</v>
          </cell>
          <cell r="AA396">
            <v>3.7761168227195632</v>
          </cell>
          <cell r="AB396">
            <v>0.1</v>
          </cell>
          <cell r="AC396">
            <v>0.1</v>
          </cell>
          <cell r="AD396">
            <v>0.32</v>
          </cell>
          <cell r="AE396" t="str">
            <v>C</v>
          </cell>
          <cell r="AF396">
            <v>3.7761168227195632</v>
          </cell>
          <cell r="AG396">
            <v>0.32000000000000006</v>
          </cell>
          <cell r="AH396">
            <v>3.66</v>
          </cell>
          <cell r="AI396">
            <v>3.103556814604973</v>
          </cell>
          <cell r="AJ396">
            <v>2.8530660438325586</v>
          </cell>
          <cell r="AK396">
            <v>0.34000000000000008</v>
          </cell>
          <cell r="AL396">
            <v>0.24444444444444446</v>
          </cell>
          <cell r="AM396"/>
          <cell r="AN396" t="str">
            <v>OTRANS</v>
          </cell>
          <cell r="AO396"/>
          <cell r="AP396"/>
          <cell r="AQ396"/>
          <cell r="AR396">
            <v>5.54</v>
          </cell>
          <cell r="AS396">
            <v>14.18</v>
          </cell>
          <cell r="AT396">
            <v>19.72</v>
          </cell>
          <cell r="AU396">
            <v>2.7932011331444757</v>
          </cell>
          <cell r="AV396">
            <v>2.5677594394493028</v>
          </cell>
          <cell r="AW396"/>
          <cell r="AX396">
            <v>8544700000</v>
          </cell>
          <cell r="AZ396">
            <v>12.587056075731878</v>
          </cell>
          <cell r="BA396">
            <v>7.5522336454391263</v>
          </cell>
          <cell r="BB396">
            <v>6.2935280378659391</v>
          </cell>
          <cell r="BC396">
            <v>5.0348224302927518</v>
          </cell>
        </row>
        <row r="397">
          <cell r="I397" t="str">
            <v>KSFP1U245NPCEF</v>
          </cell>
          <cell r="J397" t="str">
            <v>U1001002</v>
          </cell>
          <cell r="K397" t="str">
            <v>19" 1U FIBRE OPTIC PATCH PANEL 245 UNLOADED WITHOUT FRONT PLATE WITH HOLE CUTTING AND ACCESSORIES PER FRIENDLY CARTON</v>
          </cell>
          <cell r="L397" t="str">
            <v xml:space="preserve">TIROIR FIBRE OPTIQUE 19" 1U 245MM VIDE SANS PLAQUE AVANT AVEC DÉCOUPE DE TROU ET ACCESSOIRES PAR CARTON </v>
          </cell>
          <cell r="M397"/>
          <cell r="N397" t="str">
            <v>China</v>
          </cell>
          <cell r="O397"/>
          <cell r="P397" t="str">
            <v>1 pc eco friendly box</v>
          </cell>
          <cell r="Q397" t="str">
            <v>480 pcs</v>
          </cell>
          <cell r="R397">
            <v>90</v>
          </cell>
          <cell r="S397" t="str">
            <v>4897108884009</v>
          </cell>
          <cell r="T397" t="str">
            <v>853890 9900</v>
          </cell>
          <cell r="U397">
            <v>1.7000000000000001E-2</v>
          </cell>
          <cell r="V397">
            <v>30</v>
          </cell>
          <cell r="W397">
            <v>45</v>
          </cell>
          <cell r="X397">
            <v>55</v>
          </cell>
          <cell r="Y397" t="str">
            <v>T/T 60 days</v>
          </cell>
          <cell r="Z397">
            <v>17.611703164111098</v>
          </cell>
          <cell r="AA397">
            <v>15.32954723698658</v>
          </cell>
          <cell r="AB397">
            <v>0.1</v>
          </cell>
          <cell r="AC397">
            <v>0.1</v>
          </cell>
          <cell r="AD397">
            <v>0.35</v>
          </cell>
          <cell r="AE397" t="str">
            <v>A</v>
          </cell>
          <cell r="AF397">
            <v>13.796592513287921</v>
          </cell>
          <cell r="AG397">
            <v>0.27777777777777779</v>
          </cell>
          <cell r="AH397">
            <v>15.21</v>
          </cell>
          <cell r="AI397">
            <v>11.095372993389992</v>
          </cell>
          <cell r="AJ397">
            <v>11.071339671156974</v>
          </cell>
          <cell r="AK397">
            <v>0.37</v>
          </cell>
          <cell r="AL397">
            <v>0.27777777777777779</v>
          </cell>
          <cell r="AM397"/>
          <cell r="AN397" t="str">
            <v>OTRANS</v>
          </cell>
          <cell r="AO397"/>
          <cell r="AP397"/>
          <cell r="AQ397"/>
          <cell r="AR397">
            <v>4</v>
          </cell>
          <cell r="AS397">
            <v>66.5</v>
          </cell>
          <cell r="AT397">
            <v>70.5</v>
          </cell>
          <cell r="AU397">
            <v>9.9858356940509925</v>
          </cell>
          <cell r="AV397">
            <v>9.9642057040412766</v>
          </cell>
          <cell r="AW397"/>
          <cell r="AX397">
            <v>8517622990</v>
          </cell>
          <cell r="AZ397">
            <v>51.098490789955264</v>
          </cell>
          <cell r="BA397">
            <v>30.659094473973155</v>
          </cell>
          <cell r="BB397">
            <v>25.549245394977632</v>
          </cell>
          <cell r="BC397">
            <v>20.439396315982108</v>
          </cell>
        </row>
        <row r="398">
          <cell r="I398" t="str">
            <v>KSFP1U205NPCEF</v>
          </cell>
          <cell r="J398" t="str">
            <v>U1001001</v>
          </cell>
          <cell r="K398" t="str">
            <v>19" 1U FIBRE OPTIC PATCH PANEL 205 UNLOADED WITHOUT FRONT PLATE WITH HOLE CUTTING AND ACCESSORIES PER FRIENDLY CARTON</v>
          </cell>
          <cell r="L398" t="str">
            <v>TIROIR FIBRE OPTIQUE 19" 1U 205MM  VIDE SANS PLAQUE AVANT AVEC DÉCOUPE DE TROU ET ACCESSOIRES PAR CARTON</v>
          </cell>
          <cell r="M398"/>
          <cell r="N398" t="str">
            <v>China</v>
          </cell>
          <cell r="O398"/>
          <cell r="P398" t="str">
            <v>1 pc eco friendly box</v>
          </cell>
          <cell r="Q398" t="str">
            <v>480 pcs</v>
          </cell>
          <cell r="R398">
            <v>90</v>
          </cell>
          <cell r="S398" t="str">
            <v>4897108882609</v>
          </cell>
          <cell r="T398" t="str">
            <v>853890 9900</v>
          </cell>
          <cell r="U398">
            <v>1.7000000000000001E-2</v>
          </cell>
          <cell r="V398">
            <v>30</v>
          </cell>
          <cell r="W398">
            <v>45</v>
          </cell>
          <cell r="X398">
            <v>55</v>
          </cell>
          <cell r="Y398" t="str">
            <v>T/T 60 days</v>
          </cell>
          <cell r="Z398">
            <v>15.863023417319923</v>
          </cell>
          <cell r="AA398">
            <v>13.977192361907228</v>
          </cell>
          <cell r="AB398">
            <v>0.1</v>
          </cell>
          <cell r="AC398">
            <v>0.1</v>
          </cell>
          <cell r="AD398">
            <v>0.35</v>
          </cell>
          <cell r="AE398" t="str">
            <v>A</v>
          </cell>
          <cell r="AF398">
            <v>12.579473125716506</v>
          </cell>
          <cell r="AG398">
            <v>0.27777777777777779</v>
          </cell>
          <cell r="AH398">
            <v>13.87</v>
          </cell>
          <cell r="AI398">
            <v>9.993704752911551</v>
          </cell>
          <cell r="AJ398">
            <v>10.094638928044109</v>
          </cell>
          <cell r="AK398">
            <v>0.37</v>
          </cell>
          <cell r="AL398">
            <v>0.27777777777777779</v>
          </cell>
          <cell r="AM398"/>
          <cell r="AN398" t="str">
            <v>OTRANS</v>
          </cell>
          <cell r="AO398"/>
          <cell r="AP398"/>
          <cell r="AQ398"/>
          <cell r="AR398">
            <v>4</v>
          </cell>
          <cell r="AS398">
            <v>59.5</v>
          </cell>
          <cell r="AT398">
            <v>63.5</v>
          </cell>
          <cell r="AU398">
            <v>8.9943342776203963</v>
          </cell>
          <cell r="AV398">
            <v>9.0851750352396987</v>
          </cell>
          <cell r="AW398"/>
          <cell r="AX398">
            <v>8517622990</v>
          </cell>
          <cell r="AZ398">
            <v>46.590641206357432</v>
          </cell>
          <cell r="BA398">
            <v>27.95438472381446</v>
          </cell>
          <cell r="BB398">
            <v>23.295320603178716</v>
          </cell>
          <cell r="BC398">
            <v>18.636256482542972</v>
          </cell>
        </row>
        <row r="399">
          <cell r="I399" t="str">
            <v>KSFP1U06POS2LCEDF</v>
          </cell>
          <cell r="J399" t="str">
            <v/>
          </cell>
          <cell r="K399" t="str">
            <v>19" 1U 245MM FIBER OPTIC PANEL EQUIPPED WITH 6 OS2 LC PIGTAILS and 3 LCD ADAPTERS AND SPOOLING CASSETTE</v>
          </cell>
          <cell r="L399" t="str">
            <v>TIROIR FIBRE OPTIQUE 19" 1U 245MM EQUIPPE DE 6 PIGTAILS OS2 LC/3 TRAVERSEES LCD/CASSETTE DE LOVAGE</v>
          </cell>
          <cell r="M399"/>
          <cell r="N399" t="str">
            <v>China</v>
          </cell>
          <cell r="O399"/>
          <cell r="P399" t="str">
            <v>1 pc eco friendly box</v>
          </cell>
          <cell r="Q399" t="str">
            <v>480 pcs</v>
          </cell>
          <cell r="R399">
            <v>90</v>
          </cell>
          <cell r="S399" t="e">
            <v>#N/A</v>
          </cell>
          <cell r="T399" t="str">
            <v>853890 9900</v>
          </cell>
          <cell r="U399">
            <v>1.7000000000000001E-2</v>
          </cell>
          <cell r="V399">
            <v>30</v>
          </cell>
          <cell r="W399">
            <v>45</v>
          </cell>
          <cell r="X399">
            <v>55</v>
          </cell>
          <cell r="Y399" t="str">
            <v>T/T 60 days</v>
          </cell>
          <cell r="Z399">
            <v>29.417165040394504</v>
          </cell>
          <cell r="AA399">
            <v>24.507158360339769</v>
          </cell>
          <cell r="AB399">
            <v>0.1</v>
          </cell>
          <cell r="AC399">
            <v>0.1</v>
          </cell>
          <cell r="AD399">
            <v>0.38</v>
          </cell>
          <cell r="AE399" t="str">
            <v>A</v>
          </cell>
          <cell r="AF399">
            <v>22.056442524305794</v>
          </cell>
          <cell r="AG399">
            <v>0.31111111111111112</v>
          </cell>
          <cell r="AH399">
            <v>24.32</v>
          </cell>
          <cell r="AI399">
            <v>17.650299024236702</v>
          </cell>
          <cell r="AJ399">
            <v>16.882709092678507</v>
          </cell>
          <cell r="AK399">
            <v>0.4</v>
          </cell>
          <cell r="AL399">
            <v>0.31111111111111112</v>
          </cell>
          <cell r="AM399"/>
          <cell r="AN399" t="str">
            <v>OTRANS</v>
          </cell>
          <cell r="AO399"/>
          <cell r="AP399"/>
          <cell r="AQ399"/>
          <cell r="AR399">
            <v>4</v>
          </cell>
          <cell r="AS399">
            <v>108.15</v>
          </cell>
          <cell r="AT399">
            <v>112.15</v>
          </cell>
          <cell r="AU399">
            <v>15.885269121813034</v>
          </cell>
          <cell r="AV399">
            <v>15.194438183410657</v>
          </cell>
          <cell r="AW399"/>
          <cell r="AX399">
            <v>8517622990</v>
          </cell>
          <cell r="AZ399">
            <v>81.690527867799233</v>
          </cell>
          <cell r="BA399">
            <v>49.014316720679538</v>
          </cell>
          <cell r="BB399">
            <v>40.845263933899616</v>
          </cell>
          <cell r="BC399">
            <v>32.676211147119695</v>
          </cell>
        </row>
        <row r="400">
          <cell r="I400" t="str">
            <v>KSFP1U12POS2LCEDF</v>
          </cell>
          <cell r="J400" t="str">
            <v/>
          </cell>
          <cell r="K400" t="str">
            <v>19" 1U 245MM FIBER OPTIC PANEL EQUIPPED WITH 12 OS2 LC PIGTAILS and 6 LCD ADAPTERS AND SPOOLING CASSETTE</v>
          </cell>
          <cell r="L400" t="str">
            <v>TIROIR FIBRE OPTIQUE 19" 1U 245MM EQUIPPE DE 12 PIGTAILS OS2 LC/6 TRAVERSEES LCD/CASSETTE DE LOVAGE</v>
          </cell>
          <cell r="M400"/>
          <cell r="N400" t="str">
            <v>China</v>
          </cell>
          <cell r="O400"/>
          <cell r="P400" t="str">
            <v>1 pc eco friendly box</v>
          </cell>
          <cell r="Q400" t="str">
            <v>480 pcs</v>
          </cell>
          <cell r="R400">
            <v>90</v>
          </cell>
          <cell r="S400" t="e">
            <v>#N/A</v>
          </cell>
          <cell r="T400" t="str">
            <v>853890 9900</v>
          </cell>
          <cell r="U400">
            <v>1.7000000000000001E-2</v>
          </cell>
          <cell r="V400">
            <v>30</v>
          </cell>
          <cell r="W400">
            <v>45</v>
          </cell>
          <cell r="X400">
            <v>55</v>
          </cell>
          <cell r="Y400" t="str">
            <v>T/T 60 days</v>
          </cell>
          <cell r="Z400">
            <v>35.332074283915645</v>
          </cell>
          <cell r="AA400">
            <v>29.074472088790358</v>
          </cell>
          <cell r="AB400">
            <v>0.1</v>
          </cell>
          <cell r="AC400">
            <v>0.1</v>
          </cell>
          <cell r="AD400">
            <v>0.38</v>
          </cell>
          <cell r="AE400" t="str">
            <v>A</v>
          </cell>
          <cell r="AF400">
            <v>26.167024879911324</v>
          </cell>
          <cell r="AG400">
            <v>0.31111111111111112</v>
          </cell>
          <cell r="AH400">
            <v>28.84</v>
          </cell>
          <cell r="AI400">
            <v>21.199244570349386</v>
          </cell>
          <cell r="AJ400">
            <v>20.029080772277801</v>
          </cell>
          <cell r="AK400">
            <v>0.4</v>
          </cell>
          <cell r="AL400">
            <v>0.31111111111111112</v>
          </cell>
          <cell r="AM400"/>
          <cell r="AN400" t="str">
            <v>OTRANS</v>
          </cell>
          <cell r="AO400"/>
          <cell r="AP400"/>
          <cell r="AQ400"/>
          <cell r="AR400">
            <v>4</v>
          </cell>
          <cell r="AS400">
            <v>130.69999999999999</v>
          </cell>
          <cell r="AT400">
            <v>134.69999999999999</v>
          </cell>
          <cell r="AU400">
            <v>19.079320113314449</v>
          </cell>
          <cell r="AV400">
            <v>18.026172695050022</v>
          </cell>
          <cell r="AW400"/>
          <cell r="AX400">
            <v>8517622990</v>
          </cell>
          <cell r="AZ400">
            <v>96.914906962634532</v>
          </cell>
          <cell r="BA400">
            <v>58.148944177580717</v>
          </cell>
          <cell r="BB400">
            <v>48.457453481317266</v>
          </cell>
          <cell r="BC400">
            <v>38.765962785053816</v>
          </cell>
        </row>
        <row r="401">
          <cell r="I401" t="str">
            <v>KSFP1U24POS2LCEDF</v>
          </cell>
          <cell r="J401" t="str">
            <v/>
          </cell>
          <cell r="K401" t="str">
            <v>19" 1U 245MM FIBER OPTIC PANEL EQUIPPED WITH 24 OS2 LC PIGTAILS and 12 LCD ADAPTERS AND SPOOLING CASSETTE</v>
          </cell>
          <cell r="L401" t="str">
            <v>TIROIR FIBRE OPTIQUE 19" 1U 245MM EQUIPPE DE 24 PIGTAILS OS2 LC/12 TRAVERSEES LCD/CASSETTE DE LOVAGE</v>
          </cell>
          <cell r="M401"/>
          <cell r="N401" t="str">
            <v>China</v>
          </cell>
          <cell r="O401"/>
          <cell r="P401" t="str">
            <v>1 pc eco friendly box</v>
          </cell>
          <cell r="Q401" t="str">
            <v>480 pcs</v>
          </cell>
          <cell r="R401">
            <v>90</v>
          </cell>
          <cell r="S401" t="e">
            <v>#N/A</v>
          </cell>
          <cell r="T401" t="str">
            <v>853890 9900</v>
          </cell>
          <cell r="U401">
            <v>1.7000000000000001E-2</v>
          </cell>
          <cell r="V401">
            <v>30</v>
          </cell>
          <cell r="W401">
            <v>45</v>
          </cell>
          <cell r="X401">
            <v>55</v>
          </cell>
          <cell r="Y401" t="str">
            <v>T/T 60 days</v>
          </cell>
          <cell r="Z401">
            <v>47.424194732976609</v>
          </cell>
          <cell r="AA401">
            <v>38.411641174447659</v>
          </cell>
          <cell r="AB401">
            <v>0.1</v>
          </cell>
          <cell r="AC401">
            <v>0.1</v>
          </cell>
          <cell r="AD401">
            <v>0.38</v>
          </cell>
          <cell r="AE401" t="str">
            <v>A</v>
          </cell>
          <cell r="AF401">
            <v>34.570477057002897</v>
          </cell>
          <cell r="AG401">
            <v>0.31111111111111123</v>
          </cell>
          <cell r="AH401">
            <v>38.1</v>
          </cell>
          <cell r="AI401">
            <v>28.454516839785963</v>
          </cell>
          <cell r="AJ401">
            <v>26.461352809063939</v>
          </cell>
          <cell r="AK401">
            <v>0.4</v>
          </cell>
          <cell r="AL401">
            <v>0.31111111111111123</v>
          </cell>
          <cell r="AM401"/>
          <cell r="AN401" t="str">
            <v>OTRANS</v>
          </cell>
          <cell r="AO401"/>
          <cell r="AP401"/>
          <cell r="AQ401"/>
          <cell r="AR401">
            <v>4</v>
          </cell>
          <cell r="AS401">
            <v>176.8</v>
          </cell>
          <cell r="AT401">
            <v>180.8</v>
          </cell>
          <cell r="AU401">
            <v>25.609065155807368</v>
          </cell>
          <cell r="AV401">
            <v>23.815217528157547</v>
          </cell>
          <cell r="AW401"/>
          <cell r="AX401">
            <v>8517622990</v>
          </cell>
          <cell r="AZ401">
            <v>128.03880391482554</v>
          </cell>
          <cell r="BA401">
            <v>76.823282348895319</v>
          </cell>
          <cell r="BB401">
            <v>64.019401957412768</v>
          </cell>
          <cell r="BC401">
            <v>51.215521565930217</v>
          </cell>
        </row>
        <row r="402">
          <cell r="I402" t="str">
            <v>KSFP1U48POS2LCEDF</v>
          </cell>
          <cell r="J402" t="str">
            <v/>
          </cell>
          <cell r="K402" t="str">
            <v>19" 1U 245MM FIBER OPTIC PANEL EQUIPPED WITH 48 OS2 LC PIGTAILS and 24 LCD ADAPTERS AND SPOOLING CASSETTE</v>
          </cell>
          <cell r="L402" t="str">
            <v>TIROIR FIBRE OPTIQUE 19" 1U 245MM EQUIPPE DE 48 PIGTAILS OS2 LC/24 TRAVERSEES LCD/CASSETTE DE LOVAGE</v>
          </cell>
          <cell r="M402"/>
          <cell r="N402" t="str">
            <v>China</v>
          </cell>
          <cell r="O402"/>
          <cell r="P402" t="str">
            <v>1 pc eco friendly box</v>
          </cell>
          <cell r="Q402" t="str">
            <v>480 pcs</v>
          </cell>
          <cell r="R402">
            <v>90</v>
          </cell>
          <cell r="S402" t="e">
            <v>#N/A</v>
          </cell>
          <cell r="T402" t="str">
            <v>853890 9900</v>
          </cell>
          <cell r="U402">
            <v>1.7000000000000001E-2</v>
          </cell>
          <cell r="V402">
            <v>30</v>
          </cell>
          <cell r="W402">
            <v>45</v>
          </cell>
          <cell r="X402">
            <v>55</v>
          </cell>
          <cell r="Y402" t="str">
            <v>T/T 60 days</v>
          </cell>
          <cell r="Z402">
            <v>71.634665827300395</v>
          </cell>
          <cell r="AA402">
            <v>57.106233508637878</v>
          </cell>
          <cell r="AB402">
            <v>0.1</v>
          </cell>
          <cell r="AC402">
            <v>0.1</v>
          </cell>
          <cell r="AD402">
            <v>0.38</v>
          </cell>
          <cell r="AE402" t="str">
            <v>A</v>
          </cell>
          <cell r="AF402">
            <v>51.395610157774094</v>
          </cell>
          <cell r="AG402">
            <v>0.31111111111111123</v>
          </cell>
          <cell r="AH402">
            <v>56.64</v>
          </cell>
          <cell r="AI402">
            <v>42.980799496380236</v>
          </cell>
          <cell r="AJ402">
            <v>39.339849750394983</v>
          </cell>
          <cell r="AK402">
            <v>0.4</v>
          </cell>
          <cell r="AL402">
            <v>0.31111111111111112</v>
          </cell>
          <cell r="AM402"/>
          <cell r="AN402" t="str">
            <v>OTRANS</v>
          </cell>
          <cell r="AO402"/>
          <cell r="AP402"/>
          <cell r="AQ402"/>
          <cell r="AR402">
            <v>4</v>
          </cell>
          <cell r="AS402">
            <v>269.10000000000002</v>
          </cell>
          <cell r="AT402">
            <v>273.10000000000002</v>
          </cell>
          <cell r="AU402">
            <v>38.682719546742213</v>
          </cell>
          <cell r="AV402">
            <v>35.405864775355482</v>
          </cell>
          <cell r="AW402"/>
          <cell r="AX402">
            <v>8517622990</v>
          </cell>
          <cell r="AZ402">
            <v>190.35411169545961</v>
          </cell>
          <cell r="BA402">
            <v>114.21246701727576</v>
          </cell>
          <cell r="BB402">
            <v>95.177055847729804</v>
          </cell>
          <cell r="BC402">
            <v>76.141644678183852</v>
          </cell>
        </row>
        <row r="403">
          <cell r="I403" t="str">
            <v>KSFP1U06POM4LCEDF</v>
          </cell>
          <cell r="J403" t="str">
            <v/>
          </cell>
          <cell r="K403" t="str">
            <v>19" 1U 245MM FIBER OPTIC PANEL EQUIPPED WITH 6 OM4 LC PIGTAILS and 3 LCD ADAPTERS AND SPOOLING CASSETTE</v>
          </cell>
          <cell r="L403" t="str">
            <v>TIROIR FIBRE OPTIQUE 19" 1U 245MM EQUIPPE DE 6 PIGTAILS OM4 LC/3 TRAVERSEES LCD/CASSETTE DE LOVAGE</v>
          </cell>
          <cell r="M403"/>
          <cell r="N403" t="str">
            <v>China</v>
          </cell>
          <cell r="O403"/>
          <cell r="P403" t="str">
            <v>1 pc eco friendly box</v>
          </cell>
          <cell r="Q403" t="str">
            <v>480 pcs</v>
          </cell>
          <cell r="R403">
            <v>90</v>
          </cell>
          <cell r="S403" t="e">
            <v>#N/A</v>
          </cell>
          <cell r="T403" t="str">
            <v>853890 9900</v>
          </cell>
          <cell r="U403">
            <v>1.7000000000000001E-2</v>
          </cell>
          <cell r="V403">
            <v>30</v>
          </cell>
          <cell r="W403">
            <v>45</v>
          </cell>
          <cell r="X403">
            <v>55</v>
          </cell>
          <cell r="Y403" t="str">
            <v>T/T 60 days</v>
          </cell>
          <cell r="Z403">
            <v>30.943762459343201</v>
          </cell>
          <cell r="AA403">
            <v>25.685950639700408</v>
          </cell>
          <cell r="AB403">
            <v>0.1</v>
          </cell>
          <cell r="AC403">
            <v>0.1</v>
          </cell>
          <cell r="AD403">
            <v>0.38</v>
          </cell>
          <cell r="AE403" t="str">
            <v>A</v>
          </cell>
          <cell r="AF403">
            <v>23.117355575730368</v>
          </cell>
          <cell r="AG403">
            <v>0.31111111111111112</v>
          </cell>
          <cell r="AH403">
            <v>25.48</v>
          </cell>
          <cell r="AI403">
            <v>18.566257475605919</v>
          </cell>
          <cell r="AJ403">
            <v>17.694765996238058</v>
          </cell>
          <cell r="AK403">
            <v>0.4</v>
          </cell>
          <cell r="AL403">
            <v>0.31111111111111112</v>
          </cell>
          <cell r="AM403"/>
          <cell r="AN403" t="str">
            <v>OTRANS</v>
          </cell>
          <cell r="AO403"/>
          <cell r="AP403"/>
          <cell r="AQ403"/>
          <cell r="AR403">
            <v>4</v>
          </cell>
          <cell r="AS403">
            <v>113.97</v>
          </cell>
          <cell r="AT403">
            <v>117.97</v>
          </cell>
          <cell r="AU403">
            <v>16.709631728045327</v>
          </cell>
          <cell r="AV403">
            <v>15.925289396614254</v>
          </cell>
          <cell r="AW403"/>
          <cell r="AX403">
            <v>8517622990</v>
          </cell>
          <cell r="AZ403">
            <v>85.619835465668032</v>
          </cell>
          <cell r="BA403">
            <v>51.371901279400817</v>
          </cell>
          <cell r="BB403">
            <v>42.809917732834016</v>
          </cell>
          <cell r="BC403">
            <v>34.247934186267216</v>
          </cell>
        </row>
        <row r="404">
          <cell r="I404" t="str">
            <v>KSFP1U12POM4LCEDF</v>
          </cell>
          <cell r="J404" t="str">
            <v/>
          </cell>
          <cell r="K404" t="str">
            <v>19" 1U 245MM FIBER OPTIC PANEL EQUIPPED WITH 12 OM4 LC PIGTAILS and 6 LCD ADAPTERS AND SPOOLING CASSETTE</v>
          </cell>
          <cell r="L404" t="str">
            <v>TIROIR FIBRE OPTIQUE 19" 1U 245MM EQUIPPE DE 12 PIGTAILS OM4 LC/6 TRAVERSEES LCD/CASSETTE DE LOVAGE</v>
          </cell>
          <cell r="M404"/>
          <cell r="N404" t="str">
            <v>China</v>
          </cell>
          <cell r="O404"/>
          <cell r="P404" t="str">
            <v>1 pc eco friendly box</v>
          </cell>
          <cell r="Q404" t="str">
            <v>480 pcs</v>
          </cell>
          <cell r="R404">
            <v>90</v>
          </cell>
          <cell r="S404" t="e">
            <v>#N/A</v>
          </cell>
          <cell r="T404" t="str">
            <v>853890 9900</v>
          </cell>
          <cell r="U404">
            <v>1.7000000000000001E-2</v>
          </cell>
          <cell r="V404">
            <v>30</v>
          </cell>
          <cell r="W404">
            <v>45</v>
          </cell>
          <cell r="X404">
            <v>55</v>
          </cell>
          <cell r="Y404" t="str">
            <v>T/T 60 days</v>
          </cell>
          <cell r="Z404">
            <v>38.385269121813039</v>
          </cell>
          <cell r="AA404">
            <v>31.432056647511637</v>
          </cell>
          <cell r="AB404">
            <v>0.1</v>
          </cell>
          <cell r="AC404">
            <v>0.1</v>
          </cell>
          <cell r="AD404">
            <v>0.38</v>
          </cell>
          <cell r="AE404" t="str">
            <v>A</v>
          </cell>
          <cell r="AF404">
            <v>28.288850982760472</v>
          </cell>
          <cell r="AG404">
            <v>0.31111111111111112</v>
          </cell>
          <cell r="AH404">
            <v>31.18</v>
          </cell>
          <cell r="AI404">
            <v>23.03116147308782</v>
          </cell>
          <cell r="AJ404">
            <v>21.653194579396907</v>
          </cell>
          <cell r="AK404">
            <v>0.4</v>
          </cell>
          <cell r="AL404">
            <v>0.31111111111111112</v>
          </cell>
          <cell r="AM404"/>
          <cell r="AN404" t="str">
            <v>OTRANS</v>
          </cell>
          <cell r="AO404"/>
          <cell r="AP404"/>
          <cell r="AQ404"/>
          <cell r="AR404">
            <v>4</v>
          </cell>
          <cell r="AS404">
            <v>142.34</v>
          </cell>
          <cell r="AT404">
            <v>146.34</v>
          </cell>
          <cell r="AU404">
            <v>20.728045325779039</v>
          </cell>
          <cell r="AV404">
            <v>19.487875121457215</v>
          </cell>
          <cell r="AW404"/>
          <cell r="AX404">
            <v>8517622990</v>
          </cell>
          <cell r="AZ404">
            <v>104.77352215837213</v>
          </cell>
          <cell r="BA404">
            <v>62.864113295023273</v>
          </cell>
          <cell r="BB404">
            <v>52.386761079186066</v>
          </cell>
          <cell r="BC404">
            <v>41.909408863348858</v>
          </cell>
        </row>
        <row r="405">
          <cell r="I405" t="str">
            <v>KSFP1U24POM4LCEDF</v>
          </cell>
          <cell r="J405" t="str">
            <v/>
          </cell>
          <cell r="K405" t="str">
            <v>19" 1U 245MM FIBER OPTIC PANEL EQUIPPED WITH 24 OM4 LC PIGTAILS and 12 LCD ADAPTERS AND SPOOLING CASSETTE</v>
          </cell>
          <cell r="L405" t="str">
            <v>TIROIR FIBRE OPTIQUE 19" 1U 245MM EQUIPPE DE 24 PIGTAILS OM4 LC/12 TRAVERSEES LCD/CASSETTE DE LOVAGE</v>
          </cell>
          <cell r="M405"/>
          <cell r="N405" t="str">
            <v>China</v>
          </cell>
          <cell r="O405"/>
          <cell r="P405" t="str">
            <v>1 pc eco friendly box</v>
          </cell>
          <cell r="Q405" t="str">
            <v>480 pcs</v>
          </cell>
          <cell r="R405">
            <v>90</v>
          </cell>
          <cell r="S405" t="e">
            <v>#N/A</v>
          </cell>
          <cell r="T405" t="str">
            <v>853890 9900</v>
          </cell>
          <cell r="U405">
            <v>1.7000000000000001E-2</v>
          </cell>
          <cell r="V405">
            <v>30</v>
          </cell>
          <cell r="W405">
            <v>45</v>
          </cell>
          <cell r="X405">
            <v>55</v>
          </cell>
          <cell r="Y405" t="str">
            <v>T/T 60 days</v>
          </cell>
          <cell r="Z405">
            <v>53.530584408771382</v>
          </cell>
          <cell r="AA405">
            <v>43.126810291890223</v>
          </cell>
          <cell r="AB405">
            <v>0.1</v>
          </cell>
          <cell r="AC405">
            <v>0.1</v>
          </cell>
          <cell r="AD405">
            <v>0.38</v>
          </cell>
          <cell r="AE405" t="str">
            <v>A</v>
          </cell>
          <cell r="AF405">
            <v>38.814129262701201</v>
          </cell>
          <cell r="AG405">
            <v>0.31111111111111112</v>
          </cell>
          <cell r="AH405">
            <v>42.78</v>
          </cell>
          <cell r="AI405">
            <v>32.118350645262829</v>
          </cell>
          <cell r="AJ405">
            <v>29.70958042330215</v>
          </cell>
          <cell r="AK405">
            <v>0.4</v>
          </cell>
          <cell r="AL405">
            <v>0.31111111111111123</v>
          </cell>
          <cell r="AM405"/>
          <cell r="AN405" t="str">
            <v>OTRANS</v>
          </cell>
          <cell r="AO405"/>
          <cell r="AP405"/>
          <cell r="AQ405"/>
          <cell r="AR405">
            <v>4</v>
          </cell>
          <cell r="AS405">
            <v>200.08</v>
          </cell>
          <cell r="AT405">
            <v>204.08</v>
          </cell>
          <cell r="AU405">
            <v>28.906515580736546</v>
          </cell>
          <cell r="AV405">
            <v>26.738622380971936</v>
          </cell>
          <cell r="AW405"/>
          <cell r="AX405">
            <v>8517622990</v>
          </cell>
          <cell r="AZ405">
            <v>143.75603430630076</v>
          </cell>
          <cell r="BA405">
            <v>86.25362058378046</v>
          </cell>
          <cell r="BB405">
            <v>71.878017153150381</v>
          </cell>
          <cell r="BC405">
            <v>57.502413722520309</v>
          </cell>
        </row>
        <row r="406">
          <cell r="I406" t="str">
            <v>KSFP1U48POM4LCEDF</v>
          </cell>
          <cell r="J406" t="str">
            <v/>
          </cell>
          <cell r="K406" t="str">
            <v>19" 1U 245MM FIBER OPTIC PANEL EQUIPPED WITH 48 OM4 LC PIGTAILS and 24 LCD ADAPTERS AND SPOOLING CASSETTE</v>
          </cell>
          <cell r="L406" t="str">
            <v>TIROIR FIBRE OPTIQUE 19" 1U 245MM EQUIPPE DE 48 PIGTAILS OM4 LC/24 TRAVERSEES LCD/CASSETTE DE LOVAGE</v>
          </cell>
          <cell r="M406"/>
          <cell r="N406" t="str">
            <v>China</v>
          </cell>
          <cell r="O406"/>
          <cell r="P406" t="str">
            <v>1 pc eco friendly box</v>
          </cell>
          <cell r="Q406" t="str">
            <v>480 pcs</v>
          </cell>
          <cell r="R406">
            <v>90</v>
          </cell>
          <cell r="S406" t="e">
            <v>#N/A</v>
          </cell>
          <cell r="T406" t="str">
            <v>853890 9900</v>
          </cell>
          <cell r="U406">
            <v>1.7000000000000001E-2</v>
          </cell>
          <cell r="V406">
            <v>30</v>
          </cell>
          <cell r="W406">
            <v>45</v>
          </cell>
          <cell r="X406">
            <v>55</v>
          </cell>
          <cell r="Y406" t="str">
            <v>T/T 60 days</v>
          </cell>
          <cell r="Z406">
            <v>83.847445178889956</v>
          </cell>
          <cell r="AA406">
            <v>66.536571743522998</v>
          </cell>
          <cell r="AB406">
            <v>0.1</v>
          </cell>
          <cell r="AC406">
            <v>0.1</v>
          </cell>
          <cell r="AD406">
            <v>0.38</v>
          </cell>
          <cell r="AE406" t="str">
            <v>A</v>
          </cell>
          <cell r="AF406">
            <v>59.882914569170701</v>
          </cell>
          <cell r="AG406">
            <v>0.31111111111111112</v>
          </cell>
          <cell r="AH406">
            <v>65.989999999999995</v>
          </cell>
          <cell r="AI406">
            <v>50.308467107333968</v>
          </cell>
          <cell r="AJ406">
            <v>45.836304978871404</v>
          </cell>
          <cell r="AK406">
            <v>0.4</v>
          </cell>
          <cell r="AL406">
            <v>0.31111111111111101</v>
          </cell>
          <cell r="AM406"/>
          <cell r="AN406" t="str">
            <v>OTRANS</v>
          </cell>
          <cell r="AO406"/>
          <cell r="AP406"/>
          <cell r="AQ406"/>
          <cell r="AR406">
            <v>4</v>
          </cell>
          <cell r="AS406">
            <v>315.66000000000003</v>
          </cell>
          <cell r="AT406">
            <v>319.66000000000003</v>
          </cell>
          <cell r="AU406">
            <v>45.277620396600575</v>
          </cell>
          <cell r="AV406">
            <v>41.252674480984261</v>
          </cell>
          <cell r="AW406"/>
          <cell r="AX406">
            <v>8517622990</v>
          </cell>
          <cell r="AZ406">
            <v>221.78857247841</v>
          </cell>
          <cell r="BA406">
            <v>133.073143487046</v>
          </cell>
          <cell r="BB406">
            <v>110.894286239205</v>
          </cell>
          <cell r="BC406">
            <v>88.715428991364007</v>
          </cell>
        </row>
        <row r="407">
          <cell r="I407" t="str">
            <v>KSFP1UFP24SCDEF</v>
          </cell>
          <cell r="J407" t="str">
            <v>U1001015</v>
          </cell>
          <cell r="K407" t="str">
            <v>19" 1U PANEL FRONT PLATE 24 SC DUPLEX/LC QUAD</v>
          </cell>
          <cell r="L407" t="str">
            <v>PLAQUE AVANT TIROIR 19" 1U 24 SC DUPLEX/LC QUAD</v>
          </cell>
          <cell r="M407"/>
          <cell r="N407" t="str">
            <v>China</v>
          </cell>
          <cell r="O407"/>
          <cell r="P407" t="str">
            <v>1 pc eco friendly box</v>
          </cell>
          <cell r="Q407" t="str">
            <v>500 pcs</v>
          </cell>
          <cell r="R407">
            <v>540</v>
          </cell>
          <cell r="S407" t="str">
            <v>4897108882616</v>
          </cell>
          <cell r="T407" t="str">
            <v>853890 9900</v>
          </cell>
          <cell r="U407">
            <v>1.7000000000000001E-2</v>
          </cell>
          <cell r="V407">
            <v>30</v>
          </cell>
          <cell r="W407">
            <v>45</v>
          </cell>
          <cell r="X407">
            <v>55</v>
          </cell>
          <cell r="Y407" t="str">
            <v>T/T 60 days</v>
          </cell>
          <cell r="Z407">
            <v>4.9818502138798877</v>
          </cell>
          <cell r="AA407">
            <v>4.1228713306555411</v>
          </cell>
          <cell r="AB407">
            <v>0.1</v>
          </cell>
          <cell r="AC407">
            <v>0.1</v>
          </cell>
          <cell r="AD407">
            <v>0.28499999999999998</v>
          </cell>
          <cell r="AE407" t="str">
            <v>A</v>
          </cell>
          <cell r="AF407">
            <v>3.7105841975899869</v>
          </cell>
          <cell r="AG407">
            <v>0.20555555555555549</v>
          </cell>
          <cell r="AH407">
            <v>4.09</v>
          </cell>
          <cell r="AI407">
            <v>3.4623858986465224</v>
          </cell>
          <cell r="AJ407">
            <v>3.2753922237985691</v>
          </cell>
          <cell r="AK407">
            <v>0.30499999999999994</v>
          </cell>
          <cell r="AL407">
            <v>0.20555555555555549</v>
          </cell>
          <cell r="AM407"/>
          <cell r="AN407" t="str">
            <v>OTRANS</v>
          </cell>
          <cell r="AO407"/>
          <cell r="AP407"/>
          <cell r="AQ407"/>
          <cell r="AR407">
            <v>3</v>
          </cell>
          <cell r="AS407">
            <v>19</v>
          </cell>
          <cell r="AT407">
            <v>22</v>
          </cell>
          <cell r="AU407">
            <v>3.1161473087818701</v>
          </cell>
          <cell r="AV407">
            <v>2.9478530014187121</v>
          </cell>
          <cell r="AW407"/>
          <cell r="AX407">
            <v>8517799000</v>
          </cell>
          <cell r="AZ407">
            <v>13.74290443551847</v>
          </cell>
          <cell r="BA407">
            <v>8.2457426613110822</v>
          </cell>
          <cell r="BB407">
            <v>6.8714522177592352</v>
          </cell>
          <cell r="BC407">
            <v>5.4971617742073882</v>
          </cell>
        </row>
        <row r="408">
          <cell r="I408" t="str">
            <v>KSFP1UFP24SCSEF</v>
          </cell>
          <cell r="J408" t="str">
            <v>U1001016</v>
          </cell>
          <cell r="K408" t="str">
            <v>19" 1U PANEL FRONT PLATE 24 SC SIMPLEX/LC DUPLEX</v>
          </cell>
          <cell r="L408" t="str">
            <v>PLAQUE AVANT TIROIR 19" 1U 24 SC SIMPLEX/LC DUPLEX</v>
          </cell>
          <cell r="M408"/>
          <cell r="N408" t="str">
            <v>China</v>
          </cell>
          <cell r="O408"/>
          <cell r="P408" t="str">
            <v>1 pc eco friendly box</v>
          </cell>
          <cell r="Q408" t="str">
            <v>500 pcs</v>
          </cell>
          <cell r="R408">
            <v>540</v>
          </cell>
          <cell r="S408" t="str">
            <v>4897108882623</v>
          </cell>
          <cell r="T408" t="str">
            <v>853890 9900</v>
          </cell>
          <cell r="U408">
            <v>1.7000000000000001E-2</v>
          </cell>
          <cell r="V408">
            <v>30</v>
          </cell>
          <cell r="W408">
            <v>45</v>
          </cell>
          <cell r="X408">
            <v>55</v>
          </cell>
          <cell r="Y408" t="str">
            <v>T/T 60 days</v>
          </cell>
          <cell r="Z408">
            <v>3.6231637919126451</v>
          </cell>
          <cell r="AA408">
            <v>3.0690883111131906</v>
          </cell>
          <cell r="AB408">
            <v>0.1</v>
          </cell>
          <cell r="AC408">
            <v>0.1</v>
          </cell>
          <cell r="AD408">
            <v>0.28499999999999998</v>
          </cell>
          <cell r="AE408" t="str">
            <v>A</v>
          </cell>
          <cell r="AF408">
            <v>2.7621794800018717</v>
          </cell>
          <cell r="AG408">
            <v>0.20555555555555549</v>
          </cell>
          <cell r="AH408">
            <v>3.05</v>
          </cell>
          <cell r="AI408">
            <v>2.5180988353792886</v>
          </cell>
          <cell r="AJ408">
            <v>2.4382201582732574</v>
          </cell>
          <cell r="AK408">
            <v>0.30499999999999994</v>
          </cell>
          <cell r="AL408">
            <v>0.20555555555555538</v>
          </cell>
          <cell r="AM408"/>
          <cell r="AN408" t="str">
            <v>OTRANS</v>
          </cell>
          <cell r="AO408"/>
          <cell r="AP408"/>
          <cell r="AQ408"/>
          <cell r="AR408">
            <v>3</v>
          </cell>
          <cell r="AS408">
            <v>13</v>
          </cell>
          <cell r="AT408">
            <v>16</v>
          </cell>
          <cell r="AU408">
            <v>2.2662889518413598</v>
          </cell>
          <cell r="AV408">
            <v>2.1943981424459316</v>
          </cell>
          <cell r="AW408"/>
          <cell r="AX408">
            <v>8517799000</v>
          </cell>
          <cell r="AZ408">
            <v>10.230294370377303</v>
          </cell>
          <cell r="BA408">
            <v>6.1381766222263812</v>
          </cell>
          <cell r="BB408">
            <v>5.1151471851886514</v>
          </cell>
          <cell r="BC408">
            <v>4.0921177481509217</v>
          </cell>
        </row>
        <row r="409">
          <cell r="I409" t="str">
            <v>KSFP1UFP12SCDEF</v>
          </cell>
          <cell r="J409" t="str">
            <v>U1001004</v>
          </cell>
          <cell r="K409" t="str">
            <v>19" 1U PANEL FRONT PLATE 12 SC DUPLEX/LC QUAD</v>
          </cell>
          <cell r="L409" t="str">
            <v>PLAQUE AVANT TIROIR 19" 1U 12 SC DUPLEX/LC QUAD</v>
          </cell>
          <cell r="M409"/>
          <cell r="N409" t="str">
            <v>China</v>
          </cell>
          <cell r="O409"/>
          <cell r="P409" t="str">
            <v>1 pc eco friendly box</v>
          </cell>
          <cell r="Q409" t="str">
            <v>500 pcs</v>
          </cell>
          <cell r="R409">
            <v>540</v>
          </cell>
          <cell r="S409" t="str">
            <v>4897108882630</v>
          </cell>
          <cell r="T409" t="str">
            <v>853890 9900</v>
          </cell>
          <cell r="U409">
            <v>1.7000000000000001E-2</v>
          </cell>
          <cell r="V409">
            <v>30</v>
          </cell>
          <cell r="W409">
            <v>45</v>
          </cell>
          <cell r="X409">
            <v>55</v>
          </cell>
          <cell r="Y409" t="str">
            <v>T/T 60 days</v>
          </cell>
          <cell r="Z409">
            <v>3.6231637919126451</v>
          </cell>
          <cell r="AA409">
            <v>3.0690883111131906</v>
          </cell>
          <cell r="AB409">
            <v>0.1</v>
          </cell>
          <cell r="AC409">
            <v>0.1</v>
          </cell>
          <cell r="AD409">
            <v>0.28499999999999998</v>
          </cell>
          <cell r="AE409" t="str">
            <v>A</v>
          </cell>
          <cell r="AF409">
            <v>2.7621794800018717</v>
          </cell>
          <cell r="AG409">
            <v>0.20555555555555549</v>
          </cell>
          <cell r="AH409">
            <v>3.05</v>
          </cell>
          <cell r="AI409">
            <v>2.5180988353792886</v>
          </cell>
          <cell r="AJ409">
            <v>2.4382201582732574</v>
          </cell>
          <cell r="AK409">
            <v>0.30499999999999994</v>
          </cell>
          <cell r="AL409">
            <v>0.20555555555555538</v>
          </cell>
          <cell r="AM409"/>
          <cell r="AN409" t="str">
            <v>OTRANS</v>
          </cell>
          <cell r="AO409"/>
          <cell r="AP409"/>
          <cell r="AQ409"/>
          <cell r="AR409">
            <v>3</v>
          </cell>
          <cell r="AS409">
            <v>13</v>
          </cell>
          <cell r="AT409">
            <v>16</v>
          </cell>
          <cell r="AU409">
            <v>2.2662889518413598</v>
          </cell>
          <cell r="AV409">
            <v>2.1943981424459316</v>
          </cell>
          <cell r="AW409"/>
          <cell r="AX409">
            <v>8517799000</v>
          </cell>
          <cell r="AZ409">
            <v>10.230294370377303</v>
          </cell>
          <cell r="BA409">
            <v>6.1381766222263812</v>
          </cell>
          <cell r="BB409">
            <v>5.1151471851886514</v>
          </cell>
          <cell r="BC409">
            <v>4.0921177481509217</v>
          </cell>
        </row>
        <row r="410">
          <cell r="I410" t="str">
            <v>KSFP1UFP12SCSEF</v>
          </cell>
          <cell r="J410" t="str">
            <v>U1001005</v>
          </cell>
          <cell r="K410" t="str">
            <v>19" 1U PANEL FRONT PLATE 12 SC SIMPLEX/LC DUPLEX</v>
          </cell>
          <cell r="L410" t="str">
            <v>PLAQUE AVANT TIROIR 19" 1U 12 SC SIMPLEX/LC DUPLEX</v>
          </cell>
          <cell r="M410"/>
          <cell r="N410" t="str">
            <v>China</v>
          </cell>
          <cell r="O410"/>
          <cell r="P410" t="str">
            <v>1 pc eco friendly box</v>
          </cell>
          <cell r="Q410" t="str">
            <v>500 pcs</v>
          </cell>
          <cell r="R410">
            <v>540</v>
          </cell>
          <cell r="S410" t="str">
            <v>4897108882647</v>
          </cell>
          <cell r="T410" t="str">
            <v>853890 9900</v>
          </cell>
          <cell r="U410">
            <v>1.7000000000000001E-2</v>
          </cell>
          <cell r="V410">
            <v>30</v>
          </cell>
          <cell r="W410">
            <v>45</v>
          </cell>
          <cell r="X410">
            <v>55</v>
          </cell>
          <cell r="Y410" t="str">
            <v>T/T 60 days</v>
          </cell>
          <cell r="Z410">
            <v>2.9438205809290241</v>
          </cell>
          <cell r="AA410">
            <v>2.542196801342016</v>
          </cell>
          <cell r="AB410">
            <v>0.1</v>
          </cell>
          <cell r="AC410">
            <v>0.1</v>
          </cell>
          <cell r="AD410">
            <v>0.28499999999999998</v>
          </cell>
          <cell r="AE410" t="str">
            <v>A</v>
          </cell>
          <cell r="AF410">
            <v>2.2879771212078146</v>
          </cell>
          <cell r="AG410">
            <v>0.20555555555555549</v>
          </cell>
          <cell r="AH410">
            <v>2.52</v>
          </cell>
          <cell r="AI410">
            <v>2.0459553037456719</v>
          </cell>
          <cell r="AJ410">
            <v>2.0196341255106018</v>
          </cell>
          <cell r="AK410">
            <v>0.30499999999999994</v>
          </cell>
          <cell r="AL410">
            <v>0.20555555555555549</v>
          </cell>
          <cell r="AM410"/>
          <cell r="AN410" t="str">
            <v>OTRANS</v>
          </cell>
          <cell r="AO410"/>
          <cell r="AP410"/>
          <cell r="AQ410"/>
          <cell r="AR410">
            <v>3</v>
          </cell>
          <cell r="AS410">
            <v>10</v>
          </cell>
          <cell r="AT410">
            <v>13</v>
          </cell>
          <cell r="AU410">
            <v>1.8413597733711049</v>
          </cell>
          <cell r="AV410">
            <v>1.8176707129595417</v>
          </cell>
          <cell r="AW410"/>
          <cell r="AX410">
            <v>8517799000</v>
          </cell>
          <cell r="AZ410">
            <v>8.4739893378067208</v>
          </cell>
          <cell r="BA410">
            <v>5.084393602684032</v>
          </cell>
          <cell r="BB410">
            <v>4.2369946689033604</v>
          </cell>
          <cell r="BC410">
            <v>3.3895957351226884</v>
          </cell>
        </row>
        <row r="411">
          <cell r="I411" t="str">
            <v>KSFP1UFP24STEF</v>
          </cell>
          <cell r="J411" t="str">
            <v>U1001018</v>
          </cell>
          <cell r="K411" t="str">
            <v>19" 1U PANEL FRONT PLATE 24ST</v>
          </cell>
          <cell r="L411" t="str">
            <v>PLAQUE AVANT TIROIR 19" 1U 24ST</v>
          </cell>
          <cell r="M411"/>
          <cell r="N411" t="str">
            <v>China</v>
          </cell>
          <cell r="O411"/>
          <cell r="P411" t="str">
            <v>1 pc eco friendly box</v>
          </cell>
          <cell r="Q411" t="str">
            <v>500 pcs</v>
          </cell>
          <cell r="R411">
            <v>540</v>
          </cell>
          <cell r="S411" t="e">
            <v>#N/A</v>
          </cell>
          <cell r="T411" t="str">
            <v>853890 9900</v>
          </cell>
          <cell r="U411">
            <v>1.7000000000000001E-2</v>
          </cell>
          <cell r="V411">
            <v>30</v>
          </cell>
          <cell r="W411">
            <v>45</v>
          </cell>
          <cell r="X411">
            <v>55</v>
          </cell>
          <cell r="Y411" t="str">
            <v>T/T 60 days</v>
          </cell>
          <cell r="Z411">
            <v>3.6231637919126451</v>
          </cell>
          <cell r="AA411">
            <v>3.0690883111131906</v>
          </cell>
          <cell r="AB411">
            <v>0.1</v>
          </cell>
          <cell r="AC411">
            <v>0.1</v>
          </cell>
          <cell r="AD411">
            <v>0.28499999999999998</v>
          </cell>
          <cell r="AE411" t="str">
            <v>A</v>
          </cell>
          <cell r="AF411">
            <v>2.7621794800018717</v>
          </cell>
          <cell r="AG411">
            <v>0.20555555555555549</v>
          </cell>
          <cell r="AH411">
            <v>3.05</v>
          </cell>
          <cell r="AI411">
            <v>2.5180988353792886</v>
          </cell>
          <cell r="AJ411">
            <v>2.4382201582732574</v>
          </cell>
          <cell r="AK411">
            <v>0.30499999999999994</v>
          </cell>
          <cell r="AL411">
            <v>0.20555555555555538</v>
          </cell>
          <cell r="AM411"/>
          <cell r="AN411" t="str">
            <v>OTRANS</v>
          </cell>
          <cell r="AO411"/>
          <cell r="AP411"/>
          <cell r="AQ411"/>
          <cell r="AR411">
            <v>3</v>
          </cell>
          <cell r="AS411">
            <v>13</v>
          </cell>
          <cell r="AT411">
            <v>16</v>
          </cell>
          <cell r="AU411">
            <v>2.2662889518413598</v>
          </cell>
          <cell r="AV411">
            <v>2.1943981424459316</v>
          </cell>
          <cell r="AW411"/>
          <cell r="AX411">
            <v>8517799000</v>
          </cell>
          <cell r="AZ411">
            <v>10.230294370377303</v>
          </cell>
          <cell r="BA411">
            <v>6.1381766222263812</v>
          </cell>
          <cell r="BB411">
            <v>5.1151471851886514</v>
          </cell>
          <cell r="BC411">
            <v>4.0921177481509217</v>
          </cell>
        </row>
        <row r="412">
          <cell r="I412" t="str">
            <v>KSFP1U245NPLCEF</v>
          </cell>
          <cell r="J412" t="str">
            <v>U1001003</v>
          </cell>
          <cell r="K412" t="str">
            <v>19" 1U FIBRE OPTIC PATCH PANEL 245 UNLOADED WITHOUT FRONT PLATE WITH HOLE CUTTING WITH LOCKING SYSTEM AND ACCESSORIES PER FRIENDLY CARTON</v>
          </cell>
          <cell r="L412" t="str">
            <v xml:space="preserve">TIROIR FIBRE OPTIQUE 19" 1U 245MM VIDE SANS PLAQUE AVANT AVEC DÉCOUPE DE TROU, SYSTEM DE VERROUILLAGE  ET ACCESSOIRES PAR CARTON </v>
          </cell>
          <cell r="M412"/>
          <cell r="N412" t="str">
            <v>China</v>
          </cell>
          <cell r="O412"/>
          <cell r="P412" t="str">
            <v>1 pc eco friendly box</v>
          </cell>
          <cell r="Q412" t="str">
            <v>480 pcs</v>
          </cell>
          <cell r="R412">
            <v>90</v>
          </cell>
          <cell r="S412" t="str">
            <v>4897108884221</v>
          </cell>
          <cell r="T412" t="str">
            <v>853890 9900</v>
          </cell>
          <cell r="U412">
            <v>1.7000000000000001E-2</v>
          </cell>
          <cell r="V412">
            <v>30</v>
          </cell>
          <cell r="W412">
            <v>45</v>
          </cell>
          <cell r="X412">
            <v>55</v>
          </cell>
          <cell r="Y412" t="str">
            <v>T/T 60 days</v>
          </cell>
          <cell r="Z412">
            <v>17.611703164111098</v>
          </cell>
          <cell r="AA412">
            <v>15.32954723698658</v>
          </cell>
          <cell r="AB412">
            <v>0.1</v>
          </cell>
          <cell r="AC412">
            <v>0.1</v>
          </cell>
          <cell r="AD412">
            <v>0.35</v>
          </cell>
          <cell r="AE412" t="str">
            <v>A</v>
          </cell>
          <cell r="AF412">
            <v>13.796592513287921</v>
          </cell>
          <cell r="AG412">
            <v>0.27777777777777779</v>
          </cell>
          <cell r="AH412" t="e">
            <v>#N/A</v>
          </cell>
          <cell r="AI412">
            <v>11.095372993389992</v>
          </cell>
          <cell r="AJ412">
            <v>11.071339671156974</v>
          </cell>
          <cell r="AK412">
            <v>0.37</v>
          </cell>
          <cell r="AL412">
            <v>0.27777777777777779</v>
          </cell>
          <cell r="AM412"/>
          <cell r="AN412" t="str">
            <v>OTRANS</v>
          </cell>
          <cell r="AO412"/>
          <cell r="AP412"/>
          <cell r="AQ412"/>
          <cell r="AR412">
            <v>4</v>
          </cell>
          <cell r="AS412">
            <v>66.5</v>
          </cell>
          <cell r="AT412">
            <v>70.5</v>
          </cell>
          <cell r="AU412">
            <v>9.9858356940509925</v>
          </cell>
          <cell r="AV412">
            <v>9.9642057040412766</v>
          </cell>
          <cell r="AW412"/>
          <cell r="AX412">
            <v>8517622990</v>
          </cell>
          <cell r="AZ412">
            <v>51.098490789955264</v>
          </cell>
          <cell r="BA412">
            <v>30.659094473973155</v>
          </cell>
          <cell r="BB412">
            <v>25.549245394977632</v>
          </cell>
          <cell r="BC412">
            <v>20.439396315982108</v>
          </cell>
        </row>
        <row r="413">
          <cell r="I413" t="str">
            <v>KSFP1UFP12SCSLEF</v>
          </cell>
          <cell r="J413" t="str">
            <v>U1001006</v>
          </cell>
          <cell r="K413" t="str">
            <v>19" 1U PANEL FRONT PLATE WITH LOCKING SYSTEM 12 SC SIMPLEX/LC DUPLEX</v>
          </cell>
          <cell r="L413" t="str">
            <v>PLAQUE AVANT TIROIR 19" 1U AVEC VERROUILLAGE 12 SC SIMPLEX/LC DUPLEX</v>
          </cell>
          <cell r="M413"/>
          <cell r="N413" t="str">
            <v>China</v>
          </cell>
          <cell r="O413"/>
          <cell r="P413" t="str">
            <v>1 pc eco friendly box</v>
          </cell>
          <cell r="Q413" t="str">
            <v>500 pcs</v>
          </cell>
          <cell r="R413">
            <v>540</v>
          </cell>
          <cell r="S413" t="str">
            <v>4897108884238</v>
          </cell>
          <cell r="T413" t="str">
            <v>853890 9900</v>
          </cell>
          <cell r="U413">
            <v>1.7000000000000001E-2</v>
          </cell>
          <cell r="V413">
            <v>30</v>
          </cell>
          <cell r="W413">
            <v>45</v>
          </cell>
          <cell r="X413">
            <v>55</v>
          </cell>
          <cell r="Y413" t="str">
            <v>T/T 60 days</v>
          </cell>
          <cell r="Z413">
            <v>2.9438205809290241</v>
          </cell>
          <cell r="AA413">
            <v>2.542196801342016</v>
          </cell>
          <cell r="AB413">
            <v>0.1</v>
          </cell>
          <cell r="AC413">
            <v>0.1</v>
          </cell>
          <cell r="AD413">
            <v>0.28499999999999998</v>
          </cell>
          <cell r="AE413" t="str">
            <v>A</v>
          </cell>
          <cell r="AF413">
            <v>2.2879771212078146</v>
          </cell>
          <cell r="AG413">
            <v>0.20555555555555549</v>
          </cell>
          <cell r="AH413" t="e">
            <v>#N/A</v>
          </cell>
          <cell r="AI413">
            <v>2.0459553037456719</v>
          </cell>
          <cell r="AJ413">
            <v>2.0196341255106018</v>
          </cell>
          <cell r="AK413">
            <v>0.30499999999999994</v>
          </cell>
          <cell r="AL413">
            <v>0.20555555555555549</v>
          </cell>
          <cell r="AM413"/>
          <cell r="AN413" t="str">
            <v>OTRANS</v>
          </cell>
          <cell r="AO413"/>
          <cell r="AP413"/>
          <cell r="AQ413"/>
          <cell r="AR413">
            <v>2.2000000000000002</v>
          </cell>
          <cell r="AS413">
            <v>10.8</v>
          </cell>
          <cell r="AT413">
            <v>13</v>
          </cell>
          <cell r="AU413">
            <v>1.8413597733711049</v>
          </cell>
          <cell r="AV413">
            <v>1.8176707129595417</v>
          </cell>
          <cell r="AW413"/>
          <cell r="AX413">
            <v>8517799000</v>
          </cell>
          <cell r="AZ413">
            <v>8.4739893378067208</v>
          </cell>
          <cell r="BA413">
            <v>5.084393602684032</v>
          </cell>
          <cell r="BB413">
            <v>4.2369946689033604</v>
          </cell>
          <cell r="BC413">
            <v>3.3895957351226884</v>
          </cell>
        </row>
        <row r="414">
          <cell r="I414" t="str">
            <v>KSFP1UFP24SCSLEF</v>
          </cell>
          <cell r="J414" t="str">
            <v>U1001017</v>
          </cell>
          <cell r="K414" t="str">
            <v>19" 1U PANEL FRONT PLATE WITH LOCKING SYSTEM 24 SC SIMPLEX/LC DUPLEX</v>
          </cell>
          <cell r="L414" t="str">
            <v>PLAQUE AVANT TIROIR 19" 1U AVEC VERROUILLAGE 24 SC SIMPLEX/LC DUPLEX</v>
          </cell>
          <cell r="M414"/>
          <cell r="N414" t="str">
            <v>China</v>
          </cell>
          <cell r="O414"/>
          <cell r="P414" t="str">
            <v>1 pc eco friendly box</v>
          </cell>
          <cell r="Q414" t="str">
            <v>500 pcs</v>
          </cell>
          <cell r="R414">
            <v>540</v>
          </cell>
          <cell r="S414" t="str">
            <v>4897108884245</v>
          </cell>
          <cell r="T414" t="str">
            <v>853890 9900</v>
          </cell>
          <cell r="U414">
            <v>1.7000000000000001E-2</v>
          </cell>
          <cell r="V414">
            <v>30</v>
          </cell>
          <cell r="W414">
            <v>45</v>
          </cell>
          <cell r="X414">
            <v>55</v>
          </cell>
          <cell r="Y414" t="str">
            <v>T/T 60 days</v>
          </cell>
          <cell r="Z414">
            <v>3.6231637919126451</v>
          </cell>
          <cell r="AA414">
            <v>3.0690883111131906</v>
          </cell>
          <cell r="AB414">
            <v>0.1</v>
          </cell>
          <cell r="AC414">
            <v>0.1</v>
          </cell>
          <cell r="AD414">
            <v>0.28499999999999998</v>
          </cell>
          <cell r="AE414" t="str">
            <v>A</v>
          </cell>
          <cell r="AF414">
            <v>2.7621794800018717</v>
          </cell>
          <cell r="AG414">
            <v>0.20555555555555549</v>
          </cell>
          <cell r="AH414" t="e">
            <v>#N/A</v>
          </cell>
          <cell r="AI414">
            <v>2.5180988353792886</v>
          </cell>
          <cell r="AJ414">
            <v>2.4382201582732574</v>
          </cell>
          <cell r="AK414">
            <v>0.30499999999999994</v>
          </cell>
          <cell r="AL414">
            <v>0.20555555555555538</v>
          </cell>
          <cell r="AM414"/>
          <cell r="AN414" t="str">
            <v>OTRANS</v>
          </cell>
          <cell r="AO414"/>
          <cell r="AP414"/>
          <cell r="AQ414"/>
          <cell r="AR414">
            <v>2.2000000000000002</v>
          </cell>
          <cell r="AS414">
            <v>13.8</v>
          </cell>
          <cell r="AT414">
            <v>16</v>
          </cell>
          <cell r="AU414">
            <v>2.2662889518413598</v>
          </cell>
          <cell r="AV414">
            <v>2.1943981424459316</v>
          </cell>
          <cell r="AW414"/>
          <cell r="AX414">
            <v>8517799000</v>
          </cell>
          <cell r="AZ414">
            <v>10.230294370377303</v>
          </cell>
          <cell r="BA414">
            <v>6.1381766222263812</v>
          </cell>
          <cell r="BB414">
            <v>5.1151471851886514</v>
          </cell>
          <cell r="BC414">
            <v>4.0921177481509217</v>
          </cell>
        </row>
        <row r="415">
          <cell r="I415" t="str">
            <v>KSFP1UFP3LGXEF</v>
          </cell>
          <cell r="J415" t="str">
            <v>U1001019</v>
          </cell>
          <cell r="K415" t="str">
            <v>19" 1U PANEL FRONT PLATE 3 LGX MODULE</v>
          </cell>
          <cell r="L415" t="str">
            <v>PLAQUE AVANT TIROIR 19" 1U 3 LGX</v>
          </cell>
          <cell r="M415"/>
          <cell r="N415" t="str">
            <v>China</v>
          </cell>
          <cell r="O415"/>
          <cell r="P415" t="str">
            <v>1 pc eco friendly box</v>
          </cell>
          <cell r="Q415" t="str">
            <v>500 pcs</v>
          </cell>
          <cell r="R415">
            <v>540</v>
          </cell>
          <cell r="S415" t="e">
            <v>#N/A</v>
          </cell>
          <cell r="T415" t="str">
            <v>853890 9900</v>
          </cell>
          <cell r="U415">
            <v>1.7000000000000001E-2</v>
          </cell>
          <cell r="V415">
            <v>30</v>
          </cell>
          <cell r="W415">
            <v>45</v>
          </cell>
          <cell r="X415">
            <v>55</v>
          </cell>
          <cell r="Y415" t="str">
            <v>T/T 60 days</v>
          </cell>
          <cell r="Z415">
            <v>14.37943129915331</v>
          </cell>
          <cell r="AA415">
            <v>11.411537215823458</v>
          </cell>
          <cell r="AB415">
            <v>0.1</v>
          </cell>
          <cell r="AC415">
            <v>0.1</v>
          </cell>
          <cell r="AD415">
            <v>0.28499999999999998</v>
          </cell>
          <cell r="AE415" t="str">
            <v>A</v>
          </cell>
          <cell r="AF415">
            <v>10.270383494241113</v>
          </cell>
          <cell r="AG415">
            <v>0.20555555555555549</v>
          </cell>
          <cell r="AH415" t="e">
            <v>#N/A</v>
          </cell>
          <cell r="AI415">
            <v>9.993704752911551</v>
          </cell>
          <cell r="AJ415">
            <v>9.0658323436819703</v>
          </cell>
          <cell r="AK415">
            <v>0.30499999999999994</v>
          </cell>
          <cell r="AL415">
            <v>0.20555555555555549</v>
          </cell>
          <cell r="AM415"/>
          <cell r="AN415" t="str">
            <v>OTRANS</v>
          </cell>
          <cell r="AO415"/>
          <cell r="AP415"/>
          <cell r="AQ415"/>
          <cell r="AR415">
            <v>4</v>
          </cell>
          <cell r="AS415">
            <v>59.5</v>
          </cell>
          <cell r="AT415">
            <v>63.5</v>
          </cell>
          <cell r="AU415">
            <v>8.9943342776203963</v>
          </cell>
          <cell r="AV415">
            <v>8.1592491093137731</v>
          </cell>
          <cell r="AW415"/>
          <cell r="AX415">
            <v>8517799000</v>
          </cell>
          <cell r="AZ415">
            <v>38.038457386078193</v>
          </cell>
          <cell r="BA415">
            <v>22.823074431646916</v>
          </cell>
          <cell r="BB415">
            <v>19.019228693039096</v>
          </cell>
          <cell r="BC415">
            <v>15.215382954431277</v>
          </cell>
        </row>
        <row r="416">
          <cell r="I416" t="str">
            <v>KSFP1UFP2424SCDSEF</v>
          </cell>
          <cell r="J416" t="str">
            <v>U1001014</v>
          </cell>
          <cell r="K416" t="str">
            <v>19" 1U PANEL FRONT PLATE 24 SC DUPLEX/LC QUAD EQUIPPED WITH 24 SC DUPLEX SINGLEMODE</v>
          </cell>
          <cell r="L416" t="str">
            <v>PLAQUE AVANT TIROIR 19" 1U 24 SC DUPLEX EQUIPPE DE 24 TRAVERSEES MONOMODE</v>
          </cell>
          <cell r="M416"/>
          <cell r="N416" t="str">
            <v>China</v>
          </cell>
          <cell r="O416"/>
          <cell r="P416" t="str">
            <v>1 pc eco friendly box</v>
          </cell>
          <cell r="Q416" t="str">
            <v>500 pcs</v>
          </cell>
          <cell r="R416">
            <v>540</v>
          </cell>
          <cell r="S416" t="str">
            <v>4897108884535</v>
          </cell>
          <cell r="T416" t="str">
            <v>853890 9900</v>
          </cell>
          <cell r="U416">
            <v>1.7000000000000001E-2</v>
          </cell>
          <cell r="V416">
            <v>30</v>
          </cell>
          <cell r="W416">
            <v>45</v>
          </cell>
          <cell r="X416">
            <v>55</v>
          </cell>
          <cell r="Y416" t="str">
            <v>T/T 60 days</v>
          </cell>
          <cell r="Z416">
            <v>10.416595901748854</v>
          </cell>
          <cell r="AA416">
            <v>8.3380034088249388</v>
          </cell>
          <cell r="AB416">
            <v>0.1</v>
          </cell>
          <cell r="AC416">
            <v>0.1</v>
          </cell>
          <cell r="AD416">
            <v>0.28499999999999998</v>
          </cell>
          <cell r="AE416" t="str">
            <v>A</v>
          </cell>
          <cell r="AF416">
            <v>7.504203067942445</v>
          </cell>
          <cell r="AG416">
            <v>0.20555555555555549</v>
          </cell>
          <cell r="AH416">
            <v>8.27</v>
          </cell>
          <cell r="AI416">
            <v>7.2395341517154543</v>
          </cell>
          <cell r="AJ416">
            <v>6.624080485899813</v>
          </cell>
          <cell r="AK416">
            <v>0.30499999999999994</v>
          </cell>
          <cell r="AL416">
            <v>0.20555555555555549</v>
          </cell>
          <cell r="AM416"/>
          <cell r="AN416" t="str">
            <v>OTRANS</v>
          </cell>
          <cell r="AO416"/>
          <cell r="AP416"/>
          <cell r="AQ416"/>
          <cell r="AR416">
            <v>3</v>
          </cell>
          <cell r="AS416">
            <v>43</v>
          </cell>
          <cell r="AT416">
            <v>46</v>
          </cell>
          <cell r="AU416">
            <v>6.5155807365439093</v>
          </cell>
          <cell r="AV416">
            <v>5.961672437309832</v>
          </cell>
          <cell r="AW416"/>
          <cell r="AX416">
            <v>8517799000</v>
          </cell>
          <cell r="AZ416">
            <v>27.793344696083132</v>
          </cell>
          <cell r="BA416">
            <v>16.676006817649878</v>
          </cell>
          <cell r="BB416">
            <v>13.896672348041566</v>
          </cell>
          <cell r="BC416">
            <v>11.117337878433254</v>
          </cell>
        </row>
        <row r="417">
          <cell r="I417" t="str">
            <v>KSFP1UFP2412SCDSEF</v>
          </cell>
          <cell r="J417" t="str">
            <v>U1001010</v>
          </cell>
          <cell r="K417" t="str">
            <v>19" 1U PANEL FRONT PLATE 24 SC DUPLEX/LC QUAD EQUIPPED WITH 12 SC DUPLEX SINGLEMODE</v>
          </cell>
          <cell r="L417" t="str">
            <v>PLAQUE AVANT TIROIR 19" 1U 24 SC DUPLEX EQUIPPE DE 12 TRAVERSEES MONOMODE</v>
          </cell>
          <cell r="M417"/>
          <cell r="N417" t="str">
            <v>China</v>
          </cell>
          <cell r="O417"/>
          <cell r="P417" t="str">
            <v>1 pc eco friendly box</v>
          </cell>
          <cell r="Q417" t="str">
            <v>500 pcs</v>
          </cell>
          <cell r="R417">
            <v>540</v>
          </cell>
          <cell r="S417" t="str">
            <v>4897108884511</v>
          </cell>
          <cell r="T417" t="str">
            <v>853890 9900</v>
          </cell>
          <cell r="U417">
            <v>1.7000000000000001E-2</v>
          </cell>
          <cell r="V417">
            <v>30</v>
          </cell>
          <cell r="W417">
            <v>45</v>
          </cell>
          <cell r="X417">
            <v>55</v>
          </cell>
          <cell r="Y417" t="str">
            <v>T/T 60 days</v>
          </cell>
          <cell r="Z417">
            <v>7.699223057814371</v>
          </cell>
          <cell r="AA417">
            <v>6.2304373697402395</v>
          </cell>
          <cell r="AB417">
            <v>0.1</v>
          </cell>
          <cell r="AC417">
            <v>0.1</v>
          </cell>
          <cell r="AD417">
            <v>0.28499999999999998</v>
          </cell>
          <cell r="AE417" t="str">
            <v>A</v>
          </cell>
          <cell r="AF417">
            <v>5.6073936327662155</v>
          </cell>
          <cell r="AG417">
            <v>0.20555555555555549</v>
          </cell>
          <cell r="AH417">
            <v>6.18</v>
          </cell>
          <cell r="AI417">
            <v>5.3509600251809886</v>
          </cell>
          <cell r="AJ417">
            <v>4.9497363548491906</v>
          </cell>
          <cell r="AK417">
            <v>0.30499999999999994</v>
          </cell>
          <cell r="AL417">
            <v>0.20555555555555549</v>
          </cell>
          <cell r="AM417"/>
          <cell r="AN417" t="str">
            <v>OTRANS</v>
          </cell>
          <cell r="AO417"/>
          <cell r="AP417"/>
          <cell r="AQ417"/>
          <cell r="AR417">
            <v>3</v>
          </cell>
          <cell r="AS417">
            <v>31</v>
          </cell>
          <cell r="AT417">
            <v>34</v>
          </cell>
          <cell r="AU417">
            <v>4.8158640226628897</v>
          </cell>
          <cell r="AV417">
            <v>4.4547627193642718</v>
          </cell>
          <cell r="AW417"/>
          <cell r="AX417">
            <v>8517799000</v>
          </cell>
          <cell r="AZ417">
            <v>20.7681245658008</v>
          </cell>
          <cell r="BA417">
            <v>12.460874739480479</v>
          </cell>
          <cell r="BB417">
            <v>10.3840622829004</v>
          </cell>
          <cell r="BC417">
            <v>8.3072498263203212</v>
          </cell>
        </row>
        <row r="418">
          <cell r="I418" t="str">
            <v>KSFP1UFP2424LCDSEF</v>
          </cell>
          <cell r="J418" t="str">
            <v>U1001012</v>
          </cell>
          <cell r="K418" t="str">
            <v>19" 1U PANEL FRONT PLATE 24 LC DUPLEX/LC QUAD EQUIPPED WITH 24 LC DUPLEX SINGLEMODE</v>
          </cell>
          <cell r="L418" t="str">
            <v>PLAQUE AVANT TIROIR 19" 1U 24 LC DUPLEX EQUIPPE DE 24 TRAVERSEES MONOMODE</v>
          </cell>
          <cell r="M418"/>
          <cell r="N418" t="str">
            <v>China</v>
          </cell>
          <cell r="O418"/>
          <cell r="P418" t="str">
            <v>1 pc eco friendly box</v>
          </cell>
          <cell r="Q418" t="str">
            <v>500 pcs</v>
          </cell>
          <cell r="R418">
            <v>540</v>
          </cell>
          <cell r="S418" t="str">
            <v>4897108884504</v>
          </cell>
          <cell r="T418" t="str">
            <v>853890 9900</v>
          </cell>
          <cell r="U418">
            <v>1.7000000000000001E-2</v>
          </cell>
          <cell r="V418">
            <v>30</v>
          </cell>
          <cell r="W418">
            <v>45</v>
          </cell>
          <cell r="X418">
            <v>55</v>
          </cell>
          <cell r="Y418" t="str">
            <v>T/T 60 days</v>
          </cell>
          <cell r="Z418">
            <v>13.133968745683337</v>
          </cell>
          <cell r="AA418">
            <v>10.445569447909637</v>
          </cell>
          <cell r="AB418">
            <v>0.1</v>
          </cell>
          <cell r="AC418">
            <v>0.1</v>
          </cell>
          <cell r="AD418">
            <v>0.28499999999999998</v>
          </cell>
          <cell r="AE418" t="str">
            <v>A</v>
          </cell>
          <cell r="AF418">
            <v>9.4010125031186735</v>
          </cell>
          <cell r="AG418">
            <v>0.20555555555555549</v>
          </cell>
          <cell r="AH418">
            <v>10.36</v>
          </cell>
          <cell r="AI418">
            <v>9.1281082782499201</v>
          </cell>
          <cell r="AJ418">
            <v>8.2984246169504345</v>
          </cell>
          <cell r="AK418">
            <v>0.30499999999999994</v>
          </cell>
          <cell r="AL418">
            <v>0.20555555555555549</v>
          </cell>
          <cell r="AM418"/>
          <cell r="AN418" t="str">
            <v>OTRANS</v>
          </cell>
          <cell r="AO418"/>
          <cell r="AP418"/>
          <cell r="AQ418"/>
          <cell r="AR418">
            <v>3</v>
          </cell>
          <cell r="AS418">
            <v>55</v>
          </cell>
          <cell r="AT418">
            <v>58</v>
          </cell>
          <cell r="AU418">
            <v>8.215297450424929</v>
          </cell>
          <cell r="AV418">
            <v>7.4685821552553913</v>
          </cell>
          <cell r="AW418"/>
          <cell r="AX418">
            <v>8517799000</v>
          </cell>
          <cell r="AZ418">
            <v>34.81856482636546</v>
          </cell>
          <cell r="BA418">
            <v>20.891138895819275</v>
          </cell>
          <cell r="BB418">
            <v>17.40928241318273</v>
          </cell>
          <cell r="BC418">
            <v>13.927425930546185</v>
          </cell>
        </row>
        <row r="419">
          <cell r="I419" t="str">
            <v>KSFP1UFP2412LCDSEF</v>
          </cell>
          <cell r="J419" t="str">
            <v>U1001008</v>
          </cell>
          <cell r="K419" t="str">
            <v>19" 1U PANEL FRONT PLATE 24 LC DUPLEX/LC QUAD EQUIPPED WITH 12 LC DUPLEX SINGLEMODE</v>
          </cell>
          <cell r="L419" t="str">
            <v>PLAQUE AVANT TIROIR 19" 1U 24 LC DUPLEX EQUIPPE DE 12 TRAVERSEES MONOMODE</v>
          </cell>
          <cell r="M419"/>
          <cell r="N419" t="str">
            <v>China</v>
          </cell>
          <cell r="O419"/>
          <cell r="P419" t="str">
            <v>1 pc eco friendly box</v>
          </cell>
          <cell r="Q419" t="str">
            <v>500 pcs</v>
          </cell>
          <cell r="R419">
            <v>540</v>
          </cell>
          <cell r="S419" t="str">
            <v>4897108884474</v>
          </cell>
          <cell r="T419" t="str">
            <v>853890 9900</v>
          </cell>
          <cell r="U419">
            <v>1.7000000000000001E-2</v>
          </cell>
          <cell r="V419">
            <v>30</v>
          </cell>
          <cell r="W419">
            <v>45</v>
          </cell>
          <cell r="X419">
            <v>55</v>
          </cell>
          <cell r="Y419" t="str">
            <v>T/T 60 days</v>
          </cell>
          <cell r="Z419">
            <v>8.3785662687979929</v>
          </cell>
          <cell r="AA419">
            <v>6.757328879511415</v>
          </cell>
          <cell r="AB419">
            <v>0.1</v>
          </cell>
          <cell r="AC419">
            <v>0.1</v>
          </cell>
          <cell r="AD419">
            <v>0.28499999999999998</v>
          </cell>
          <cell r="AE419" t="str">
            <v>A</v>
          </cell>
          <cell r="AF419">
            <v>6.081595991560274</v>
          </cell>
          <cell r="AG419">
            <v>0.2055555555555556</v>
          </cell>
          <cell r="AH419">
            <v>6.7</v>
          </cell>
          <cell r="AI419">
            <v>5.8231035568146057</v>
          </cell>
          <cell r="AJ419">
            <v>5.3683223876118467</v>
          </cell>
          <cell r="AK419">
            <v>0.30499999999999994</v>
          </cell>
          <cell r="AL419">
            <v>0.20555555555555549</v>
          </cell>
          <cell r="AM419"/>
          <cell r="AN419" t="str">
            <v>OTRANS</v>
          </cell>
          <cell r="AO419"/>
          <cell r="AP419"/>
          <cell r="AQ419"/>
          <cell r="AR419">
            <v>3</v>
          </cell>
          <cell r="AS419">
            <v>34</v>
          </cell>
          <cell r="AT419">
            <v>37</v>
          </cell>
          <cell r="AU419">
            <v>5.2407932011331448</v>
          </cell>
          <cell r="AV419">
            <v>4.8314901488506621</v>
          </cell>
          <cell r="AW419"/>
          <cell r="AX419">
            <v>8517799000</v>
          </cell>
          <cell r="AZ419">
            <v>22.524429598371384</v>
          </cell>
          <cell r="BA419">
            <v>13.51465775902283</v>
          </cell>
          <cell r="BB419">
            <v>11.262214799185692</v>
          </cell>
          <cell r="BC419">
            <v>9.009771839348554</v>
          </cell>
        </row>
        <row r="420">
          <cell r="I420" t="str">
            <v>KSFP1UFP2424SCDMEF</v>
          </cell>
          <cell r="J420" t="str">
            <v>U1001013</v>
          </cell>
          <cell r="K420" t="str">
            <v>19" 1U PANEL FRONT PLATE 24 SC DUPLEX/LC QUAD EQUIPPED WITH 24 SC DUPLEX MULTIMODE</v>
          </cell>
          <cell r="L420" t="str">
            <v>PLAQUE AVANT TIROIR 19" 1U 24 SC DUPLEX EQUIPPE DE 24 TRAVERSEES MULTIMODE</v>
          </cell>
          <cell r="M420"/>
          <cell r="N420" t="str">
            <v>China</v>
          </cell>
          <cell r="O420"/>
          <cell r="P420" t="str">
            <v>1 pc eco friendly box</v>
          </cell>
          <cell r="Q420" t="str">
            <v>500 pcs</v>
          </cell>
          <cell r="R420">
            <v>540</v>
          </cell>
          <cell r="S420" t="str">
            <v>4897108884542</v>
          </cell>
          <cell r="T420" t="str">
            <v>853890 9900</v>
          </cell>
          <cell r="U420">
            <v>1.7000000000000001E-2</v>
          </cell>
          <cell r="V420">
            <v>30</v>
          </cell>
          <cell r="W420">
            <v>45</v>
          </cell>
          <cell r="X420">
            <v>55</v>
          </cell>
          <cell r="Y420" t="str">
            <v>T/T 60 days</v>
          </cell>
          <cell r="Z420">
            <v>10.416595901748854</v>
          </cell>
          <cell r="AA420">
            <v>8.3380034088249388</v>
          </cell>
          <cell r="AB420">
            <v>0.1</v>
          </cell>
          <cell r="AC420">
            <v>0.1</v>
          </cell>
          <cell r="AD420">
            <v>0.28499999999999998</v>
          </cell>
          <cell r="AE420" t="str">
            <v>A</v>
          </cell>
          <cell r="AF420">
            <v>7.504203067942445</v>
          </cell>
          <cell r="AG420">
            <v>0.20555555555555549</v>
          </cell>
          <cell r="AH420">
            <v>8.27</v>
          </cell>
          <cell r="AI420">
            <v>7.2395341517154543</v>
          </cell>
          <cell r="AJ420">
            <v>6.624080485899813</v>
          </cell>
          <cell r="AK420">
            <v>0.30499999999999994</v>
          </cell>
          <cell r="AL420">
            <v>0.20555555555555549</v>
          </cell>
          <cell r="AM420"/>
          <cell r="AN420" t="str">
            <v>OTRANS</v>
          </cell>
          <cell r="AO420"/>
          <cell r="AP420"/>
          <cell r="AQ420"/>
          <cell r="AR420">
            <v>3</v>
          </cell>
          <cell r="AS420">
            <v>43</v>
          </cell>
          <cell r="AT420">
            <v>46</v>
          </cell>
          <cell r="AU420">
            <v>6.5155807365439093</v>
          </cell>
          <cell r="AV420">
            <v>5.961672437309832</v>
          </cell>
          <cell r="AW420"/>
          <cell r="AX420">
            <v>8517799000</v>
          </cell>
          <cell r="AZ420">
            <v>27.793344696083132</v>
          </cell>
          <cell r="BA420">
            <v>16.676006817649878</v>
          </cell>
          <cell r="BB420">
            <v>13.896672348041566</v>
          </cell>
          <cell r="BC420">
            <v>11.117337878433254</v>
          </cell>
        </row>
        <row r="421">
          <cell r="I421" t="str">
            <v>KSFP1UFP2412SCDMEF</v>
          </cell>
          <cell r="J421" t="str">
            <v>U1001009</v>
          </cell>
          <cell r="K421" t="str">
            <v>19" 1U PANEL FRONT PLATE 24 SC DUPLEX/LC QUAD EQUIPPED WITH 12 SC DUPLEX MULTIMODE</v>
          </cell>
          <cell r="L421" t="str">
            <v>PLAQUE AVANT TIROIR 19" 1U 24 SC DUPLEX EQUIPPE DE 12 TRAVERSEES MULTIMODE</v>
          </cell>
          <cell r="M421"/>
          <cell r="N421" t="str">
            <v>China</v>
          </cell>
          <cell r="O421"/>
          <cell r="P421" t="str">
            <v>1 pc eco friendly box</v>
          </cell>
          <cell r="Q421" t="str">
            <v>500 pcs</v>
          </cell>
          <cell r="R421">
            <v>540</v>
          </cell>
          <cell r="S421" t="str">
            <v>4897108884528</v>
          </cell>
          <cell r="T421" t="str">
            <v>853890 9900</v>
          </cell>
          <cell r="U421">
            <v>1.7000000000000001E-2</v>
          </cell>
          <cell r="V421">
            <v>30</v>
          </cell>
          <cell r="W421">
            <v>45</v>
          </cell>
          <cell r="X421">
            <v>55</v>
          </cell>
          <cell r="Y421" t="str">
            <v>T/T 60 days</v>
          </cell>
          <cell r="Z421">
            <v>7.699223057814371</v>
          </cell>
          <cell r="AA421">
            <v>6.2304373697402395</v>
          </cell>
          <cell r="AB421">
            <v>0.1</v>
          </cell>
          <cell r="AC421">
            <v>0.1</v>
          </cell>
          <cell r="AD421">
            <v>0.28499999999999998</v>
          </cell>
          <cell r="AE421" t="str">
            <v>A</v>
          </cell>
          <cell r="AF421">
            <v>5.6073936327662155</v>
          </cell>
          <cell r="AG421">
            <v>0.20555555555555549</v>
          </cell>
          <cell r="AH421">
            <v>6.18</v>
          </cell>
          <cell r="AI421">
            <v>5.3509600251809886</v>
          </cell>
          <cell r="AJ421">
            <v>4.9497363548491906</v>
          </cell>
          <cell r="AK421">
            <v>0.30499999999999994</v>
          </cell>
          <cell r="AL421">
            <v>0.20555555555555549</v>
          </cell>
          <cell r="AM421"/>
          <cell r="AN421" t="str">
            <v>OTRANS</v>
          </cell>
          <cell r="AO421"/>
          <cell r="AP421"/>
          <cell r="AQ421"/>
          <cell r="AR421">
            <v>3</v>
          </cell>
          <cell r="AS421">
            <v>31</v>
          </cell>
          <cell r="AT421">
            <v>34</v>
          </cell>
          <cell r="AU421">
            <v>4.8158640226628897</v>
          </cell>
          <cell r="AV421">
            <v>4.4547627193642718</v>
          </cell>
          <cell r="AW421"/>
          <cell r="AX421">
            <v>8517799000</v>
          </cell>
          <cell r="AZ421">
            <v>20.7681245658008</v>
          </cell>
          <cell r="BA421">
            <v>12.460874739480479</v>
          </cell>
          <cell r="BB421">
            <v>10.3840622829004</v>
          </cell>
          <cell r="BC421">
            <v>8.3072498263203212</v>
          </cell>
        </row>
        <row r="422">
          <cell r="I422" t="str">
            <v>KSFP1UFP2424LCDMEF</v>
          </cell>
          <cell r="J422" t="str">
            <v>U1001011</v>
          </cell>
          <cell r="K422" t="str">
            <v>19" 1U PANEL FRONT PLATE 24 LC DUPLEX/LC QUAD EQUIPPED WITH 24 LC DUPLEX MULTIMODE</v>
          </cell>
          <cell r="L422" t="str">
            <v>PLAQUE AVANT TIROIR 19" 1U 24 LC DUPLEX EQUIPPE DE 24 TRAVERSEES MULTIMODE</v>
          </cell>
          <cell r="M422"/>
          <cell r="N422" t="str">
            <v>China</v>
          </cell>
          <cell r="O422"/>
          <cell r="P422" t="str">
            <v>1 pc eco friendly box</v>
          </cell>
          <cell r="Q422" t="str">
            <v>500 pcs</v>
          </cell>
          <cell r="R422">
            <v>540</v>
          </cell>
          <cell r="S422" t="str">
            <v>4897108884498</v>
          </cell>
          <cell r="T422" t="str">
            <v>853890 9900</v>
          </cell>
          <cell r="U422">
            <v>1.7000000000000001E-2</v>
          </cell>
          <cell r="V422">
            <v>30</v>
          </cell>
          <cell r="W422">
            <v>45</v>
          </cell>
          <cell r="X422">
            <v>55</v>
          </cell>
          <cell r="Y422" t="str">
            <v>T/T 60 days</v>
          </cell>
          <cell r="Z422">
            <v>13.133968745683337</v>
          </cell>
          <cell r="AA422">
            <v>10.445569447909637</v>
          </cell>
          <cell r="AB422">
            <v>0.1</v>
          </cell>
          <cell r="AC422">
            <v>0.1</v>
          </cell>
          <cell r="AD422">
            <v>0.28499999999999998</v>
          </cell>
          <cell r="AE422" t="str">
            <v>A</v>
          </cell>
          <cell r="AF422">
            <v>9.4010125031186735</v>
          </cell>
          <cell r="AG422">
            <v>0.20555555555555549</v>
          </cell>
          <cell r="AH422">
            <v>10.36</v>
          </cell>
          <cell r="AI422">
            <v>9.1281082782499201</v>
          </cell>
          <cell r="AJ422">
            <v>8.2984246169504345</v>
          </cell>
          <cell r="AK422">
            <v>0.30499999999999994</v>
          </cell>
          <cell r="AL422">
            <v>0.20555555555555549</v>
          </cell>
          <cell r="AM422"/>
          <cell r="AN422" t="str">
            <v>OTRANS</v>
          </cell>
          <cell r="AO422"/>
          <cell r="AP422"/>
          <cell r="AQ422"/>
          <cell r="AR422">
            <v>3</v>
          </cell>
          <cell r="AS422">
            <v>55</v>
          </cell>
          <cell r="AT422">
            <v>58</v>
          </cell>
          <cell r="AU422">
            <v>8.215297450424929</v>
          </cell>
          <cell r="AV422">
            <v>7.4685821552553913</v>
          </cell>
          <cell r="AW422"/>
          <cell r="AX422">
            <v>8517799000</v>
          </cell>
          <cell r="AZ422">
            <v>34.81856482636546</v>
          </cell>
          <cell r="BA422">
            <v>20.891138895819275</v>
          </cell>
          <cell r="BB422">
            <v>17.40928241318273</v>
          </cell>
          <cell r="BC422">
            <v>13.927425930546185</v>
          </cell>
        </row>
        <row r="423">
          <cell r="I423" t="str">
            <v>KSFP1UFP2412LCDMEF</v>
          </cell>
          <cell r="J423" t="str">
            <v>U1001007</v>
          </cell>
          <cell r="K423" t="str">
            <v>19" 1U PANEL FRONT PLATE 24 LC DUPLEX/LC QUAD EQUIPPED WITH 12 LC DUPLEX MULTIMODE</v>
          </cell>
          <cell r="L423" t="str">
            <v>PLAQUE AVANT TIROIR 19" 1U 24 LC DUPLEX EQUIPPE DE 12 TRAVERSEES MULTIMODE</v>
          </cell>
          <cell r="M423"/>
          <cell r="N423" t="str">
            <v>China</v>
          </cell>
          <cell r="O423"/>
          <cell r="P423" t="str">
            <v>1 pc eco friendly box</v>
          </cell>
          <cell r="Q423" t="str">
            <v>500 pcs</v>
          </cell>
          <cell r="R423">
            <v>540</v>
          </cell>
          <cell r="S423" t="str">
            <v>4897108884481</v>
          </cell>
          <cell r="T423" t="str">
            <v>853890 9900</v>
          </cell>
          <cell r="U423">
            <v>1.7000000000000001E-2</v>
          </cell>
          <cell r="V423">
            <v>30</v>
          </cell>
          <cell r="W423">
            <v>45</v>
          </cell>
          <cell r="X423">
            <v>55</v>
          </cell>
          <cell r="Y423" t="str">
            <v>T/T 60 days</v>
          </cell>
          <cell r="Z423">
            <v>8.3785662687979929</v>
          </cell>
          <cell r="AA423">
            <v>6.757328879511415</v>
          </cell>
          <cell r="AB423">
            <v>0.1</v>
          </cell>
          <cell r="AC423">
            <v>0.1</v>
          </cell>
          <cell r="AD423">
            <v>0.28499999999999998</v>
          </cell>
          <cell r="AE423" t="str">
            <v>A</v>
          </cell>
          <cell r="AF423">
            <v>6.081595991560274</v>
          </cell>
          <cell r="AG423">
            <v>0.2055555555555556</v>
          </cell>
          <cell r="AH423">
            <v>6.7</v>
          </cell>
          <cell r="AI423">
            <v>5.8231035568146057</v>
          </cell>
          <cell r="AJ423">
            <v>5.3683223876118467</v>
          </cell>
          <cell r="AK423">
            <v>0.30499999999999994</v>
          </cell>
          <cell r="AL423">
            <v>0.20555555555555549</v>
          </cell>
          <cell r="AM423"/>
          <cell r="AN423" t="str">
            <v>OTRANS</v>
          </cell>
          <cell r="AO423"/>
          <cell r="AP423"/>
          <cell r="AQ423"/>
          <cell r="AR423">
            <v>3</v>
          </cell>
          <cell r="AS423">
            <v>34</v>
          </cell>
          <cell r="AT423">
            <v>37</v>
          </cell>
          <cell r="AU423">
            <v>5.2407932011331448</v>
          </cell>
          <cell r="AV423">
            <v>4.8314901488506621</v>
          </cell>
          <cell r="AW423"/>
          <cell r="AX423">
            <v>8517799000</v>
          </cell>
          <cell r="AZ423">
            <v>22.524429598371384</v>
          </cell>
          <cell r="BA423">
            <v>13.51465775902283</v>
          </cell>
          <cell r="BB423">
            <v>11.262214799185692</v>
          </cell>
          <cell r="BC423">
            <v>9.009771839348554</v>
          </cell>
        </row>
        <row r="424">
          <cell r="I424" t="str">
            <v>KPIGOM3SC2MEF</v>
          </cell>
          <cell r="J424" t="str">
            <v>U1101002</v>
          </cell>
          <cell r="K424" t="str">
            <v>SC OM3 PIGTAIL 2 METERS ECO FRIENDLY BAG</v>
          </cell>
          <cell r="L424" t="str">
            <v>SC OM3 PIGTAIL 2 MÈTRES SAC ÉCOLOGIQUE</v>
          </cell>
          <cell r="M424"/>
          <cell r="N424" t="str">
            <v>China</v>
          </cell>
          <cell r="O424"/>
          <cell r="P424" t="str">
            <v>1 pc eco friendly bag</v>
          </cell>
          <cell r="Q424" t="str">
            <v>500 pcs</v>
          </cell>
          <cell r="R424">
            <v>10800</v>
          </cell>
          <cell r="S424" t="e">
            <v>#N/A</v>
          </cell>
          <cell r="T424">
            <v>8544700000</v>
          </cell>
          <cell r="U424">
            <v>0</v>
          </cell>
          <cell r="V424">
            <v>30</v>
          </cell>
          <cell r="W424">
            <v>45</v>
          </cell>
          <cell r="X424">
            <v>55</v>
          </cell>
          <cell r="Y424" t="str">
            <v>T/T 60 days</v>
          </cell>
          <cell r="Z424">
            <v>0.55688724243965038</v>
          </cell>
          <cell r="AA424">
            <v>0.43650325254432909</v>
          </cell>
          <cell r="AB424">
            <v>0.1</v>
          </cell>
          <cell r="AC424">
            <v>0.1</v>
          </cell>
          <cell r="AD424">
            <v>0.2</v>
          </cell>
          <cell r="AE424" t="str">
            <v>C</v>
          </cell>
          <cell r="AF424">
            <v>0.43650325254432909</v>
          </cell>
          <cell r="AG424">
            <v>0.19999999999999996</v>
          </cell>
          <cell r="AH424">
            <v>0.43</v>
          </cell>
          <cell r="AI424">
            <v>0.43437204910292732</v>
          </cell>
          <cell r="AJ424">
            <v>0.38800289115051473</v>
          </cell>
          <cell r="AK424">
            <v>0.21999999999999997</v>
          </cell>
          <cell r="AL424">
            <v>0.11111111111111116</v>
          </cell>
          <cell r="AM424"/>
          <cell r="AN424" t="str">
            <v>OTRANS</v>
          </cell>
          <cell r="AO424"/>
          <cell r="AP424"/>
          <cell r="AQ424"/>
          <cell r="AR424"/>
          <cell r="AS424">
            <v>2.76</v>
          </cell>
          <cell r="AT424">
            <v>2.76</v>
          </cell>
          <cell r="AU424">
            <v>0.39093484419263458</v>
          </cell>
          <cell r="AV424">
            <v>0.34920260203546327</v>
          </cell>
          <cell r="AW424"/>
          <cell r="AX424">
            <v>8544700000</v>
          </cell>
          <cell r="AZ424">
            <v>1.4550108418144303</v>
          </cell>
          <cell r="BA424">
            <v>0.87300650508865818</v>
          </cell>
          <cell r="BB424">
            <v>0.72750542090721515</v>
          </cell>
          <cell r="BC424">
            <v>0.58200433672577212</v>
          </cell>
        </row>
        <row r="425">
          <cell r="I425" t="str">
            <v>KPIGOM3LC2MEF</v>
          </cell>
          <cell r="J425" t="str">
            <v>U1101001</v>
          </cell>
          <cell r="K425" t="str">
            <v>LC OM3 PIGTAIL 2 METERS ECO FRIENDLY BAG</v>
          </cell>
          <cell r="L425" t="str">
            <v>LC OM3 PIGTAIL 2 MÈTRES SAC ÉCOLOGIQUE</v>
          </cell>
          <cell r="M425"/>
          <cell r="N425" t="str">
            <v>China</v>
          </cell>
          <cell r="O425"/>
          <cell r="P425" t="str">
            <v>1 pc eco friendly bag</v>
          </cell>
          <cell r="Q425" t="str">
            <v>500 pcs</v>
          </cell>
          <cell r="R425">
            <v>10800</v>
          </cell>
          <cell r="S425" t="e">
            <v>#N/A</v>
          </cell>
          <cell r="T425">
            <v>8544700000</v>
          </cell>
          <cell r="U425">
            <v>0</v>
          </cell>
          <cell r="V425">
            <v>30</v>
          </cell>
          <cell r="W425">
            <v>45</v>
          </cell>
          <cell r="X425">
            <v>55</v>
          </cell>
          <cell r="Y425" t="str">
            <v>T/T 60 days</v>
          </cell>
          <cell r="Z425">
            <v>0.55688724243965038</v>
          </cell>
          <cell r="AA425">
            <v>0.43650325254432909</v>
          </cell>
          <cell r="AB425">
            <v>0.1</v>
          </cell>
          <cell r="AC425">
            <v>0.1</v>
          </cell>
          <cell r="AD425">
            <v>0.2</v>
          </cell>
          <cell r="AE425" t="str">
            <v>C</v>
          </cell>
          <cell r="AF425">
            <v>0.43650325254432909</v>
          </cell>
          <cell r="AG425">
            <v>0.19999999999999996</v>
          </cell>
          <cell r="AH425">
            <v>0.43</v>
          </cell>
          <cell r="AI425">
            <v>0.43437204910292732</v>
          </cell>
          <cell r="AJ425">
            <v>0.38800289115051473</v>
          </cell>
          <cell r="AK425">
            <v>0.21999999999999997</v>
          </cell>
          <cell r="AL425">
            <v>0.11111111111111116</v>
          </cell>
          <cell r="AM425"/>
          <cell r="AN425" t="str">
            <v>OTRANS</v>
          </cell>
          <cell r="AO425"/>
          <cell r="AP425"/>
          <cell r="AQ425"/>
          <cell r="AR425"/>
          <cell r="AS425">
            <v>2.76</v>
          </cell>
          <cell r="AT425">
            <v>2.76</v>
          </cell>
          <cell r="AU425">
            <v>0.39093484419263458</v>
          </cell>
          <cell r="AV425">
            <v>0.34920260203546327</v>
          </cell>
          <cell r="AW425"/>
          <cell r="AX425">
            <v>8544700000</v>
          </cell>
          <cell r="AZ425">
            <v>1.4550108418144303</v>
          </cell>
          <cell r="BA425">
            <v>0.87300650508865818</v>
          </cell>
          <cell r="BB425">
            <v>0.72750542090721515</v>
          </cell>
          <cell r="BC425">
            <v>0.58200433672577212</v>
          </cell>
        </row>
        <row r="426">
          <cell r="I426" t="str">
            <v>KPIGOM4SC2MEF</v>
          </cell>
          <cell r="J426" t="str">
            <v>U1102002</v>
          </cell>
          <cell r="K426" t="str">
            <v>SC OM4 PIGTAIL 2 METERS ECO FRIENDLY BAG</v>
          </cell>
          <cell r="L426" t="str">
            <v>SC OM4 PIGTAIL 2 MÈTRES SAC ÉCOLOGIQUE</v>
          </cell>
          <cell r="M426"/>
          <cell r="N426" t="str">
            <v>China</v>
          </cell>
          <cell r="O426"/>
          <cell r="P426" t="str">
            <v>1 pc eco friendly bag</v>
          </cell>
          <cell r="Q426" t="str">
            <v>500 pcs</v>
          </cell>
          <cell r="R426">
            <v>10800</v>
          </cell>
          <cell r="S426" t="e">
            <v>#N/A</v>
          </cell>
          <cell r="T426">
            <v>8544700000</v>
          </cell>
          <cell r="U426">
            <v>0</v>
          </cell>
          <cell r="V426">
            <v>30</v>
          </cell>
          <cell r="W426">
            <v>45</v>
          </cell>
          <cell r="X426">
            <v>55</v>
          </cell>
          <cell r="Y426" t="str">
            <v>T/T 60 days</v>
          </cell>
          <cell r="Z426">
            <v>0.71023300485056862</v>
          </cell>
          <cell r="AA426">
            <v>0.55351273647092103</v>
          </cell>
          <cell r="AB426">
            <v>0.1</v>
          </cell>
          <cell r="AC426">
            <v>0.1</v>
          </cell>
          <cell r="AD426">
            <v>0.2</v>
          </cell>
          <cell r="AE426" t="str">
            <v>C</v>
          </cell>
          <cell r="AF426">
            <v>0.55351273647092103</v>
          </cell>
          <cell r="AG426">
            <v>0.20000000000000007</v>
          </cell>
          <cell r="AH426">
            <v>0.55000000000000004</v>
          </cell>
          <cell r="AI426">
            <v>0.55398174378344356</v>
          </cell>
          <cell r="AJ426">
            <v>0.49201132130748532</v>
          </cell>
          <cell r="AK426">
            <v>0.21999999999999997</v>
          </cell>
          <cell r="AL426">
            <v>0.11111111111111116</v>
          </cell>
          <cell r="AM426"/>
          <cell r="AN426" t="str">
            <v>OTRANS</v>
          </cell>
          <cell r="AO426"/>
          <cell r="AP426"/>
          <cell r="AQ426"/>
          <cell r="AR426"/>
          <cell r="AS426">
            <v>3.52</v>
          </cell>
          <cell r="AT426">
            <v>3.52</v>
          </cell>
          <cell r="AU426">
            <v>0.49858356940509918</v>
          </cell>
          <cell r="AV426">
            <v>0.44281018917673681</v>
          </cell>
          <cell r="AW426"/>
          <cell r="AX426">
            <v>8544700000</v>
          </cell>
          <cell r="AZ426">
            <v>1.8450424549030702</v>
          </cell>
          <cell r="BA426">
            <v>1.1070254729418421</v>
          </cell>
          <cell r="BB426">
            <v>0.92252122745153509</v>
          </cell>
          <cell r="BC426">
            <v>0.73801698196122811</v>
          </cell>
        </row>
        <row r="427">
          <cell r="I427" t="str">
            <v>KPIGOM4LC2MEF</v>
          </cell>
          <cell r="J427" t="str">
            <v>U1102001</v>
          </cell>
          <cell r="K427" t="str">
            <v>LC OM4 PIGTAIL 2 METERS ECO FRIENDLY BAG</v>
          </cell>
          <cell r="L427" t="str">
            <v>LC OM4 PIGTAIL 2 MÈTRES SAC ÉCOLOGIQUE</v>
          </cell>
          <cell r="M427"/>
          <cell r="N427" t="str">
            <v>China</v>
          </cell>
          <cell r="O427"/>
          <cell r="P427" t="str">
            <v>1 pc eco friendly bag</v>
          </cell>
          <cell r="Q427" t="str">
            <v>500 pcs</v>
          </cell>
          <cell r="R427">
            <v>10800</v>
          </cell>
          <cell r="S427" t="e">
            <v>#N/A</v>
          </cell>
          <cell r="T427">
            <v>8544700000</v>
          </cell>
          <cell r="U427">
            <v>0</v>
          </cell>
          <cell r="V427">
            <v>30</v>
          </cell>
          <cell r="W427">
            <v>45</v>
          </cell>
          <cell r="X427">
            <v>55</v>
          </cell>
          <cell r="Y427" t="str">
            <v>T/T 60 days</v>
          </cell>
          <cell r="Z427">
            <v>0.71023300485056862</v>
          </cell>
          <cell r="AA427">
            <v>0.55351273647092103</v>
          </cell>
          <cell r="AB427">
            <v>0.1</v>
          </cell>
          <cell r="AC427">
            <v>0.1</v>
          </cell>
          <cell r="AD427">
            <v>0.2</v>
          </cell>
          <cell r="AE427" t="str">
            <v>C</v>
          </cell>
          <cell r="AF427">
            <v>0.55351273647092103</v>
          </cell>
          <cell r="AG427">
            <v>0.20000000000000007</v>
          </cell>
          <cell r="AH427">
            <v>0.55000000000000004</v>
          </cell>
          <cell r="AI427">
            <v>0.55398174378344356</v>
          </cell>
          <cell r="AJ427">
            <v>0.49201132130748532</v>
          </cell>
          <cell r="AK427">
            <v>0.21999999999999997</v>
          </cell>
          <cell r="AL427">
            <v>0.11111111111111116</v>
          </cell>
          <cell r="AM427"/>
          <cell r="AN427" t="str">
            <v>OTRANS</v>
          </cell>
          <cell r="AO427"/>
          <cell r="AP427"/>
          <cell r="AQ427"/>
          <cell r="AR427"/>
          <cell r="AS427">
            <v>3.52</v>
          </cell>
          <cell r="AT427">
            <v>3.52</v>
          </cell>
          <cell r="AU427">
            <v>0.49858356940509918</v>
          </cell>
          <cell r="AV427">
            <v>0.44281018917673681</v>
          </cell>
          <cell r="AW427"/>
          <cell r="AX427">
            <v>8544700000</v>
          </cell>
          <cell r="AZ427">
            <v>1.8450424549030702</v>
          </cell>
          <cell r="BA427">
            <v>1.1070254729418421</v>
          </cell>
          <cell r="BB427">
            <v>0.92252122745153509</v>
          </cell>
          <cell r="BC427">
            <v>0.73801698196122811</v>
          </cell>
        </row>
        <row r="428">
          <cell r="I428" t="str">
            <v>KPIGOM5SC2MEF</v>
          </cell>
          <cell r="J428" t="str">
            <v>U1103002</v>
          </cell>
          <cell r="K428" t="str">
            <v>SC OM5 PIGTAIL 2 METERS ECO FRIENDLY BAG</v>
          </cell>
          <cell r="L428" t="str">
            <v>SC OM5 PIGTAIL 2 MÈTRES SAC ÉCOLOGIQUE</v>
          </cell>
          <cell r="M428"/>
          <cell r="N428" t="str">
            <v>China</v>
          </cell>
          <cell r="O428"/>
          <cell r="P428" t="str">
            <v>1 pc eco friendly bag</v>
          </cell>
          <cell r="Q428" t="str">
            <v>500 pcs</v>
          </cell>
          <cell r="R428">
            <v>10800</v>
          </cell>
          <cell r="S428" t="e">
            <v>#N/A</v>
          </cell>
          <cell r="T428">
            <v>8544700000</v>
          </cell>
          <cell r="U428">
            <v>0</v>
          </cell>
          <cell r="V428">
            <v>30</v>
          </cell>
          <cell r="W428">
            <v>45</v>
          </cell>
          <cell r="X428">
            <v>55</v>
          </cell>
          <cell r="Y428" t="str">
            <v>T/T 60 days</v>
          </cell>
          <cell r="Z428">
            <v>0.94630477066737695</v>
          </cell>
          <cell r="AA428">
            <v>0.73364575777896401</v>
          </cell>
          <cell r="AB428">
            <v>0.1</v>
          </cell>
          <cell r="AC428">
            <v>0.1</v>
          </cell>
          <cell r="AD428">
            <v>0.2</v>
          </cell>
          <cell r="AE428" t="str">
            <v>C</v>
          </cell>
          <cell r="AF428">
            <v>0.73364575777896401</v>
          </cell>
          <cell r="AG428">
            <v>0.19999999999999996</v>
          </cell>
          <cell r="AH428" t="e">
            <v>#N/A</v>
          </cell>
          <cell r="AI428">
            <v>0.73811772112055407</v>
          </cell>
          <cell r="AJ428">
            <v>0.65212956247019027</v>
          </cell>
          <cell r="AK428">
            <v>0.21999999999999997</v>
          </cell>
          <cell r="AL428">
            <v>0.11111111111111105</v>
          </cell>
          <cell r="AM428"/>
          <cell r="AN428" t="str">
            <v>OTRANS</v>
          </cell>
          <cell r="AO428"/>
          <cell r="AP428"/>
          <cell r="AQ428"/>
          <cell r="AR428"/>
          <cell r="AS428">
            <v>4.6900000000000004</v>
          </cell>
          <cell r="AT428">
            <v>4.6900000000000004</v>
          </cell>
          <cell r="AU428">
            <v>0.66430594900849871</v>
          </cell>
          <cell r="AV428">
            <v>0.58691660622317121</v>
          </cell>
          <cell r="AW428"/>
          <cell r="AX428">
            <v>8544700000</v>
          </cell>
          <cell r="AZ428">
            <v>2.4454858592632136</v>
          </cell>
          <cell r="BA428">
            <v>1.467291515557928</v>
          </cell>
          <cell r="BB428">
            <v>1.2227429296316068</v>
          </cell>
          <cell r="BC428">
            <v>0.97819434370528546</v>
          </cell>
        </row>
        <row r="429">
          <cell r="I429" t="str">
            <v>KPIGOM5LC2MEF</v>
          </cell>
          <cell r="J429" t="str">
            <v>U1103001</v>
          </cell>
          <cell r="K429" t="str">
            <v>LC OM5 PIGTAIL 2 METERS ECO FRIENDLY BAG</v>
          </cell>
          <cell r="L429" t="str">
            <v>LC OM5 PIGTAIL 2 MÈTRES SAC ÉCOLOGIQUE</v>
          </cell>
          <cell r="M429"/>
          <cell r="N429" t="str">
            <v>China</v>
          </cell>
          <cell r="O429"/>
          <cell r="P429" t="str">
            <v>1 pc eco friendly bag</v>
          </cell>
          <cell r="Q429" t="str">
            <v>500 pcs</v>
          </cell>
          <cell r="R429">
            <v>10800</v>
          </cell>
          <cell r="S429" t="e">
            <v>#N/A</v>
          </cell>
          <cell r="T429">
            <v>8544700000</v>
          </cell>
          <cell r="U429">
            <v>0</v>
          </cell>
          <cell r="V429">
            <v>30</v>
          </cell>
          <cell r="W429">
            <v>45</v>
          </cell>
          <cell r="X429">
            <v>55</v>
          </cell>
          <cell r="Y429" t="str">
            <v>T/T 60 days</v>
          </cell>
          <cell r="Z429">
            <v>0.94630477066737695</v>
          </cell>
          <cell r="AA429">
            <v>0.73364575777896401</v>
          </cell>
          <cell r="AB429">
            <v>0.1</v>
          </cell>
          <cell r="AC429">
            <v>0.1</v>
          </cell>
          <cell r="AD429">
            <v>0.2</v>
          </cell>
          <cell r="AE429" t="str">
            <v>C</v>
          </cell>
          <cell r="AF429">
            <v>0.73364575777896401</v>
          </cell>
          <cell r="AG429">
            <v>0.19999999999999996</v>
          </cell>
          <cell r="AH429" t="e">
            <v>#N/A</v>
          </cell>
          <cell r="AI429">
            <v>0.73811772112055407</v>
          </cell>
          <cell r="AJ429">
            <v>0.65212956247019027</v>
          </cell>
          <cell r="AK429">
            <v>0.21999999999999997</v>
          </cell>
          <cell r="AL429">
            <v>0.11111111111111105</v>
          </cell>
          <cell r="AM429"/>
          <cell r="AN429" t="str">
            <v>OTRANS</v>
          </cell>
          <cell r="AO429"/>
          <cell r="AP429"/>
          <cell r="AQ429"/>
          <cell r="AR429"/>
          <cell r="AS429">
            <v>4.6900000000000004</v>
          </cell>
          <cell r="AT429">
            <v>4.6900000000000004</v>
          </cell>
          <cell r="AU429">
            <v>0.66430594900849871</v>
          </cell>
          <cell r="AV429">
            <v>0.58691660622317121</v>
          </cell>
          <cell r="AW429"/>
          <cell r="AX429">
            <v>8544700000</v>
          </cell>
          <cell r="AZ429">
            <v>2.4454858592632136</v>
          </cell>
          <cell r="BA429">
            <v>1.467291515557928</v>
          </cell>
          <cell r="BB429">
            <v>1.2227429296316068</v>
          </cell>
          <cell r="BC429">
            <v>0.97819434370528546</v>
          </cell>
        </row>
        <row r="430">
          <cell r="I430" t="str">
            <v>KPIGOS2SC2MEF</v>
          </cell>
          <cell r="J430" t="str">
            <v>U1104002</v>
          </cell>
          <cell r="K430" t="str">
            <v>SC OS2 PIGTAIL 2 METERS ECO FRIENDLY BAG</v>
          </cell>
          <cell r="L430" t="str">
            <v>SC OS2 PIGTAIL 2 MÈTRES SAC ÉCOLOGIQUE</v>
          </cell>
          <cell r="M430"/>
          <cell r="N430" t="str">
            <v>China</v>
          </cell>
          <cell r="O430"/>
          <cell r="P430" t="str">
            <v>1 pc eco friendly bag</v>
          </cell>
          <cell r="Q430" t="str">
            <v>500 pcs</v>
          </cell>
          <cell r="R430">
            <v>10800</v>
          </cell>
          <cell r="S430" t="str">
            <v>4897108884191</v>
          </cell>
          <cell r="T430">
            <v>8544700000</v>
          </cell>
          <cell r="U430">
            <v>0</v>
          </cell>
          <cell r="V430">
            <v>30</v>
          </cell>
          <cell r="W430">
            <v>45</v>
          </cell>
          <cell r="X430">
            <v>55</v>
          </cell>
          <cell r="Y430" t="str">
            <v>T/T 60 days</v>
          </cell>
          <cell r="Z430">
            <v>0.50240914263577163</v>
          </cell>
          <cell r="AA430">
            <v>0.39493409378093458</v>
          </cell>
          <cell r="AB430">
            <v>0.1</v>
          </cell>
          <cell r="AC430">
            <v>0.1</v>
          </cell>
          <cell r="AD430">
            <v>0.2</v>
          </cell>
          <cell r="AE430" t="str">
            <v>C</v>
          </cell>
          <cell r="AF430">
            <v>0.39493409378093458</v>
          </cell>
          <cell r="AG430">
            <v>0.19999999999999996</v>
          </cell>
          <cell r="AH430">
            <v>0.39</v>
          </cell>
          <cell r="AI430">
            <v>0.39187913125590185</v>
          </cell>
          <cell r="AJ430">
            <v>0.35105252780527518</v>
          </cell>
          <cell r="AK430">
            <v>0.22000000000000008</v>
          </cell>
          <cell r="AL430">
            <v>0.11111111111111116</v>
          </cell>
          <cell r="AM430"/>
          <cell r="AN430" t="str">
            <v>OTRANS</v>
          </cell>
          <cell r="AO430"/>
          <cell r="AP430"/>
          <cell r="AQ430"/>
          <cell r="AR430"/>
          <cell r="AS430">
            <v>2.4900000000000002</v>
          </cell>
          <cell r="AT430">
            <v>2.4900000000000002</v>
          </cell>
          <cell r="AU430">
            <v>0.35269121813031168</v>
          </cell>
          <cell r="AV430">
            <v>0.31594727502474768</v>
          </cell>
          <cell r="AW430"/>
          <cell r="AX430">
            <v>8544700000</v>
          </cell>
          <cell r="AZ430">
            <v>1.3164469792697819</v>
          </cell>
          <cell r="BA430">
            <v>0.78986818756186916</v>
          </cell>
          <cell r="BB430">
            <v>0.65822348963489097</v>
          </cell>
          <cell r="BC430">
            <v>0.52657879170791277</v>
          </cell>
        </row>
        <row r="431">
          <cell r="I431" t="str">
            <v>KPIGOS2LC2MEF</v>
          </cell>
          <cell r="J431" t="str">
            <v>U1104001</v>
          </cell>
          <cell r="K431" t="str">
            <v>LC OS2 PIGTAIL 2 METERS ECO FRIENDLY BAG</v>
          </cell>
          <cell r="L431" t="str">
            <v>LC OS2 PIGTAIL 2 MÈTRES SAC ÉCOLOGIQUE</v>
          </cell>
          <cell r="M431"/>
          <cell r="N431" t="str">
            <v>China</v>
          </cell>
          <cell r="O431"/>
          <cell r="P431" t="str">
            <v>1 pc eco friendly bag</v>
          </cell>
          <cell r="Q431" t="str">
            <v>500 pcs</v>
          </cell>
          <cell r="R431">
            <v>10800</v>
          </cell>
          <cell r="S431" t="str">
            <v>4897108884184</v>
          </cell>
          <cell r="T431">
            <v>8544700000</v>
          </cell>
          <cell r="U431">
            <v>0</v>
          </cell>
          <cell r="V431">
            <v>30</v>
          </cell>
          <cell r="W431">
            <v>45</v>
          </cell>
          <cell r="X431">
            <v>55</v>
          </cell>
          <cell r="Y431" t="str">
            <v>T/T 60 days</v>
          </cell>
          <cell r="Z431">
            <v>0.50240914263577163</v>
          </cell>
          <cell r="AA431">
            <v>0.39493409378093458</v>
          </cell>
          <cell r="AB431">
            <v>0.1</v>
          </cell>
          <cell r="AC431">
            <v>0.1</v>
          </cell>
          <cell r="AD431">
            <v>0.2</v>
          </cell>
          <cell r="AE431" t="str">
            <v>C</v>
          </cell>
          <cell r="AF431">
            <v>0.39493409378093458</v>
          </cell>
          <cell r="AG431">
            <v>0.19999999999999996</v>
          </cell>
          <cell r="AH431">
            <v>0.39</v>
          </cell>
          <cell r="AI431">
            <v>0.39187913125590185</v>
          </cell>
          <cell r="AJ431">
            <v>0.35105252780527518</v>
          </cell>
          <cell r="AK431">
            <v>0.22000000000000008</v>
          </cell>
          <cell r="AL431">
            <v>0.11111111111111116</v>
          </cell>
          <cell r="AM431"/>
          <cell r="AN431" t="str">
            <v>OTRANS</v>
          </cell>
          <cell r="AO431"/>
          <cell r="AP431"/>
          <cell r="AQ431"/>
          <cell r="AR431"/>
          <cell r="AS431">
            <v>2.4900000000000002</v>
          </cell>
          <cell r="AT431">
            <v>2.4900000000000002</v>
          </cell>
          <cell r="AU431">
            <v>0.35269121813031168</v>
          </cell>
          <cell r="AV431">
            <v>0.31594727502474768</v>
          </cell>
          <cell r="AW431"/>
          <cell r="AX431">
            <v>8544700000</v>
          </cell>
          <cell r="AZ431">
            <v>1.3164469792697819</v>
          </cell>
          <cell r="BA431">
            <v>0.78986818756186916</v>
          </cell>
          <cell r="BB431">
            <v>0.65822348963489097</v>
          </cell>
          <cell r="BC431">
            <v>0.52657879170791277</v>
          </cell>
        </row>
        <row r="432">
          <cell r="I432" t="str">
            <v>KPIGOS2SC2MEF</v>
          </cell>
          <cell r="J432" t="str">
            <v>U1104002</v>
          </cell>
          <cell r="K432" t="str">
            <v>SC OS2 PIGTAIL 2 METERS ECO FRIENDLY BAG</v>
          </cell>
          <cell r="L432" t="str">
            <v>SC OS2 PIGTAIL 2 MÈTRES SAC ÉCOLOGIQUE</v>
          </cell>
          <cell r="M432"/>
          <cell r="N432" t="str">
            <v>China</v>
          </cell>
          <cell r="O432"/>
          <cell r="P432" t="str">
            <v>1 pc eco friendly bag</v>
          </cell>
          <cell r="Q432" t="str">
            <v>500 pcs</v>
          </cell>
          <cell r="R432">
            <v>10800</v>
          </cell>
          <cell r="S432" t="str">
            <v>4897108884191</v>
          </cell>
          <cell r="T432">
            <v>8544700000</v>
          </cell>
          <cell r="U432">
            <v>0</v>
          </cell>
          <cell r="V432">
            <v>30</v>
          </cell>
          <cell r="W432">
            <v>45</v>
          </cell>
          <cell r="X432">
            <v>55</v>
          </cell>
          <cell r="Y432" t="str">
            <v>T/T 60 days</v>
          </cell>
          <cell r="Z432">
            <v>0.51451538703663346</v>
          </cell>
          <cell r="AA432">
            <v>0.40417168461724445</v>
          </cell>
          <cell r="AB432">
            <v>0.1</v>
          </cell>
          <cell r="AC432">
            <v>0.1</v>
          </cell>
          <cell r="AD432">
            <v>0.2</v>
          </cell>
          <cell r="AE432" t="str">
            <v>C</v>
          </cell>
          <cell r="AF432">
            <v>0.40417168461724445</v>
          </cell>
          <cell r="AG432">
            <v>0.19999999999999996</v>
          </cell>
          <cell r="AH432">
            <v>0.39</v>
          </cell>
          <cell r="AI432">
            <v>0.40132200188857414</v>
          </cell>
          <cell r="AJ432">
            <v>0.35926371965977283</v>
          </cell>
          <cell r="AK432">
            <v>0.21999999999999997</v>
          </cell>
          <cell r="AL432">
            <v>0.11111111111111116</v>
          </cell>
          <cell r="AM432"/>
          <cell r="AN432" t="str">
            <v>OTRANS</v>
          </cell>
          <cell r="AO432"/>
          <cell r="AP432"/>
          <cell r="AQ432"/>
          <cell r="AR432">
            <v>0.06</v>
          </cell>
          <cell r="AS432">
            <v>2.4900000000000002</v>
          </cell>
          <cell r="AT432">
            <v>2.5500000000000003</v>
          </cell>
          <cell r="AU432">
            <v>0.36118980169971676</v>
          </cell>
          <cell r="AV432">
            <v>0.32333734769379557</v>
          </cell>
          <cell r="AW432"/>
          <cell r="AX432">
            <v>8544700000</v>
          </cell>
          <cell r="AZ432">
            <v>1.3472389487241483</v>
          </cell>
          <cell r="BA432">
            <v>0.80834336923448891</v>
          </cell>
          <cell r="BB432">
            <v>0.67361947436207414</v>
          </cell>
          <cell r="BC432">
            <v>0.53889557948965938</v>
          </cell>
        </row>
        <row r="433">
          <cell r="I433" t="str">
            <v>KPIGOS2LC2MEF</v>
          </cell>
          <cell r="J433" t="str">
            <v>U1104001</v>
          </cell>
          <cell r="K433" t="str">
            <v>LC OS2 PIGTAIL 2 METERS ECO FRIENDLY BAG</v>
          </cell>
          <cell r="L433" t="str">
            <v>LC OS2 PIGTAIL 2 MÈTRES SAC ÉCOLOGIQUE</v>
          </cell>
          <cell r="M433"/>
          <cell r="N433" t="str">
            <v>China</v>
          </cell>
          <cell r="O433"/>
          <cell r="P433" t="str">
            <v>1 pc eco friendly bag</v>
          </cell>
          <cell r="Q433" t="str">
            <v>500 pcs</v>
          </cell>
          <cell r="R433">
            <v>10800</v>
          </cell>
          <cell r="S433" t="str">
            <v>4897108884184</v>
          </cell>
          <cell r="T433">
            <v>8544700000</v>
          </cell>
          <cell r="U433">
            <v>0</v>
          </cell>
          <cell r="V433">
            <v>30</v>
          </cell>
          <cell r="W433">
            <v>45</v>
          </cell>
          <cell r="X433">
            <v>55</v>
          </cell>
          <cell r="Y433" t="str">
            <v>T/T 60 days</v>
          </cell>
          <cell r="Z433">
            <v>0.51451538703663346</v>
          </cell>
          <cell r="AA433">
            <v>0.40417168461724445</v>
          </cell>
          <cell r="AB433">
            <v>0.1</v>
          </cell>
          <cell r="AC433">
            <v>0.1</v>
          </cell>
          <cell r="AD433">
            <v>0.2</v>
          </cell>
          <cell r="AE433" t="str">
            <v>C</v>
          </cell>
          <cell r="AF433">
            <v>0.40417168461724445</v>
          </cell>
          <cell r="AG433">
            <v>0.19999999999999996</v>
          </cell>
          <cell r="AH433">
            <v>0.39</v>
          </cell>
          <cell r="AI433">
            <v>0.40132200188857414</v>
          </cell>
          <cell r="AJ433">
            <v>0.35926371965977283</v>
          </cell>
          <cell r="AK433">
            <v>0.21999999999999997</v>
          </cell>
          <cell r="AL433">
            <v>0.11111111111111116</v>
          </cell>
          <cell r="AM433"/>
          <cell r="AN433" t="str">
            <v>OTRANS</v>
          </cell>
          <cell r="AO433"/>
          <cell r="AP433"/>
          <cell r="AQ433"/>
          <cell r="AR433">
            <v>0.06</v>
          </cell>
          <cell r="AS433">
            <v>2.4900000000000002</v>
          </cell>
          <cell r="AT433">
            <v>2.5500000000000003</v>
          </cell>
          <cell r="AU433">
            <v>0.36118980169971676</v>
          </cell>
          <cell r="AV433">
            <v>0.32333734769379557</v>
          </cell>
          <cell r="AW433"/>
          <cell r="AX433">
            <v>8544700000</v>
          </cell>
          <cell r="AZ433">
            <v>1.3472389487241483</v>
          </cell>
          <cell r="BA433">
            <v>0.80834336923448891</v>
          </cell>
          <cell r="BB433">
            <v>0.67361947436207414</v>
          </cell>
          <cell r="BC433">
            <v>0.53889557948965938</v>
          </cell>
        </row>
        <row r="434">
          <cell r="I434" t="str">
            <v>KPIG12OM3SC2MEF</v>
          </cell>
          <cell r="J434"/>
          <cell r="K434" t="str">
            <v>12 SC OM3 PIGTAIL 2 METERS ECO FRIENDLY BAG</v>
          </cell>
          <cell r="L434" t="str">
            <v>12 SC OM3 PIGTAIL 2 MÈTRES SAC ÉCOLOGIQUE</v>
          </cell>
          <cell r="M434"/>
          <cell r="N434" t="str">
            <v>China</v>
          </cell>
          <cell r="O434"/>
          <cell r="P434" t="str">
            <v>1 pc eco friendly bag (250mm*300mm)</v>
          </cell>
          <cell r="Q434" t="str">
            <v>480 pcs</v>
          </cell>
          <cell r="R434">
            <v>480</v>
          </cell>
          <cell r="S434"/>
          <cell r="T434"/>
          <cell r="U434">
            <v>0</v>
          </cell>
          <cell r="V434">
            <v>30</v>
          </cell>
          <cell r="W434">
            <v>45</v>
          </cell>
          <cell r="X434">
            <v>55</v>
          </cell>
          <cell r="Y434" t="str">
            <v>T/T 60 days</v>
          </cell>
          <cell r="Z434">
            <v>7.1467196113088463</v>
          </cell>
          <cell r="AA434">
            <v>5.713674457034938</v>
          </cell>
          <cell r="AB434">
            <v>0.1</v>
          </cell>
          <cell r="AC434">
            <v>0.1</v>
          </cell>
          <cell r="AD434">
            <v>0.2</v>
          </cell>
          <cell r="AE434" t="str">
            <v>C</v>
          </cell>
          <cell r="AF434">
            <v>5.713674457034938</v>
          </cell>
          <cell r="AG434">
            <v>0.19999999999999996</v>
          </cell>
          <cell r="AH434">
            <v>5.67</v>
          </cell>
          <cell r="AI434">
            <v>5.5744412968209005</v>
          </cell>
          <cell r="AJ434">
            <v>5.078821739586612</v>
          </cell>
          <cell r="AK434">
            <v>0.21999999999999997</v>
          </cell>
          <cell r="AL434">
            <v>0.11111111111111105</v>
          </cell>
          <cell r="AM434"/>
          <cell r="AN434" t="str">
            <v>OTRANS</v>
          </cell>
          <cell r="AO434"/>
          <cell r="AP434"/>
          <cell r="AQ434"/>
          <cell r="AR434"/>
          <cell r="AS434">
            <v>35.42</v>
          </cell>
          <cell r="AT434">
            <v>35.42</v>
          </cell>
          <cell r="AU434">
            <v>5.0169971671388103</v>
          </cell>
          <cell r="AV434">
            <v>4.5709395656279508</v>
          </cell>
          <cell r="AW434"/>
          <cell r="AX434"/>
          <cell r="AZ434">
            <v>19.045581523449794</v>
          </cell>
          <cell r="BA434">
            <v>11.427348914069876</v>
          </cell>
          <cell r="BB434">
            <v>9.522790761724897</v>
          </cell>
          <cell r="BC434">
            <v>7.618232609379918</v>
          </cell>
        </row>
        <row r="435">
          <cell r="I435" t="str">
            <v>KPIG12OM3LC2MEF</v>
          </cell>
          <cell r="J435"/>
          <cell r="K435" t="str">
            <v>12 LC OM3 PIGTAIL 2 METERS ECO FRIENDLY BAG</v>
          </cell>
          <cell r="L435" t="str">
            <v>12 LC OM3 PIGTAIL 2 MÈTRES SAC ÉCOLOGIQUE</v>
          </cell>
          <cell r="M435"/>
          <cell r="N435" t="str">
            <v>China</v>
          </cell>
          <cell r="O435"/>
          <cell r="P435" t="str">
            <v>1 pc eco friendly bag (250mm*300mm)</v>
          </cell>
          <cell r="Q435" t="str">
            <v>480 pcs</v>
          </cell>
          <cell r="R435">
            <v>480</v>
          </cell>
          <cell r="S435"/>
          <cell r="T435"/>
          <cell r="U435">
            <v>0</v>
          </cell>
          <cell r="V435">
            <v>30</v>
          </cell>
          <cell r="W435">
            <v>45</v>
          </cell>
          <cell r="X435">
            <v>55</v>
          </cell>
          <cell r="Y435" t="str">
            <v>T/T 60 days</v>
          </cell>
          <cell r="Z435">
            <v>7.1467196113088463</v>
          </cell>
          <cell r="AA435">
            <v>5.713674457034938</v>
          </cell>
          <cell r="AB435">
            <v>0.1</v>
          </cell>
          <cell r="AC435">
            <v>0.1</v>
          </cell>
          <cell r="AD435">
            <v>0.2</v>
          </cell>
          <cell r="AE435" t="str">
            <v>C</v>
          </cell>
          <cell r="AF435">
            <v>5.713674457034938</v>
          </cell>
          <cell r="AG435">
            <v>0.19999999999999996</v>
          </cell>
          <cell r="AH435">
            <v>5.67</v>
          </cell>
          <cell r="AI435">
            <v>5.5744412968209005</v>
          </cell>
          <cell r="AJ435">
            <v>5.078821739586612</v>
          </cell>
          <cell r="AK435">
            <v>0.21999999999999997</v>
          </cell>
          <cell r="AL435">
            <v>0.11111111111111105</v>
          </cell>
          <cell r="AM435"/>
          <cell r="AN435" t="str">
            <v>OTRANS</v>
          </cell>
          <cell r="AO435"/>
          <cell r="AP435"/>
          <cell r="AQ435"/>
          <cell r="AR435"/>
          <cell r="AS435">
            <v>35.42</v>
          </cell>
          <cell r="AT435">
            <v>35.42</v>
          </cell>
          <cell r="AU435">
            <v>5.0169971671388103</v>
          </cell>
          <cell r="AV435">
            <v>4.5709395656279508</v>
          </cell>
          <cell r="AW435"/>
          <cell r="AX435"/>
          <cell r="AZ435">
            <v>19.045581523449794</v>
          </cell>
          <cell r="BA435">
            <v>11.427348914069876</v>
          </cell>
          <cell r="BB435">
            <v>9.522790761724897</v>
          </cell>
          <cell r="BC435">
            <v>7.618232609379918</v>
          </cell>
        </row>
        <row r="436">
          <cell r="I436" t="str">
            <v>KPIG12OM4SC2MEF</v>
          </cell>
          <cell r="J436"/>
          <cell r="K436" t="str">
            <v>12 SC OM4 PIGTAIL 2 METERS ECO FRIENDLY BAG</v>
          </cell>
          <cell r="L436" t="str">
            <v>12 SC OM4 PIGTAIL 2 MÈTRES SAC ÉCOLOGIQUE</v>
          </cell>
          <cell r="M436"/>
          <cell r="N436" t="str">
            <v>China</v>
          </cell>
          <cell r="O436"/>
          <cell r="P436" t="str">
            <v>1 pc eco friendly bag (250mm*300mm)</v>
          </cell>
          <cell r="Q436" t="str">
            <v>480 pcs</v>
          </cell>
          <cell r="R436">
            <v>480</v>
          </cell>
          <cell r="S436"/>
          <cell r="T436"/>
          <cell r="U436">
            <v>0</v>
          </cell>
          <cell r="V436">
            <v>30</v>
          </cell>
          <cell r="W436">
            <v>45</v>
          </cell>
          <cell r="X436">
            <v>55</v>
          </cell>
          <cell r="Y436" t="str">
            <v>T/T 60 days</v>
          </cell>
          <cell r="Z436">
            <v>8.5227960582068238</v>
          </cell>
          <cell r="AA436">
            <v>6.7636806154288305</v>
          </cell>
          <cell r="AB436">
            <v>0.1</v>
          </cell>
          <cell r="AC436">
            <v>0.1</v>
          </cell>
          <cell r="AD436">
            <v>0.2</v>
          </cell>
          <cell r="AE436" t="str">
            <v>C</v>
          </cell>
          <cell r="AF436">
            <v>6.7636806154288305</v>
          </cell>
          <cell r="AG436">
            <v>0.19999999999999996</v>
          </cell>
          <cell r="AH436">
            <v>6.71</v>
          </cell>
          <cell r="AI436">
            <v>6.6477809254013227</v>
          </cell>
          <cell r="AJ436">
            <v>6.0121605470478494</v>
          </cell>
          <cell r="AK436">
            <v>0.21999999999999997</v>
          </cell>
          <cell r="AL436">
            <v>0.11111111111111105</v>
          </cell>
          <cell r="AM436"/>
          <cell r="AN436" t="str">
            <v>OTRANS</v>
          </cell>
          <cell r="AO436"/>
          <cell r="AP436"/>
          <cell r="AQ436"/>
          <cell r="AR436"/>
          <cell r="AS436">
            <v>42.24</v>
          </cell>
          <cell r="AT436">
            <v>42.24</v>
          </cell>
          <cell r="AU436">
            <v>5.9830028328611906</v>
          </cell>
          <cell r="AV436">
            <v>5.4109444923430647</v>
          </cell>
          <cell r="AW436"/>
          <cell r="AX436"/>
          <cell r="AZ436">
            <v>22.545602051429437</v>
          </cell>
          <cell r="BA436">
            <v>13.527361230857663</v>
          </cell>
          <cell r="BB436">
            <v>11.272801025714719</v>
          </cell>
          <cell r="BC436">
            <v>9.0182408205717746</v>
          </cell>
        </row>
        <row r="437">
          <cell r="I437" t="str">
            <v>KPIG12OM4LC2MEF</v>
          </cell>
          <cell r="J437"/>
          <cell r="K437" t="str">
            <v>12 LC OM4 PIGTAIL 2 METERS ECO FRIENDLY BAG</v>
          </cell>
          <cell r="L437" t="str">
            <v>12 LC OM4 PIGTAIL 2 MÈTRES SAC ÉCOLOGIQUE</v>
          </cell>
          <cell r="M437"/>
          <cell r="N437" t="str">
            <v>China</v>
          </cell>
          <cell r="O437"/>
          <cell r="P437" t="str">
            <v>1 pc eco friendly bag (250mm*300mm)</v>
          </cell>
          <cell r="Q437" t="str">
            <v>480 pcs</v>
          </cell>
          <cell r="R437">
            <v>480</v>
          </cell>
          <cell r="S437"/>
          <cell r="T437"/>
          <cell r="U437">
            <v>0</v>
          </cell>
          <cell r="V437">
            <v>30</v>
          </cell>
          <cell r="W437">
            <v>45</v>
          </cell>
          <cell r="X437">
            <v>55</v>
          </cell>
          <cell r="Y437" t="str">
            <v>T/T 60 days</v>
          </cell>
          <cell r="Z437">
            <v>8.5227960582068238</v>
          </cell>
          <cell r="AA437">
            <v>6.7636806154288305</v>
          </cell>
          <cell r="AB437">
            <v>0.1</v>
          </cell>
          <cell r="AC437">
            <v>0.1</v>
          </cell>
          <cell r="AD437">
            <v>0.2</v>
          </cell>
          <cell r="AE437" t="str">
            <v>C</v>
          </cell>
          <cell r="AF437">
            <v>6.7636806154288305</v>
          </cell>
          <cell r="AG437">
            <v>0.19999999999999996</v>
          </cell>
          <cell r="AH437">
            <v>6.71</v>
          </cell>
          <cell r="AI437">
            <v>6.6477809254013227</v>
          </cell>
          <cell r="AJ437">
            <v>6.0121605470478494</v>
          </cell>
          <cell r="AK437">
            <v>0.21999999999999997</v>
          </cell>
          <cell r="AL437">
            <v>0.11111111111111105</v>
          </cell>
          <cell r="AM437"/>
          <cell r="AN437" t="str">
            <v>OTRANS</v>
          </cell>
          <cell r="AO437"/>
          <cell r="AP437"/>
          <cell r="AQ437"/>
          <cell r="AR437"/>
          <cell r="AS437">
            <v>42.24</v>
          </cell>
          <cell r="AT437">
            <v>42.24</v>
          </cell>
          <cell r="AU437">
            <v>5.9830028328611906</v>
          </cell>
          <cell r="AV437">
            <v>5.4109444923430647</v>
          </cell>
          <cell r="AW437"/>
          <cell r="AX437"/>
          <cell r="AZ437">
            <v>22.545602051429437</v>
          </cell>
          <cell r="BA437">
            <v>13.527361230857663</v>
          </cell>
          <cell r="BB437">
            <v>11.272801025714719</v>
          </cell>
          <cell r="BC437">
            <v>9.0182408205717746</v>
          </cell>
        </row>
        <row r="438">
          <cell r="I438" t="str">
            <v>KPIG12OM5SC2MEF</v>
          </cell>
          <cell r="J438"/>
          <cell r="K438" t="str">
            <v>12 SC OM5 PIGTAIL 2 METERS ECO FRIENDLY BAG</v>
          </cell>
          <cell r="L438" t="str">
            <v>12 SC OM5 PIGTAIL 2 MÈTRES SAC ÉCOLOGIQUE</v>
          </cell>
          <cell r="M438"/>
          <cell r="N438" t="str">
            <v>China</v>
          </cell>
          <cell r="O438"/>
          <cell r="P438" t="str">
            <v>1 pc eco friendly bag (250mm*300mm)</v>
          </cell>
          <cell r="Q438" t="str">
            <v>480 pcs</v>
          </cell>
          <cell r="R438">
            <v>480</v>
          </cell>
          <cell r="S438"/>
          <cell r="T438"/>
          <cell r="U438">
            <v>0</v>
          </cell>
          <cell r="V438">
            <v>30</v>
          </cell>
          <cell r="W438">
            <v>45</v>
          </cell>
          <cell r="X438">
            <v>55</v>
          </cell>
          <cell r="Y438" t="str">
            <v>T/T 60 days</v>
          </cell>
          <cell r="Z438">
            <v>11.615941502627056</v>
          </cell>
          <cell r="AA438">
            <v>9.1238850741060062</v>
          </cell>
          <cell r="AB438">
            <v>0.1</v>
          </cell>
          <cell r="AC438">
            <v>0.1</v>
          </cell>
          <cell r="AD438">
            <v>0.2</v>
          </cell>
          <cell r="AE438" t="str">
            <v>C</v>
          </cell>
          <cell r="AF438">
            <v>9.1238850741060062</v>
          </cell>
          <cell r="AG438">
            <v>0.19999999999999996</v>
          </cell>
          <cell r="AH438">
            <v>9.0500000000000007</v>
          </cell>
          <cell r="AI438">
            <v>9.0604343720491034</v>
          </cell>
          <cell r="AJ438">
            <v>8.110120065872005</v>
          </cell>
          <cell r="AK438">
            <v>0.21999999999999997</v>
          </cell>
          <cell r="AL438">
            <v>0.11111111111111116</v>
          </cell>
          <cell r="AM438"/>
          <cell r="AN438" t="str">
            <v>OTRANS</v>
          </cell>
          <cell r="AO438"/>
          <cell r="AP438"/>
          <cell r="AQ438"/>
          <cell r="AR438"/>
          <cell r="AS438">
            <v>57.57</v>
          </cell>
          <cell r="AT438">
            <v>57.57</v>
          </cell>
          <cell r="AU438">
            <v>8.1543909348441925</v>
          </cell>
          <cell r="AV438">
            <v>7.299108059284805</v>
          </cell>
          <cell r="AW438"/>
          <cell r="AX438"/>
          <cell r="AZ438">
            <v>30.412950247020021</v>
          </cell>
          <cell r="BA438">
            <v>18.247770148212012</v>
          </cell>
          <cell r="BB438">
            <v>15.20647512351001</v>
          </cell>
          <cell r="BC438">
            <v>12.165180098808008</v>
          </cell>
        </row>
        <row r="439">
          <cell r="I439" t="str">
            <v>KPIG12OM5LC2MEF</v>
          </cell>
          <cell r="J439"/>
          <cell r="K439" t="str">
            <v>12 LC OM5 PIGTAIL 2 METERS ECO FRIENDLY BAG</v>
          </cell>
          <cell r="L439" t="str">
            <v>12 LC OM5 PIGTAIL 2 MÈTRES SAC ÉCOLOGIQUE</v>
          </cell>
          <cell r="M439"/>
          <cell r="N439" t="str">
            <v>China</v>
          </cell>
          <cell r="O439"/>
          <cell r="P439" t="str">
            <v>1 pc eco friendly bag (250mm*300mm)</v>
          </cell>
          <cell r="Q439" t="str">
            <v>480 pcs</v>
          </cell>
          <cell r="R439">
            <v>480</v>
          </cell>
          <cell r="S439"/>
          <cell r="T439"/>
          <cell r="U439">
            <v>0</v>
          </cell>
          <cell r="V439">
            <v>30</v>
          </cell>
          <cell r="W439">
            <v>45</v>
          </cell>
          <cell r="X439">
            <v>55</v>
          </cell>
          <cell r="Y439" t="str">
            <v>T/T 60 days</v>
          </cell>
          <cell r="Z439">
            <v>11.615941502627056</v>
          </cell>
          <cell r="AA439">
            <v>9.1238850741060062</v>
          </cell>
          <cell r="AB439">
            <v>0.1</v>
          </cell>
          <cell r="AC439">
            <v>0.1</v>
          </cell>
          <cell r="AD439">
            <v>0.2</v>
          </cell>
          <cell r="AE439" t="str">
            <v>C</v>
          </cell>
          <cell r="AF439">
            <v>9.1238850741060062</v>
          </cell>
          <cell r="AG439">
            <v>0.19999999999999996</v>
          </cell>
          <cell r="AH439">
            <v>9.0500000000000007</v>
          </cell>
          <cell r="AI439">
            <v>9.0604343720491034</v>
          </cell>
          <cell r="AJ439">
            <v>8.110120065872005</v>
          </cell>
          <cell r="AK439">
            <v>0.21999999999999997</v>
          </cell>
          <cell r="AL439">
            <v>0.11111111111111116</v>
          </cell>
          <cell r="AM439"/>
          <cell r="AN439" t="str">
            <v>OTRANS</v>
          </cell>
          <cell r="AO439"/>
          <cell r="AP439"/>
          <cell r="AQ439"/>
          <cell r="AR439"/>
          <cell r="AS439">
            <v>57.57</v>
          </cell>
          <cell r="AT439">
            <v>57.57</v>
          </cell>
          <cell r="AU439">
            <v>8.1543909348441925</v>
          </cell>
          <cell r="AV439">
            <v>7.299108059284805</v>
          </cell>
          <cell r="AW439"/>
          <cell r="AX439"/>
          <cell r="AZ439">
            <v>30.412950247020021</v>
          </cell>
          <cell r="BA439">
            <v>18.247770148212012</v>
          </cell>
          <cell r="BB439">
            <v>15.20647512351001</v>
          </cell>
          <cell r="BC439">
            <v>12.165180098808008</v>
          </cell>
        </row>
        <row r="440">
          <cell r="I440" t="str">
            <v>KPIG12OS2SC2MEF</v>
          </cell>
          <cell r="J440"/>
          <cell r="K440" t="str">
            <v>12 SC OS2 PIGTAIL 2 METERS ECO FRIENDLY BAG</v>
          </cell>
          <cell r="L440" t="str">
            <v>12 SC OS2 PIGTAIL 2 MÈTRES SAC ÉCOLOGIQUE</v>
          </cell>
          <cell r="M440"/>
          <cell r="N440" t="str">
            <v>China</v>
          </cell>
          <cell r="O440"/>
          <cell r="P440" t="str">
            <v>1 pc eco friendly bag (250mm*300mm)</v>
          </cell>
          <cell r="Q440" t="str">
            <v>480 pcs</v>
          </cell>
          <cell r="R440">
            <v>480</v>
          </cell>
          <cell r="S440"/>
          <cell r="T440"/>
          <cell r="U440">
            <v>0</v>
          </cell>
          <cell r="V440">
            <v>30</v>
          </cell>
          <cell r="W440">
            <v>45</v>
          </cell>
          <cell r="X440">
            <v>55</v>
          </cell>
          <cell r="Y440" t="str">
            <v>T/T 60 days</v>
          </cell>
          <cell r="Z440">
            <v>6.2629637700459231</v>
          </cell>
          <cell r="AA440">
            <v>5.0393303259843165</v>
          </cell>
          <cell r="AB440">
            <v>0.1</v>
          </cell>
          <cell r="AC440">
            <v>0.1</v>
          </cell>
          <cell r="AD440">
            <v>0.2</v>
          </cell>
          <cell r="AE440" t="str">
            <v>C</v>
          </cell>
          <cell r="AF440">
            <v>5.0393303259843165</v>
          </cell>
          <cell r="AG440">
            <v>0.19999999999999996</v>
          </cell>
          <cell r="AH440">
            <v>5</v>
          </cell>
          <cell r="AI440">
            <v>4.8851117406358204</v>
          </cell>
          <cell r="AJ440">
            <v>4.4794047342082814</v>
          </cell>
          <cell r="AK440">
            <v>0.21999999999999997</v>
          </cell>
          <cell r="AL440">
            <v>0.11111111111111105</v>
          </cell>
          <cell r="AM440"/>
          <cell r="AN440" t="str">
            <v>OTRANS</v>
          </cell>
          <cell r="AO440"/>
          <cell r="AP440"/>
          <cell r="AQ440"/>
          <cell r="AR440"/>
          <cell r="AS440">
            <v>31.04</v>
          </cell>
          <cell r="AT440">
            <v>31.04</v>
          </cell>
          <cell r="AU440">
            <v>4.3966005665722383</v>
          </cell>
          <cell r="AV440">
            <v>4.0314642607874536</v>
          </cell>
          <cell r="AW440"/>
          <cell r="AX440"/>
          <cell r="AZ440">
            <v>16.797767753281057</v>
          </cell>
          <cell r="BA440">
            <v>10.078660651968635</v>
          </cell>
          <cell r="BB440">
            <v>8.3988838766405287</v>
          </cell>
          <cell r="BC440">
            <v>6.7191071013124235</v>
          </cell>
        </row>
        <row r="441">
          <cell r="I441" t="str">
            <v>KPIG12OS2LC2MEF</v>
          </cell>
          <cell r="J441"/>
          <cell r="K441" t="str">
            <v>12 LC OS2 PIGTAIL 2 METERS ECO FRIENDLY BAG</v>
          </cell>
          <cell r="L441" t="str">
            <v>12 LC OS2 PIGTAIL 2 MÈTRES SAC ÉCOLOGIQUE</v>
          </cell>
          <cell r="M441"/>
          <cell r="N441" t="str">
            <v>China</v>
          </cell>
          <cell r="O441"/>
          <cell r="P441" t="str">
            <v>1 pc eco friendly bag (250mm*300mm)</v>
          </cell>
          <cell r="Q441" t="str">
            <v>480 pcs</v>
          </cell>
          <cell r="R441">
            <v>480</v>
          </cell>
          <cell r="S441"/>
          <cell r="T441"/>
          <cell r="U441">
            <v>0</v>
          </cell>
          <cell r="V441">
            <v>30</v>
          </cell>
          <cell r="W441">
            <v>45</v>
          </cell>
          <cell r="X441">
            <v>55</v>
          </cell>
          <cell r="Y441" t="str">
            <v>T/T 60 days</v>
          </cell>
          <cell r="Z441">
            <v>6.2629637700459231</v>
          </cell>
          <cell r="AA441">
            <v>5.0393303259843165</v>
          </cell>
          <cell r="AB441">
            <v>0.1</v>
          </cell>
          <cell r="AC441">
            <v>0.1</v>
          </cell>
          <cell r="AD441">
            <v>0.2</v>
          </cell>
          <cell r="AE441" t="str">
            <v>C</v>
          </cell>
          <cell r="AF441">
            <v>5.0393303259843165</v>
          </cell>
          <cell r="AG441">
            <v>0.19999999999999996</v>
          </cell>
          <cell r="AH441">
            <v>5</v>
          </cell>
          <cell r="AI441">
            <v>4.8851117406358204</v>
          </cell>
          <cell r="AJ441">
            <v>4.4794047342082814</v>
          </cell>
          <cell r="AK441">
            <v>0.21999999999999997</v>
          </cell>
          <cell r="AL441">
            <v>0.11111111111111105</v>
          </cell>
          <cell r="AM441"/>
          <cell r="AN441" t="str">
            <v>OTRANS</v>
          </cell>
          <cell r="AO441"/>
          <cell r="AP441"/>
          <cell r="AQ441"/>
          <cell r="AR441"/>
          <cell r="AS441">
            <v>31.04</v>
          </cell>
          <cell r="AT441">
            <v>31.04</v>
          </cell>
          <cell r="AU441">
            <v>4.3966005665722383</v>
          </cell>
          <cell r="AV441">
            <v>4.0314642607874536</v>
          </cell>
          <cell r="AW441"/>
          <cell r="AX441"/>
          <cell r="AZ441">
            <v>16.797767753281057</v>
          </cell>
          <cell r="BA441">
            <v>10.078660651968635</v>
          </cell>
          <cell r="BB441">
            <v>8.3988838766405287</v>
          </cell>
          <cell r="BC441">
            <v>6.7191071013124235</v>
          </cell>
        </row>
        <row r="442">
          <cell r="I442" t="str">
            <v>KSPFK1U4REF</v>
          </cell>
          <cell r="J442" t="str">
            <v>U1201008</v>
          </cell>
          <cell r="K442" t="str">
            <v>19'' CABLE MANAGEMENT WITH 4 RINGS PER ECO FRIENDLY CARTON</v>
          </cell>
          <cell r="L442" t="str">
            <v>PANNEAU DE GESTION DE CÂBLES 19'' AVEC 4 ANNEAUX PAR CARTON ÉCOLOGIQUE</v>
          </cell>
          <cell r="M442"/>
          <cell r="N442" t="str">
            <v>China</v>
          </cell>
          <cell r="O442"/>
          <cell r="P442" t="str">
            <v>1 pc eco friendly box</v>
          </cell>
          <cell r="Q442" t="str">
            <v>500 pcs</v>
          </cell>
          <cell r="R442">
            <v>400</v>
          </cell>
          <cell r="S442" t="e">
            <v>#N/A</v>
          </cell>
          <cell r="T442" t="str">
            <v>940390 1000</v>
          </cell>
          <cell r="U442">
            <v>1.7000000000000001E-2</v>
          </cell>
          <cell r="V442">
            <v>45</v>
          </cell>
          <cell r="W442">
            <v>45</v>
          </cell>
          <cell r="X442">
            <v>55</v>
          </cell>
          <cell r="Y442" t="str">
            <v>T/T 35days</v>
          </cell>
          <cell r="Z442">
            <v>2.76120506290478</v>
          </cell>
          <cell r="AA442">
            <v>2.506036896930222</v>
          </cell>
          <cell r="AB442">
            <v>0.1</v>
          </cell>
          <cell r="AC442">
            <v>0.1</v>
          </cell>
          <cell r="AD442">
            <v>0.32</v>
          </cell>
          <cell r="AE442" t="str">
            <v>C</v>
          </cell>
          <cell r="AF442">
            <v>2.506036896930222</v>
          </cell>
          <cell r="AG442">
            <v>0.32000000000000006</v>
          </cell>
          <cell r="AH442" t="e">
            <v>#N/A</v>
          </cell>
          <cell r="AI442">
            <v>1.8223953415171545</v>
          </cell>
          <cell r="AJ442">
            <v>1.8934500999028343</v>
          </cell>
          <cell r="AK442">
            <v>0.34000000000000008</v>
          </cell>
          <cell r="AL442">
            <v>0.24444444444444446</v>
          </cell>
          <cell r="AM442"/>
          <cell r="AN442" t="str">
            <v>LY</v>
          </cell>
          <cell r="AO442"/>
          <cell r="AP442"/>
          <cell r="AQ442"/>
          <cell r="AR442">
            <v>2.0699999999999998</v>
          </cell>
          <cell r="AS442">
            <v>9.5094999999999992</v>
          </cell>
          <cell r="AT442">
            <v>11.579499999999999</v>
          </cell>
          <cell r="AU442">
            <v>1.6401558073654392</v>
          </cell>
          <cell r="AV442">
            <v>1.7041050899125509</v>
          </cell>
          <cell r="AW442"/>
          <cell r="AX442"/>
          <cell r="AZ442">
            <v>8.3534563231007404</v>
          </cell>
          <cell r="BA442">
            <v>5.012073793860444</v>
          </cell>
          <cell r="BB442">
            <v>4.1767281615503702</v>
          </cell>
          <cell r="BC442">
            <v>3.3413825292402963</v>
          </cell>
        </row>
        <row r="443">
          <cell r="I443" t="str">
            <v>KSPFK1U4RCEF</v>
          </cell>
          <cell r="J443" t="str">
            <v>U1201006</v>
          </cell>
          <cell r="K443" t="str">
            <v>19'' CABLE MANAGEMENT WITH 4 RINGS WITH HOLE CUTTING AND ACCESSORIES PER ECO FRIENDLY CARTON</v>
          </cell>
          <cell r="L443" t="str">
            <v>PANNEAU DE GESTION DE CÂBLES 19'' AVEC 4 ANNEAUX AVEC TROU DECOUPE ET ACCESSOIRES PAR CARTON ÉCOLOGIQUE</v>
          </cell>
          <cell r="M443"/>
          <cell r="N443" t="str">
            <v>China</v>
          </cell>
          <cell r="O443"/>
          <cell r="P443" t="str">
            <v>1 pc eco friendly box</v>
          </cell>
          <cell r="Q443" t="str">
            <v>500 pcs</v>
          </cell>
          <cell r="R443">
            <v>400</v>
          </cell>
          <cell r="S443" t="e">
            <v>#N/A</v>
          </cell>
          <cell r="T443" t="str">
            <v>732690 9890</v>
          </cell>
          <cell r="U443">
            <v>2.7E-2</v>
          </cell>
          <cell r="V443">
            <v>45</v>
          </cell>
          <cell r="W443">
            <v>45</v>
          </cell>
          <cell r="X443">
            <v>55</v>
          </cell>
          <cell r="Y443" t="str">
            <v>T/T 35days</v>
          </cell>
          <cell r="Z443">
            <v>2.9783195505575115</v>
          </cell>
          <cell r="AA443">
            <v>2.7001957101352678</v>
          </cell>
          <cell r="AB443">
            <v>0.1</v>
          </cell>
          <cell r="AC443">
            <v>0.1</v>
          </cell>
          <cell r="AD443">
            <v>0.32</v>
          </cell>
          <cell r="AE443" t="str">
            <v>C</v>
          </cell>
          <cell r="AF443">
            <v>2.7001957101352678</v>
          </cell>
          <cell r="AG443">
            <v>0.32000000000000006</v>
          </cell>
          <cell r="AH443">
            <v>2.68</v>
          </cell>
          <cell r="AI443">
            <v>1.9656909033679573</v>
          </cell>
          <cell r="AJ443">
            <v>2.0401478698799798</v>
          </cell>
          <cell r="AK443">
            <v>0.34000000000000008</v>
          </cell>
          <cell r="AL443">
            <v>0.24444444444444458</v>
          </cell>
          <cell r="AM443"/>
          <cell r="AN443" t="str">
            <v>LY</v>
          </cell>
          <cell r="AO443"/>
          <cell r="AP443"/>
          <cell r="AQ443"/>
          <cell r="AR443">
            <v>2.0699999999999998</v>
          </cell>
          <cell r="AS443">
            <v>10.42</v>
          </cell>
          <cell r="AT443">
            <v>12.49</v>
          </cell>
          <cell r="AU443">
            <v>1.7691218130311617</v>
          </cell>
          <cell r="AV443">
            <v>1.836133082891982</v>
          </cell>
          <cell r="AW443" t="str">
            <v>Elendil</v>
          </cell>
          <cell r="AX443"/>
          <cell r="AZ443">
            <v>9.00065236711756</v>
          </cell>
          <cell r="BA443">
            <v>5.4003914202705356</v>
          </cell>
          <cell r="BB443">
            <v>4.50032618355878</v>
          </cell>
          <cell r="BC443">
            <v>3.6002609468470244</v>
          </cell>
        </row>
        <row r="444">
          <cell r="I444" t="str">
            <v>KSPFK1U4RCFEF</v>
          </cell>
          <cell r="J444" t="str">
            <v>U1201007</v>
          </cell>
          <cell r="K444" t="str">
            <v>19'' CABLE MANAGEMENT FULL METAL WITH 4 RINGS WITH HOLE CUTTING AND ACCESSORIES PER ECO FRIENDLY CARTON</v>
          </cell>
          <cell r="L444" t="str">
            <v>PANNEAU DE GESTION DE CÂBLES 19'' FULL METAL AVEC 4 ANNEAUX AVEC TROU DECOUPE ET ACCESSOIRES PAR CARTON ÉCOLOGIQUE</v>
          </cell>
          <cell r="M444"/>
          <cell r="N444" t="str">
            <v>China</v>
          </cell>
          <cell r="O444"/>
          <cell r="P444" t="str">
            <v>1 pc eco friendly box</v>
          </cell>
          <cell r="Q444" t="str">
            <v>500 pcs</v>
          </cell>
          <cell r="R444">
            <v>400</v>
          </cell>
          <cell r="S444" t="str">
            <v>4897108882814</v>
          </cell>
          <cell r="T444" t="str">
            <v>940390 1000</v>
          </cell>
          <cell r="U444">
            <v>1.7000000000000001E-2</v>
          </cell>
          <cell r="V444">
            <v>45</v>
          </cell>
          <cell r="W444">
            <v>45</v>
          </cell>
          <cell r="X444">
            <v>55</v>
          </cell>
          <cell r="Y444" t="str">
            <v>T/T 35days</v>
          </cell>
          <cell r="Z444">
            <v>3.6497444429455759</v>
          </cell>
          <cell r="AA444">
            <v>3.2071732024595678</v>
          </cell>
          <cell r="AB444">
            <v>0.1</v>
          </cell>
          <cell r="AC444">
            <v>0.1</v>
          </cell>
          <cell r="AD444">
            <v>0.35</v>
          </cell>
          <cell r="AE444" t="str">
            <v>C</v>
          </cell>
          <cell r="AF444">
            <v>3.2071732024595678</v>
          </cell>
          <cell r="AG444">
            <v>0.35</v>
          </cell>
          <cell r="AH444">
            <v>3.18</v>
          </cell>
          <cell r="AI444">
            <v>2.2993389990557129</v>
          </cell>
          <cell r="AJ444">
            <v>2.3162917573319102</v>
          </cell>
          <cell r="AK444">
            <v>0.37</v>
          </cell>
          <cell r="AL444">
            <v>0.27777777777777779</v>
          </cell>
          <cell r="AM444"/>
          <cell r="AN444" t="str">
            <v>LY</v>
          </cell>
          <cell r="AO444"/>
          <cell r="AP444"/>
          <cell r="AQ444"/>
          <cell r="AR444"/>
          <cell r="AS444">
            <v>14.61</v>
          </cell>
          <cell r="AT444">
            <v>14.61</v>
          </cell>
          <cell r="AU444">
            <v>2.0694050991501416</v>
          </cell>
          <cell r="AV444">
            <v>2.0846625815987192</v>
          </cell>
          <cell r="AW444" t="str">
            <v>Koros,Xeilom, Coris</v>
          </cell>
          <cell r="AX444"/>
          <cell r="AZ444">
            <v>10.690577341531894</v>
          </cell>
          <cell r="BA444">
            <v>6.4143464049191357</v>
          </cell>
          <cell r="BB444">
            <v>5.3452886707659468</v>
          </cell>
          <cell r="BC444">
            <v>4.276230936612758</v>
          </cell>
        </row>
        <row r="445">
          <cell r="I445" t="str">
            <v>KSPFK1UHDCEF</v>
          </cell>
          <cell r="J445" t="str">
            <v>U1201011</v>
          </cell>
          <cell r="K445" t="str">
            <v>19'' CABLE MANAGEMENT HIGH DENSITY WITH HOLE CUTTING AND ACCESSORIES PER ECO FRIENDLY CARTON</v>
          </cell>
          <cell r="L445" t="str">
            <v>PANNEAU DE GESTION DE CÂBLES 19'' HAUTE DENSITÉ AVEC TROU DECOUPE ET ACCESSOIRES PAR CARTON ÉCOLOGIQUE</v>
          </cell>
          <cell r="M445"/>
          <cell r="N445" t="str">
            <v>China</v>
          </cell>
          <cell r="O445"/>
          <cell r="P445" t="str">
            <v>1 pc eco friendly box</v>
          </cell>
          <cell r="Q445" t="str">
            <v>1000 pcs</v>
          </cell>
          <cell r="R445">
            <v>360</v>
          </cell>
          <cell r="S445" t="str">
            <v>4897108882821</v>
          </cell>
          <cell r="T445" t="str">
            <v>940390 1000</v>
          </cell>
          <cell r="U445">
            <v>1.7000000000000001E-2</v>
          </cell>
          <cell r="V445">
            <v>45</v>
          </cell>
          <cell r="W445">
            <v>45</v>
          </cell>
          <cell r="X445">
            <v>55</v>
          </cell>
          <cell r="Y445" t="str">
            <v>T/T 60 days</v>
          </cell>
          <cell r="Z445">
            <v>3.7471708859810837</v>
          </cell>
          <cell r="AA445">
            <v>3.3252537310918888</v>
          </cell>
          <cell r="AB445">
            <v>0.1</v>
          </cell>
          <cell r="AC445">
            <v>0.1</v>
          </cell>
          <cell r="AD445">
            <v>0.35</v>
          </cell>
          <cell r="AE445" t="str">
            <v>C</v>
          </cell>
          <cell r="AF445">
            <v>3.3252537310918888</v>
          </cell>
          <cell r="AG445">
            <v>0.35</v>
          </cell>
          <cell r="AH445">
            <v>3.3</v>
          </cell>
          <cell r="AI445">
            <v>2.3607176581680829</v>
          </cell>
          <cell r="AJ445">
            <v>2.4015721391219196</v>
          </cell>
          <cell r="AK445">
            <v>0.37</v>
          </cell>
          <cell r="AL445">
            <v>0.27777777777777779</v>
          </cell>
          <cell r="AM445"/>
          <cell r="AN445" t="str">
            <v xml:space="preserve">OTRANS </v>
          </cell>
          <cell r="AO445"/>
          <cell r="AP445"/>
          <cell r="AQ445"/>
          <cell r="AR445"/>
          <cell r="AS445">
            <v>15</v>
          </cell>
          <cell r="AT445">
            <v>15</v>
          </cell>
          <cell r="AU445">
            <v>2.1246458923512748</v>
          </cell>
          <cell r="AV445">
            <v>2.1614149252097277</v>
          </cell>
          <cell r="AW445"/>
          <cell r="AX445">
            <v>8517622990</v>
          </cell>
          <cell r="AZ445">
            <v>11.084179103639629</v>
          </cell>
          <cell r="BA445">
            <v>6.6505074621837776</v>
          </cell>
          <cell r="BB445">
            <v>5.5420895518198146</v>
          </cell>
          <cell r="BC445">
            <v>4.4336716414558515</v>
          </cell>
        </row>
        <row r="446">
          <cell r="I446" t="str">
            <v>KSPFK1UAIHDCEF</v>
          </cell>
          <cell r="J446" t="str">
            <v>U1201010</v>
          </cell>
          <cell r="K446" t="str">
            <v>19'' CABLE MANAGEMENT HIGH DENSITY ALU WITH HOLE CUTTING AND ACCESSORIES PER ECO FRIENDLY CARTON</v>
          </cell>
          <cell r="L446" t="str">
            <v>PANNEAU DE GESTION DE CÂBLES 19'' ALU HAUTE DENSITÉ AVEC TROU DECOUPE ET ACCESSOIRES PAR CARTON ÉCOLOGIQUE</v>
          </cell>
          <cell r="M446"/>
          <cell r="N446" t="str">
            <v>China</v>
          </cell>
          <cell r="O446"/>
          <cell r="P446" t="str">
            <v>1 pc eco friendly box</v>
          </cell>
          <cell r="Q446" t="str">
            <v>1000 pcs</v>
          </cell>
          <cell r="R446">
            <v>360</v>
          </cell>
          <cell r="S446" t="e">
            <v>#N/A</v>
          </cell>
          <cell r="T446" t="str">
            <v>940390 1000</v>
          </cell>
          <cell r="U446">
            <v>1.7000000000000001E-2</v>
          </cell>
          <cell r="V446">
            <v>45</v>
          </cell>
          <cell r="W446">
            <v>45</v>
          </cell>
          <cell r="X446">
            <v>55</v>
          </cell>
          <cell r="Y446" t="str">
            <v>T/T 60 days</v>
          </cell>
          <cell r="Z446">
            <v>13.215022657893291</v>
          </cell>
          <cell r="AA446">
            <v>10.647289411878649</v>
          </cell>
          <cell r="AB446">
            <v>0.1</v>
          </cell>
          <cell r="AC446">
            <v>0.1</v>
          </cell>
          <cell r="AD446">
            <v>0.35</v>
          </cell>
          <cell r="AE446" t="str">
            <v>C</v>
          </cell>
          <cell r="AF446">
            <v>10.647289411878649</v>
          </cell>
          <cell r="AG446">
            <v>0.35</v>
          </cell>
          <cell r="AH446">
            <v>10.56</v>
          </cell>
          <cell r="AI446">
            <v>8.3254642744727736</v>
          </cell>
          <cell r="AJ446">
            <v>7.6897090196901354</v>
          </cell>
          <cell r="AK446">
            <v>0.37</v>
          </cell>
          <cell r="AL446">
            <v>0.27777777777777779</v>
          </cell>
          <cell r="AM446"/>
          <cell r="AN446" t="str">
            <v xml:space="preserve">OTRANS </v>
          </cell>
          <cell r="AO446"/>
          <cell r="AP446"/>
          <cell r="AQ446"/>
          <cell r="AR446"/>
          <cell r="AS446">
            <v>52.9</v>
          </cell>
          <cell r="AT446">
            <v>52.9</v>
          </cell>
          <cell r="AU446">
            <v>7.4929178470254962</v>
          </cell>
          <cell r="AV446">
            <v>6.9207381177211218</v>
          </cell>
          <cell r="AW446"/>
          <cell r="AX446">
            <v>8517622990</v>
          </cell>
          <cell r="AZ446">
            <v>35.490964706262169</v>
          </cell>
          <cell r="BA446">
            <v>21.294578823757302</v>
          </cell>
          <cell r="BB446">
            <v>17.745482353131084</v>
          </cell>
          <cell r="BC446">
            <v>14.196385882504869</v>
          </cell>
        </row>
        <row r="447">
          <cell r="I447" t="str">
            <v>KSBRUSHEF</v>
          </cell>
          <cell r="J447" t="str">
            <v>U1201002</v>
          </cell>
          <cell r="K447" t="str">
            <v>19'' CABLE MANAGEMENT WITH BRUSH PER ECO FRIENDLY CARTON</v>
          </cell>
          <cell r="L447" t="str">
            <v>PANNEAU DE GESTION DE CÂBLES 19'' AVEC BROSSE PAR CARTON ÉCOLOGIQUE</v>
          </cell>
          <cell r="M447"/>
          <cell r="N447" t="str">
            <v>China</v>
          </cell>
          <cell r="O447"/>
          <cell r="P447" t="str">
            <v>1 pc eco friendly box</v>
          </cell>
          <cell r="Q447" t="str">
            <v>500 pcs</v>
          </cell>
          <cell r="R447">
            <v>1600</v>
          </cell>
          <cell r="S447" t="e">
            <v>#N/A</v>
          </cell>
          <cell r="T447" t="str">
            <v>940390 1000</v>
          </cell>
          <cell r="U447">
            <v>1.7000000000000001E-2</v>
          </cell>
          <cell r="V447">
            <v>45</v>
          </cell>
          <cell r="W447">
            <v>45</v>
          </cell>
          <cell r="X447">
            <v>55</v>
          </cell>
          <cell r="Y447" t="str">
            <v>T/T 35days</v>
          </cell>
          <cell r="Z447">
            <v>3.5935368796558604</v>
          </cell>
          <cell r="AA447">
            <v>2.8748933148823026</v>
          </cell>
          <cell r="AB447">
            <v>0.1</v>
          </cell>
          <cell r="AC447">
            <v>0.1</v>
          </cell>
          <cell r="AD447">
            <v>0.32</v>
          </cell>
          <cell r="AE447" t="str">
            <v>C</v>
          </cell>
          <cell r="AF447">
            <v>2.8748933148823026</v>
          </cell>
          <cell r="AG447">
            <v>0.32000000000000006</v>
          </cell>
          <cell r="AH447" t="e">
            <v>#N/A</v>
          </cell>
          <cell r="AI447">
            <v>2.3717343405728677</v>
          </cell>
          <cell r="AJ447">
            <v>2.1721416156888509</v>
          </cell>
          <cell r="AK447">
            <v>0.34000000000000008</v>
          </cell>
          <cell r="AL447">
            <v>0.24444444444444446</v>
          </cell>
          <cell r="AM447"/>
          <cell r="AN447" t="str">
            <v>LY</v>
          </cell>
          <cell r="AO447"/>
          <cell r="AP447"/>
          <cell r="AQ447"/>
          <cell r="AR447">
            <v>1.57</v>
          </cell>
          <cell r="AS447">
            <v>13.5</v>
          </cell>
          <cell r="AT447">
            <v>15.07</v>
          </cell>
          <cell r="AU447">
            <v>2.1345609065155808</v>
          </cell>
          <cell r="AV447">
            <v>1.9549274541199657</v>
          </cell>
          <cell r="AW447"/>
          <cell r="AX447"/>
          <cell r="AZ447">
            <v>9.5829777162743426</v>
          </cell>
          <cell r="BA447">
            <v>5.7497866297646052</v>
          </cell>
          <cell r="BB447">
            <v>4.7914888581371713</v>
          </cell>
          <cell r="BC447">
            <v>3.8331910865097374</v>
          </cell>
        </row>
        <row r="448">
          <cell r="I448" t="str">
            <v>KSBRUSHCEF</v>
          </cell>
          <cell r="J448" t="str">
            <v>U1201001</v>
          </cell>
          <cell r="K448" t="str">
            <v>19'' CABLE MANAGEMENT WITH BRUSH WITH HOLE CUTTING AND ACCESSORIES PER ECO FRIENDLY CARTON</v>
          </cell>
          <cell r="L448" t="str">
            <v>PANNEAU DE GESTION DE CÂBLES 19'' AVEC BROSSE AVEC TROU DECOUPE ET ACCESSOIRES PAR CARTON ÉCOLOGIQUE</v>
          </cell>
          <cell r="M448"/>
          <cell r="N448" t="str">
            <v>China</v>
          </cell>
          <cell r="O448"/>
          <cell r="P448" t="str">
            <v>1 pc eco friendly box</v>
          </cell>
          <cell r="Q448" t="str">
            <v>500 pcs</v>
          </cell>
          <cell r="R448">
            <v>1600</v>
          </cell>
          <cell r="S448" t="str">
            <v>‘4897108881855</v>
          </cell>
          <cell r="T448" t="str">
            <v>940390 1000</v>
          </cell>
          <cell r="U448">
            <v>1.7000000000000001E-2</v>
          </cell>
          <cell r="V448">
            <v>45</v>
          </cell>
          <cell r="W448">
            <v>45</v>
          </cell>
          <cell r="X448">
            <v>55</v>
          </cell>
          <cell r="Y448" t="str">
            <v>T/T 35days</v>
          </cell>
          <cell r="Z448">
            <v>3.6984576644633314</v>
          </cell>
          <cell r="AA448">
            <v>2.9560020586631017</v>
          </cell>
          <cell r="AB448">
            <v>0.1</v>
          </cell>
          <cell r="AC448">
            <v>0.1</v>
          </cell>
          <cell r="AD448">
            <v>0.3</v>
          </cell>
          <cell r="AE448" t="str">
            <v>C</v>
          </cell>
          <cell r="AF448">
            <v>2.9560020586631017</v>
          </cell>
          <cell r="AG448">
            <v>0.30000000000000004</v>
          </cell>
          <cell r="AH448">
            <v>2.93</v>
          </cell>
          <cell r="AI448">
            <v>2.514951211835065</v>
          </cell>
          <cell r="AJ448">
            <v>2.2991127122935233</v>
          </cell>
          <cell r="AK448">
            <v>0.32000000000000006</v>
          </cell>
          <cell r="AL448">
            <v>0.22222222222222232</v>
          </cell>
          <cell r="AM448"/>
          <cell r="AN448" t="str">
            <v>LY</v>
          </cell>
          <cell r="AO448"/>
          <cell r="AP448"/>
          <cell r="AQ448"/>
          <cell r="AR448">
            <v>1.57</v>
          </cell>
          <cell r="AS448">
            <v>14.41</v>
          </cell>
          <cell r="AT448">
            <v>15.98</v>
          </cell>
          <cell r="AU448">
            <v>2.2634560906515584</v>
          </cell>
          <cell r="AV448">
            <v>2.069201441064171</v>
          </cell>
          <cell r="AW448"/>
          <cell r="AX448"/>
          <cell r="AZ448">
            <v>9.853340195543673</v>
          </cell>
          <cell r="BA448">
            <v>5.9120041173262035</v>
          </cell>
          <cell r="BB448">
            <v>4.9266700977718365</v>
          </cell>
          <cell r="BC448">
            <v>3.9413360782174696</v>
          </cell>
        </row>
        <row r="449">
          <cell r="I449" t="str">
            <v>KSFS1U250</v>
          </cell>
          <cell r="J449" t="str">
            <v>U1201003</v>
          </cell>
          <cell r="K449" t="str">
            <v>19" FIXED SHELVE 1U DEPTH 250 MM PER BOX</v>
          </cell>
          <cell r="L449" t="str">
            <v>ÉTAGÈRE FIXE 19" 1U PROFONDEUR 250 MM PAR BOITE</v>
          </cell>
          <cell r="M449"/>
          <cell r="N449" t="str">
            <v>China</v>
          </cell>
          <cell r="O449"/>
          <cell r="P449" t="str">
            <v>1 pc eco friendly box</v>
          </cell>
          <cell r="Q449" t="str">
            <v>200 pcs</v>
          </cell>
          <cell r="R449">
            <v>128</v>
          </cell>
          <cell r="S449" t="str">
            <v>4897108884948</v>
          </cell>
          <cell r="T449" t="str">
            <v>853890 9900</v>
          </cell>
          <cell r="U449">
            <v>1.7000000000000001E-2</v>
          </cell>
          <cell r="V449">
            <v>45</v>
          </cell>
          <cell r="W449">
            <v>45</v>
          </cell>
          <cell r="X449">
            <v>55</v>
          </cell>
          <cell r="Y449" t="str">
            <v>T/T 60 days</v>
          </cell>
          <cell r="Z449">
            <v>7.4548978678992102</v>
          </cell>
          <cell r="AA449">
            <v>6.7974091715854863</v>
          </cell>
          <cell r="AB449">
            <v>0.1</v>
          </cell>
          <cell r="AC449">
            <v>0.1</v>
          </cell>
          <cell r="AD449">
            <v>0.22</v>
          </cell>
          <cell r="AE449" t="str">
            <v>C</v>
          </cell>
          <cell r="AF449">
            <v>6.7974091715854863</v>
          </cell>
          <cell r="AG449">
            <v>0.21999999999999997</v>
          </cell>
          <cell r="AH449">
            <v>6.75</v>
          </cell>
          <cell r="AI449">
            <v>5.6657223796034</v>
          </cell>
          <cell r="AJ449">
            <v>5.8910879487074217</v>
          </cell>
          <cell r="AK449">
            <v>0.24</v>
          </cell>
          <cell r="AL449">
            <v>0.1333333333333333</v>
          </cell>
          <cell r="AM449"/>
          <cell r="AN449" t="str">
            <v xml:space="preserve">OTRANS </v>
          </cell>
          <cell r="AO449"/>
          <cell r="AP449"/>
          <cell r="AQ449"/>
          <cell r="AR449"/>
          <cell r="AS449">
            <v>36</v>
          </cell>
          <cell r="AT449">
            <v>36</v>
          </cell>
          <cell r="AU449">
            <v>5.0991501416430598</v>
          </cell>
          <cell r="AV449">
            <v>5.3019791538366796</v>
          </cell>
          <cell r="AW449"/>
          <cell r="AX449"/>
          <cell r="AZ449">
            <v>22.65803057195162</v>
          </cell>
          <cell r="BA449">
            <v>13.594818343170973</v>
          </cell>
          <cell r="BB449">
            <v>11.32901528597581</v>
          </cell>
          <cell r="BC449">
            <v>9.0632122287806478</v>
          </cell>
        </row>
        <row r="450">
          <cell r="I450" t="str">
            <v>KSFS2U250</v>
          </cell>
          <cell r="J450" t="str">
            <v>U1201004</v>
          </cell>
          <cell r="K450" t="str">
            <v>19" FIXED SHELVE 2U DEPTH 250 MM PER BOX</v>
          </cell>
          <cell r="L450" t="str">
            <v>ÉTAGÈRE FIXE 19" 2U PROFONDEUR 250 MM PAR BOÎTE</v>
          </cell>
          <cell r="M450"/>
          <cell r="N450" t="str">
            <v>China</v>
          </cell>
          <cell r="O450"/>
          <cell r="P450" t="str">
            <v>1 pc eco friendly box</v>
          </cell>
          <cell r="Q450" t="str">
            <v>200 pcs</v>
          </cell>
          <cell r="R450">
            <v>200</v>
          </cell>
          <cell r="S450" t="str">
            <v>4897108884955</v>
          </cell>
          <cell r="T450" t="str">
            <v>853890 9900</v>
          </cell>
          <cell r="U450">
            <v>1.7000000000000001E-2</v>
          </cell>
          <cell r="V450">
            <v>45</v>
          </cell>
          <cell r="W450">
            <v>45</v>
          </cell>
          <cell r="X450">
            <v>55</v>
          </cell>
          <cell r="Y450" t="str">
            <v>T/T 60 days</v>
          </cell>
          <cell r="Z450">
            <v>8.4903003495518785</v>
          </cell>
          <cell r="AA450">
            <v>7.2418053884367479</v>
          </cell>
          <cell r="AB450">
            <v>0.1</v>
          </cell>
          <cell r="AC450">
            <v>0.1</v>
          </cell>
          <cell r="AD450">
            <v>0.22</v>
          </cell>
          <cell r="AE450" t="str">
            <v>C</v>
          </cell>
          <cell r="AF450">
            <v>7.2418053884367479</v>
          </cell>
          <cell r="AG450">
            <v>0.21999999999999997</v>
          </cell>
          <cell r="AH450">
            <v>7.19</v>
          </cell>
          <cell r="AI450">
            <v>6.4526282656594276</v>
          </cell>
          <cell r="AJ450">
            <v>6.2762313366451821</v>
          </cell>
          <cell r="AK450">
            <v>0.24</v>
          </cell>
          <cell r="AL450">
            <v>0.1333333333333333</v>
          </cell>
          <cell r="AM450"/>
          <cell r="AN450" t="str">
            <v xml:space="preserve">OTRANS </v>
          </cell>
          <cell r="AO450"/>
          <cell r="AP450"/>
          <cell r="AQ450"/>
          <cell r="AR450"/>
          <cell r="AS450">
            <v>41</v>
          </cell>
          <cell r="AT450">
            <v>41</v>
          </cell>
          <cell r="AU450">
            <v>5.807365439093485</v>
          </cell>
          <cell r="AV450">
            <v>5.6486082029806637</v>
          </cell>
          <cell r="AW450"/>
          <cell r="AX450"/>
          <cell r="AZ450">
            <v>24.139351294789162</v>
          </cell>
          <cell r="BA450">
            <v>14.483610776873496</v>
          </cell>
          <cell r="BB450">
            <v>12.069675647394581</v>
          </cell>
          <cell r="BC450">
            <v>9.6557405179156657</v>
          </cell>
        </row>
        <row r="451">
          <cell r="I451" t="str">
            <v>KSOB1UC</v>
          </cell>
          <cell r="J451" t="str">
            <v>U1201005</v>
          </cell>
          <cell r="K451" t="str">
            <v>19" BLANK MODULE WITH ONE HOLE CUT AND ACCESSORIES PER BOX</v>
          </cell>
          <cell r="L451" t="str">
            <v>OBTURATEUR 19" AVEC UN TROU DECOUPE ET ACCESSOIRES PAR BOÎTE</v>
          </cell>
          <cell r="M451"/>
          <cell r="N451" t="str">
            <v>China</v>
          </cell>
          <cell r="O451"/>
          <cell r="P451" t="str">
            <v>1 pc eco friendly box</v>
          </cell>
          <cell r="Q451" t="str">
            <v>500 pcs</v>
          </cell>
          <cell r="R451">
            <v>900</v>
          </cell>
          <cell r="S451" t="e">
            <v>#N/A</v>
          </cell>
          <cell r="T451" t="str">
            <v>940390 1000</v>
          </cell>
          <cell r="U451">
            <v>1.7000000000000001E-2</v>
          </cell>
          <cell r="V451">
            <v>45</v>
          </cell>
          <cell r="W451">
            <v>45</v>
          </cell>
          <cell r="X451">
            <v>55</v>
          </cell>
          <cell r="Y451" t="str">
            <v>T/T 35days</v>
          </cell>
          <cell r="Z451">
            <v>1.788825493090745</v>
          </cell>
          <cell r="AA451">
            <v>1.5404217759308223</v>
          </cell>
          <cell r="AB451">
            <v>0.1</v>
          </cell>
          <cell r="AC451">
            <v>0.1</v>
          </cell>
          <cell r="AD451">
            <v>0.27</v>
          </cell>
          <cell r="AE451" t="str">
            <v>C</v>
          </cell>
          <cell r="AF451">
            <v>1.5404217759308223</v>
          </cell>
          <cell r="AG451">
            <v>0.27</v>
          </cell>
          <cell r="AH451">
            <v>1.53</v>
          </cell>
          <cell r="AI451">
            <v>1.2700661000944289</v>
          </cell>
          <cell r="AJ451">
            <v>1.2494532182550004</v>
          </cell>
          <cell r="AK451">
            <v>0.29000000000000004</v>
          </cell>
          <cell r="AL451">
            <v>0.18888888888888877</v>
          </cell>
          <cell r="AM451"/>
          <cell r="AN451" t="str">
            <v xml:space="preserve">LY </v>
          </cell>
          <cell r="AO451"/>
          <cell r="AP451"/>
          <cell r="AQ451"/>
          <cell r="AR451">
            <v>1.57</v>
          </cell>
          <cell r="AS451">
            <v>6.5</v>
          </cell>
          <cell r="AT451">
            <v>8.07</v>
          </cell>
          <cell r="AU451">
            <v>1.143059490084986</v>
          </cell>
          <cell r="AV451">
            <v>1.1245078964295003</v>
          </cell>
          <cell r="AW451"/>
          <cell r="AX451"/>
          <cell r="AZ451">
            <v>5.1347392531027412</v>
          </cell>
          <cell r="BA451">
            <v>3.0808435518616446</v>
          </cell>
          <cell r="BB451">
            <v>2.5673696265513706</v>
          </cell>
          <cell r="BC451">
            <v>2.0538957012410965</v>
          </cell>
        </row>
        <row r="452">
          <cell r="I452" t="str">
            <v>KSPFK1U5RCFEF</v>
          </cell>
          <cell r="J452" t="str">
            <v>U1201009</v>
          </cell>
          <cell r="K452" t="str">
            <v>19'' CABLE MANAGEMENT FULL METAL WITH 5 RINGS WITH HOLE CUTTING AND ACCESSORIES PER ECO FRIENDLY CARTON</v>
          </cell>
          <cell r="L452" t="str">
            <v>PANNEAU DE GESTION DE CÂBLES 19'' FULL METAL AVEC 5 ANNEAUX AVEC TROU DECOUPE ET ACCESSOIRES PAR CARTON ÉCOLOGIQUE</v>
          </cell>
          <cell r="M452"/>
          <cell r="N452" t="str">
            <v>China</v>
          </cell>
          <cell r="O452"/>
          <cell r="P452" t="str">
            <v>1 pc eco friendly box</v>
          </cell>
          <cell r="Q452" t="str">
            <v>500 pcs</v>
          </cell>
          <cell r="R452">
            <v>400</v>
          </cell>
          <cell r="S452" t="e">
            <v>#N/A</v>
          </cell>
          <cell r="T452" t="str">
            <v>940390 1000</v>
          </cell>
          <cell r="U452">
            <v>1.7000000000000001E-2</v>
          </cell>
          <cell r="V452">
            <v>45</v>
          </cell>
          <cell r="W452">
            <v>45</v>
          </cell>
          <cell r="X452">
            <v>55</v>
          </cell>
          <cell r="Y452" t="str">
            <v>T/T 35days</v>
          </cell>
          <cell r="Z452">
            <v>3.7172990730026996</v>
          </cell>
          <cell r="AA452">
            <v>3.227268946340986</v>
          </cell>
          <cell r="AB452">
            <v>0.1</v>
          </cell>
          <cell r="AC452">
            <v>0.1</v>
          </cell>
          <cell r="AD452">
            <v>0.27</v>
          </cell>
          <cell r="AE452" t="str">
            <v>C</v>
          </cell>
          <cell r="AF452">
            <v>3.227268946340986</v>
          </cell>
          <cell r="AG452">
            <v>0.27</v>
          </cell>
          <cell r="AH452">
            <v>3.2</v>
          </cell>
          <cell r="AI452">
            <v>2.6392823418319167</v>
          </cell>
          <cell r="AJ452">
            <v>2.617673700921022</v>
          </cell>
          <cell r="AK452">
            <v>0.29000000000000004</v>
          </cell>
          <cell r="AL452">
            <v>0.18888888888888888</v>
          </cell>
          <cell r="AM452"/>
          <cell r="AN452" t="str">
            <v>LY</v>
          </cell>
          <cell r="AO452"/>
          <cell r="AP452"/>
          <cell r="AQ452"/>
          <cell r="AR452">
            <v>1.57</v>
          </cell>
          <cell r="AS452">
            <v>15.2</v>
          </cell>
          <cell r="AT452">
            <v>16.77</v>
          </cell>
          <cell r="AU452">
            <v>2.3753541076487252</v>
          </cell>
          <cell r="AV452">
            <v>2.3559063308289199</v>
          </cell>
          <cell r="AW452" t="str">
            <v>LY-CM-51-5P</v>
          </cell>
          <cell r="AX452"/>
          <cell r="AZ452">
            <v>10.757563154469954</v>
          </cell>
          <cell r="BA452">
            <v>6.4545378926819721</v>
          </cell>
          <cell r="BB452">
            <v>5.3787815772349772</v>
          </cell>
          <cell r="BC452">
            <v>4.3030252617879823</v>
          </cell>
        </row>
        <row r="453">
          <cell r="I453" t="str">
            <v>KPDU8PC90</v>
          </cell>
          <cell r="J453" t="str">
            <v>U1301002</v>
          </cell>
          <cell r="K453" t="str">
            <v>PDU FRENCH 19" 8 SOCKETS ALU WITH 90° FIXTURES PER BOX</v>
          </cell>
          <cell r="L453" t="str">
            <v>BLOC D'ALIMENTATION FRANÇAIS 19" 8 PRISES ALU AVEC FIXATION 90° PAR BOÎTE</v>
          </cell>
          <cell r="M453"/>
          <cell r="N453" t="str">
            <v>China</v>
          </cell>
          <cell r="O453"/>
          <cell r="P453" t="str">
            <v>1 pc eco friendly box</v>
          </cell>
          <cell r="Q453" t="str">
            <v>480 pcs</v>
          </cell>
          <cell r="R453">
            <v>240</v>
          </cell>
          <cell r="S453" t="str">
            <v>4897108882555</v>
          </cell>
          <cell r="T453">
            <v>8544422100</v>
          </cell>
          <cell r="U453">
            <v>0</v>
          </cell>
          <cell r="V453">
            <v>45</v>
          </cell>
          <cell r="W453">
            <v>45</v>
          </cell>
          <cell r="X453">
            <v>55</v>
          </cell>
          <cell r="Y453" t="str">
            <v>T/T against copy of document</v>
          </cell>
          <cell r="Z453">
            <v>11.192461663275214</v>
          </cell>
          <cell r="AA453">
            <v>9.0901127689095045</v>
          </cell>
          <cell r="AB453">
            <v>0.1</v>
          </cell>
          <cell r="AC453">
            <v>0.1</v>
          </cell>
          <cell r="AD453">
            <v>0.27</v>
          </cell>
          <cell r="AE453" t="str">
            <v>C</v>
          </cell>
          <cell r="AF453">
            <v>9.0901127689095045</v>
          </cell>
          <cell r="AG453">
            <v>0.27</v>
          </cell>
          <cell r="AH453">
            <v>9.02</v>
          </cell>
          <cell r="AI453">
            <v>7.9466477809254012</v>
          </cell>
          <cell r="AJ453">
            <v>7.3730914681154864</v>
          </cell>
          <cell r="AK453">
            <v>0.29000000000000004</v>
          </cell>
          <cell r="AL453">
            <v>0.18888888888888899</v>
          </cell>
          <cell r="AM453"/>
          <cell r="AN453" t="str">
            <v>MINGYE</v>
          </cell>
          <cell r="AO453"/>
          <cell r="AP453"/>
          <cell r="AQ453"/>
          <cell r="AR453">
            <v>3.6629999999999998</v>
          </cell>
          <cell r="AS453">
            <v>46.830000000000005</v>
          </cell>
          <cell r="AT453">
            <v>50.493000000000002</v>
          </cell>
          <cell r="AU453">
            <v>7.1519830028328615</v>
          </cell>
          <cell r="AV453">
            <v>6.635782321303938</v>
          </cell>
          <cell r="AW453"/>
          <cell r="AX453" t="str">
            <v>85366900001</v>
          </cell>
          <cell r="AZ453">
            <v>30.300375896365015</v>
          </cell>
          <cell r="BA453">
            <v>18.180225537819009</v>
          </cell>
          <cell r="BB453">
            <v>15.150187948182507</v>
          </cell>
          <cell r="BC453">
            <v>12.120150358546006</v>
          </cell>
        </row>
        <row r="454">
          <cell r="I454" t="str">
            <v>KPDU8PCSW90</v>
          </cell>
          <cell r="J454" t="str">
            <v>U1301003</v>
          </cell>
          <cell r="K454" t="str">
            <v>PDU FRENCH 19" 8 SOCKETS ALU WITH SWITCH WITH 90° FIXTURES PER BOX</v>
          </cell>
          <cell r="L454" t="str">
            <v>BLOC D'ALIMENTATION FRANÇAIS 19" 8 PRISES ALU AVEC INTERRUPTEUR AVEC FIXATION 90° PAR BOÎTE</v>
          </cell>
          <cell r="M454"/>
          <cell r="N454" t="str">
            <v>China</v>
          </cell>
          <cell r="O454"/>
          <cell r="P454" t="str">
            <v>1 pc eco friendly box</v>
          </cell>
          <cell r="Q454" t="str">
            <v>480 pcs</v>
          </cell>
          <cell r="R454">
            <v>240</v>
          </cell>
          <cell r="S454" t="str">
            <v>4897108882562</v>
          </cell>
          <cell r="T454">
            <v>8544422100</v>
          </cell>
          <cell r="U454">
            <v>0</v>
          </cell>
          <cell r="V454">
            <v>45</v>
          </cell>
          <cell r="W454">
            <v>45</v>
          </cell>
          <cell r="X454">
            <v>55</v>
          </cell>
          <cell r="Y454" t="str">
            <v>T/T against copy of document</v>
          </cell>
          <cell r="Z454">
            <v>11.352353972750574</v>
          </cell>
          <cell r="AA454">
            <v>9.2163643351443589</v>
          </cell>
          <cell r="AB454">
            <v>0.1</v>
          </cell>
          <cell r="AC454">
            <v>0.1</v>
          </cell>
          <cell r="AD454">
            <v>0.28000000000000003</v>
          </cell>
          <cell r="AE454" t="str">
            <v>C</v>
          </cell>
          <cell r="AF454">
            <v>9.2163643351443589</v>
          </cell>
          <cell r="AG454">
            <v>0.28000000000000003</v>
          </cell>
          <cell r="AH454">
            <v>9.14</v>
          </cell>
          <cell r="AI454">
            <v>7.9466477809254012</v>
          </cell>
          <cell r="AJ454">
            <v>7.3730914681154864</v>
          </cell>
          <cell r="AK454">
            <v>0.30000000000000004</v>
          </cell>
          <cell r="AL454">
            <v>0.20000000000000007</v>
          </cell>
          <cell r="AM454"/>
          <cell r="AN454" t="str">
            <v>MINGYE</v>
          </cell>
          <cell r="AO454"/>
          <cell r="AP454"/>
          <cell r="AQ454"/>
          <cell r="AR454">
            <v>1.633</v>
          </cell>
          <cell r="AS454">
            <v>48.86</v>
          </cell>
          <cell r="AT454">
            <v>50.493000000000002</v>
          </cell>
          <cell r="AU454">
            <v>7.1519830028328615</v>
          </cell>
          <cell r="AV454">
            <v>6.635782321303938</v>
          </cell>
          <cell r="AW454"/>
          <cell r="AX454" t="str">
            <v>85366900001</v>
          </cell>
          <cell r="AZ454">
            <v>30.721214450481199</v>
          </cell>
          <cell r="BA454">
            <v>18.432728670288718</v>
          </cell>
          <cell r="BB454">
            <v>15.360607225240599</v>
          </cell>
          <cell r="BC454">
            <v>12.288485780192481</v>
          </cell>
        </row>
        <row r="455">
          <cell r="I455" t="str">
            <v>KPDU6PCCB</v>
          </cell>
          <cell r="J455" t="str">
            <v>U1301001</v>
          </cell>
          <cell r="K455" t="str">
            <v>PDU FRENCH 19" 6 SOCKETS ALU WITH CIRCUIT BREAKER 16A 30MA WITH PROTECTION COVER PER BOX</v>
          </cell>
          <cell r="L455" t="str">
            <v>BLOC D'ALIMENTATION FRANÇAIS 19" 6 PRISES ALU AVEC DISJONCTEUR 16A 30MA AVEC COUVERCLE DE PROTECTION PAR BOITE</v>
          </cell>
          <cell r="M455"/>
          <cell r="N455" t="str">
            <v>China</v>
          </cell>
          <cell r="O455"/>
          <cell r="P455" t="str">
            <v>1 pc eco friendly box</v>
          </cell>
          <cell r="Q455" t="str">
            <v>480 pcs</v>
          </cell>
          <cell r="R455">
            <v>240</v>
          </cell>
          <cell r="S455" t="e">
            <v>#N/A</v>
          </cell>
          <cell r="T455" t="str">
            <v>853561 9090</v>
          </cell>
          <cell r="U455">
            <v>3.3000000000000002E-2</v>
          </cell>
          <cell r="V455">
            <v>45</v>
          </cell>
          <cell r="W455">
            <v>45</v>
          </cell>
          <cell r="X455">
            <v>55</v>
          </cell>
          <cell r="Y455" t="str">
            <v>T/T against copy of document</v>
          </cell>
          <cell r="Z455">
            <v>39.457360554850062</v>
          </cell>
          <cell r="AA455">
            <v>31.677616294425981</v>
          </cell>
          <cell r="AB455">
            <v>0.1</v>
          </cell>
          <cell r="AC455">
            <v>0.1</v>
          </cell>
          <cell r="AD455">
            <v>0.4</v>
          </cell>
          <cell r="AE455" t="str">
            <v>C</v>
          </cell>
          <cell r="AF455">
            <v>31.677616294425981</v>
          </cell>
          <cell r="AG455">
            <v>0.4</v>
          </cell>
          <cell r="AH455">
            <v>31.42</v>
          </cell>
          <cell r="AI455">
            <v>22.885269121813035</v>
          </cell>
          <cell r="AJ455">
            <v>21.118410862950654</v>
          </cell>
          <cell r="AK455">
            <v>0.42000000000000004</v>
          </cell>
          <cell r="AL455">
            <v>0.33333333333333337</v>
          </cell>
          <cell r="AM455"/>
          <cell r="AN455" t="str">
            <v>MINGYE</v>
          </cell>
          <cell r="AO455"/>
          <cell r="AP455"/>
          <cell r="AQ455"/>
          <cell r="AR455">
            <v>1.633</v>
          </cell>
          <cell r="AS455">
            <v>143.78</v>
          </cell>
          <cell r="AT455">
            <v>145.41300000000001</v>
          </cell>
          <cell r="AU455">
            <v>20.596742209631731</v>
          </cell>
          <cell r="AV455">
            <v>19.006569776655589</v>
          </cell>
          <cell r="AW455"/>
          <cell r="AX455" t="str">
            <v>85366900001</v>
          </cell>
          <cell r="AZ455">
            <v>105.59205431475327</v>
          </cell>
          <cell r="BA455">
            <v>63.355232588851962</v>
          </cell>
          <cell r="BB455">
            <v>52.796027157376635</v>
          </cell>
          <cell r="BC455">
            <v>42.236821725901308</v>
          </cell>
        </row>
        <row r="456">
          <cell r="I456" t="str">
            <v>KFO6OM3CTZHD</v>
          </cell>
          <cell r="J456" t="str">
            <v>U0803009</v>
          </cell>
          <cell r="K456" t="str">
            <v>6FO OM3 CENTRAL LOOSE TUBE LSZH UNIVERSAL Dca AQUA RAL6027</v>
          </cell>
          <cell r="L456" t="str">
            <v>6FO OM3 TUBE CENTRAL STRUCTURE LIBRE LSZH UNIVERSEL Dca AQUA RAL6027</v>
          </cell>
          <cell r="M456" t="str">
            <v>Dca</v>
          </cell>
          <cell r="N456" t="str">
            <v>China</v>
          </cell>
          <cell r="O456"/>
          <cell r="P456" t="str">
            <v>4000m drum</v>
          </cell>
          <cell r="Q456" t="str">
            <v>4KM</v>
          </cell>
          <cell r="R456">
            <v>4</v>
          </cell>
          <cell r="S456" t="e">
            <v>#N/A</v>
          </cell>
          <cell r="T456">
            <v>8544700000</v>
          </cell>
          <cell r="U456">
            <v>0</v>
          </cell>
          <cell r="V456">
            <v>30</v>
          </cell>
          <cell r="W456">
            <v>45</v>
          </cell>
          <cell r="X456">
            <v>55</v>
          </cell>
          <cell r="Y456" t="str">
            <v>T/T against copy of document</v>
          </cell>
          <cell r="Z456">
            <v>551.66244222454156</v>
          </cell>
          <cell r="AA456">
            <v>499.45758761499621</v>
          </cell>
          <cell r="AB456">
            <v>0.1</v>
          </cell>
          <cell r="AC456">
            <v>0.1</v>
          </cell>
          <cell r="AD456">
            <v>0.22</v>
          </cell>
          <cell r="AE456" t="str">
            <v>C</v>
          </cell>
          <cell r="AF456">
            <v>499.45758761499621</v>
          </cell>
          <cell r="AG456">
            <v>0.21999999999999997</v>
          </cell>
          <cell r="AH456" t="e">
            <v>#N/A</v>
          </cell>
          <cell r="AI456">
            <v>465.84828454516838</v>
          </cell>
          <cell r="AJ456">
            <v>432.86324259966335</v>
          </cell>
          <cell r="AK456">
            <v>0.15555555555555567</v>
          </cell>
          <cell r="AL456">
            <v>0.13333333333333341</v>
          </cell>
          <cell r="AM456"/>
          <cell r="AN456" t="str">
            <v>SDGI</v>
          </cell>
          <cell r="AO456"/>
          <cell r="AP456"/>
          <cell r="AQ456"/>
          <cell r="AR456"/>
          <cell r="AS456">
            <v>2960</v>
          </cell>
          <cell r="AT456">
            <v>2960</v>
          </cell>
          <cell r="AU456">
            <v>419.26345609065157</v>
          </cell>
          <cell r="AV456">
            <v>389.57691833969704</v>
          </cell>
          <cell r="AW456"/>
          <cell r="AX456">
            <v>8544700000</v>
          </cell>
          <cell r="AZ456">
            <v>1664.8586253833207</v>
          </cell>
          <cell r="BA456">
            <v>998.91517522999243</v>
          </cell>
          <cell r="BB456">
            <v>832.42931269166036</v>
          </cell>
          <cell r="BC456">
            <v>665.94345015332829</v>
          </cell>
          <cell r="BE456">
            <v>499.45758761499621</v>
          </cell>
        </row>
        <row r="457">
          <cell r="I457" t="str">
            <v>KFO8OM3CTZHD</v>
          </cell>
          <cell r="J457" t="str">
            <v>U0803015</v>
          </cell>
          <cell r="K457" t="str">
            <v>8FO OM3 CENTRAL LOOSE TUBE LSZH UNIVERSAL Dca AQUA RAL6027</v>
          </cell>
          <cell r="L457" t="str">
            <v>8FO OM3 TUBE CENTRAL STRUCTURE LIBRE LSZH UNIVERSEL Dca AQUA RAL6027</v>
          </cell>
          <cell r="M457" t="str">
            <v>Dca</v>
          </cell>
          <cell r="N457" t="str">
            <v>China</v>
          </cell>
          <cell r="O457"/>
          <cell r="P457" t="str">
            <v>4000m drum</v>
          </cell>
          <cell r="Q457" t="str">
            <v>4KM</v>
          </cell>
          <cell r="R457">
            <v>4</v>
          </cell>
          <cell r="S457" t="e">
            <v>#N/A</v>
          </cell>
          <cell r="T457">
            <v>8544700000</v>
          </cell>
          <cell r="U457">
            <v>0</v>
          </cell>
          <cell r="V457">
            <v>30</v>
          </cell>
          <cell r="W457">
            <v>45</v>
          </cell>
          <cell r="X457">
            <v>55</v>
          </cell>
          <cell r="Y457" t="str">
            <v>T/T against copy of document</v>
          </cell>
          <cell r="Z457">
            <v>681.56403757268527</v>
          </cell>
          <cell r="AA457">
            <v>609.51913997239774</v>
          </cell>
          <cell r="AB457">
            <v>0.1</v>
          </cell>
          <cell r="AC457">
            <v>0.1</v>
          </cell>
          <cell r="AD457">
            <v>0.22</v>
          </cell>
          <cell r="AE457" t="str">
            <v>C</v>
          </cell>
          <cell r="AF457">
            <v>609.51913997239774</v>
          </cell>
          <cell r="AG457">
            <v>0.21999999999999997</v>
          </cell>
          <cell r="AH457" t="e">
            <v>#N/A</v>
          </cell>
          <cell r="AI457">
            <v>575.5429650613786</v>
          </cell>
          <cell r="AJ457">
            <v>528.24992130941143</v>
          </cell>
          <cell r="AK457">
            <v>0.15555555555555567</v>
          </cell>
          <cell r="AL457">
            <v>0.13333333333333319</v>
          </cell>
          <cell r="AM457"/>
          <cell r="AN457" t="str">
            <v>SDGI</v>
          </cell>
          <cell r="AO457"/>
          <cell r="AP457"/>
          <cell r="AQ457"/>
          <cell r="AR457"/>
          <cell r="AS457">
            <v>3657</v>
          </cell>
          <cell r="AT457">
            <v>3657</v>
          </cell>
          <cell r="AU457">
            <v>517.98866855524079</v>
          </cell>
          <cell r="AV457">
            <v>475.42492917847028</v>
          </cell>
          <cell r="AW457"/>
          <cell r="AX457">
            <v>8544700000</v>
          </cell>
          <cell r="AZ457">
            <v>2031.7304665746592</v>
          </cell>
          <cell r="BA457">
            <v>1219.0382799447955</v>
          </cell>
          <cell r="BB457">
            <v>1015.8652332873296</v>
          </cell>
          <cell r="BC457">
            <v>812.69218662986373</v>
          </cell>
          <cell r="BE457">
            <v>609.51913997239774</v>
          </cell>
        </row>
        <row r="458">
          <cell r="I458" t="str">
            <v>KFO12OM3CTZHD20</v>
          </cell>
          <cell r="J458" t="str">
            <v>U0803001</v>
          </cell>
          <cell r="K458" t="str">
            <v>12FO OM3 CENTRAL LOOSE TUBE LSZH UNIVERSAL Dca AQUA RAL6027</v>
          </cell>
          <cell r="L458" t="str">
            <v>12FO OM3 TUBE CENTRAL STRUCTURE LIBRE LSZH UNIVERSEL Dca AQUA RAL6027</v>
          </cell>
          <cell r="M458" t="str">
            <v>Dca</v>
          </cell>
          <cell r="N458" t="str">
            <v>China</v>
          </cell>
          <cell r="O458"/>
          <cell r="P458" t="str">
            <v>4000m drum</v>
          </cell>
          <cell r="Q458" t="str">
            <v>4KM</v>
          </cell>
          <cell r="R458">
            <v>4</v>
          </cell>
          <cell r="S458" t="e">
            <v>#N/A</v>
          </cell>
          <cell r="T458">
            <v>8544700000</v>
          </cell>
          <cell r="U458">
            <v>0</v>
          </cell>
          <cell r="V458">
            <v>30</v>
          </cell>
          <cell r="W458">
            <v>45</v>
          </cell>
          <cell r="X458">
            <v>55</v>
          </cell>
          <cell r="Y458" t="str">
            <v>T/T against copy of document</v>
          </cell>
          <cell r="Z458">
            <v>913.03861637095565</v>
          </cell>
          <cell r="AA458">
            <v>805.64029926636169</v>
          </cell>
          <cell r="AB458">
            <v>0.1</v>
          </cell>
          <cell r="AC458">
            <v>0.1</v>
          </cell>
          <cell r="AD458">
            <v>0.22</v>
          </cell>
          <cell r="AE458" t="str">
            <v>C</v>
          </cell>
          <cell r="AF458">
            <v>805.64029926636169</v>
          </cell>
          <cell r="AG458">
            <v>0.21999999999999997</v>
          </cell>
          <cell r="AH458" t="e">
            <v>#N/A</v>
          </cell>
          <cell r="AI458">
            <v>771.01038715769596</v>
          </cell>
          <cell r="AJ458">
            <v>698.22159269751342</v>
          </cell>
          <cell r="AK458">
            <v>0.15555555555555545</v>
          </cell>
          <cell r="AL458">
            <v>0.13333333333333341</v>
          </cell>
          <cell r="AM458"/>
          <cell r="AN458" t="str">
            <v>SDGI</v>
          </cell>
          <cell r="AO458"/>
          <cell r="AP458"/>
          <cell r="AQ458"/>
          <cell r="AR458"/>
          <cell r="AS458">
            <v>4899</v>
          </cell>
          <cell r="AT458">
            <v>4899</v>
          </cell>
          <cell r="AU458">
            <v>693.90934844192634</v>
          </cell>
          <cell r="AV458">
            <v>628.39943342776212</v>
          </cell>
          <cell r="AW458"/>
          <cell r="AX458">
            <v>8544700000</v>
          </cell>
          <cell r="AZ458">
            <v>2685.4676642212057</v>
          </cell>
          <cell r="BA458">
            <v>1611.2805985327234</v>
          </cell>
          <cell r="BB458">
            <v>1342.7338321106029</v>
          </cell>
          <cell r="BC458">
            <v>1074.1870656884823</v>
          </cell>
          <cell r="BE458">
            <v>805.64029926636169</v>
          </cell>
        </row>
        <row r="459">
          <cell r="I459" t="str">
            <v>KFO24OM3CTZHD</v>
          </cell>
          <cell r="J459" t="str">
            <v>U0803005</v>
          </cell>
          <cell r="K459" t="str">
            <v>24FO OM3 CENTRAL LOOSE TUBE LSZH UNIVERSAL Dca AQUA RAL6027</v>
          </cell>
          <cell r="L459" t="str">
            <v>24FO OM3 TUBE CENTRAL STRUCTURE LIBRE LSZH UNIVERSEL Dca AQUA RAL6027</v>
          </cell>
          <cell r="M459" t="str">
            <v>Dca</v>
          </cell>
          <cell r="N459" t="str">
            <v>China</v>
          </cell>
          <cell r="O459"/>
          <cell r="P459" t="str">
            <v>4000m drum</v>
          </cell>
          <cell r="Q459" t="str">
            <v>4KM</v>
          </cell>
          <cell r="R459">
            <v>4</v>
          </cell>
          <cell r="S459" t="e">
            <v>#N/A</v>
          </cell>
          <cell r="T459">
            <v>8544700000</v>
          </cell>
          <cell r="U459">
            <v>0</v>
          </cell>
          <cell r="V459">
            <v>30</v>
          </cell>
          <cell r="W459">
            <v>45</v>
          </cell>
          <cell r="X459">
            <v>55</v>
          </cell>
          <cell r="Y459" t="str">
            <v>T/T against copy of document</v>
          </cell>
          <cell r="Z459">
            <v>1646.0414492321456</v>
          </cell>
          <cell r="AA459">
            <v>1426.6906370305805</v>
          </cell>
          <cell r="AB459">
            <v>0.1</v>
          </cell>
          <cell r="AC459">
            <v>0.1</v>
          </cell>
          <cell r="AD459">
            <v>0.22</v>
          </cell>
          <cell r="AE459" t="str">
            <v>C</v>
          </cell>
          <cell r="AF459">
            <v>1426.6906370305805</v>
          </cell>
          <cell r="AG459">
            <v>0.21999999999999997</v>
          </cell>
          <cell r="AH459" t="e">
            <v>#N/A</v>
          </cell>
          <cell r="AI459">
            <v>1389.9905571293675</v>
          </cell>
          <cell r="AJ459">
            <v>1236.4652187598365</v>
          </cell>
          <cell r="AK459">
            <v>0.15555555555555545</v>
          </cell>
          <cell r="AL459">
            <v>0.1333333333333333</v>
          </cell>
          <cell r="AM459"/>
          <cell r="AN459" t="str">
            <v>SDGI</v>
          </cell>
          <cell r="AO459"/>
          <cell r="AP459"/>
          <cell r="AQ459"/>
          <cell r="AR459"/>
          <cell r="AS459">
            <v>8832</v>
          </cell>
          <cell r="AT459">
            <v>8832</v>
          </cell>
          <cell r="AU459">
            <v>1250.9915014164308</v>
          </cell>
          <cell r="AV459">
            <v>1112.8186968838529</v>
          </cell>
          <cell r="AW459"/>
          <cell r="AX459">
            <v>8544700000</v>
          </cell>
          <cell r="AZ459">
            <v>4755.6354567686021</v>
          </cell>
          <cell r="BA459">
            <v>2853.3812740611611</v>
          </cell>
          <cell r="BB459">
            <v>2377.8177283843011</v>
          </cell>
          <cell r="BC459">
            <v>1902.254182707441</v>
          </cell>
          <cell r="BE459">
            <v>1426.6906370305805</v>
          </cell>
        </row>
        <row r="460">
          <cell r="I460" t="str">
            <v>KFO6OM3TBZHC</v>
          </cell>
          <cell r="J460" t="str">
            <v>U0807009</v>
          </cell>
          <cell r="K460" t="str">
            <v>6FO OM3 TIGHT BUFFERED LSZH UNIVERSAL Cca AQUA RAL6027</v>
          </cell>
          <cell r="L460" t="str">
            <v>6FO OM3 STRUCTURE SERRÉE LSZH UNIVERSEL Cca AQUA RAL6027</v>
          </cell>
          <cell r="M460" t="str">
            <v>Cca</v>
          </cell>
          <cell r="N460" t="str">
            <v>China</v>
          </cell>
          <cell r="O460"/>
          <cell r="P460" t="str">
            <v>4000m drum</v>
          </cell>
          <cell r="Q460" t="str">
            <v>4KM</v>
          </cell>
          <cell r="R460">
            <v>4</v>
          </cell>
          <cell r="S460" t="e">
            <v>#N/A</v>
          </cell>
          <cell r="T460">
            <v>8544700000</v>
          </cell>
          <cell r="U460">
            <v>0</v>
          </cell>
          <cell r="V460">
            <v>30</v>
          </cell>
          <cell r="W460">
            <v>45</v>
          </cell>
          <cell r="X460">
            <v>55</v>
          </cell>
          <cell r="Y460" t="str">
            <v>T/T against copy of document</v>
          </cell>
          <cell r="Z460">
            <v>616.63238775272612</v>
          </cell>
          <cell r="AA460">
            <v>555.23668760520593</v>
          </cell>
          <cell r="AB460">
            <v>0.1</v>
          </cell>
          <cell r="AC460">
            <v>0.1</v>
          </cell>
          <cell r="AD460">
            <v>0.25</v>
          </cell>
          <cell r="AE460" t="str">
            <v>C</v>
          </cell>
          <cell r="AF460">
            <v>555.23668760520593</v>
          </cell>
          <cell r="AG460">
            <v>0.25</v>
          </cell>
          <cell r="AH460">
            <v>452.14</v>
          </cell>
          <cell r="AI460">
            <v>500.15738117721122</v>
          </cell>
          <cell r="AJ460">
            <v>462.69723967100498</v>
          </cell>
          <cell r="AK460">
            <v>0.18888888888888888</v>
          </cell>
          <cell r="AL460">
            <v>0.16666666666666663</v>
          </cell>
          <cell r="AM460"/>
          <cell r="AN460" t="str">
            <v>SDGI</v>
          </cell>
          <cell r="AO460"/>
          <cell r="AP460"/>
          <cell r="AQ460"/>
          <cell r="AR460"/>
          <cell r="AS460">
            <v>3178</v>
          </cell>
          <cell r="AT460">
            <v>3178</v>
          </cell>
          <cell r="AU460">
            <v>450.14164305949009</v>
          </cell>
          <cell r="AV460">
            <v>416.42751570390448</v>
          </cell>
          <cell r="AW460"/>
          <cell r="AX460">
            <v>8544700000</v>
          </cell>
          <cell r="AZ460">
            <v>1850.7889586840199</v>
          </cell>
          <cell r="BA460">
            <v>1110.4733752104119</v>
          </cell>
          <cell r="BB460">
            <v>925.39447934200996</v>
          </cell>
          <cell r="BC460">
            <v>740.31558347360806</v>
          </cell>
          <cell r="BE460">
            <v>555.23668760520593</v>
          </cell>
        </row>
        <row r="461">
          <cell r="I461" t="str">
            <v>KFO8OM3TBZHC</v>
          </cell>
          <cell r="J461" t="str">
            <v>U0807013</v>
          </cell>
          <cell r="K461" t="str">
            <v>8FO OM3 TIGHT BUFFERED LSZH UNIVERSAL Cca AQUA RAL6027</v>
          </cell>
          <cell r="L461" t="str">
            <v>8FO OM3 STRUCTURE SERRÉE  LSZH UNIVERSEL Cca AQUA RAL6027</v>
          </cell>
          <cell r="M461" t="str">
            <v>Cca</v>
          </cell>
          <cell r="N461" t="str">
            <v>China</v>
          </cell>
          <cell r="O461"/>
          <cell r="P461" t="str">
            <v>4000m drum</v>
          </cell>
          <cell r="Q461" t="str">
            <v>4KM</v>
          </cell>
          <cell r="R461">
            <v>4</v>
          </cell>
          <cell r="S461" t="e">
            <v>#N/A</v>
          </cell>
          <cell r="T461">
            <v>8544700000</v>
          </cell>
          <cell r="U461">
            <v>0</v>
          </cell>
          <cell r="V461">
            <v>30</v>
          </cell>
          <cell r="W461">
            <v>45</v>
          </cell>
          <cell r="X461">
            <v>55</v>
          </cell>
          <cell r="Y461" t="str">
            <v>T/T against copy of document</v>
          </cell>
          <cell r="Z461">
            <v>746.6335519422563</v>
          </cell>
          <cell r="AA461">
            <v>665.26665845547495</v>
          </cell>
          <cell r="AB461">
            <v>0.1</v>
          </cell>
          <cell r="AC461">
            <v>0.1</v>
          </cell>
          <cell r="AD461">
            <v>0.25</v>
          </cell>
          <cell r="AE461" t="str">
            <v>C</v>
          </cell>
          <cell r="AF461">
            <v>665.26665845547495</v>
          </cell>
          <cell r="AG461">
            <v>0.25</v>
          </cell>
          <cell r="AH461">
            <v>529.29</v>
          </cell>
          <cell r="AI461">
            <v>605.60276990871898</v>
          </cell>
          <cell r="AJ461">
            <v>554.38888204622913</v>
          </cell>
          <cell r="AK461">
            <v>0.18888888888888888</v>
          </cell>
          <cell r="AL461">
            <v>0.16666666666666663</v>
          </cell>
          <cell r="AM461"/>
          <cell r="AN461" t="str">
            <v>SDGI</v>
          </cell>
          <cell r="AO461"/>
          <cell r="AP461"/>
          <cell r="AQ461"/>
          <cell r="AR461"/>
          <cell r="AS461">
            <v>3848</v>
          </cell>
          <cell r="AT461">
            <v>3848</v>
          </cell>
          <cell r="AU461">
            <v>545.04249291784708</v>
          </cell>
          <cell r="AV461">
            <v>498.94999384160622</v>
          </cell>
          <cell r="AW461"/>
          <cell r="AX461">
            <v>8544700000</v>
          </cell>
          <cell r="AZ461">
            <v>2217.5555281849165</v>
          </cell>
          <cell r="BA461">
            <v>1330.5333169109499</v>
          </cell>
          <cell r="BB461">
            <v>1108.7777640924583</v>
          </cell>
          <cell r="BC461">
            <v>887.0222112739666</v>
          </cell>
          <cell r="BE461">
            <v>665.26665845547495</v>
          </cell>
        </row>
        <row r="462">
          <cell r="I462" t="str">
            <v>KFO12OM3TBZHC</v>
          </cell>
          <cell r="J462" t="str">
            <v>U0807001</v>
          </cell>
          <cell r="K462" t="str">
            <v>12FO OM3 TIGHT BUFFERED LSZH UNIVERSAL Cca AQUA RAL6027</v>
          </cell>
          <cell r="L462" t="str">
            <v>12FO OM3 STRUCTURE SERRÉE  LSZH UNIVERSEL Cca AQUA RAL6027</v>
          </cell>
          <cell r="M462" t="str">
            <v>Cca</v>
          </cell>
          <cell r="N462" t="str">
            <v>China</v>
          </cell>
          <cell r="O462"/>
          <cell r="P462" t="str">
            <v>4000m drum</v>
          </cell>
          <cell r="Q462" t="str">
            <v>4KM</v>
          </cell>
          <cell r="R462">
            <v>4</v>
          </cell>
          <cell r="S462" t="e">
            <v>#N/A</v>
          </cell>
          <cell r="T462">
            <v>8544700000</v>
          </cell>
          <cell r="U462">
            <v>0</v>
          </cell>
          <cell r="V462">
            <v>30</v>
          </cell>
          <cell r="W462">
            <v>45</v>
          </cell>
          <cell r="X462">
            <v>55</v>
          </cell>
          <cell r="Y462" t="str">
            <v>T/T against copy of document</v>
          </cell>
          <cell r="Z462">
            <v>986.45659513368776</v>
          </cell>
          <cell r="AA462">
            <v>868.24732109865761</v>
          </cell>
          <cell r="AB462">
            <v>0.1</v>
          </cell>
          <cell r="AC462">
            <v>0.1</v>
          </cell>
          <cell r="AD462">
            <v>0.25</v>
          </cell>
          <cell r="AE462" t="str">
            <v>C</v>
          </cell>
          <cell r="AF462">
            <v>868.24732109865761</v>
          </cell>
          <cell r="AG462">
            <v>0.25</v>
          </cell>
          <cell r="AH462">
            <v>705</v>
          </cell>
          <cell r="AI462">
            <v>800.12590494176891</v>
          </cell>
          <cell r="AJ462">
            <v>723.53943424888132</v>
          </cell>
          <cell r="AK462">
            <v>0.18888888888888888</v>
          </cell>
          <cell r="AL462">
            <v>0.16666666666666674</v>
          </cell>
          <cell r="AM462"/>
          <cell r="AN462" t="str">
            <v>SDGI</v>
          </cell>
          <cell r="AO462"/>
          <cell r="AP462"/>
          <cell r="AQ462"/>
          <cell r="AR462"/>
          <cell r="AS462">
            <v>5084</v>
          </cell>
          <cell r="AT462">
            <v>5084</v>
          </cell>
          <cell r="AU462">
            <v>720.11331444759207</v>
          </cell>
          <cell r="AV462">
            <v>651.18549082399318</v>
          </cell>
          <cell r="AW462"/>
          <cell r="AX462">
            <v>8544700000</v>
          </cell>
          <cell r="AZ462">
            <v>2894.1577369955253</v>
          </cell>
          <cell r="BA462">
            <v>1736.4946421973152</v>
          </cell>
          <cell r="BB462">
            <v>1447.0788684977626</v>
          </cell>
          <cell r="BC462">
            <v>1157.6630947982101</v>
          </cell>
          <cell r="BE462">
            <v>868.24732109865761</v>
          </cell>
        </row>
        <row r="463">
          <cell r="I463" t="str">
            <v>KFO24OM3TBZHC</v>
          </cell>
          <cell r="J463" t="str">
            <v>U0807005</v>
          </cell>
          <cell r="K463" t="str">
            <v>24FO OM3 TIGHT BUFFERED LSZH UNIVERSAL Cca AQUA RAL6027</v>
          </cell>
          <cell r="L463" t="str">
            <v>24FO OM3 STRUCTURE SERRÉE  LSZH UNIVERSEL Cca AQUA RAL6027</v>
          </cell>
          <cell r="M463" t="str">
            <v>Cca</v>
          </cell>
          <cell r="N463" t="str">
            <v>China</v>
          </cell>
          <cell r="O463"/>
          <cell r="P463" t="str">
            <v>2000m drum</v>
          </cell>
          <cell r="Q463" t="str">
            <v>2KM</v>
          </cell>
          <cell r="R463">
            <v>4</v>
          </cell>
          <cell r="S463" t="e">
            <v>#N/A</v>
          </cell>
          <cell r="T463">
            <v>8544700000</v>
          </cell>
          <cell r="U463">
            <v>0</v>
          </cell>
          <cell r="V463">
            <v>30</v>
          </cell>
          <cell r="W463">
            <v>45</v>
          </cell>
          <cell r="X463">
            <v>55</v>
          </cell>
          <cell r="Y463" t="str">
            <v>T/T against copy of document</v>
          </cell>
          <cell r="Z463">
            <v>1874.3451433893438</v>
          </cell>
          <cell r="AA463">
            <v>1619.7355996222852</v>
          </cell>
          <cell r="AB463">
            <v>0.1</v>
          </cell>
          <cell r="AC463">
            <v>0.1</v>
          </cell>
          <cell r="AD463">
            <v>0.25</v>
          </cell>
          <cell r="AE463" t="str">
            <v>C</v>
          </cell>
          <cell r="AF463">
            <v>1619.7355996222852</v>
          </cell>
          <cell r="AG463">
            <v>0.25</v>
          </cell>
          <cell r="AH463">
            <v>1174.29</v>
          </cell>
          <cell r="AI463">
            <v>1520.3021718602456</v>
          </cell>
          <cell r="AJ463">
            <v>1349.7796663519043</v>
          </cell>
          <cell r="AK463">
            <v>0.18888888888888888</v>
          </cell>
          <cell r="AL463">
            <v>0.16666666666666674</v>
          </cell>
          <cell r="AM463"/>
          <cell r="AN463" t="str">
            <v>SDGI</v>
          </cell>
          <cell r="AO463"/>
          <cell r="AP463"/>
          <cell r="AQ463"/>
          <cell r="AR463"/>
          <cell r="AS463">
            <v>9660</v>
          </cell>
          <cell r="AT463">
            <v>9660</v>
          </cell>
          <cell r="AU463">
            <v>1368.271954674221</v>
          </cell>
          <cell r="AV463">
            <v>1214.801699716714</v>
          </cell>
          <cell r="AW463"/>
          <cell r="AX463">
            <v>8544700000</v>
          </cell>
          <cell r="AZ463">
            <v>5399.1186654076173</v>
          </cell>
          <cell r="BA463">
            <v>3239.4711992445705</v>
          </cell>
          <cell r="BB463">
            <v>2699.5593327038086</v>
          </cell>
          <cell r="BC463">
            <v>2159.6474661630468</v>
          </cell>
          <cell r="BE463">
            <v>1619.7355996222852</v>
          </cell>
        </row>
        <row r="464">
          <cell r="I464" t="str">
            <v>KFO6OM3CT</v>
          </cell>
          <cell r="J464" t="str">
            <v>U0802005</v>
          </cell>
          <cell r="K464" t="str">
            <v>6FO OM3 CENTRAL LOOSE TUBE PEHD OUTDOOR BLACK RAL 9005</v>
          </cell>
          <cell r="L464" t="str">
            <v>6FO OM3 TUBE CENTRAL STRUCTURE LIBRE PEHD EXTÉRIEUR NOIR RAL9005</v>
          </cell>
          <cell r="M464" t="str">
            <v>Fca</v>
          </cell>
          <cell r="N464" t="str">
            <v>China</v>
          </cell>
          <cell r="O464"/>
          <cell r="P464" t="str">
            <v>4000m drum</v>
          </cell>
          <cell r="Q464" t="str">
            <v>4KM</v>
          </cell>
          <cell r="R464">
            <v>4</v>
          </cell>
          <cell r="S464" t="e">
            <v>#N/A</v>
          </cell>
          <cell r="T464">
            <v>8544700000</v>
          </cell>
          <cell r="U464">
            <v>0</v>
          </cell>
          <cell r="V464">
            <v>30</v>
          </cell>
          <cell r="W464">
            <v>45</v>
          </cell>
          <cell r="X464">
            <v>55</v>
          </cell>
          <cell r="Y464" t="str">
            <v>T/T against copy of document</v>
          </cell>
          <cell r="Z464">
            <v>491.97355996222853</v>
          </cell>
          <cell r="AA464">
            <v>449.15885936947649</v>
          </cell>
          <cell r="AB464">
            <v>0.1</v>
          </cell>
          <cell r="AC464">
            <v>0.1</v>
          </cell>
          <cell r="AD464">
            <v>0.23</v>
          </cell>
          <cell r="AE464" t="str">
            <v>C</v>
          </cell>
          <cell r="AF464">
            <v>449.15885936947649</v>
          </cell>
          <cell r="AG464">
            <v>0.22999999999999998</v>
          </cell>
          <cell r="AH464">
            <v>385</v>
          </cell>
          <cell r="AI464">
            <v>409.9779666351904</v>
          </cell>
          <cell r="AJ464">
            <v>384.28035746055207</v>
          </cell>
          <cell r="AK464">
            <v>0.16666666666666674</v>
          </cell>
          <cell r="AL464">
            <v>0.14444444444444449</v>
          </cell>
          <cell r="AM464"/>
          <cell r="AN464" t="str">
            <v>SDGI</v>
          </cell>
          <cell r="AO464"/>
          <cell r="AP464"/>
          <cell r="AQ464"/>
          <cell r="AR464"/>
          <cell r="AS464">
            <v>2605</v>
          </cell>
          <cell r="AT464">
            <v>2605</v>
          </cell>
          <cell r="AU464">
            <v>368.98016997167139</v>
          </cell>
          <cell r="AV464">
            <v>345.8523217144969</v>
          </cell>
          <cell r="AW464"/>
          <cell r="AX464">
            <v>8544700000</v>
          </cell>
          <cell r="AZ464">
            <v>1497.1961978982549</v>
          </cell>
          <cell r="BA464">
            <v>898.31771873895298</v>
          </cell>
          <cell r="BB464">
            <v>748.59809894912746</v>
          </cell>
          <cell r="BC464">
            <v>598.87847915930195</v>
          </cell>
          <cell r="BE464">
            <v>449.15885936947649</v>
          </cell>
        </row>
        <row r="465">
          <cell r="I465" t="str">
            <v>KFO8OM3CT</v>
          </cell>
          <cell r="J465" t="str">
            <v>U0802007</v>
          </cell>
          <cell r="K465" t="str">
            <v>8FO OM3 CENTRAL LOOSE TUBE PEHD OUTDOOR BLACK RAL9005</v>
          </cell>
          <cell r="L465" t="str">
            <v>8FO OM3 TUBE CENTRAL STRUCTURE LIBRE PEHD EXTÉRIEUR NOIR RAL9005</v>
          </cell>
          <cell r="M465" t="str">
            <v>Fca</v>
          </cell>
          <cell r="N465" t="str">
            <v>China</v>
          </cell>
          <cell r="O465"/>
          <cell r="P465" t="str">
            <v>4000m drum</v>
          </cell>
          <cell r="Q465" t="str">
            <v>4KM</v>
          </cell>
          <cell r="R465">
            <v>4</v>
          </cell>
          <cell r="S465" t="e">
            <v>#N/A</v>
          </cell>
          <cell r="T465">
            <v>8544700000</v>
          </cell>
          <cell r="U465">
            <v>0</v>
          </cell>
          <cell r="V465">
            <v>30</v>
          </cell>
          <cell r="W465">
            <v>45</v>
          </cell>
          <cell r="X465">
            <v>55</v>
          </cell>
          <cell r="Y465" t="str">
            <v>T/T against copy of document</v>
          </cell>
          <cell r="Z465">
            <v>600.18885741265342</v>
          </cell>
          <cell r="AA465">
            <v>540.81495545961616</v>
          </cell>
          <cell r="AB465">
            <v>0.1</v>
          </cell>
          <cell r="AC465">
            <v>0.1</v>
          </cell>
          <cell r="AD465">
            <v>0.23</v>
          </cell>
          <cell r="AE465" t="str">
            <v>C</v>
          </cell>
          <cell r="AF465">
            <v>540.81495545961616</v>
          </cell>
          <cell r="AG465">
            <v>0.22999999999999998</v>
          </cell>
          <cell r="AH465">
            <v>457.86</v>
          </cell>
          <cell r="AI465">
            <v>500.15738117721122</v>
          </cell>
          <cell r="AJ465">
            <v>462.69723967100498</v>
          </cell>
          <cell r="AK465">
            <v>0.16666666666666663</v>
          </cell>
          <cell r="AL465">
            <v>0.14444444444444438</v>
          </cell>
          <cell r="AM465"/>
          <cell r="AN465" t="str">
            <v>SDGI</v>
          </cell>
          <cell r="AO465"/>
          <cell r="AP465"/>
          <cell r="AQ465"/>
          <cell r="AR465"/>
          <cell r="AS465">
            <v>3178</v>
          </cell>
          <cell r="AT465">
            <v>3178</v>
          </cell>
          <cell r="AU465">
            <v>450.14164305949009</v>
          </cell>
          <cell r="AV465">
            <v>416.42751570390448</v>
          </cell>
          <cell r="AW465"/>
          <cell r="AX465">
            <v>8544700000</v>
          </cell>
          <cell r="AZ465">
            <v>1802.7165181987207</v>
          </cell>
          <cell r="BA465">
            <v>1081.6299109192323</v>
          </cell>
          <cell r="BB465">
            <v>901.35825909936034</v>
          </cell>
          <cell r="BC465">
            <v>721.08660727948836</v>
          </cell>
          <cell r="BE465">
            <v>540.81495545961616</v>
          </cell>
        </row>
        <row r="466">
          <cell r="I466" t="str">
            <v>KFO12OM3CT</v>
          </cell>
          <cell r="J466" t="str">
            <v>U0802001</v>
          </cell>
          <cell r="K466" t="str">
            <v>12FO OM3 CENTRAL LOOSE TUBE PEHD OUTDOOR BLACK RAL9005</v>
          </cell>
          <cell r="L466" t="str">
            <v>12FO OM3 TUBE CENTRAL STRUCTURE LIBRE PEHD EXTÉRIEUR NOIR RAL9005</v>
          </cell>
          <cell r="M466" t="str">
            <v>Fca</v>
          </cell>
          <cell r="N466" t="str">
            <v>China</v>
          </cell>
          <cell r="O466"/>
          <cell r="P466" t="str">
            <v>4000m drum</v>
          </cell>
          <cell r="Q466" t="str">
            <v>4KM</v>
          </cell>
          <cell r="R466">
            <v>4</v>
          </cell>
          <cell r="S466" t="e">
            <v>#N/A</v>
          </cell>
          <cell r="T466">
            <v>8544700000</v>
          </cell>
          <cell r="U466">
            <v>0</v>
          </cell>
          <cell r="V466">
            <v>30</v>
          </cell>
          <cell r="W466">
            <v>45</v>
          </cell>
          <cell r="X466">
            <v>55</v>
          </cell>
          <cell r="Y466" t="str">
            <v>T/T against copy of document</v>
          </cell>
          <cell r="Z466">
            <v>789.2351274787535</v>
          </cell>
          <cell r="AA466">
            <v>700.93319662232091</v>
          </cell>
          <cell r="AB466">
            <v>0.1</v>
          </cell>
          <cell r="AC466">
            <v>0.1</v>
          </cell>
          <cell r="AD466">
            <v>0.23</v>
          </cell>
          <cell r="AE466" t="str">
            <v>C</v>
          </cell>
          <cell r="AF466">
            <v>700.93319662232091</v>
          </cell>
          <cell r="AG466">
            <v>0.22999999999999998</v>
          </cell>
          <cell r="AH466">
            <v>597.86</v>
          </cell>
          <cell r="AI466">
            <v>657.6959395656279</v>
          </cell>
          <cell r="AJ466">
            <v>599.6872904435412</v>
          </cell>
          <cell r="AK466">
            <v>0.16666666666666674</v>
          </cell>
          <cell r="AL466">
            <v>0.14444444444444449</v>
          </cell>
          <cell r="AM466"/>
          <cell r="AN466" t="str">
            <v>SDGI</v>
          </cell>
          <cell r="AO466"/>
          <cell r="AP466"/>
          <cell r="AQ466"/>
          <cell r="AR466"/>
          <cell r="AS466">
            <v>4179</v>
          </cell>
          <cell r="AT466">
            <v>4179</v>
          </cell>
          <cell r="AU466">
            <v>591.92634560906515</v>
          </cell>
          <cell r="AV466">
            <v>539.71856139918714</v>
          </cell>
          <cell r="AW466"/>
          <cell r="AX466">
            <v>8544700000</v>
          </cell>
          <cell r="AZ466">
            <v>2336.4439887410699</v>
          </cell>
          <cell r="BA466">
            <v>1401.8663932446418</v>
          </cell>
          <cell r="BB466">
            <v>1168.221994370535</v>
          </cell>
          <cell r="BC466">
            <v>934.57759549642799</v>
          </cell>
          <cell r="BE466">
            <v>700.93319662232091</v>
          </cell>
        </row>
        <row r="467">
          <cell r="I467" t="str">
            <v>KFO24OM3CT</v>
          </cell>
          <cell r="J467" t="str">
            <v>U0802003</v>
          </cell>
          <cell r="K467" t="str">
            <v>24FO OM3 CENTRAL LOOSE TUBE PEHD OUTDOOR BLACK RAL9005</v>
          </cell>
          <cell r="L467" t="str">
            <v>24FO OM3 TUBE CENTRAL STRUCTURE LIBRE PEHD EXTÉRIEUR NOIR RAL9005</v>
          </cell>
          <cell r="M467" t="str">
            <v>Fca</v>
          </cell>
          <cell r="N467" t="str">
            <v>China</v>
          </cell>
          <cell r="O467"/>
          <cell r="P467" t="str">
            <v>4000m drum</v>
          </cell>
          <cell r="Q467" t="str">
            <v>4KM</v>
          </cell>
          <cell r="R467">
            <v>4</v>
          </cell>
          <cell r="S467" t="e">
            <v>#N/A</v>
          </cell>
          <cell r="T467">
            <v>8544700000</v>
          </cell>
          <cell r="U467">
            <v>0</v>
          </cell>
          <cell r="V467">
            <v>30</v>
          </cell>
          <cell r="W467">
            <v>45</v>
          </cell>
          <cell r="X467">
            <v>55</v>
          </cell>
          <cell r="Y467" t="str">
            <v>T/T against copy of document</v>
          </cell>
          <cell r="Z467">
            <v>1420.0188857412656</v>
          </cell>
          <cell r="AA467">
            <v>1235.1938614409364</v>
          </cell>
          <cell r="AB467">
            <v>0.1</v>
          </cell>
          <cell r="AC467">
            <v>0.1</v>
          </cell>
          <cell r="AD467">
            <v>0.23</v>
          </cell>
          <cell r="AE467" t="str">
            <v>C</v>
          </cell>
          <cell r="AF467">
            <v>1235.1938614409364</v>
          </cell>
          <cell r="AG467">
            <v>0.22999999999999998</v>
          </cell>
          <cell r="AH467">
            <v>1013.57</v>
          </cell>
          <cell r="AI467">
            <v>1183.3490714510547</v>
          </cell>
          <cell r="AJ467">
            <v>1056.7769703439124</v>
          </cell>
          <cell r="AK467">
            <v>0.16666666666666674</v>
          </cell>
          <cell r="AL467">
            <v>0.14444444444444438</v>
          </cell>
          <cell r="AM467"/>
          <cell r="AN467" t="str">
            <v>SDGI</v>
          </cell>
          <cell r="AO467"/>
          <cell r="AP467"/>
          <cell r="AQ467"/>
          <cell r="AR467"/>
          <cell r="AS467">
            <v>7519</v>
          </cell>
          <cell r="AT467">
            <v>7519</v>
          </cell>
          <cell r="AU467">
            <v>1065.0141643059492</v>
          </cell>
          <cell r="AV467">
            <v>951.0992733095211</v>
          </cell>
          <cell r="AW467"/>
          <cell r="AX467">
            <v>8544700000</v>
          </cell>
          <cell r="AZ467">
            <v>4117.3128714697887</v>
          </cell>
          <cell r="BA467">
            <v>2470.3877228818733</v>
          </cell>
          <cell r="BB467">
            <v>2058.6564357348943</v>
          </cell>
          <cell r="BC467">
            <v>1646.9251485879156</v>
          </cell>
          <cell r="BE467">
            <v>1235.1938614409364</v>
          </cell>
        </row>
        <row r="468">
          <cell r="I468" t="str">
            <v>KFO6OM3CTA</v>
          </cell>
          <cell r="J468" t="str">
            <v>U0801005</v>
          </cell>
          <cell r="K468" t="str">
            <v>6FO OM3 CENTRAL LOOSE TUBE ARMORED PEHD OUTDOOR BLACK RAL9005</v>
          </cell>
          <cell r="L468" t="str">
            <v>6FO OM3 TUBE CENTRAL STRUCTURE LIBRE ARMÉ PEHD EXTÉRIEUR NOIR RAL9005</v>
          </cell>
          <cell r="M468" t="str">
            <v>Fca</v>
          </cell>
          <cell r="N468" t="str">
            <v>China</v>
          </cell>
          <cell r="O468"/>
          <cell r="P468" t="str">
            <v>4000m drum</v>
          </cell>
          <cell r="Q468" t="str">
            <v>4KM</v>
          </cell>
          <cell r="R468">
            <v>4</v>
          </cell>
          <cell r="S468" t="e">
            <v>#N/A</v>
          </cell>
          <cell r="T468">
            <v>8544700000</v>
          </cell>
          <cell r="U468">
            <v>0</v>
          </cell>
          <cell r="V468">
            <v>30</v>
          </cell>
          <cell r="W468">
            <v>45</v>
          </cell>
          <cell r="X468">
            <v>55</v>
          </cell>
          <cell r="Y468" t="str">
            <v>T/T against copy of document</v>
          </cell>
          <cell r="Z468">
            <v>605.28800755429654</v>
          </cell>
          <cell r="AA468">
            <v>545.1338290973714</v>
          </cell>
          <cell r="AB468">
            <v>0.1</v>
          </cell>
          <cell r="AC468">
            <v>0.1</v>
          </cell>
          <cell r="AD468">
            <v>0.23</v>
          </cell>
          <cell r="AE468" t="str">
            <v>C</v>
          </cell>
          <cell r="AF468">
            <v>545.1338290973714</v>
          </cell>
          <cell r="AG468">
            <v>0.22999999999999987</v>
          </cell>
          <cell r="AH468">
            <v>473.57</v>
          </cell>
          <cell r="AI468">
            <v>504.40667296191373</v>
          </cell>
          <cell r="AJ468">
            <v>466.39227600552891</v>
          </cell>
          <cell r="AK468">
            <v>0.16666666666666674</v>
          </cell>
          <cell r="AL468">
            <v>0.14444444444444438</v>
          </cell>
          <cell r="AM468"/>
          <cell r="AN468" t="str">
            <v>SDGI</v>
          </cell>
          <cell r="AO468"/>
          <cell r="AP468"/>
          <cell r="AQ468"/>
          <cell r="AR468"/>
          <cell r="AS468">
            <v>3205</v>
          </cell>
          <cell r="AT468">
            <v>3205</v>
          </cell>
          <cell r="AU468">
            <v>453.96600566572238</v>
          </cell>
          <cell r="AV468">
            <v>419.75304840497603</v>
          </cell>
          <cell r="AW468"/>
          <cell r="AX468">
            <v>8544700000</v>
          </cell>
          <cell r="AZ468">
            <v>1817.1127636579047</v>
          </cell>
          <cell r="BA468">
            <v>1090.2676581947428</v>
          </cell>
          <cell r="BB468">
            <v>908.55638182895234</v>
          </cell>
          <cell r="BC468">
            <v>726.84510546316187</v>
          </cell>
          <cell r="BE468">
            <v>545.1338290973714</v>
          </cell>
        </row>
        <row r="469">
          <cell r="I469" t="str">
            <v>KFO8OM3CTA</v>
          </cell>
          <cell r="J469" t="str">
            <v>U0801007</v>
          </cell>
          <cell r="K469" t="str">
            <v>8FO OM3 CENTRAL LOOSE TUBE ARMORED PEHD OUTDOOR BLACK RAL9005</v>
          </cell>
          <cell r="L469" t="str">
            <v>8FO OM3 TUBE CENTRAL STRUCTURE LIBRE ARMÉ EXTÉRIEUR NOIR RAL9005</v>
          </cell>
          <cell r="M469" t="str">
            <v>Fca</v>
          </cell>
          <cell r="N469" t="str">
            <v>China</v>
          </cell>
          <cell r="O469"/>
          <cell r="P469" t="str">
            <v>4000m drum</v>
          </cell>
          <cell r="Q469" t="str">
            <v>4KM</v>
          </cell>
          <cell r="R469">
            <v>4</v>
          </cell>
          <cell r="S469" t="e">
            <v>#N/A</v>
          </cell>
          <cell r="T469">
            <v>8544700000</v>
          </cell>
          <cell r="U469">
            <v>0</v>
          </cell>
          <cell r="V469">
            <v>30</v>
          </cell>
          <cell r="W469">
            <v>45</v>
          </cell>
          <cell r="X469">
            <v>55</v>
          </cell>
          <cell r="Y469" t="str">
            <v>T/T against copy of document</v>
          </cell>
          <cell r="Z469">
            <v>716.33616619452323</v>
          </cell>
          <cell r="AA469">
            <v>639.18929943070862</v>
          </cell>
          <cell r="AB469">
            <v>0.1</v>
          </cell>
          <cell r="AC469">
            <v>0.1</v>
          </cell>
          <cell r="AD469">
            <v>0.23</v>
          </cell>
          <cell r="AE469" t="str">
            <v>C</v>
          </cell>
          <cell r="AF469">
            <v>639.18929943070862</v>
          </cell>
          <cell r="AG469">
            <v>0.22999999999999998</v>
          </cell>
          <cell r="AH469">
            <v>542.14</v>
          </cell>
          <cell r="AI469">
            <v>596.94680516210269</v>
          </cell>
          <cell r="AJ469">
            <v>546.8619561796063</v>
          </cell>
          <cell r="AK469">
            <v>0.16666666666666663</v>
          </cell>
          <cell r="AL469">
            <v>0.14444444444444438</v>
          </cell>
          <cell r="AM469"/>
          <cell r="AN469" t="str">
            <v>SDGI</v>
          </cell>
          <cell r="AO469"/>
          <cell r="AP469"/>
          <cell r="AQ469"/>
          <cell r="AR469"/>
          <cell r="AS469">
            <v>3793</v>
          </cell>
          <cell r="AT469">
            <v>3793</v>
          </cell>
          <cell r="AU469">
            <v>537.25212464589242</v>
          </cell>
          <cell r="AV469">
            <v>492.17576056164563</v>
          </cell>
          <cell r="AW469"/>
          <cell r="AX469">
            <v>8544700000</v>
          </cell>
          <cell r="AZ469">
            <v>2130.6309981023624</v>
          </cell>
          <cell r="BA469">
            <v>1278.3785988614175</v>
          </cell>
          <cell r="BB469">
            <v>1065.3154990511812</v>
          </cell>
          <cell r="BC469">
            <v>852.25239924094501</v>
          </cell>
          <cell r="BE469">
            <v>639.18929943070862</v>
          </cell>
        </row>
        <row r="470">
          <cell r="I470" t="str">
            <v>KFO12OM3CTA</v>
          </cell>
          <cell r="J470" t="str">
            <v>U0801001</v>
          </cell>
          <cell r="K470" t="str">
            <v>12FO OM3 CENTRAL LOOSE TUBE ARMORED PEHD OUTDOOR BLACK RAL9005</v>
          </cell>
          <cell r="L470" t="str">
            <v>12FO OM3 TUBE CENTRAL STRUCTURE LIBRE ARMÉ  PEHD EXTÉRIEUR NOIR RAL9005</v>
          </cell>
          <cell r="M470" t="str">
            <v>Fca</v>
          </cell>
          <cell r="N470" t="str">
            <v>China</v>
          </cell>
          <cell r="O470"/>
          <cell r="P470" t="str">
            <v>4000m drum</v>
          </cell>
          <cell r="Q470" t="str">
            <v>4KM</v>
          </cell>
          <cell r="R470">
            <v>4</v>
          </cell>
          <cell r="S470" t="e">
            <v>#N/A</v>
          </cell>
          <cell r="T470">
            <v>8544700000</v>
          </cell>
          <cell r="U470">
            <v>0</v>
          </cell>
          <cell r="V470">
            <v>30</v>
          </cell>
          <cell r="W470">
            <v>45</v>
          </cell>
          <cell r="X470">
            <v>55</v>
          </cell>
          <cell r="Y470" t="str">
            <v>T/T against copy of document</v>
          </cell>
          <cell r="Z470">
            <v>946.17563739376783</v>
          </cell>
          <cell r="AA470">
            <v>833.85852969545556</v>
          </cell>
          <cell r="AB470">
            <v>0.1</v>
          </cell>
          <cell r="AC470">
            <v>0.1</v>
          </cell>
          <cell r="AD470">
            <v>0.23</v>
          </cell>
          <cell r="AE470" t="str">
            <v>C</v>
          </cell>
          <cell r="AF470">
            <v>833.85852969545556</v>
          </cell>
          <cell r="AG470">
            <v>0.22999999999999998</v>
          </cell>
          <cell r="AH470">
            <v>657.86</v>
          </cell>
          <cell r="AI470">
            <v>788.47969782813982</v>
          </cell>
          <cell r="AJ470">
            <v>713.41229762833427</v>
          </cell>
          <cell r="AK470">
            <v>0.16666666666666674</v>
          </cell>
          <cell r="AL470">
            <v>0.14444444444444438</v>
          </cell>
          <cell r="AM470"/>
          <cell r="AN470" t="str">
            <v>SDGI</v>
          </cell>
          <cell r="AO470"/>
          <cell r="AP470"/>
          <cell r="AQ470"/>
          <cell r="AR470"/>
          <cell r="AS470">
            <v>5010</v>
          </cell>
          <cell r="AT470">
            <v>5010</v>
          </cell>
          <cell r="AU470">
            <v>709.63172804532587</v>
          </cell>
          <cell r="AV470">
            <v>642.07106786550082</v>
          </cell>
          <cell r="AW470"/>
          <cell r="AX470">
            <v>8544700000</v>
          </cell>
          <cell r="AZ470">
            <v>2779.5284323181854</v>
          </cell>
          <cell r="BA470">
            <v>1667.7170593909111</v>
          </cell>
          <cell r="BB470">
            <v>1389.7642161590927</v>
          </cell>
          <cell r="BC470">
            <v>1111.8113729272743</v>
          </cell>
          <cell r="BE470">
            <v>833.85852969545556</v>
          </cell>
        </row>
        <row r="471">
          <cell r="I471" t="str">
            <v>KFO24OM3CTA</v>
          </cell>
          <cell r="J471" t="str">
            <v>U0801003</v>
          </cell>
          <cell r="K471" t="str">
            <v>24FO OM3 CENTRAL LOOSE TUBE ARMORED PEHD OUTDOOR BLACK RAL9005</v>
          </cell>
          <cell r="L471" t="str">
            <v>24FO OM3 TUBE CENTRAL STRUCTURE LIBRE ARMÉ  PEHD EXTÉRIEUR NOIR RAL9005</v>
          </cell>
          <cell r="M471" t="str">
            <v>Fca</v>
          </cell>
          <cell r="N471" t="str">
            <v>China</v>
          </cell>
          <cell r="O471"/>
          <cell r="P471" t="str">
            <v>4000m drum</v>
          </cell>
          <cell r="Q471" t="str">
            <v>4KM</v>
          </cell>
          <cell r="R471">
            <v>4</v>
          </cell>
          <cell r="S471" t="e">
            <v>#N/A</v>
          </cell>
          <cell r="T471">
            <v>8544700000</v>
          </cell>
          <cell r="U471">
            <v>0</v>
          </cell>
          <cell r="V471">
            <v>30</v>
          </cell>
          <cell r="W471">
            <v>45</v>
          </cell>
          <cell r="X471">
            <v>55</v>
          </cell>
          <cell r="Y471" t="str">
            <v>T/T against copy of document</v>
          </cell>
          <cell r="Z471">
            <v>1683.2861189801699</v>
          </cell>
          <cell r="AA471">
            <v>1458.1757077754123</v>
          </cell>
          <cell r="AB471">
            <v>0.1</v>
          </cell>
          <cell r="AC471">
            <v>0.1</v>
          </cell>
          <cell r="AD471">
            <v>0.23</v>
          </cell>
          <cell r="AE471" t="str">
            <v>C</v>
          </cell>
          <cell r="AF471">
            <v>1458.1757077754123</v>
          </cell>
          <cell r="AG471">
            <v>0.22999999999999998</v>
          </cell>
          <cell r="AH471">
            <v>1095</v>
          </cell>
          <cell r="AI471">
            <v>1402.738432483475</v>
          </cell>
          <cell r="AJ471">
            <v>1247.5503277634084</v>
          </cell>
          <cell r="AK471">
            <v>0.16666666666666663</v>
          </cell>
          <cell r="AL471">
            <v>0.14444444444444438</v>
          </cell>
          <cell r="AM471"/>
          <cell r="AN471" t="str">
            <v>SDGI</v>
          </cell>
          <cell r="AO471"/>
          <cell r="AP471"/>
          <cell r="AQ471"/>
          <cell r="AR471"/>
          <cell r="AS471">
            <v>8913</v>
          </cell>
          <cell r="AT471">
            <v>8913</v>
          </cell>
          <cell r="AU471">
            <v>1262.4645892351275</v>
          </cell>
          <cell r="AV471">
            <v>1122.7952949870676</v>
          </cell>
          <cell r="AW471"/>
          <cell r="AX471">
            <v>8544700000</v>
          </cell>
          <cell r="AZ471">
            <v>4860.5856925847083</v>
          </cell>
          <cell r="BA471">
            <v>2916.3514155508251</v>
          </cell>
          <cell r="BB471">
            <v>2430.2928462923542</v>
          </cell>
          <cell r="BC471">
            <v>1944.2342770338835</v>
          </cell>
          <cell r="BE471">
            <v>1458.1757077754123</v>
          </cell>
        </row>
        <row r="472">
          <cell r="I472" t="str">
            <v>KFO48OM3MTZHD</v>
          </cell>
          <cell r="J472" t="str">
            <v>U0806001</v>
          </cell>
          <cell r="K472" t="str">
            <v>48FO OM3 MULTI LOOSE TUBE LSZH UNIVERSAL Dca AQUA RAL6027</v>
          </cell>
          <cell r="L472" t="str">
            <v>48FO OM3 MULTI TUBE STRUCTURE LIBRE LSZH UNIVERSEL Dca AQUA RAL6027</v>
          </cell>
          <cell r="M472" t="str">
            <v>Dca</v>
          </cell>
          <cell r="N472" t="str">
            <v>China</v>
          </cell>
          <cell r="O472"/>
          <cell r="P472" t="str">
            <v>4000m drum</v>
          </cell>
          <cell r="Q472" t="str">
            <v>4KM</v>
          </cell>
          <cell r="R472">
            <v>4</v>
          </cell>
          <cell r="S472" t="e">
            <v>#N/A</v>
          </cell>
          <cell r="T472">
            <v>8544700000</v>
          </cell>
          <cell r="U472">
            <v>0</v>
          </cell>
          <cell r="V472">
            <v>30</v>
          </cell>
          <cell r="W472">
            <v>45</v>
          </cell>
          <cell r="X472">
            <v>55</v>
          </cell>
          <cell r="Y472" t="str">
            <v>T/T against copy of document</v>
          </cell>
          <cell r="Z472">
            <v>3464.2115203021717</v>
          </cell>
          <cell r="AA472">
            <v>2966.5823153321612</v>
          </cell>
          <cell r="AB472">
            <v>0.1</v>
          </cell>
          <cell r="AC472">
            <v>0.1</v>
          </cell>
          <cell r="AD472">
            <v>0.23</v>
          </cell>
          <cell r="AE472" t="str">
            <v>C</v>
          </cell>
          <cell r="AF472">
            <v>2966.5823153321612</v>
          </cell>
          <cell r="AG472">
            <v>0.22999999999999998</v>
          </cell>
          <cell r="AH472" t="e">
            <v>#N/A</v>
          </cell>
          <cell r="AI472">
            <v>2886.8429335851433</v>
          </cell>
          <cell r="AJ472">
            <v>2538.0759808952935</v>
          </cell>
          <cell r="AK472">
            <v>0.16666666666666663</v>
          </cell>
          <cell r="AL472">
            <v>0.14444444444444449</v>
          </cell>
          <cell r="AM472"/>
          <cell r="AN472" t="str">
            <v>SDGI</v>
          </cell>
          <cell r="AO472"/>
          <cell r="AP472"/>
          <cell r="AQ472"/>
          <cell r="AR472"/>
          <cell r="AS472">
            <v>18343</v>
          </cell>
          <cell r="AT472">
            <v>18343</v>
          </cell>
          <cell r="AU472">
            <v>2598.1586402266289</v>
          </cell>
          <cell r="AV472">
            <v>2284.2683828057643</v>
          </cell>
          <cell r="AW472"/>
          <cell r="AX472">
            <v>8544700000</v>
          </cell>
          <cell r="AZ472">
            <v>9888.6077177738716</v>
          </cell>
          <cell r="BA472">
            <v>5933.1646306643224</v>
          </cell>
          <cell r="BB472">
            <v>4944.3038588869358</v>
          </cell>
          <cell r="BC472">
            <v>3955.4430871095487</v>
          </cell>
          <cell r="BE472">
            <v>2966.5823153321612</v>
          </cell>
        </row>
        <row r="473">
          <cell r="I473" t="str">
            <v>KFO96OM3MTZHD</v>
          </cell>
          <cell r="J473" t="str">
            <v>U0806005</v>
          </cell>
          <cell r="K473" t="str">
            <v>96FO OM3 MULTI LOOSE TUBE LSZH UNIVERSAL Dca AQUA RAL6027</v>
          </cell>
          <cell r="L473" t="str">
            <v>96FO OM3 MULTI TUBE STRUCTURE LIBRE LSZH UNIVERSEL Dca AQUA RAL6027</v>
          </cell>
          <cell r="M473" t="str">
            <v>Dca</v>
          </cell>
          <cell r="N473" t="str">
            <v>China</v>
          </cell>
          <cell r="O473"/>
          <cell r="P473" t="str">
            <v>4000m drum</v>
          </cell>
          <cell r="Q473" t="str">
            <v>4KM</v>
          </cell>
          <cell r="R473">
            <v>4</v>
          </cell>
          <cell r="S473" t="e">
            <v>#N/A</v>
          </cell>
          <cell r="T473">
            <v>8544700000</v>
          </cell>
          <cell r="U473">
            <v>0</v>
          </cell>
          <cell r="V473">
            <v>30</v>
          </cell>
          <cell r="W473">
            <v>45</v>
          </cell>
          <cell r="X473">
            <v>55</v>
          </cell>
          <cell r="Y473" t="str">
            <v>T/T against copy of document</v>
          </cell>
          <cell r="Z473">
            <v>6246.4589235127487</v>
          </cell>
          <cell r="AA473">
            <v>5323.0877387177434</v>
          </cell>
          <cell r="AB473">
            <v>0.1</v>
          </cell>
          <cell r="AC473">
            <v>0.1</v>
          </cell>
          <cell r="AD473">
            <v>0.23</v>
          </cell>
          <cell r="AE473" t="str">
            <v>C</v>
          </cell>
          <cell r="AF473">
            <v>5323.0877387177434</v>
          </cell>
          <cell r="AG473">
            <v>0.22999999999999998</v>
          </cell>
          <cell r="AH473" t="e">
            <v>#N/A</v>
          </cell>
          <cell r="AI473">
            <v>5205.3824362606238</v>
          </cell>
          <cell r="AJ473">
            <v>4554.1972875696247</v>
          </cell>
          <cell r="AK473">
            <v>0.16666666666666674</v>
          </cell>
          <cell r="AL473">
            <v>0.14444444444444449</v>
          </cell>
          <cell r="AM473"/>
          <cell r="AN473" t="str">
            <v>SDGI</v>
          </cell>
          <cell r="AO473"/>
          <cell r="AP473"/>
          <cell r="AQ473"/>
          <cell r="AR473"/>
          <cell r="AS473">
            <v>33075</v>
          </cell>
          <cell r="AT473">
            <v>33075</v>
          </cell>
          <cell r="AU473">
            <v>4684.8441926345613</v>
          </cell>
          <cell r="AV473">
            <v>4098.7775588126624</v>
          </cell>
          <cell r="AW473"/>
          <cell r="AX473">
            <v>8544700000</v>
          </cell>
          <cell r="AZ473">
            <v>17743.625795725813</v>
          </cell>
          <cell r="BA473">
            <v>10646.175477435487</v>
          </cell>
          <cell r="BB473">
            <v>8871.8128978629065</v>
          </cell>
          <cell r="BC473">
            <v>7097.4503182903254</v>
          </cell>
          <cell r="BE473">
            <v>5323.0877387177434</v>
          </cell>
        </row>
        <row r="474">
          <cell r="I474" t="str">
            <v>KFO48OM3MT</v>
          </cell>
          <cell r="J474" t="str">
            <v>U0805001</v>
          </cell>
          <cell r="K474" t="str">
            <v>48FO OM3 MULTI LOOSE TUBE PEHD OUTDOOR BLACK RAL 9005</v>
          </cell>
          <cell r="L474" t="str">
            <v>48FO OM3 MULTI TUBE STRUCTURE LIBRE PEHD EXTÉRIEUR NOIR RAL9005</v>
          </cell>
          <cell r="M474" t="str">
            <v>Dca</v>
          </cell>
          <cell r="N474" t="str">
            <v>China</v>
          </cell>
          <cell r="O474"/>
          <cell r="P474" t="str">
            <v>4000m drum</v>
          </cell>
          <cell r="Q474" t="str">
            <v>4KM</v>
          </cell>
          <cell r="R474">
            <v>4</v>
          </cell>
          <cell r="S474" t="e">
            <v>#N/A</v>
          </cell>
          <cell r="T474">
            <v>8544700000</v>
          </cell>
          <cell r="U474">
            <v>0</v>
          </cell>
          <cell r="V474">
            <v>30</v>
          </cell>
          <cell r="W474">
            <v>45</v>
          </cell>
          <cell r="X474">
            <v>55</v>
          </cell>
          <cell r="Y474" t="str">
            <v>T/T against copy of document</v>
          </cell>
          <cell r="Z474">
            <v>2870.0661000944287</v>
          </cell>
          <cell r="AA474">
            <v>2463.3535573922322</v>
          </cell>
          <cell r="AB474">
            <v>0.1</v>
          </cell>
          <cell r="AC474">
            <v>0.1</v>
          </cell>
          <cell r="AD474">
            <v>0.23</v>
          </cell>
          <cell r="AE474" t="str">
            <v>C</v>
          </cell>
          <cell r="AF474">
            <v>2463.3535573922322</v>
          </cell>
          <cell r="AG474">
            <v>0.22999999999999998</v>
          </cell>
          <cell r="AH474">
            <v>2052.86</v>
          </cell>
          <cell r="AI474">
            <v>2391.7217500786905</v>
          </cell>
          <cell r="AJ474">
            <v>2107.5358213244654</v>
          </cell>
          <cell r="AK474">
            <v>0.16666666666666674</v>
          </cell>
          <cell r="AL474">
            <v>0.14444444444444449</v>
          </cell>
          <cell r="AM474"/>
          <cell r="AN474" t="str">
            <v>SDGI</v>
          </cell>
          <cell r="AO474"/>
          <cell r="AP474"/>
          <cell r="AQ474"/>
          <cell r="AR474"/>
          <cell r="AS474">
            <v>15197</v>
          </cell>
          <cell r="AT474">
            <v>15197</v>
          </cell>
          <cell r="AU474">
            <v>2152.5495750708214</v>
          </cell>
          <cell r="AV474">
            <v>1896.7822391920188</v>
          </cell>
          <cell r="AW474"/>
          <cell r="AX474">
            <v>8544700000</v>
          </cell>
          <cell r="AZ474">
            <v>8211.1785246407744</v>
          </cell>
          <cell r="BA474">
            <v>4926.7071147844645</v>
          </cell>
          <cell r="BB474">
            <v>4105.5892623203872</v>
          </cell>
          <cell r="BC474">
            <v>3284.4714098563099</v>
          </cell>
          <cell r="BE474">
            <v>2463.3535573922322</v>
          </cell>
        </row>
        <row r="475">
          <cell r="I475" t="str">
            <v>KFO96OM3MT</v>
          </cell>
          <cell r="J475" t="str">
            <v>U0805004</v>
          </cell>
          <cell r="K475" t="str">
            <v>96FO OM3 MULTI LOOSE TUBE PEHD OUTDOOR BLACK RAL 9005</v>
          </cell>
          <cell r="L475" t="str">
            <v>96FO OM3 MULTI TUBE STRUCTURE LIBRE PEHD EXTÉRIEUR NOIR RAL9005</v>
          </cell>
          <cell r="M475" t="str">
            <v>Dca</v>
          </cell>
          <cell r="N475" t="str">
            <v>China</v>
          </cell>
          <cell r="O475"/>
          <cell r="P475" t="str">
            <v>4000m drum</v>
          </cell>
          <cell r="Q475" t="str">
            <v>4KM</v>
          </cell>
          <cell r="R475">
            <v>4</v>
          </cell>
          <cell r="S475" t="e">
            <v>#N/A</v>
          </cell>
          <cell r="T475">
            <v>8544700000</v>
          </cell>
          <cell r="U475">
            <v>0</v>
          </cell>
          <cell r="V475">
            <v>30</v>
          </cell>
          <cell r="W475">
            <v>45</v>
          </cell>
          <cell r="X475">
            <v>55</v>
          </cell>
          <cell r="Y475" t="str">
            <v>T/T against copy of document</v>
          </cell>
          <cell r="Z475">
            <v>5623.7960339943347</v>
          </cell>
          <cell r="AA475">
            <v>4795.7052800629608</v>
          </cell>
          <cell r="AB475">
            <v>0.1</v>
          </cell>
          <cell r="AC475">
            <v>0.1</v>
          </cell>
          <cell r="AD475">
            <v>0.23</v>
          </cell>
          <cell r="AE475" t="str">
            <v>C</v>
          </cell>
          <cell r="AF475">
            <v>4795.7052800629608</v>
          </cell>
          <cell r="AG475">
            <v>0.22999999999999998</v>
          </cell>
          <cell r="AH475">
            <v>3714.29</v>
          </cell>
          <cell r="AI475">
            <v>4686.4966949952786</v>
          </cell>
          <cell r="AJ475">
            <v>4102.9922951649769</v>
          </cell>
          <cell r="AK475">
            <v>0.16666666666666674</v>
          </cell>
          <cell r="AL475">
            <v>0.1444444444444446</v>
          </cell>
          <cell r="AM475"/>
          <cell r="AN475" t="str">
            <v>SDGI</v>
          </cell>
          <cell r="AO475"/>
          <cell r="AP475"/>
          <cell r="AQ475"/>
          <cell r="AR475"/>
          <cell r="AS475">
            <v>29778</v>
          </cell>
          <cell r="AT475">
            <v>29778</v>
          </cell>
          <cell r="AU475">
            <v>4217.847025495751</v>
          </cell>
          <cell r="AV475">
            <v>3692.6930656484797</v>
          </cell>
          <cell r="AW475"/>
          <cell r="AX475">
            <v>8544700000</v>
          </cell>
          <cell r="AZ475">
            <v>15985.684266876537</v>
          </cell>
          <cell r="BA475">
            <v>9591.4105601259216</v>
          </cell>
          <cell r="BB475">
            <v>7992.8421334382683</v>
          </cell>
          <cell r="BC475">
            <v>6394.273706750615</v>
          </cell>
          <cell r="BE475">
            <v>4795.7052800629608</v>
          </cell>
        </row>
        <row r="476">
          <cell r="I476" t="str">
            <v>KFO48OM3MTA</v>
          </cell>
          <cell r="J476" t="str">
            <v>U0804001</v>
          </cell>
          <cell r="K476" t="str">
            <v>48FO OM3 MULTI LOOSE TUBE ARMORDED PEHD OUTDOOR BLACK RAL 9005</v>
          </cell>
          <cell r="L476" t="str">
            <v>48FO OM3 MULTI TUBE STRUCTURE LIBRE ARMÉ PEHD EXTÉRIEUR NOIR RAL9005</v>
          </cell>
          <cell r="M476" t="str">
            <v>Dca</v>
          </cell>
          <cell r="N476" t="str">
            <v>China</v>
          </cell>
          <cell r="O476"/>
          <cell r="P476" t="str">
            <v>4000m drum</v>
          </cell>
          <cell r="Q476" t="str">
            <v>4KM</v>
          </cell>
          <cell r="R476">
            <v>4</v>
          </cell>
          <cell r="S476" t="e">
            <v>#N/A</v>
          </cell>
          <cell r="T476">
            <v>8544700000</v>
          </cell>
          <cell r="U476">
            <v>0</v>
          </cell>
          <cell r="V476">
            <v>30</v>
          </cell>
          <cell r="W476">
            <v>45</v>
          </cell>
          <cell r="X476">
            <v>55</v>
          </cell>
          <cell r="Y476" t="str">
            <v>T/T against copy of document</v>
          </cell>
          <cell r="Z476">
            <v>2931.067044381492</v>
          </cell>
          <cell r="AA476">
            <v>2515.0200827624153</v>
          </cell>
          <cell r="AB476">
            <v>0.1</v>
          </cell>
          <cell r="AC476">
            <v>0.1</v>
          </cell>
          <cell r="AD476">
            <v>0.23</v>
          </cell>
          <cell r="AE476" t="str">
            <v>C</v>
          </cell>
          <cell r="AF476">
            <v>2515.0200827624153</v>
          </cell>
          <cell r="AG476">
            <v>0.22999999999999987</v>
          </cell>
          <cell r="AH476">
            <v>2299.29</v>
          </cell>
          <cell r="AI476">
            <v>2442.5558703179099</v>
          </cell>
          <cell r="AJ476">
            <v>2151.7394041411776</v>
          </cell>
          <cell r="AK476">
            <v>0.16666666666666674</v>
          </cell>
          <cell r="AL476">
            <v>0.14444444444444438</v>
          </cell>
          <cell r="AM476"/>
          <cell r="AN476" t="str">
            <v>SDGI</v>
          </cell>
          <cell r="AO476"/>
          <cell r="AP476"/>
          <cell r="AQ476"/>
          <cell r="AR476"/>
          <cell r="AS476">
            <v>15520</v>
          </cell>
          <cell r="AT476">
            <v>15520</v>
          </cell>
          <cell r="AU476">
            <v>2198.3002832861189</v>
          </cell>
          <cell r="AV476">
            <v>1936.56546372706</v>
          </cell>
          <cell r="AW476"/>
          <cell r="AX476">
            <v>8544700000</v>
          </cell>
          <cell r="AZ476">
            <v>8383.4002758747174</v>
          </cell>
          <cell r="BA476">
            <v>5030.0401655248306</v>
          </cell>
          <cell r="BB476">
            <v>4191.7001379373587</v>
          </cell>
          <cell r="BC476">
            <v>3353.3601103498872</v>
          </cell>
          <cell r="BE476">
            <v>2515.0200827624153</v>
          </cell>
        </row>
        <row r="477">
          <cell r="I477" t="str">
            <v>KFO96OM3MTA</v>
          </cell>
          <cell r="J477" t="str">
            <v>U0804004</v>
          </cell>
          <cell r="K477" t="str">
            <v>96FO OM3 MULTI LOOSE TUBE ARMORDED PEHD OUTDOOR BLACK RAL 9005</v>
          </cell>
          <cell r="L477" t="str">
            <v>96FO OM3 MULTI TUBE STRUCTURE LIBRE ARMÉ PEHD EXTÉRIEUR NOIR RAL9005</v>
          </cell>
          <cell r="M477" t="str">
            <v>Dca</v>
          </cell>
          <cell r="N477" t="str">
            <v>China</v>
          </cell>
          <cell r="O477"/>
          <cell r="P477" t="str">
            <v>4000m drum</v>
          </cell>
          <cell r="Q477" t="str">
            <v>4KM</v>
          </cell>
          <cell r="R477">
            <v>4</v>
          </cell>
          <cell r="S477" t="e">
            <v>#N/A</v>
          </cell>
          <cell r="T477">
            <v>8544700000</v>
          </cell>
          <cell r="U477">
            <v>0</v>
          </cell>
          <cell r="V477">
            <v>30</v>
          </cell>
          <cell r="W477">
            <v>45</v>
          </cell>
          <cell r="X477">
            <v>55</v>
          </cell>
          <cell r="Y477" t="str">
            <v>T/T against copy of document</v>
          </cell>
          <cell r="Z477">
            <v>5687.0632672332395</v>
          </cell>
          <cell r="AA477">
            <v>4849.2913048277014</v>
          </cell>
          <cell r="AB477">
            <v>0.1</v>
          </cell>
          <cell r="AC477">
            <v>0.1</v>
          </cell>
          <cell r="AD477">
            <v>0.23</v>
          </cell>
          <cell r="AE477" t="str">
            <v>C</v>
          </cell>
          <cell r="AF477">
            <v>4849.2913048277014</v>
          </cell>
          <cell r="AG477">
            <v>0.22999999999999998</v>
          </cell>
          <cell r="AH477">
            <v>4025.71</v>
          </cell>
          <cell r="AI477">
            <v>4739.2193893610329</v>
          </cell>
          <cell r="AJ477">
            <v>4148.8381163525892</v>
          </cell>
          <cell r="AK477">
            <v>0.16666666666666663</v>
          </cell>
          <cell r="AL477">
            <v>0.14444444444444438</v>
          </cell>
          <cell r="AM477"/>
          <cell r="AN477" t="str">
            <v>SDGI</v>
          </cell>
          <cell r="AO477"/>
          <cell r="AP477"/>
          <cell r="AQ477"/>
          <cell r="AR477"/>
          <cell r="AS477">
            <v>30113</v>
          </cell>
          <cell r="AT477">
            <v>30113</v>
          </cell>
          <cell r="AU477">
            <v>4265.2974504249296</v>
          </cell>
          <cell r="AV477">
            <v>3733.9543047173302</v>
          </cell>
          <cell r="AW477"/>
          <cell r="AX477">
            <v>8544700000</v>
          </cell>
          <cell r="AZ477">
            <v>16164.304349425673</v>
          </cell>
          <cell r="BA477">
            <v>9698.5826096554028</v>
          </cell>
          <cell r="BB477">
            <v>8082.1521747128363</v>
          </cell>
          <cell r="BC477">
            <v>6465.7217397702698</v>
          </cell>
          <cell r="BE477">
            <v>4849.2913048277014</v>
          </cell>
        </row>
        <row r="478">
          <cell r="I478" t="str">
            <v>KFO6OM4CTZHD</v>
          </cell>
          <cell r="J478" t="str">
            <v>U0803011</v>
          </cell>
          <cell r="K478" t="str">
            <v>6FO OM4 CENTRAL LOOSE TUBE LSZH UNIVERSAL Dca ERIKA VIOLET RAL4003</v>
          </cell>
          <cell r="L478" t="str">
            <v>6FO OM4 TUBE CENTRAL STRUCTURE LIBRE LSZH UNIVERSEL Dca VIOLET ERIKA RAL4003</v>
          </cell>
          <cell r="M478" t="str">
            <v>Dca</v>
          </cell>
          <cell r="N478" t="str">
            <v>China</v>
          </cell>
          <cell r="O478"/>
          <cell r="P478" t="str">
            <v>4000m drum</v>
          </cell>
          <cell r="Q478" t="str">
            <v>4KM</v>
          </cell>
          <cell r="R478">
            <v>4</v>
          </cell>
          <cell r="S478" t="e">
            <v>#N/A</v>
          </cell>
          <cell r="T478">
            <v>8544700000</v>
          </cell>
          <cell r="U478">
            <v>0</v>
          </cell>
          <cell r="V478">
            <v>30</v>
          </cell>
          <cell r="W478">
            <v>45</v>
          </cell>
          <cell r="X478">
            <v>55</v>
          </cell>
          <cell r="Y478" t="str">
            <v>T/T against copy of document</v>
          </cell>
          <cell r="Z478">
            <v>825.93216445907672</v>
          </cell>
          <cell r="AA478">
            <v>732.19656945047689</v>
          </cell>
          <cell r="AB478">
            <v>0.1</v>
          </cell>
          <cell r="AC478">
            <v>0.1</v>
          </cell>
          <cell r="AD478">
            <v>0.24</v>
          </cell>
          <cell r="AE478" t="str">
            <v>C</v>
          </cell>
          <cell r="AF478">
            <v>732.19656945047689</v>
          </cell>
          <cell r="AG478">
            <v>0.24</v>
          </cell>
          <cell r="AH478" t="e">
            <v>#N/A</v>
          </cell>
          <cell r="AI478">
            <v>679.09977966635199</v>
          </cell>
          <cell r="AJ478">
            <v>618.29932531373606</v>
          </cell>
          <cell r="AK478">
            <v>0.1777777777777777</v>
          </cell>
          <cell r="AL478">
            <v>0.15555555555555556</v>
          </cell>
          <cell r="AM478"/>
          <cell r="AN478" t="str">
            <v>SDGI</v>
          </cell>
          <cell r="AO478"/>
          <cell r="AP478"/>
          <cell r="AQ478"/>
          <cell r="AR478"/>
          <cell r="AS478">
            <v>4315</v>
          </cell>
          <cell r="AT478">
            <v>4315</v>
          </cell>
          <cell r="AU478">
            <v>611.18980169971678</v>
          </cell>
          <cell r="AV478">
            <v>556.46939278236243</v>
          </cell>
          <cell r="AW478"/>
          <cell r="AX478">
            <v>8544700000</v>
          </cell>
          <cell r="AZ478">
            <v>2440.6552315015897</v>
          </cell>
          <cell r="BA478">
            <v>1464.3931389009538</v>
          </cell>
          <cell r="BB478">
            <v>1220.3276157507948</v>
          </cell>
          <cell r="BC478">
            <v>976.26209260063592</v>
          </cell>
          <cell r="BE478">
            <v>732.19656945047689</v>
          </cell>
        </row>
        <row r="479">
          <cell r="I479" t="str">
            <v>KFO8OM4CTZHD20</v>
          </cell>
          <cell r="J479" t="str">
            <v>U0803016</v>
          </cell>
          <cell r="K479" t="str">
            <v>8FO OM4 CENTRAL LOOSE TUBE LSZH UNIVERSAL Dca ERIKA VIOLET RAL4003</v>
          </cell>
          <cell r="L479" t="str">
            <v>8FO OM4 TUBE CENTRAL STRUCTURE LIBRE LSZH UNIVERSEL Dca VIOLET ERIKA RAL4003</v>
          </cell>
          <cell r="M479" t="str">
            <v>Dca</v>
          </cell>
          <cell r="N479" t="str">
            <v>China</v>
          </cell>
          <cell r="O479"/>
          <cell r="P479" t="str">
            <v>4000m drum</v>
          </cell>
          <cell r="Q479" t="str">
            <v>4KM</v>
          </cell>
          <cell r="R479">
            <v>4</v>
          </cell>
          <cell r="S479" t="e">
            <v>#N/A</v>
          </cell>
          <cell r="T479">
            <v>8544700000</v>
          </cell>
          <cell r="U479">
            <v>0</v>
          </cell>
          <cell r="V479">
            <v>30</v>
          </cell>
          <cell r="W479">
            <v>45</v>
          </cell>
          <cell r="X479">
            <v>55</v>
          </cell>
          <cell r="Y479" t="str">
            <v>T/T against copy of document</v>
          </cell>
          <cell r="Z479">
            <v>1026.7207717632646</v>
          </cell>
          <cell r="AA479">
            <v>902.20065343800445</v>
          </cell>
          <cell r="AB479">
            <v>0.1</v>
          </cell>
          <cell r="AC479">
            <v>0.1</v>
          </cell>
          <cell r="AD479">
            <v>0.24</v>
          </cell>
          <cell r="AE479" t="str">
            <v>C</v>
          </cell>
          <cell r="AF479">
            <v>902.20065343800445</v>
          </cell>
          <cell r="AG479">
            <v>0.24</v>
          </cell>
          <cell r="AH479" t="e">
            <v>#N/A</v>
          </cell>
          <cell r="AI479">
            <v>844.19263456090653</v>
          </cell>
          <cell r="AJ479">
            <v>761.85832956987042</v>
          </cell>
          <cell r="AK479">
            <v>0.1777777777777777</v>
          </cell>
          <cell r="AL479">
            <v>0.15555555555555556</v>
          </cell>
          <cell r="AM479"/>
          <cell r="AN479" t="str">
            <v>SDGI</v>
          </cell>
          <cell r="AO479"/>
          <cell r="AP479"/>
          <cell r="AQ479"/>
          <cell r="AR479"/>
          <cell r="AS479">
            <v>5364</v>
          </cell>
          <cell r="AT479">
            <v>5364</v>
          </cell>
          <cell r="AU479">
            <v>759.77337110481585</v>
          </cell>
          <cell r="AV479">
            <v>685.67249661288338</v>
          </cell>
          <cell r="AW479"/>
          <cell r="AX479">
            <v>8544700000</v>
          </cell>
          <cell r="AZ479">
            <v>3007.3355114600149</v>
          </cell>
          <cell r="BA479">
            <v>1804.4013068760089</v>
          </cell>
          <cell r="BB479">
            <v>1503.6677557300075</v>
          </cell>
          <cell r="BC479">
            <v>1202.934204584006</v>
          </cell>
          <cell r="BE479">
            <v>902.20065343800445</v>
          </cell>
        </row>
        <row r="480">
          <cell r="I480" t="str">
            <v>KFO12OM4CTZHD20</v>
          </cell>
          <cell r="J480" t="str">
            <v>U0803002</v>
          </cell>
          <cell r="K480" t="str">
            <v>12FO OM4 CENTRAL LOOSE TUBE LSZH UNIVERSAL Dca ERIKA VIOLET RAL4003</v>
          </cell>
          <cell r="L480" t="str">
            <v>12FO OM4 TUBE CENTRAL STRUCTURE LIBRE LSZH UNIVERSEL Dca VIOLET ERIKA RAL4003</v>
          </cell>
          <cell r="M480" t="str">
            <v>Dca</v>
          </cell>
          <cell r="N480" t="str">
            <v>China</v>
          </cell>
          <cell r="O480"/>
          <cell r="P480" t="str">
            <v>4000m drum</v>
          </cell>
          <cell r="Q480" t="str">
            <v>4KM</v>
          </cell>
          <cell r="R480">
            <v>4</v>
          </cell>
          <cell r="S480" t="e">
            <v>#N/A</v>
          </cell>
          <cell r="T480">
            <v>8544700000</v>
          </cell>
          <cell r="U480">
            <v>0</v>
          </cell>
          <cell r="V480">
            <v>30</v>
          </cell>
          <cell r="W480">
            <v>45</v>
          </cell>
          <cell r="X480">
            <v>55</v>
          </cell>
          <cell r="Y480" t="str">
            <v>T/T against copy of document</v>
          </cell>
          <cell r="Z480">
            <v>1431.7433580889672</v>
          </cell>
          <cell r="AA480">
            <v>1245.1259553613681</v>
          </cell>
          <cell r="AB480">
            <v>0.1</v>
          </cell>
          <cell r="AC480">
            <v>0.1</v>
          </cell>
          <cell r="AD480">
            <v>0.24</v>
          </cell>
          <cell r="AE480" t="str">
            <v>C</v>
          </cell>
          <cell r="AF480">
            <v>1245.1259553613681</v>
          </cell>
          <cell r="AG480">
            <v>0.24</v>
          </cell>
          <cell r="AH480" t="e">
            <v>#N/A</v>
          </cell>
          <cell r="AI480">
            <v>1177.2112055398175</v>
          </cell>
          <cell r="AJ480">
            <v>1051.4396956384887</v>
          </cell>
          <cell r="AK480">
            <v>0.17777777777777781</v>
          </cell>
          <cell r="AL480">
            <v>0.15555555555555545</v>
          </cell>
          <cell r="AM480"/>
          <cell r="AN480" t="str">
            <v>SDGI</v>
          </cell>
          <cell r="AO480"/>
          <cell r="AP480"/>
          <cell r="AQ480"/>
          <cell r="AR480"/>
          <cell r="AS480">
            <v>7480</v>
          </cell>
          <cell r="AT480">
            <v>7480</v>
          </cell>
          <cell r="AU480">
            <v>1059.4900849858357</v>
          </cell>
          <cell r="AV480">
            <v>946.29572607463979</v>
          </cell>
          <cell r="AW480"/>
          <cell r="AX480">
            <v>8544700000</v>
          </cell>
          <cell r="AZ480">
            <v>4150.4198512045605</v>
          </cell>
          <cell r="BA480">
            <v>2490.2519107227363</v>
          </cell>
          <cell r="BB480">
            <v>2075.2099256022802</v>
          </cell>
          <cell r="BC480">
            <v>1660.1679404818242</v>
          </cell>
          <cell r="BE480">
            <v>1245.1259553613681</v>
          </cell>
        </row>
        <row r="481">
          <cell r="I481" t="str">
            <v>KFO24OM4CTZHD20</v>
          </cell>
          <cell r="J481" t="str">
            <v>U0803006</v>
          </cell>
          <cell r="K481" t="str">
            <v>24FO OM4 CENTRAL LOOSE TUBE LSZH UNIVERSAL Dca ERIKA VIOLET RAL4003</v>
          </cell>
          <cell r="L481" t="str">
            <v>24FO OM4 TUBE CENTRAL STRUCTURE LIBRE LSZH UNIVERSEL Dca VIOLET ERIKA RAL4003</v>
          </cell>
          <cell r="M481" t="str">
            <v>Dca</v>
          </cell>
          <cell r="N481" t="str">
            <v>China</v>
          </cell>
          <cell r="O481"/>
          <cell r="P481" t="str">
            <v>4000m drum</v>
          </cell>
          <cell r="Q481" t="str">
            <v>4KM</v>
          </cell>
          <cell r="R481">
            <v>4</v>
          </cell>
          <cell r="S481" t="e">
            <v>#N/A</v>
          </cell>
          <cell r="T481">
            <v>8544700000</v>
          </cell>
          <cell r="U481">
            <v>0</v>
          </cell>
          <cell r="V481">
            <v>30</v>
          </cell>
          <cell r="W481">
            <v>45</v>
          </cell>
          <cell r="X481">
            <v>55</v>
          </cell>
          <cell r="Y481" t="str">
            <v>T/T against copy of document</v>
          </cell>
          <cell r="Z481">
            <v>2702.1284740831484</v>
          </cell>
          <cell r="AA481">
            <v>2320.7380673015218</v>
          </cell>
          <cell r="AB481">
            <v>0.1</v>
          </cell>
          <cell r="AC481">
            <v>0.1</v>
          </cell>
          <cell r="AD481">
            <v>0.24</v>
          </cell>
          <cell r="AE481" t="str">
            <v>C</v>
          </cell>
          <cell r="AF481">
            <v>2320.7380673015218</v>
          </cell>
          <cell r="AG481">
            <v>0.2400000000000001</v>
          </cell>
          <cell r="AH481" t="e">
            <v>#N/A</v>
          </cell>
          <cell r="AI481">
            <v>2221.7500786905885</v>
          </cell>
          <cell r="AJ481">
            <v>1959.7343679435071</v>
          </cell>
          <cell r="AK481">
            <v>0.17777777777777781</v>
          </cell>
          <cell r="AL481">
            <v>0.15555555555555567</v>
          </cell>
          <cell r="AM481"/>
          <cell r="AN481" t="str">
            <v>SDGI</v>
          </cell>
          <cell r="AO481"/>
          <cell r="AP481"/>
          <cell r="AQ481"/>
          <cell r="AR481"/>
          <cell r="AS481">
            <v>14117</v>
          </cell>
          <cell r="AT481">
            <v>14117</v>
          </cell>
          <cell r="AU481">
            <v>1999.5750708215298</v>
          </cell>
          <cell r="AV481">
            <v>1763.7609311491565</v>
          </cell>
          <cell r="AW481"/>
          <cell r="AX481">
            <v>8544700000</v>
          </cell>
          <cell r="AZ481">
            <v>7735.79355767174</v>
          </cell>
          <cell r="BA481">
            <v>4641.4761346030436</v>
          </cell>
          <cell r="BB481">
            <v>3867.89677883587</v>
          </cell>
          <cell r="BC481">
            <v>3094.3174230686964</v>
          </cell>
          <cell r="BE481">
            <v>2320.7380673015218</v>
          </cell>
        </row>
        <row r="482">
          <cell r="I482" t="str">
            <v>KFO48OM4MTZHD</v>
          </cell>
          <cell r="J482" t="str">
            <v>U0806002</v>
          </cell>
          <cell r="K482" t="str">
            <v>48FO OM4 MULTI LOOSE TUBE LSZH UNIVERSAL Dca ERIKA VIOLET RAL4003</v>
          </cell>
          <cell r="L482" t="str">
            <v>48FO OM4 MULTI TUBE STRUCTURE LIBRE LSZH UNIVERSEL Dca VIOLET ERIKA RAL4003</v>
          </cell>
          <cell r="M482" t="str">
            <v>Dca</v>
          </cell>
          <cell r="N482" t="str">
            <v>China</v>
          </cell>
          <cell r="O482"/>
          <cell r="P482" t="str">
            <v>4000m drum</v>
          </cell>
          <cell r="Q482" t="str">
            <v>4KM</v>
          </cell>
          <cell r="R482">
            <v>4</v>
          </cell>
          <cell r="S482" t="e">
            <v>#N/A</v>
          </cell>
          <cell r="T482">
            <v>8544700000</v>
          </cell>
          <cell r="U482">
            <v>0</v>
          </cell>
          <cell r="V482">
            <v>30</v>
          </cell>
          <cell r="W482">
            <v>45</v>
          </cell>
          <cell r="X482">
            <v>55</v>
          </cell>
          <cell r="Y482" t="str">
            <v>T/T against copy of document</v>
          </cell>
          <cell r="Z482">
            <v>5845.6473470637775</v>
          </cell>
          <cell r="AA482">
            <v>4982.2986691386677</v>
          </cell>
          <cell r="AB482">
            <v>0.1</v>
          </cell>
          <cell r="AC482">
            <v>0.1</v>
          </cell>
          <cell r="AD482">
            <v>0.24</v>
          </cell>
          <cell r="AE482" t="str">
            <v>C</v>
          </cell>
          <cell r="AF482">
            <v>4982.2986691386677</v>
          </cell>
          <cell r="AG482">
            <v>0.24</v>
          </cell>
          <cell r="AH482" t="e">
            <v>#N/A</v>
          </cell>
          <cell r="AI482">
            <v>4806.4211520302169</v>
          </cell>
          <cell r="AJ482">
            <v>4207.2744317170973</v>
          </cell>
          <cell r="AK482">
            <v>0.17777777777777781</v>
          </cell>
          <cell r="AL482">
            <v>0.15555555555555556</v>
          </cell>
          <cell r="AM482"/>
          <cell r="AN482" t="str">
            <v>SDGI</v>
          </cell>
          <cell r="AO482"/>
          <cell r="AP482"/>
          <cell r="AQ482"/>
          <cell r="AR482"/>
          <cell r="AS482">
            <v>30540</v>
          </cell>
          <cell r="AT482">
            <v>30540</v>
          </cell>
          <cell r="AU482">
            <v>4325.7790368271953</v>
          </cell>
          <cell r="AV482">
            <v>3786.5469885453876</v>
          </cell>
          <cell r="AW482"/>
          <cell r="AX482">
            <v>8544700000</v>
          </cell>
          <cell r="AZ482">
            <v>16607.662230462225</v>
          </cell>
          <cell r="BA482">
            <v>9964.5973382773354</v>
          </cell>
          <cell r="BB482">
            <v>8303.8311152311126</v>
          </cell>
          <cell r="BC482">
            <v>6643.0648921848906</v>
          </cell>
          <cell r="BE482">
            <v>4982.2986691386677</v>
          </cell>
        </row>
        <row r="483">
          <cell r="I483" t="str">
            <v>KFO96OM4MTZHD</v>
          </cell>
          <cell r="J483" t="str">
            <v>U0806006</v>
          </cell>
          <cell r="K483" t="str">
            <v>96FO OM4 MULTI LOOSE TUBE LSZH UNIVERSAL Dca ERIKA VIOLET RAL4003</v>
          </cell>
          <cell r="L483" t="str">
            <v>96FO OM4 MULTI TUBE STRUCTURE LIBRE LSZH UNIVERSEL Dca VIOLET ERIKA RAL4003</v>
          </cell>
          <cell r="M483" t="str">
            <v>Dca</v>
          </cell>
          <cell r="N483" t="str">
            <v>China</v>
          </cell>
          <cell r="O483"/>
          <cell r="P483" t="str">
            <v>4000m drum</v>
          </cell>
          <cell r="Q483" t="str">
            <v>4KM</v>
          </cell>
          <cell r="R483">
            <v>4</v>
          </cell>
          <cell r="S483" t="e">
            <v>#N/A</v>
          </cell>
          <cell r="T483">
            <v>8544700000</v>
          </cell>
          <cell r="U483">
            <v>0</v>
          </cell>
          <cell r="V483">
            <v>30</v>
          </cell>
          <cell r="W483">
            <v>45</v>
          </cell>
          <cell r="X483">
            <v>55</v>
          </cell>
          <cell r="Y483" t="str">
            <v>T/T against copy of document</v>
          </cell>
          <cell r="Z483">
            <v>10999.923436184059</v>
          </cell>
          <cell r="AA483">
            <v>9346.3310558080157</v>
          </cell>
          <cell r="AB483">
            <v>0.1</v>
          </cell>
          <cell r="AC483">
            <v>0.1</v>
          </cell>
          <cell r="AD483">
            <v>0.24</v>
          </cell>
          <cell r="AE483" t="str">
            <v>C</v>
          </cell>
          <cell r="AF483">
            <v>9346.3310558080157</v>
          </cell>
          <cell r="AG483">
            <v>0.2400000000000001</v>
          </cell>
          <cell r="AH483" t="e">
            <v>#N/A</v>
          </cell>
          <cell r="AI483">
            <v>9044.3814919735596</v>
          </cell>
          <cell r="AJ483">
            <v>7892.4573360156573</v>
          </cell>
          <cell r="AK483">
            <v>0.17777777777777781</v>
          </cell>
          <cell r="AL483">
            <v>0.15555555555555556</v>
          </cell>
          <cell r="AM483"/>
          <cell r="AN483" t="str">
            <v>SDGI</v>
          </cell>
          <cell r="AO483"/>
          <cell r="AP483"/>
          <cell r="AQ483"/>
          <cell r="AR483"/>
          <cell r="AS483">
            <v>57468</v>
          </cell>
          <cell r="AT483">
            <v>57468</v>
          </cell>
          <cell r="AU483">
            <v>8139.9433427762042</v>
          </cell>
          <cell r="AV483">
            <v>7103.2116024140914</v>
          </cell>
          <cell r="AW483"/>
          <cell r="AX483">
            <v>8544700000</v>
          </cell>
          <cell r="AZ483">
            <v>31154.436852693387</v>
          </cell>
          <cell r="BA483">
            <v>18692.662111616031</v>
          </cell>
          <cell r="BB483">
            <v>15577.218426346693</v>
          </cell>
          <cell r="BC483">
            <v>12461.774741077355</v>
          </cell>
          <cell r="BE483">
            <v>9346.3310558080157</v>
          </cell>
        </row>
        <row r="484">
          <cell r="I484" t="str">
            <v>KFO6OM4TBZHC</v>
          </cell>
          <cell r="J484" t="str">
            <v>U0807010</v>
          </cell>
          <cell r="K484" t="str">
            <v>6FO OM4 TIGHT BUFFERED LSZH UNIVERSAL Cca ERIKA VIOLET RAL4003</v>
          </cell>
          <cell r="L484" t="str">
            <v>6FO OM4 STRUCTURE SERRÉE LSZH UNIVERSEL Cca VIOLET ERIKA RAL4003</v>
          </cell>
          <cell r="M484" t="str">
            <v>Cca</v>
          </cell>
          <cell r="N484" t="str">
            <v>China</v>
          </cell>
          <cell r="O484"/>
          <cell r="P484" t="str">
            <v>4000m drum</v>
          </cell>
          <cell r="Q484" t="str">
            <v>4KM</v>
          </cell>
          <cell r="R484">
            <v>4</v>
          </cell>
          <cell r="S484" t="e">
            <v>#N/A</v>
          </cell>
          <cell r="T484">
            <v>8544700000</v>
          </cell>
          <cell r="U484">
            <v>0</v>
          </cell>
          <cell r="V484">
            <v>30</v>
          </cell>
          <cell r="W484">
            <v>45</v>
          </cell>
          <cell r="X484">
            <v>55</v>
          </cell>
          <cell r="Y484" t="str">
            <v>T/T against copy of document</v>
          </cell>
          <cell r="Z484">
            <v>934.84419263456107</v>
          </cell>
          <cell r="AA484">
            <v>824.72129106566854</v>
          </cell>
          <cell r="AB484">
            <v>0.1</v>
          </cell>
          <cell r="AC484">
            <v>0.1</v>
          </cell>
          <cell r="AD484">
            <v>0.26</v>
          </cell>
          <cell r="AE484" t="str">
            <v>C</v>
          </cell>
          <cell r="AF484">
            <v>824.72129106566854</v>
          </cell>
          <cell r="AG484">
            <v>0.26</v>
          </cell>
          <cell r="AH484">
            <v>780.15</v>
          </cell>
          <cell r="AI484">
            <v>747.87535410764883</v>
          </cell>
          <cell r="AJ484">
            <v>678.10417265399417</v>
          </cell>
          <cell r="AK484">
            <v>0.20000000000000007</v>
          </cell>
          <cell r="AL484">
            <v>0.1777777777777777</v>
          </cell>
          <cell r="AM484"/>
          <cell r="AN484" t="str">
            <v>SDGI</v>
          </cell>
          <cell r="AO484"/>
          <cell r="AP484"/>
          <cell r="AQ484"/>
          <cell r="AR484"/>
          <cell r="AS484">
            <v>4752</v>
          </cell>
          <cell r="AT484">
            <v>4752</v>
          </cell>
          <cell r="AU484">
            <v>673.08781869688391</v>
          </cell>
          <cell r="AV484">
            <v>610.29375538859472</v>
          </cell>
          <cell r="AW484"/>
          <cell r="AX484">
            <v>8544700000</v>
          </cell>
          <cell r="AZ484">
            <v>2749.0709702188951</v>
          </cell>
          <cell r="BA484">
            <v>1649.4425821313371</v>
          </cell>
          <cell r="BB484">
            <v>1374.5354851094476</v>
          </cell>
          <cell r="BC484">
            <v>1099.6283880875581</v>
          </cell>
          <cell r="BE484">
            <v>824.72129106566854</v>
          </cell>
        </row>
        <row r="485">
          <cell r="I485" t="str">
            <v>KFO8OM4TBZHC</v>
          </cell>
          <cell r="J485" t="str">
            <v>U0807014</v>
          </cell>
          <cell r="K485" t="str">
            <v>8FO OM4 TIGHT BUFFERED LSZH UNIVERSAL Cca ERIKA VIOLET RAL4003</v>
          </cell>
          <cell r="L485" t="str">
            <v>8FO OM4 STRUCTURE SERRÉE  LSZH UNIVERSEL Cca VIOLET ERIKA RAL4003</v>
          </cell>
          <cell r="M485" t="str">
            <v>Cca</v>
          </cell>
          <cell r="N485" t="str">
            <v>China</v>
          </cell>
          <cell r="O485"/>
          <cell r="P485" t="str">
            <v>4000m drum</v>
          </cell>
          <cell r="Q485" t="str">
            <v>4KM</v>
          </cell>
          <cell r="R485">
            <v>4</v>
          </cell>
          <cell r="S485" t="e">
            <v>#N/A</v>
          </cell>
          <cell r="T485">
            <v>8544700000</v>
          </cell>
          <cell r="U485">
            <v>0</v>
          </cell>
          <cell r="V485">
            <v>30</v>
          </cell>
          <cell r="W485">
            <v>45</v>
          </cell>
          <cell r="X485">
            <v>55</v>
          </cell>
          <cell r="Y485" t="str">
            <v>T/T against copy of document</v>
          </cell>
          <cell r="Z485">
            <v>1170.5225055083413</v>
          </cell>
          <cell r="AA485">
            <v>1024.1200986674569</v>
          </cell>
          <cell r="AB485">
            <v>0.1</v>
          </cell>
          <cell r="AC485">
            <v>0.1</v>
          </cell>
          <cell r="AD485">
            <v>0.26</v>
          </cell>
          <cell r="AE485" t="str">
            <v>C</v>
          </cell>
          <cell r="AF485">
            <v>1024.1200986674569</v>
          </cell>
          <cell r="AG485">
            <v>0.26000000000000012</v>
          </cell>
          <cell r="AH485">
            <v>966.91</v>
          </cell>
          <cell r="AI485">
            <v>936.41800440667294</v>
          </cell>
          <cell r="AJ485">
            <v>842.05430334879782</v>
          </cell>
          <cell r="AK485">
            <v>0.20000000000000007</v>
          </cell>
          <cell r="AL485">
            <v>0.17777777777777781</v>
          </cell>
          <cell r="AM485"/>
          <cell r="AN485" t="str">
            <v>SDGI</v>
          </cell>
          <cell r="AO485"/>
          <cell r="AP485"/>
          <cell r="AQ485"/>
          <cell r="AR485"/>
          <cell r="AS485">
            <v>5950</v>
          </cell>
          <cell r="AT485">
            <v>5950</v>
          </cell>
          <cell r="AU485">
            <v>842.77620396600571</v>
          </cell>
          <cell r="AV485">
            <v>757.84887301391802</v>
          </cell>
          <cell r="AW485"/>
          <cell r="AX485">
            <v>8544700000</v>
          </cell>
          <cell r="AZ485">
            <v>3413.7336622248563</v>
          </cell>
          <cell r="BA485">
            <v>2048.2401973349138</v>
          </cell>
          <cell r="BB485">
            <v>1706.8668311124281</v>
          </cell>
          <cell r="BC485">
            <v>1365.4934648899425</v>
          </cell>
          <cell r="BE485">
            <v>1024.1200986674569</v>
          </cell>
        </row>
        <row r="486">
          <cell r="I486" t="str">
            <v>KFO12OM4TBZHC</v>
          </cell>
          <cell r="J486" t="str">
            <v>U0807002</v>
          </cell>
          <cell r="K486" t="str">
            <v>12FO OM4 TIGHT BUFFERED LSZH UNIVERSAL Cca ERIKA VIOLET RAL4003</v>
          </cell>
          <cell r="L486" t="str">
            <v>12FO OM4 STRUCTURE SERRÉE  LSZH UNIVERSEL Cca VIOLET ERIKA RAL4003</v>
          </cell>
          <cell r="M486" t="str">
            <v>Cca</v>
          </cell>
          <cell r="N486" t="str">
            <v>China</v>
          </cell>
          <cell r="O486"/>
          <cell r="P486" t="str">
            <v>4000m drum</v>
          </cell>
          <cell r="Q486" t="str">
            <v>4KM</v>
          </cell>
          <cell r="R486">
            <v>4</v>
          </cell>
          <cell r="S486" t="e">
            <v>#N/A</v>
          </cell>
          <cell r="T486">
            <v>8544700000</v>
          </cell>
          <cell r="U486">
            <v>0</v>
          </cell>
          <cell r="V486">
            <v>30</v>
          </cell>
          <cell r="W486">
            <v>45</v>
          </cell>
          <cell r="X486">
            <v>55</v>
          </cell>
          <cell r="Y486" t="str">
            <v>T/T against copy of document</v>
          </cell>
          <cell r="Z486">
            <v>1621.8130311614732</v>
          </cell>
          <cell r="AA486">
            <v>1405.9405199015987</v>
          </cell>
          <cell r="AB486">
            <v>0.1</v>
          </cell>
          <cell r="AC486">
            <v>0.1</v>
          </cell>
          <cell r="AD486">
            <v>0.26</v>
          </cell>
          <cell r="AE486" t="str">
            <v>C</v>
          </cell>
          <cell r="AF486">
            <v>1405.9405199015987</v>
          </cell>
          <cell r="AG486">
            <v>0.26</v>
          </cell>
          <cell r="AH486">
            <v>1327.21</v>
          </cell>
          <cell r="AI486">
            <v>1297.4504249291783</v>
          </cell>
          <cell r="AJ486">
            <v>1155.995538585759</v>
          </cell>
          <cell r="AK486">
            <v>0.20000000000000018</v>
          </cell>
          <cell r="AL486">
            <v>0.1777777777777777</v>
          </cell>
          <cell r="AM486"/>
          <cell r="AN486" t="str">
            <v>SDGI</v>
          </cell>
          <cell r="AO486"/>
          <cell r="AP486"/>
          <cell r="AQ486"/>
          <cell r="AR486"/>
          <cell r="AS486">
            <v>8244</v>
          </cell>
          <cell r="AT486">
            <v>8244</v>
          </cell>
          <cell r="AU486">
            <v>1167.7053824362606</v>
          </cell>
          <cell r="AV486">
            <v>1040.3959847271831</v>
          </cell>
          <cell r="AW486"/>
          <cell r="AX486">
            <v>8544700000</v>
          </cell>
          <cell r="AZ486">
            <v>4686.4683996719959</v>
          </cell>
          <cell r="BA486">
            <v>2811.8810398031974</v>
          </cell>
          <cell r="BB486">
            <v>2343.234199835998</v>
          </cell>
          <cell r="BC486">
            <v>1874.5873598687986</v>
          </cell>
          <cell r="BE486">
            <v>1405.9405199015987</v>
          </cell>
        </row>
        <row r="487">
          <cell r="I487" t="str">
            <v>KFO24OM4TBZHC</v>
          </cell>
          <cell r="J487" t="str">
            <v>U0807006</v>
          </cell>
          <cell r="K487" t="str">
            <v>24FO OM4 TIGHT BUFFERED LSZH UNIVERSAL Cca ERIKA VIOLET RAL4003</v>
          </cell>
          <cell r="L487" t="str">
            <v>24FO OM4 STRUCTURE SERRÉE  LSZH UNIVERSEL Cca VIOLET ERIKA RAL4003</v>
          </cell>
          <cell r="M487" t="str">
            <v>Cca</v>
          </cell>
          <cell r="N487" t="str">
            <v>China</v>
          </cell>
          <cell r="O487"/>
          <cell r="P487" t="str">
            <v>2000m drum</v>
          </cell>
          <cell r="Q487" t="str">
            <v>2KM</v>
          </cell>
          <cell r="R487">
            <v>4</v>
          </cell>
          <cell r="S487" t="e">
            <v>#N/A</v>
          </cell>
          <cell r="T487">
            <v>8544700000</v>
          </cell>
          <cell r="U487">
            <v>0</v>
          </cell>
          <cell r="V487">
            <v>30</v>
          </cell>
          <cell r="W487">
            <v>45</v>
          </cell>
          <cell r="X487">
            <v>55</v>
          </cell>
          <cell r="Y487" t="str">
            <v>T/T against copy of document</v>
          </cell>
          <cell r="Z487">
            <v>3144.6726471514012</v>
          </cell>
          <cell r="AA487">
            <v>2694.3763877191645</v>
          </cell>
          <cell r="AB487">
            <v>0.1</v>
          </cell>
          <cell r="AC487">
            <v>0.1</v>
          </cell>
          <cell r="AD487">
            <v>0.26</v>
          </cell>
          <cell r="AE487" t="str">
            <v>C</v>
          </cell>
          <cell r="AF487">
            <v>2694.3763877191645</v>
          </cell>
          <cell r="AG487">
            <v>0.26</v>
          </cell>
          <cell r="AH487">
            <v>2477.94</v>
          </cell>
          <cell r="AI487">
            <v>2515.7381177211209</v>
          </cell>
          <cell r="AJ487">
            <v>2215.3761410135353</v>
          </cell>
          <cell r="AK487">
            <v>0.19999999999999996</v>
          </cell>
          <cell r="AL487">
            <v>0.17777777777777781</v>
          </cell>
          <cell r="AM487"/>
          <cell r="AN487" t="str">
            <v>SDGI</v>
          </cell>
          <cell r="AO487"/>
          <cell r="AP487"/>
          <cell r="AQ487"/>
          <cell r="AR487"/>
          <cell r="AS487">
            <v>15985</v>
          </cell>
          <cell r="AT487">
            <v>15985</v>
          </cell>
          <cell r="AU487">
            <v>2264.1643059490088</v>
          </cell>
          <cell r="AV487">
            <v>1993.8385269121818</v>
          </cell>
          <cell r="AW487"/>
          <cell r="AX487">
            <v>8544700000</v>
          </cell>
          <cell r="AZ487">
            <v>8981.2546257305494</v>
          </cell>
          <cell r="BA487">
            <v>5388.7527754383291</v>
          </cell>
          <cell r="BB487">
            <v>4490.6273128652747</v>
          </cell>
          <cell r="BC487">
            <v>3592.5018502922198</v>
          </cell>
          <cell r="BE487">
            <v>2694.3763877191645</v>
          </cell>
        </row>
        <row r="488">
          <cell r="I488" t="str">
            <v>KFO6OM5TBZHC</v>
          </cell>
          <cell r="J488" t="str">
            <v>U0807011</v>
          </cell>
          <cell r="K488" t="str">
            <v>6FO OM5 TIGHT BUFFERED LSZH UNIVERSAL Cca LIME GREEN RAL 6039</v>
          </cell>
          <cell r="L488" t="str">
            <v>6FO OM5 STRUCTURE SERRÉE LSZH UNIVERSEL Cca VERT LIME RAL 6039</v>
          </cell>
          <cell r="M488" t="str">
            <v>Cca</v>
          </cell>
          <cell r="N488" t="str">
            <v>China</v>
          </cell>
          <cell r="O488"/>
          <cell r="P488" t="str">
            <v>4000m drum</v>
          </cell>
          <cell r="Q488" t="str">
            <v>4KM</v>
          </cell>
          <cell r="R488">
            <v>4</v>
          </cell>
          <cell r="S488" t="e">
            <v>#N/A</v>
          </cell>
          <cell r="T488">
            <v>8544700000</v>
          </cell>
          <cell r="U488">
            <v>0</v>
          </cell>
          <cell r="V488">
            <v>30</v>
          </cell>
          <cell r="W488">
            <v>45</v>
          </cell>
          <cell r="X488">
            <v>55</v>
          </cell>
          <cell r="Y488" t="str">
            <v>T/T against copy of document</v>
          </cell>
          <cell r="Z488">
            <v>1748.5935442684436</v>
          </cell>
          <cell r="AA488">
            <v>1513.104724753538</v>
          </cell>
          <cell r="AB488">
            <v>0.1</v>
          </cell>
          <cell r="AC488">
            <v>0.1</v>
          </cell>
          <cell r="AD488">
            <v>0.27</v>
          </cell>
          <cell r="AE488" t="str">
            <v>C</v>
          </cell>
          <cell r="AF488">
            <v>1513.104724753538</v>
          </cell>
          <cell r="AG488">
            <v>0.27</v>
          </cell>
          <cell r="AH488">
            <v>1341.91</v>
          </cell>
          <cell r="AI488">
            <v>1379.4460182562166</v>
          </cell>
          <cell r="AJ488">
            <v>1227.2960545223141</v>
          </cell>
          <cell r="AK488">
            <v>0.21111111111111114</v>
          </cell>
          <cell r="AL488">
            <v>0.18888888888888888</v>
          </cell>
          <cell r="AM488"/>
          <cell r="AN488" t="str">
            <v>SDGI</v>
          </cell>
          <cell r="AO488"/>
          <cell r="AP488"/>
          <cell r="AQ488"/>
          <cell r="AR488"/>
          <cell r="AS488">
            <v>8765</v>
          </cell>
          <cell r="AT488">
            <v>8765</v>
          </cell>
          <cell r="AU488">
            <v>1241.5014164305949</v>
          </cell>
          <cell r="AV488">
            <v>1104.5664490700826</v>
          </cell>
          <cell r="AW488"/>
          <cell r="AX488">
            <v>8544700000</v>
          </cell>
          <cell r="AZ488">
            <v>5043.6824158451273</v>
          </cell>
          <cell r="BA488">
            <v>3026.2094495070764</v>
          </cell>
          <cell r="BB488">
            <v>2521.8412079225636</v>
          </cell>
          <cell r="BC488">
            <v>2017.472966338051</v>
          </cell>
          <cell r="BE488">
            <v>1513.104724753538</v>
          </cell>
        </row>
        <row r="489">
          <cell r="I489" t="str">
            <v>KFO8OM5TBZHC</v>
          </cell>
          <cell r="J489" t="str">
            <v>U0807015</v>
          </cell>
          <cell r="K489" t="str">
            <v>8FO OM5 TIGHT BUFFERED LSZH UNIVERSAL Cca LIME GREEN RAL 6039</v>
          </cell>
          <cell r="L489" t="str">
            <v>8FO OM5 STRUCTURE SERRÉE  LSZH UNIVERSEL Cca VERT LIME RAL 6039</v>
          </cell>
          <cell r="M489" t="str">
            <v>Cca</v>
          </cell>
          <cell r="N489" t="str">
            <v>China</v>
          </cell>
          <cell r="O489"/>
          <cell r="P489" t="str">
            <v>4000m drum</v>
          </cell>
          <cell r="Q489" t="str">
            <v>4KM</v>
          </cell>
          <cell r="R489">
            <v>4</v>
          </cell>
          <cell r="S489" t="e">
            <v>#N/A</v>
          </cell>
          <cell r="T489">
            <v>8544700000</v>
          </cell>
          <cell r="U489">
            <v>0</v>
          </cell>
          <cell r="V489">
            <v>30</v>
          </cell>
          <cell r="W489">
            <v>45</v>
          </cell>
          <cell r="X489">
            <v>55</v>
          </cell>
          <cell r="Y489" t="str">
            <v>T/T against copy of document</v>
          </cell>
          <cell r="Z489">
            <v>2254.1196185612262</v>
          </cell>
          <cell r="AA489">
            <v>1940.6491115884103</v>
          </cell>
          <cell r="AB489">
            <v>0.1</v>
          </cell>
          <cell r="AC489">
            <v>0.1</v>
          </cell>
          <cell r="AD489">
            <v>0.27</v>
          </cell>
          <cell r="AE489" t="str">
            <v>C</v>
          </cell>
          <cell r="AF489">
            <v>1940.6491115884103</v>
          </cell>
          <cell r="AG489">
            <v>0.27</v>
          </cell>
          <cell r="AH489">
            <v>1724.26</v>
          </cell>
          <cell r="AI489">
            <v>1778.2499213094115</v>
          </cell>
          <cell r="AJ489">
            <v>1574.0820571772661</v>
          </cell>
          <cell r="AK489">
            <v>0.21111111111111125</v>
          </cell>
          <cell r="AL489">
            <v>0.18888888888888888</v>
          </cell>
          <cell r="AM489"/>
          <cell r="AN489" t="str">
            <v>SDGI</v>
          </cell>
          <cell r="AO489"/>
          <cell r="AP489"/>
          <cell r="AQ489"/>
          <cell r="AR489"/>
          <cell r="AS489">
            <v>11299</v>
          </cell>
          <cell r="AT489">
            <v>11299</v>
          </cell>
          <cell r="AU489">
            <v>1600.4249291784704</v>
          </cell>
          <cell r="AV489">
            <v>1416.6738514595395</v>
          </cell>
          <cell r="AW489"/>
          <cell r="AX489">
            <v>8544700000</v>
          </cell>
          <cell r="AZ489">
            <v>6468.8303719613677</v>
          </cell>
          <cell r="BA489">
            <v>3881.2982231768206</v>
          </cell>
          <cell r="BB489">
            <v>3234.4151859806839</v>
          </cell>
          <cell r="BC489">
            <v>2587.5321487845472</v>
          </cell>
          <cell r="BE489">
            <v>1940.6491115884103</v>
          </cell>
        </row>
        <row r="490">
          <cell r="I490" t="str">
            <v>KFO12OM5TBZHC</v>
          </cell>
          <cell r="J490" t="str">
            <v>U0807003</v>
          </cell>
          <cell r="K490" t="str">
            <v>12FO OM5 TIGHT BUFFERED LSZH UNIVERSAL Cca LIME GREEN RAL 6039</v>
          </cell>
          <cell r="L490" t="str">
            <v>12FO OM5 STRUCTURE SERRÉE  LSZH UNIVERSEL Cca VERT LIME RAL 6039</v>
          </cell>
          <cell r="M490" t="str">
            <v>Cca</v>
          </cell>
          <cell r="N490" t="str">
            <v>China</v>
          </cell>
          <cell r="O490"/>
          <cell r="P490" t="str">
            <v>4000m drum</v>
          </cell>
          <cell r="Q490" t="str">
            <v>4KM</v>
          </cell>
          <cell r="R490">
            <v>4</v>
          </cell>
          <cell r="S490" t="e">
            <v>#N/A</v>
          </cell>
          <cell r="T490">
            <v>8544700000</v>
          </cell>
          <cell r="U490">
            <v>0</v>
          </cell>
          <cell r="V490">
            <v>30</v>
          </cell>
          <cell r="W490">
            <v>45</v>
          </cell>
          <cell r="X490">
            <v>55</v>
          </cell>
          <cell r="Y490" t="str">
            <v>T/T against copy of document</v>
          </cell>
          <cell r="Z490">
            <v>3245.4215377249334</v>
          </cell>
          <cell r="AA490">
            <v>2779.0342963486632</v>
          </cell>
          <cell r="AB490">
            <v>0.1</v>
          </cell>
          <cell r="AC490">
            <v>0.1</v>
          </cell>
          <cell r="AD490">
            <v>0.27</v>
          </cell>
          <cell r="AE490" t="str">
            <v>C</v>
          </cell>
          <cell r="AF490">
            <v>2779.0342963486632</v>
          </cell>
          <cell r="AG490">
            <v>0.27</v>
          </cell>
          <cell r="AH490">
            <v>2584.56</v>
          </cell>
          <cell r="AI490">
            <v>2560.2769908718915</v>
          </cell>
          <cell r="AJ490">
            <v>2254.1055959272489</v>
          </cell>
          <cell r="AK490">
            <v>0.21111111111111125</v>
          </cell>
          <cell r="AL490">
            <v>0.18888888888888888</v>
          </cell>
          <cell r="AM490"/>
          <cell r="AN490" t="str">
            <v>SDGI</v>
          </cell>
          <cell r="AO490"/>
          <cell r="AP490"/>
          <cell r="AQ490"/>
          <cell r="AR490"/>
          <cell r="AS490">
            <v>16268</v>
          </cell>
          <cell r="AT490">
            <v>16268</v>
          </cell>
          <cell r="AU490">
            <v>2304.2492917847026</v>
          </cell>
          <cell r="AV490">
            <v>2028.695036334524</v>
          </cell>
          <cell r="AW490"/>
          <cell r="AX490">
            <v>8544700000</v>
          </cell>
          <cell r="AZ490">
            <v>9263.4476544955451</v>
          </cell>
          <cell r="BA490">
            <v>5558.0685926973265</v>
          </cell>
          <cell r="BB490">
            <v>4631.7238272477725</v>
          </cell>
          <cell r="BC490">
            <v>3705.3790617982181</v>
          </cell>
          <cell r="BE490">
            <v>2779.0342963486632</v>
          </cell>
        </row>
        <row r="491">
          <cell r="I491" t="str">
            <v>KFO24OM5TBZHC</v>
          </cell>
          <cell r="J491" t="str">
            <v>U0807007</v>
          </cell>
          <cell r="K491" t="str">
            <v>24FO OM5 TIGHT BUFFERED LSZH UNIVERSAL Cca LIME GREEN RAL 6039</v>
          </cell>
          <cell r="L491" t="str">
            <v>24FO OM5 STRUCTURE SERRÉE  LSZH UNIVERSEL Cca VERT LIME RAL 6039</v>
          </cell>
          <cell r="M491" t="str">
            <v>Cca</v>
          </cell>
          <cell r="N491" t="str">
            <v>China</v>
          </cell>
          <cell r="O491"/>
          <cell r="P491" t="str">
            <v>2000m drum</v>
          </cell>
          <cell r="Q491" t="str">
            <v>2KM</v>
          </cell>
          <cell r="R491">
            <v>4</v>
          </cell>
          <cell r="S491" t="e">
            <v>#N/A</v>
          </cell>
          <cell r="T491">
            <v>8544700000</v>
          </cell>
          <cell r="U491">
            <v>0</v>
          </cell>
          <cell r="V491">
            <v>30</v>
          </cell>
          <cell r="W491">
            <v>45</v>
          </cell>
          <cell r="X491">
            <v>55</v>
          </cell>
          <cell r="Y491" t="str">
            <v>T/T against copy of document</v>
          </cell>
          <cell r="Z491">
            <v>6390.2964529385954</v>
          </cell>
          <cell r="AA491">
            <v>5438.7855647247206</v>
          </cell>
          <cell r="AB491">
            <v>0.1</v>
          </cell>
          <cell r="AC491">
            <v>0.1</v>
          </cell>
          <cell r="AD491">
            <v>0.27</v>
          </cell>
          <cell r="AE491" t="str">
            <v>C</v>
          </cell>
          <cell r="AF491">
            <v>5438.7855647247206</v>
          </cell>
          <cell r="AG491">
            <v>0.27</v>
          </cell>
          <cell r="AH491">
            <v>4888.97</v>
          </cell>
          <cell r="AI491">
            <v>5041.2338684293363</v>
          </cell>
          <cell r="AJ491">
            <v>4411.4594024989401</v>
          </cell>
          <cell r="AK491">
            <v>0.21111111111111114</v>
          </cell>
          <cell r="AL491">
            <v>0.18888888888888888</v>
          </cell>
          <cell r="AM491"/>
          <cell r="AN491" t="str">
            <v>SDGI</v>
          </cell>
          <cell r="AO491"/>
          <cell r="AP491"/>
          <cell r="AQ491"/>
          <cell r="AR491"/>
          <cell r="AS491">
            <v>32032</v>
          </cell>
          <cell r="AT491">
            <v>32032</v>
          </cell>
          <cell r="AU491">
            <v>4537.1104815864028</v>
          </cell>
          <cell r="AV491">
            <v>3970.3134622490461</v>
          </cell>
          <cell r="AW491"/>
          <cell r="AX491">
            <v>8544700000</v>
          </cell>
          <cell r="AZ491">
            <v>18129.285215749071</v>
          </cell>
          <cell r="BA491">
            <v>10877.571129449441</v>
          </cell>
          <cell r="BB491">
            <v>9064.6426078745353</v>
          </cell>
          <cell r="BC491">
            <v>7251.7140862996284</v>
          </cell>
          <cell r="BE491">
            <v>5438.7855647247206</v>
          </cell>
        </row>
        <row r="492">
          <cell r="I492" t="str">
            <v>KFO48OM4MT</v>
          </cell>
          <cell r="J492" t="str">
            <v>U0805002</v>
          </cell>
          <cell r="K492" t="str">
            <v>48FO OM4 MULTI LOOSE TUBE PEHD OUTDOOR BLACK RAL 9005</v>
          </cell>
          <cell r="L492" t="str">
            <v xml:space="preserve">48FO OM4 MULTI TUBE STRUCTURE LIBRE PEHD EXTÉRIEUR NOIR RAL9005 </v>
          </cell>
          <cell r="M492" t="str">
            <v>Dca</v>
          </cell>
          <cell r="N492" t="str">
            <v>China</v>
          </cell>
          <cell r="O492"/>
          <cell r="P492" t="str">
            <v>4000m drum</v>
          </cell>
          <cell r="Q492" t="str">
            <v>4KM</v>
          </cell>
          <cell r="R492">
            <v>4</v>
          </cell>
          <cell r="S492" t="e">
            <v>#N/A</v>
          </cell>
          <cell r="T492">
            <v>8544700000</v>
          </cell>
          <cell r="U492">
            <v>0</v>
          </cell>
          <cell r="V492">
            <v>30</v>
          </cell>
          <cell r="W492">
            <v>45</v>
          </cell>
          <cell r="X492">
            <v>55</v>
          </cell>
          <cell r="Y492" t="str">
            <v>T/T against copy of document</v>
          </cell>
          <cell r="Z492">
            <v>5173.3711048158648</v>
          </cell>
          <cell r="AA492">
            <v>4414.2047753945772</v>
          </cell>
          <cell r="AB492">
            <v>0.1</v>
          </cell>
          <cell r="AC492">
            <v>0.1</v>
          </cell>
          <cell r="AD492">
            <v>0.23</v>
          </cell>
          <cell r="AE492" t="str">
            <v>C</v>
          </cell>
          <cell r="AF492">
            <v>4414.2047753945772</v>
          </cell>
          <cell r="AG492">
            <v>0.22999999999999998</v>
          </cell>
          <cell r="AH492">
            <v>4566.18</v>
          </cell>
          <cell r="AI492">
            <v>4311.1425873465532</v>
          </cell>
          <cell r="AJ492">
            <v>3776.5974189486942</v>
          </cell>
          <cell r="AK492">
            <v>0.16666666666666685</v>
          </cell>
          <cell r="AL492">
            <v>0.14444444444444438</v>
          </cell>
          <cell r="AM492"/>
          <cell r="AN492" t="str">
            <v>SDGI</v>
          </cell>
          <cell r="AO492"/>
          <cell r="AP492"/>
          <cell r="AQ492"/>
          <cell r="AR492"/>
          <cell r="AS492">
            <v>27393</v>
          </cell>
          <cell r="AT492">
            <v>27393</v>
          </cell>
          <cell r="AU492">
            <v>3880.0283286118984</v>
          </cell>
          <cell r="AV492">
            <v>3398.9376770538247</v>
          </cell>
          <cell r="AW492"/>
          <cell r="AX492">
            <v>8544700000</v>
          </cell>
          <cell r="AZ492">
            <v>14714.015917981924</v>
          </cell>
          <cell r="BA492">
            <v>8828.4095507891543</v>
          </cell>
          <cell r="BB492">
            <v>7357.0079589909619</v>
          </cell>
          <cell r="BC492">
            <v>5885.6063671927695</v>
          </cell>
          <cell r="BE492">
            <v>4414.2047753945772</v>
          </cell>
        </row>
        <row r="493">
          <cell r="I493" t="str">
            <v>KFO96OM4MT</v>
          </cell>
          <cell r="J493" t="str">
            <v>U0805005</v>
          </cell>
          <cell r="K493" t="str">
            <v>96FO OM4 MULTI LOOSE TUBE PEHD OUTDOOR BLACK RAL 9005</v>
          </cell>
          <cell r="L493" t="str">
            <v xml:space="preserve">96FO OM4 MULTI TUBE STRUCTURE LIBREPEHD EXTÉRIEUR NOIR RAL9005 </v>
          </cell>
          <cell r="M493" t="str">
            <v>Dca</v>
          </cell>
          <cell r="N493" t="str">
            <v>China</v>
          </cell>
          <cell r="O493"/>
          <cell r="P493" t="str">
            <v>4000m drum</v>
          </cell>
          <cell r="Q493" t="str">
            <v>4KM</v>
          </cell>
          <cell r="R493">
            <v>4</v>
          </cell>
          <cell r="S493" t="e">
            <v>#N/A</v>
          </cell>
          <cell r="T493">
            <v>8544700000</v>
          </cell>
          <cell r="U493">
            <v>0</v>
          </cell>
          <cell r="V493">
            <v>30</v>
          </cell>
          <cell r="W493">
            <v>45</v>
          </cell>
          <cell r="X493">
            <v>55</v>
          </cell>
          <cell r="Y493" t="str">
            <v>T/T against copy of document</v>
          </cell>
          <cell r="Z493">
            <v>10230.594900849859</v>
          </cell>
          <cell r="AA493">
            <v>8697.5676743505301</v>
          </cell>
          <cell r="AB493">
            <v>0.1</v>
          </cell>
          <cell r="AC493">
            <v>0.1</v>
          </cell>
          <cell r="AD493">
            <v>0.23</v>
          </cell>
          <cell r="AE493" t="str">
            <v>C</v>
          </cell>
          <cell r="AF493">
            <v>8697.5676743505301</v>
          </cell>
          <cell r="AG493">
            <v>0.22999999999999998</v>
          </cell>
          <cell r="AH493">
            <v>8585.2900000000009</v>
          </cell>
          <cell r="AI493">
            <v>8525.4957507082145</v>
          </cell>
          <cell r="AJ493">
            <v>7441.2523436110087</v>
          </cell>
          <cell r="AK493">
            <v>0.16666666666666685</v>
          </cell>
          <cell r="AL493">
            <v>0.14444444444444449</v>
          </cell>
          <cell r="AM493"/>
          <cell r="AN493" t="str">
            <v>SDGI</v>
          </cell>
          <cell r="AO493"/>
          <cell r="AP493"/>
          <cell r="AQ493"/>
          <cell r="AR493"/>
          <cell r="AS493">
            <v>54171</v>
          </cell>
          <cell r="AT493">
            <v>54171</v>
          </cell>
          <cell r="AU493">
            <v>7672.9461756373939</v>
          </cell>
          <cell r="AV493">
            <v>6697.1271092499082</v>
          </cell>
          <cell r="AW493"/>
          <cell r="AX493">
            <v>8544700000</v>
          </cell>
          <cell r="AZ493">
            <v>28991.892247835101</v>
          </cell>
          <cell r="BA493">
            <v>17395.13534870106</v>
          </cell>
          <cell r="BB493">
            <v>14495.946123917551</v>
          </cell>
          <cell r="BC493">
            <v>11596.756899134041</v>
          </cell>
          <cell r="BE493">
            <v>8697.5676743505301</v>
          </cell>
        </row>
        <row r="494">
          <cell r="I494" t="str">
            <v>KFO48OM4MTA</v>
          </cell>
          <cell r="J494" t="str">
            <v>U0804002</v>
          </cell>
          <cell r="K494" t="str">
            <v>48FO OM4 MULTI LOOSE TUBE ARMORDED PEHD OUTDOOR BLACK RAL 9005</v>
          </cell>
          <cell r="L494" t="str">
            <v xml:space="preserve">48FO OM4 MULTI TUBE STRUCTURE LIBRE ARMÉ PEHD EXTÉRIEUR NOIR RAL9005 </v>
          </cell>
          <cell r="M494" t="str">
            <v>Dca</v>
          </cell>
          <cell r="N494" t="str">
            <v>China</v>
          </cell>
          <cell r="O494"/>
          <cell r="P494" t="str">
            <v>4000m drum</v>
          </cell>
          <cell r="Q494" t="str">
            <v>4KM</v>
          </cell>
          <cell r="R494">
            <v>4</v>
          </cell>
          <cell r="S494" t="e">
            <v>#N/A</v>
          </cell>
          <cell r="T494">
            <v>8544700000</v>
          </cell>
          <cell r="U494">
            <v>0</v>
          </cell>
          <cell r="V494">
            <v>30</v>
          </cell>
          <cell r="W494">
            <v>45</v>
          </cell>
          <cell r="X494">
            <v>55</v>
          </cell>
          <cell r="Y494" t="str">
            <v>T/T against copy of document</v>
          </cell>
          <cell r="Z494">
            <v>5234.372049102928</v>
          </cell>
          <cell r="AA494">
            <v>4465.8713007647611</v>
          </cell>
          <cell r="AB494">
            <v>0.1</v>
          </cell>
          <cell r="AC494">
            <v>0.1</v>
          </cell>
          <cell r="AD494">
            <v>0.23</v>
          </cell>
          <cell r="AE494" t="str">
            <v>C</v>
          </cell>
          <cell r="AF494">
            <v>4465.8713007647611</v>
          </cell>
          <cell r="AG494">
            <v>0.22999999999999998</v>
          </cell>
          <cell r="AH494">
            <v>4645.59</v>
          </cell>
          <cell r="AI494">
            <v>4361.9767075857726</v>
          </cell>
          <cell r="AJ494">
            <v>3820.8010017654069</v>
          </cell>
          <cell r="AK494">
            <v>0.16666666666666685</v>
          </cell>
          <cell r="AL494">
            <v>0.14444444444444438</v>
          </cell>
          <cell r="AM494"/>
          <cell r="AN494" t="str">
            <v>SDGI</v>
          </cell>
          <cell r="AO494"/>
          <cell r="AP494"/>
          <cell r="AQ494"/>
          <cell r="AR494"/>
          <cell r="AS494">
            <v>27716</v>
          </cell>
          <cell r="AT494">
            <v>27716</v>
          </cell>
          <cell r="AU494">
            <v>3925.7790368271958</v>
          </cell>
          <cell r="AV494">
            <v>3438.7209015888661</v>
          </cell>
          <cell r="AW494"/>
          <cell r="AX494">
            <v>8544700000</v>
          </cell>
          <cell r="AZ494">
            <v>14886.23766921587</v>
          </cell>
          <cell r="BA494">
            <v>8931.7426015295223</v>
          </cell>
          <cell r="BB494">
            <v>7443.1188346079352</v>
          </cell>
          <cell r="BC494">
            <v>5954.4950676863482</v>
          </cell>
          <cell r="BE494">
            <v>4465.8713007647611</v>
          </cell>
        </row>
        <row r="495">
          <cell r="I495" t="str">
            <v>KFO96OM4MTA</v>
          </cell>
          <cell r="J495" t="str">
            <v>U0804005</v>
          </cell>
          <cell r="K495" t="str">
            <v>96FO OM4 MULTI LOOSE TUBE ARMORDED PEHD OUTDOOR BLACK RAL 9005</v>
          </cell>
          <cell r="L495" t="str">
            <v xml:space="preserve">96FO OM4 MULTI TUBE STRUCTURE LIBRE ARMÉ PEHD EXTÉRIEUR NOIR RAL9005 </v>
          </cell>
          <cell r="M495" t="str">
            <v>Dca</v>
          </cell>
          <cell r="N495" t="str">
            <v>China</v>
          </cell>
          <cell r="O495"/>
          <cell r="P495" t="str">
            <v>4000m drum</v>
          </cell>
          <cell r="Q495" t="str">
            <v>4KM</v>
          </cell>
          <cell r="R495">
            <v>4</v>
          </cell>
          <cell r="S495" t="e">
            <v>#N/A</v>
          </cell>
          <cell r="T495">
            <v>8544700000</v>
          </cell>
          <cell r="U495">
            <v>0</v>
          </cell>
          <cell r="V495">
            <v>30</v>
          </cell>
          <cell r="W495">
            <v>45</v>
          </cell>
          <cell r="X495">
            <v>55</v>
          </cell>
          <cell r="Y495" t="str">
            <v>T/T against copy of document</v>
          </cell>
          <cell r="Z495">
            <v>10293.862134088764</v>
          </cell>
          <cell r="AA495">
            <v>8751.1536991152716</v>
          </cell>
          <cell r="AB495">
            <v>0.1</v>
          </cell>
          <cell r="AC495">
            <v>0.1</v>
          </cell>
          <cell r="AD495">
            <v>0.23</v>
          </cell>
          <cell r="AE495" t="str">
            <v>C</v>
          </cell>
          <cell r="AF495">
            <v>8751.1536991152716</v>
          </cell>
          <cell r="AG495">
            <v>0.22999999999999998</v>
          </cell>
          <cell r="AH495">
            <v>8713.24</v>
          </cell>
          <cell r="AI495">
            <v>8578.2184450739696</v>
          </cell>
          <cell r="AJ495">
            <v>7487.0981647986209</v>
          </cell>
          <cell r="AK495">
            <v>0.16666666666666674</v>
          </cell>
          <cell r="AL495">
            <v>0.14444444444444449</v>
          </cell>
          <cell r="AM495"/>
          <cell r="AN495" t="str">
            <v>SDGI</v>
          </cell>
          <cell r="AO495"/>
          <cell r="AP495"/>
          <cell r="AQ495"/>
          <cell r="AR495"/>
          <cell r="AS495">
            <v>54506</v>
          </cell>
          <cell r="AT495">
            <v>54506</v>
          </cell>
          <cell r="AU495">
            <v>7720.3966005665725</v>
          </cell>
          <cell r="AV495">
            <v>6738.3883483187592</v>
          </cell>
          <cell r="AW495"/>
          <cell r="AX495">
            <v>8544700000</v>
          </cell>
          <cell r="AZ495">
            <v>29170.512330384241</v>
          </cell>
          <cell r="BA495">
            <v>17502.307398230543</v>
          </cell>
          <cell r="BB495">
            <v>14585.256165192121</v>
          </cell>
          <cell r="BC495">
            <v>11668.204932153698</v>
          </cell>
          <cell r="BE495">
            <v>8751.1536991152716</v>
          </cell>
        </row>
        <row r="496">
          <cell r="I496" t="str">
            <v>KFO6OM5CTZHD</v>
          </cell>
          <cell r="J496" t="str">
            <v>U0803012</v>
          </cell>
          <cell r="K496" t="str">
            <v>6FO OM5 CENTRAL LOOSE TUBE LSZH UNIVERSAL Dca LIME GREEN RAL 6039</v>
          </cell>
          <cell r="L496" t="str">
            <v>6FO OM5 TUBE CENTRAL STRUCTURE LIBRE LSZH UNIVERSEL Dca VERT LIME RAL 6039</v>
          </cell>
          <cell r="M496" t="str">
            <v>Dca</v>
          </cell>
          <cell r="N496" t="str">
            <v>China</v>
          </cell>
          <cell r="O496"/>
          <cell r="P496" t="str">
            <v>4000m drum</v>
          </cell>
          <cell r="Q496" t="str">
            <v>4KM</v>
          </cell>
          <cell r="R496">
            <v>4</v>
          </cell>
          <cell r="S496" t="e">
            <v>#N/A</v>
          </cell>
          <cell r="T496">
            <v>8544700000</v>
          </cell>
          <cell r="U496">
            <v>0</v>
          </cell>
          <cell r="V496">
            <v>30</v>
          </cell>
          <cell r="W496">
            <v>45</v>
          </cell>
          <cell r="X496">
            <v>55</v>
          </cell>
          <cell r="Y496" t="str">
            <v>T/T against copy of document</v>
          </cell>
          <cell r="Z496">
            <v>1578.937294234745</v>
          </cell>
          <cell r="AA496">
            <v>1369.7524001529878</v>
          </cell>
          <cell r="AB496">
            <v>0.1</v>
          </cell>
          <cell r="AC496">
            <v>0.1</v>
          </cell>
          <cell r="AD496">
            <v>0.24</v>
          </cell>
          <cell r="AE496" t="str">
            <v>C</v>
          </cell>
          <cell r="AF496">
            <v>1369.7524001529878</v>
          </cell>
          <cell r="AG496">
            <v>0.24</v>
          </cell>
          <cell r="AH496" t="e">
            <v>#N/A</v>
          </cell>
          <cell r="AI496">
            <v>1298.2373308152346</v>
          </cell>
          <cell r="AJ496">
            <v>1156.6798045736341</v>
          </cell>
          <cell r="AK496">
            <v>0.17777777777777792</v>
          </cell>
          <cell r="AL496">
            <v>0.15555555555555556</v>
          </cell>
          <cell r="AM496"/>
          <cell r="AN496" t="str">
            <v>SDGI</v>
          </cell>
          <cell r="AO496"/>
          <cell r="AP496"/>
          <cell r="AQ496"/>
          <cell r="AR496"/>
          <cell r="AS496">
            <v>8249</v>
          </cell>
          <cell r="AT496">
            <v>8249</v>
          </cell>
          <cell r="AU496">
            <v>1168.4135977337112</v>
          </cell>
          <cell r="AV496">
            <v>1041.0118241162706</v>
          </cell>
          <cell r="AW496"/>
          <cell r="AX496">
            <v>8544700000</v>
          </cell>
          <cell r="AZ496">
            <v>4565.8413338432929</v>
          </cell>
          <cell r="BA496">
            <v>2739.5048003059756</v>
          </cell>
          <cell r="BB496">
            <v>2282.9206669216464</v>
          </cell>
          <cell r="BC496">
            <v>1826.3365335373173</v>
          </cell>
          <cell r="BE496">
            <v>1369.7524001529878</v>
          </cell>
        </row>
        <row r="497">
          <cell r="I497" t="str">
            <v>KFO8OM5CTZHD</v>
          </cell>
          <cell r="J497" t="str">
            <v>U0803017</v>
          </cell>
          <cell r="K497" t="str">
            <v>8FO OM5 CENTRAL LOOSE TUBE LSZH UNIVERSAL Dca LIME GREEN RAL 6039</v>
          </cell>
          <cell r="L497" t="str">
            <v>8FO OM5 TUBE CENTRAL STRUCTURE LIBRE LSZH UNIVERSEL Dca VERT LIME RAL 6039</v>
          </cell>
          <cell r="M497" t="str">
            <v>Dca</v>
          </cell>
          <cell r="N497" t="str">
            <v>China</v>
          </cell>
          <cell r="O497"/>
          <cell r="P497" t="str">
            <v>4000m drum</v>
          </cell>
          <cell r="Q497" t="str">
            <v>4KM</v>
          </cell>
          <cell r="R497">
            <v>4</v>
          </cell>
          <cell r="S497" t="e">
            <v>#N/A</v>
          </cell>
          <cell r="T497">
            <v>8544700000</v>
          </cell>
          <cell r="U497">
            <v>0</v>
          </cell>
          <cell r="V497">
            <v>30</v>
          </cell>
          <cell r="W497">
            <v>45</v>
          </cell>
          <cell r="X497">
            <v>55</v>
          </cell>
          <cell r="Y497" t="str">
            <v>T/T against copy of document</v>
          </cell>
          <cell r="Z497">
            <v>2030.8552178240566</v>
          </cell>
          <cell r="AA497">
            <v>1752.3831363727711</v>
          </cell>
          <cell r="AB497">
            <v>0.1</v>
          </cell>
          <cell r="AC497">
            <v>0.1</v>
          </cell>
          <cell r="AD497">
            <v>0.24</v>
          </cell>
          <cell r="AE497" t="str">
            <v>C</v>
          </cell>
          <cell r="AF497">
            <v>1752.3831363727711</v>
          </cell>
          <cell r="AG497">
            <v>0.24</v>
          </cell>
          <cell r="AH497" t="e">
            <v>#N/A</v>
          </cell>
          <cell r="AI497">
            <v>1669.8142902108909</v>
          </cell>
          <cell r="AJ497">
            <v>1479.7902040481179</v>
          </cell>
          <cell r="AK497">
            <v>0.17777777777777781</v>
          </cell>
          <cell r="AL497">
            <v>0.15555555555555556</v>
          </cell>
          <cell r="AM497"/>
          <cell r="AN497" t="str">
            <v>SDGI</v>
          </cell>
          <cell r="AO497"/>
          <cell r="AP497"/>
          <cell r="AQ497"/>
          <cell r="AR497"/>
          <cell r="AS497">
            <v>10610</v>
          </cell>
          <cell r="AT497">
            <v>10610</v>
          </cell>
          <cell r="AU497">
            <v>1502.8328611898019</v>
          </cell>
          <cell r="AV497">
            <v>1331.8111836433061</v>
          </cell>
          <cell r="AW497"/>
          <cell r="AX497">
            <v>8544700000</v>
          </cell>
          <cell r="AZ497">
            <v>5841.2771212425705</v>
          </cell>
          <cell r="BA497">
            <v>3504.7662727455422</v>
          </cell>
          <cell r="BB497">
            <v>2920.6385606212853</v>
          </cell>
          <cell r="BC497">
            <v>2336.5108484970283</v>
          </cell>
          <cell r="BE497">
            <v>1752.3831363727711</v>
          </cell>
        </row>
        <row r="498">
          <cell r="I498" t="str">
            <v>KFO12OM5CTZHD</v>
          </cell>
          <cell r="J498" t="str">
            <v>U0803003</v>
          </cell>
          <cell r="K498" t="str">
            <v>12FO OM5 CENTRAL LOOSE TUBE LSZH UNIVERSAL Dca LIME GREEN RAL 6039</v>
          </cell>
          <cell r="L498" t="str">
            <v>12FO OM5 TUBE CENTRAL STRUCTURE LIBRE LSZH UNIVERSEL Dca VERT LIME RAL 6039</v>
          </cell>
          <cell r="M498" t="str">
            <v>Dca</v>
          </cell>
          <cell r="N498" t="str">
            <v>China</v>
          </cell>
          <cell r="O498"/>
          <cell r="P498" t="str">
            <v>4000m drum</v>
          </cell>
          <cell r="Q498" t="str">
            <v>4KM</v>
          </cell>
          <cell r="R498">
            <v>4</v>
          </cell>
          <cell r="S498" t="e">
            <v>#N/A</v>
          </cell>
          <cell r="T498">
            <v>8544700000</v>
          </cell>
          <cell r="U498">
            <v>0</v>
          </cell>
          <cell r="V498">
            <v>30</v>
          </cell>
          <cell r="W498">
            <v>45</v>
          </cell>
          <cell r="X498">
            <v>55</v>
          </cell>
          <cell r="Y498" t="str">
            <v>T/T against copy of document</v>
          </cell>
          <cell r="Z498">
            <v>2937.3707985606006</v>
          </cell>
          <cell r="AA498">
            <v>2519.9134907721332</v>
          </cell>
          <cell r="AB498">
            <v>0.1</v>
          </cell>
          <cell r="AC498">
            <v>0.1</v>
          </cell>
          <cell r="AD498">
            <v>0.24</v>
          </cell>
          <cell r="AE498" t="str">
            <v>C</v>
          </cell>
          <cell r="AF498">
            <v>2519.9134907721332</v>
          </cell>
          <cell r="AG498">
            <v>0.24</v>
          </cell>
          <cell r="AH498" t="e">
            <v>#N/A</v>
          </cell>
          <cell r="AI498">
            <v>2415.1715454831601</v>
          </cell>
          <cell r="AJ498">
            <v>2127.9269477631346</v>
          </cell>
          <cell r="AK498">
            <v>0.17777777777777792</v>
          </cell>
          <cell r="AL498">
            <v>0.15555555555555556</v>
          </cell>
          <cell r="AM498"/>
          <cell r="AN498" t="str">
            <v>SDGI</v>
          </cell>
          <cell r="AO498"/>
          <cell r="AP498"/>
          <cell r="AQ498"/>
          <cell r="AR498"/>
          <cell r="AS498">
            <v>15346</v>
          </cell>
          <cell r="AT498">
            <v>15346</v>
          </cell>
          <cell r="AU498">
            <v>2173.6543909348443</v>
          </cell>
          <cell r="AV498">
            <v>1915.1342529868214</v>
          </cell>
          <cell r="AW498"/>
          <cell r="AX498">
            <v>8544700000</v>
          </cell>
          <cell r="AZ498">
            <v>8399.7116359071115</v>
          </cell>
          <cell r="BA498">
            <v>5039.8269815442663</v>
          </cell>
          <cell r="BB498">
            <v>4199.8558179535557</v>
          </cell>
          <cell r="BC498">
            <v>3359.8846543628447</v>
          </cell>
          <cell r="BE498">
            <v>2519.9134907721332</v>
          </cell>
        </row>
        <row r="499">
          <cell r="I499" t="str">
            <v>KFO24OM5CTZHD</v>
          </cell>
          <cell r="J499" t="str">
            <v>U0803007</v>
          </cell>
          <cell r="K499" t="str">
            <v>24FO OM5 CENTRAL LOOSE TUBE LSZH UNIVERSAL Dca LIME GREEN RAL 6039</v>
          </cell>
          <cell r="L499" t="str">
            <v>24FO OM5 TUBE CENTRAL STRUCTURE LIBRE LSZH UNIVERSEL Dca VERT LIME RAL 6039</v>
          </cell>
          <cell r="M499" t="str">
            <v>Dca</v>
          </cell>
          <cell r="N499" t="str">
            <v>China</v>
          </cell>
          <cell r="O499"/>
          <cell r="P499" t="str">
            <v>4000m drum</v>
          </cell>
          <cell r="Q499" t="str">
            <v>4KM</v>
          </cell>
          <cell r="R499">
            <v>4</v>
          </cell>
          <cell r="S499" t="e">
            <v>#N/A</v>
          </cell>
          <cell r="T499">
            <v>8544700000</v>
          </cell>
          <cell r="U499">
            <v>0</v>
          </cell>
          <cell r="V499">
            <v>30</v>
          </cell>
          <cell r="W499">
            <v>45</v>
          </cell>
          <cell r="X499">
            <v>55</v>
          </cell>
          <cell r="Y499" t="str">
            <v>T/T against copy of document</v>
          </cell>
          <cell r="Z499">
            <v>5713.5747645662659</v>
          </cell>
          <cell r="AA499">
            <v>4870.4752011201799</v>
          </cell>
          <cell r="AB499">
            <v>0.1</v>
          </cell>
          <cell r="AC499">
            <v>0.1</v>
          </cell>
          <cell r="AD499">
            <v>0.24</v>
          </cell>
          <cell r="AE499" t="str">
            <v>C</v>
          </cell>
          <cell r="AF499">
            <v>4870.4752011201799</v>
          </cell>
          <cell r="AG499">
            <v>0.24</v>
          </cell>
          <cell r="AH499" t="e">
            <v>#N/A</v>
          </cell>
          <cell r="AI499">
            <v>4697.8281397544852</v>
          </cell>
          <cell r="AJ499">
            <v>4112.8457253903744</v>
          </cell>
          <cell r="AK499">
            <v>0.17777777777777781</v>
          </cell>
          <cell r="AL499">
            <v>0.15555555555555556</v>
          </cell>
          <cell r="AM499"/>
          <cell r="AN499" t="str">
            <v>SDGI</v>
          </cell>
          <cell r="AO499"/>
          <cell r="AP499"/>
          <cell r="AQ499"/>
          <cell r="AR499"/>
          <cell r="AS499">
            <v>29850</v>
          </cell>
          <cell r="AT499">
            <v>29850</v>
          </cell>
          <cell r="AU499">
            <v>4228.0453257790368</v>
          </cell>
          <cell r="AV499">
            <v>3701.5611528513368</v>
          </cell>
          <cell r="AW499"/>
          <cell r="AX499">
            <v>8544700000</v>
          </cell>
          <cell r="AZ499">
            <v>16234.917337067267</v>
          </cell>
          <cell r="BA499">
            <v>9740.9504022403598</v>
          </cell>
          <cell r="BB499">
            <v>8117.4586685336335</v>
          </cell>
          <cell r="BC499">
            <v>6493.9669348269072</v>
          </cell>
          <cell r="BE499">
            <v>4870.4752011201799</v>
          </cell>
        </row>
        <row r="500">
          <cell r="I500" t="str">
            <v>KFO48OM5MTZHD</v>
          </cell>
          <cell r="J500" t="str">
            <v>U0806003</v>
          </cell>
          <cell r="K500" t="str">
            <v>48FO OM5 MULTI LOOSE TUBE LSZH UNIVERSAL Dca LIME GREEN RAL 6039</v>
          </cell>
          <cell r="L500" t="str">
            <v>48FO OM5 MULTI TUBE STRUCTURE LIBRE LSZH UNIVERSEL Dca VERT LIME RAL 6039</v>
          </cell>
          <cell r="M500" t="str">
            <v>Dca</v>
          </cell>
          <cell r="N500" t="str">
            <v>China</v>
          </cell>
          <cell r="O500"/>
          <cell r="P500" t="str">
            <v>4000m drum</v>
          </cell>
          <cell r="Q500" t="str">
            <v>4KM</v>
          </cell>
          <cell r="R500">
            <v>4</v>
          </cell>
          <cell r="S500" t="e">
            <v>#N/A</v>
          </cell>
          <cell r="T500">
            <v>8544700000</v>
          </cell>
          <cell r="U500">
            <v>0</v>
          </cell>
          <cell r="V500">
            <v>30</v>
          </cell>
          <cell r="W500">
            <v>45</v>
          </cell>
          <cell r="X500">
            <v>55</v>
          </cell>
          <cell r="Y500" t="str">
            <v>T/T against copy of document</v>
          </cell>
          <cell r="Z500">
            <v>10545.810858007684</v>
          </cell>
          <cell r="AA500">
            <v>8959.0631030094028</v>
          </cell>
          <cell r="AB500">
            <v>0.1</v>
          </cell>
          <cell r="AC500">
            <v>0.1</v>
          </cell>
          <cell r="AD500">
            <v>0.25</v>
          </cell>
          <cell r="AE500" t="str">
            <v>C</v>
          </cell>
          <cell r="AF500">
            <v>8959.0631030094028</v>
          </cell>
          <cell r="AG500">
            <v>0.25</v>
          </cell>
          <cell r="AH500" t="e">
            <v>#N/A</v>
          </cell>
          <cell r="AI500">
            <v>8553.8243626062322</v>
          </cell>
          <cell r="AJ500">
            <v>7465.8859191745023</v>
          </cell>
          <cell r="AK500">
            <v>0.18888888888888888</v>
          </cell>
          <cell r="AL500">
            <v>0.16666666666666663</v>
          </cell>
          <cell r="AM500"/>
          <cell r="AN500" t="str">
            <v>SDGI</v>
          </cell>
          <cell r="AO500"/>
          <cell r="AP500"/>
          <cell r="AQ500"/>
          <cell r="AR500"/>
          <cell r="AS500">
            <v>54351</v>
          </cell>
          <cell r="AT500">
            <v>54351</v>
          </cell>
          <cell r="AU500">
            <v>7698.4419263456093</v>
          </cell>
          <cell r="AV500">
            <v>6719.2973272570525</v>
          </cell>
          <cell r="AW500"/>
          <cell r="AX500">
            <v>8544700000</v>
          </cell>
          <cell r="AZ500">
            <v>29863.543676698009</v>
          </cell>
          <cell r="BA500">
            <v>17918.126206018806</v>
          </cell>
          <cell r="BB500">
            <v>14931.771838349005</v>
          </cell>
          <cell r="BC500">
            <v>11945.417470679204</v>
          </cell>
          <cell r="BE500">
            <v>8959.0631030094028</v>
          </cell>
        </row>
        <row r="501">
          <cell r="I501" t="str">
            <v>KFO96OM5MTZHD</v>
          </cell>
          <cell r="J501" t="str">
            <v>U0806007</v>
          </cell>
          <cell r="K501" t="str">
            <v>96FO OM5 MULTI LOOSE TUBE LSZH UNIVERSAL Dca LIME GREEN RAL 6039</v>
          </cell>
          <cell r="L501" t="str">
            <v>96FO OM5 MULTI TUBE STRUCTURE LIBRE LSZH UNIVERSEL Dca VERT LIME RAL 6039</v>
          </cell>
          <cell r="M501" t="str">
            <v>Dca</v>
          </cell>
          <cell r="N501" t="str">
            <v>China</v>
          </cell>
          <cell r="O501"/>
          <cell r="P501" t="str">
            <v>4000m drum</v>
          </cell>
          <cell r="Q501" t="str">
            <v>4KM</v>
          </cell>
          <cell r="R501">
            <v>4</v>
          </cell>
          <cell r="S501" t="e">
            <v>#N/A</v>
          </cell>
          <cell r="T501">
            <v>8544700000</v>
          </cell>
          <cell r="U501">
            <v>0</v>
          </cell>
          <cell r="V501">
            <v>30</v>
          </cell>
          <cell r="W501">
            <v>45</v>
          </cell>
          <cell r="X501">
            <v>55</v>
          </cell>
          <cell r="Y501" t="str">
            <v>T/T against copy of document</v>
          </cell>
          <cell r="Z501">
            <v>20391.167682098647</v>
          </cell>
          <cell r="AA501">
            <v>17291.944820790741</v>
          </cell>
          <cell r="AB501">
            <v>0.1</v>
          </cell>
          <cell r="AC501">
            <v>0.1</v>
          </cell>
          <cell r="AD501">
            <v>0.25</v>
          </cell>
          <cell r="AE501" t="str">
            <v>C</v>
          </cell>
          <cell r="AF501">
            <v>17291.944820790741</v>
          </cell>
          <cell r="AG501">
            <v>0.25</v>
          </cell>
          <cell r="AH501" t="e">
            <v>#N/A</v>
          </cell>
          <cell r="AI501">
            <v>16539.502675480013</v>
          </cell>
          <cell r="AJ501">
            <v>14409.954017325617</v>
          </cell>
          <cell r="AK501">
            <v>0.18888888888888888</v>
          </cell>
          <cell r="AL501">
            <v>0.16666666666666663</v>
          </cell>
          <cell r="AM501"/>
          <cell r="AN501" t="str">
            <v>SDGI</v>
          </cell>
          <cell r="AO501"/>
          <cell r="AP501"/>
          <cell r="AQ501"/>
          <cell r="AR501"/>
          <cell r="AS501">
            <v>105092</v>
          </cell>
          <cell r="AT501">
            <v>105092</v>
          </cell>
          <cell r="AU501">
            <v>14885.552407932013</v>
          </cell>
          <cell r="AV501">
            <v>12968.958615593056</v>
          </cell>
          <cell r="AW501"/>
          <cell r="AX501">
            <v>8544700000</v>
          </cell>
          <cell r="AZ501">
            <v>57639.816069302469</v>
          </cell>
          <cell r="BA501">
            <v>34583.889641581482</v>
          </cell>
          <cell r="BB501">
            <v>28819.908034651235</v>
          </cell>
          <cell r="BC501">
            <v>23055.926427720988</v>
          </cell>
          <cell r="BE501">
            <v>17291.944820790741</v>
          </cell>
        </row>
        <row r="502">
          <cell r="I502" t="str">
            <v>KFO6OS2CTZHD20</v>
          </cell>
          <cell r="J502" t="str">
            <v>U0803014</v>
          </cell>
          <cell r="K502" t="str">
            <v>6FO OS2 CENTRAL LOOSE TUBE LSZH UNIVERSAL Dca YELLOW RAL1021</v>
          </cell>
          <cell r="L502" t="str">
            <v>6FO OS2 TUBE CENTRAL STRUCTURE LIBRE LSZH UNIVERSEL Dca JAUNE RAL1021</v>
          </cell>
          <cell r="M502" t="str">
            <v>Dca</v>
          </cell>
          <cell r="N502" t="str">
            <v>Vietnam</v>
          </cell>
          <cell r="O502"/>
          <cell r="P502" t="str">
            <v>4000m drum</v>
          </cell>
          <cell r="Q502" t="str">
            <v>4KM</v>
          </cell>
          <cell r="R502">
            <v>4</v>
          </cell>
          <cell r="S502" t="e">
            <v>#N/A</v>
          </cell>
          <cell r="T502">
            <v>8544700000</v>
          </cell>
          <cell r="U502">
            <v>0</v>
          </cell>
          <cell r="V502">
            <v>30</v>
          </cell>
          <cell r="W502">
            <v>45</v>
          </cell>
          <cell r="X502">
            <v>55</v>
          </cell>
          <cell r="Y502" t="str">
            <v>T/T against copy of document</v>
          </cell>
          <cell r="Z502">
            <v>282.05128205128204</v>
          </cell>
          <cell r="AA502">
            <v>270.38043478260869</v>
          </cell>
          <cell r="AB502">
            <v>0.1</v>
          </cell>
          <cell r="AC502">
            <v>0.1</v>
          </cell>
          <cell r="AD502">
            <v>0.2</v>
          </cell>
          <cell r="AE502" t="str">
            <v>C</v>
          </cell>
          <cell r="AF502">
            <v>270.38043478260869</v>
          </cell>
          <cell r="AG502">
            <v>0.19999999999999996</v>
          </cell>
          <cell r="AH502" t="e">
            <v>#N/A</v>
          </cell>
          <cell r="AI502">
            <v>244.44444444444443</v>
          </cell>
          <cell r="AJ502">
            <v>240.33816425120773</v>
          </cell>
          <cell r="AK502">
            <v>0.13333333333333341</v>
          </cell>
          <cell r="AL502">
            <v>0.11111111111111105</v>
          </cell>
          <cell r="AM502"/>
          <cell r="AN502" t="str">
            <v>SDGI VIETNAM</v>
          </cell>
          <cell r="AO502"/>
          <cell r="AP502"/>
          <cell r="AQ502"/>
          <cell r="AR502"/>
          <cell r="AS502"/>
          <cell r="AT502"/>
          <cell r="AU502">
            <v>220</v>
          </cell>
          <cell r="AV502">
            <v>216.30434782608697</v>
          </cell>
          <cell r="AW502"/>
          <cell r="AX502">
            <v>8544700000</v>
          </cell>
          <cell r="AZ502">
            <v>901.268115942029</v>
          </cell>
          <cell r="BA502">
            <v>540.76086956521738</v>
          </cell>
          <cell r="BB502">
            <v>450.6340579710145</v>
          </cell>
          <cell r="BC502">
            <v>360.50724637681162</v>
          </cell>
          <cell r="BE502">
            <v>270.38043478260869</v>
          </cell>
        </row>
        <row r="503">
          <cell r="I503" t="str">
            <v>KFO8OS2CTZHD20</v>
          </cell>
          <cell r="J503" t="str">
            <v>U0803018</v>
          </cell>
          <cell r="K503" t="str">
            <v>8FO OS2 CENTRAL LOOSE TUBE LSZH UNIVERSAL Dca YELLOW RAL1021</v>
          </cell>
          <cell r="L503" t="str">
            <v>8FO OS2 TUBE CENTRAL STRUCTURE LIBRE LSZH UNIVERSEL Dca JAUNE RAL1021</v>
          </cell>
          <cell r="M503" t="str">
            <v>Dca</v>
          </cell>
          <cell r="N503" t="str">
            <v>Vietnam</v>
          </cell>
          <cell r="O503"/>
          <cell r="P503" t="str">
            <v>4000m drum</v>
          </cell>
          <cell r="Q503" t="str">
            <v>4KM</v>
          </cell>
          <cell r="R503">
            <v>4</v>
          </cell>
          <cell r="S503" t="e">
            <v>#N/A</v>
          </cell>
          <cell r="T503">
            <v>8544700000</v>
          </cell>
          <cell r="U503">
            <v>0</v>
          </cell>
          <cell r="V503">
            <v>30</v>
          </cell>
          <cell r="W503">
            <v>45</v>
          </cell>
          <cell r="X503">
            <v>55</v>
          </cell>
          <cell r="Y503" t="str">
            <v>T/T against copy of document</v>
          </cell>
          <cell r="Z503">
            <v>294.87179487179486</v>
          </cell>
          <cell r="AA503">
            <v>281.25</v>
          </cell>
          <cell r="AB503">
            <v>0.1</v>
          </cell>
          <cell r="AC503">
            <v>0.1</v>
          </cell>
          <cell r="AD503">
            <v>0.2</v>
          </cell>
          <cell r="AE503" t="str">
            <v>C</v>
          </cell>
          <cell r="AF503">
            <v>281.25</v>
          </cell>
          <cell r="AG503">
            <v>0.19999999999999984</v>
          </cell>
          <cell r="AH503" t="e">
            <v>#N/A</v>
          </cell>
          <cell r="AI503">
            <v>255.55555555555554</v>
          </cell>
          <cell r="AJ503">
            <v>250.00000000000003</v>
          </cell>
          <cell r="AK503">
            <v>0.1333333333333333</v>
          </cell>
          <cell r="AL503">
            <v>0.11111111111111105</v>
          </cell>
          <cell r="AM503"/>
          <cell r="AN503" t="str">
            <v>SDGI VIETNAM</v>
          </cell>
          <cell r="AO503"/>
          <cell r="AP503"/>
          <cell r="AQ503"/>
          <cell r="AR503"/>
          <cell r="AS503"/>
          <cell r="AT503"/>
          <cell r="AU503">
            <v>230</v>
          </cell>
          <cell r="AV503">
            <v>225.00000000000003</v>
          </cell>
          <cell r="AW503"/>
          <cell r="AX503">
            <v>8544700000</v>
          </cell>
          <cell r="AZ503">
            <v>937.5</v>
          </cell>
          <cell r="BA503">
            <v>562.5</v>
          </cell>
          <cell r="BB503">
            <v>468.75</v>
          </cell>
          <cell r="BC503">
            <v>375</v>
          </cell>
          <cell r="BE503">
            <v>281.25</v>
          </cell>
        </row>
        <row r="504">
          <cell r="I504" t="str">
            <v>KFO12OS2CTZHD20</v>
          </cell>
          <cell r="J504" t="str">
            <v>U0803004</v>
          </cell>
          <cell r="K504" t="str">
            <v>12FO OS2 CENTRAL LOOSE TUBE LSZH UNIVERSAL Dca YELLOW RAL1021</v>
          </cell>
          <cell r="L504" t="str">
            <v>12FO OS2 TUBE CENTRAL STRUCTURE LIBRE LSZH UNIVERSEL Dca JAUNE RAL1021</v>
          </cell>
          <cell r="M504" t="str">
            <v>Dca</v>
          </cell>
          <cell r="N504" t="str">
            <v>Vietnam</v>
          </cell>
          <cell r="O504"/>
          <cell r="P504" t="str">
            <v>4000m drum</v>
          </cell>
          <cell r="Q504" t="str">
            <v>4KM</v>
          </cell>
          <cell r="R504">
            <v>4</v>
          </cell>
          <cell r="S504" t="e">
            <v>#N/A</v>
          </cell>
          <cell r="T504">
            <v>8544700000</v>
          </cell>
          <cell r="U504">
            <v>0</v>
          </cell>
          <cell r="V504">
            <v>30</v>
          </cell>
          <cell r="W504">
            <v>45</v>
          </cell>
          <cell r="X504">
            <v>55</v>
          </cell>
          <cell r="Y504" t="str">
            <v>T/T against copy of document</v>
          </cell>
          <cell r="Z504">
            <v>333.33333333333331</v>
          </cell>
          <cell r="AA504">
            <v>313.85869565217394</v>
          </cell>
          <cell r="AB504">
            <v>0.1</v>
          </cell>
          <cell r="AC504">
            <v>0.1</v>
          </cell>
          <cell r="AD504">
            <v>0.2</v>
          </cell>
          <cell r="AE504" t="str">
            <v>C</v>
          </cell>
          <cell r="AF504">
            <v>313.85869565217394</v>
          </cell>
          <cell r="AG504">
            <v>0.19999999999999996</v>
          </cell>
          <cell r="AH504" t="e">
            <v>#N/A</v>
          </cell>
          <cell r="AI504">
            <v>288.88888888888886</v>
          </cell>
          <cell r="AJ504">
            <v>278.98550724637681</v>
          </cell>
          <cell r="AK504">
            <v>0.13333333333333341</v>
          </cell>
          <cell r="AL504">
            <v>0.11111111111111116</v>
          </cell>
          <cell r="AM504"/>
          <cell r="AN504" t="str">
            <v>SDGI VIETNAM</v>
          </cell>
          <cell r="AO504"/>
          <cell r="AP504"/>
          <cell r="AQ504"/>
          <cell r="AR504"/>
          <cell r="AS504"/>
          <cell r="AT504"/>
          <cell r="AU504">
            <v>260</v>
          </cell>
          <cell r="AV504">
            <v>251.08695652173915</v>
          </cell>
          <cell r="AW504"/>
          <cell r="AX504">
            <v>8544700000</v>
          </cell>
          <cell r="AZ504">
            <v>1046.1956521739132</v>
          </cell>
          <cell r="BA504">
            <v>627.71739130434787</v>
          </cell>
          <cell r="BB504">
            <v>523.09782608695662</v>
          </cell>
          <cell r="BC504">
            <v>418.4782608695653</v>
          </cell>
          <cell r="BE504">
            <v>313.85869565217394</v>
          </cell>
        </row>
        <row r="505">
          <cell r="I505" t="str">
            <v>KFO24OS2CTZHD20</v>
          </cell>
          <cell r="J505" t="str">
            <v>U0803008</v>
          </cell>
          <cell r="K505" t="str">
            <v>24FO OS2 CENTRAL LOOSE TUBE LSZH UNIVERSAL Dca YELLOW RAL1021</v>
          </cell>
          <cell r="L505" t="str">
            <v>24FO OS2 TUBE CENTRAL STRUCTURE LIBRE LSZH UNIVERSEL Dca JAUNE RAL1021</v>
          </cell>
          <cell r="M505" t="str">
            <v>Dca</v>
          </cell>
          <cell r="N505" t="str">
            <v>Vietnam</v>
          </cell>
          <cell r="O505"/>
          <cell r="P505" t="str">
            <v>4000m drum</v>
          </cell>
          <cell r="Q505" t="str">
            <v>4KM</v>
          </cell>
          <cell r="R505">
            <v>4</v>
          </cell>
          <cell r="S505" t="e">
            <v>#N/A</v>
          </cell>
          <cell r="T505">
            <v>8544700000</v>
          </cell>
          <cell r="U505">
            <v>0</v>
          </cell>
          <cell r="V505">
            <v>30</v>
          </cell>
          <cell r="W505">
            <v>45</v>
          </cell>
          <cell r="X505">
            <v>55</v>
          </cell>
          <cell r="Y505" t="str">
            <v>T/T against copy of document</v>
          </cell>
          <cell r="Z505">
            <v>461.53846153846155</v>
          </cell>
          <cell r="AA505">
            <v>422.55434782608694</v>
          </cell>
          <cell r="AB505">
            <v>0.1</v>
          </cell>
          <cell r="AC505">
            <v>0.1</v>
          </cell>
          <cell r="AD505">
            <v>0.2</v>
          </cell>
          <cell r="AE505" t="str">
            <v>C</v>
          </cell>
          <cell r="AF505">
            <v>422.55434782608694</v>
          </cell>
          <cell r="AG505">
            <v>0.19999999999999996</v>
          </cell>
          <cell r="AH505" t="e">
            <v>#N/A</v>
          </cell>
          <cell r="AI505">
            <v>400</v>
          </cell>
          <cell r="AJ505">
            <v>375.60386473429952</v>
          </cell>
          <cell r="AK505">
            <v>0.1333333333333333</v>
          </cell>
          <cell r="AL505">
            <v>0.11111111111111105</v>
          </cell>
          <cell r="AM505"/>
          <cell r="AN505" t="str">
            <v>SDGI VIETNAM</v>
          </cell>
          <cell r="AO505"/>
          <cell r="AP505"/>
          <cell r="AQ505"/>
          <cell r="AR505"/>
          <cell r="AS505"/>
          <cell r="AT505"/>
          <cell r="AU505">
            <v>360</v>
          </cell>
          <cell r="AV505">
            <v>338.04347826086956</v>
          </cell>
          <cell r="AW505"/>
          <cell r="AX505">
            <v>8544700000</v>
          </cell>
          <cell r="AZ505">
            <v>1408.5144927536232</v>
          </cell>
          <cell r="BA505">
            <v>845.10869565217388</v>
          </cell>
          <cell r="BB505">
            <v>704.25724637681162</v>
          </cell>
          <cell r="BC505">
            <v>563.40579710144937</v>
          </cell>
          <cell r="BE505">
            <v>422.55434782608694</v>
          </cell>
        </row>
        <row r="506">
          <cell r="I506" t="str">
            <v>KFO6OS2TBZHC</v>
          </cell>
          <cell r="J506" t="str">
            <v>U0807012</v>
          </cell>
          <cell r="K506" t="str">
            <v>6FO OS2 TIGHT BUFFERED LSZH UNIVERSAL Cca YELLOW RAL1021</v>
          </cell>
          <cell r="L506" t="str">
            <v>6FO OS2 STRUCTURE SERRÉE  LSZH UNIVERSEL Cca JAUNE RAL1021</v>
          </cell>
          <cell r="M506" t="str">
            <v>Cca</v>
          </cell>
          <cell r="N506" t="str">
            <v>Vietnam</v>
          </cell>
          <cell r="O506"/>
          <cell r="P506" t="str">
            <v>4000m drum</v>
          </cell>
          <cell r="Q506" t="str">
            <v>4KM</v>
          </cell>
          <cell r="R506">
            <v>4</v>
          </cell>
          <cell r="S506" t="e">
            <v>#N/A</v>
          </cell>
          <cell r="T506">
            <v>8544700000</v>
          </cell>
          <cell r="U506">
            <v>0</v>
          </cell>
          <cell r="V506">
            <v>30</v>
          </cell>
          <cell r="W506">
            <v>45</v>
          </cell>
          <cell r="X506">
            <v>55</v>
          </cell>
          <cell r="Y506" t="str">
            <v>T/T against copy of document</v>
          </cell>
          <cell r="Z506">
            <v>333.33333333333331</v>
          </cell>
          <cell r="AA506">
            <v>314.79390175042352</v>
          </cell>
          <cell r="AB506">
            <v>0.1</v>
          </cell>
          <cell r="AC506">
            <v>0.1</v>
          </cell>
          <cell r="AD506">
            <v>0.23</v>
          </cell>
          <cell r="AE506" t="str">
            <v>C</v>
          </cell>
          <cell r="AF506">
            <v>314.79390175042352</v>
          </cell>
          <cell r="AG506">
            <v>0.23000000000000009</v>
          </cell>
          <cell r="AH506">
            <v>243.15</v>
          </cell>
          <cell r="AI506">
            <v>277.77777777777777</v>
          </cell>
          <cell r="AJ506">
            <v>269.32367149758454</v>
          </cell>
          <cell r="AK506">
            <v>0.16666666666666663</v>
          </cell>
          <cell r="AL506">
            <v>0.14444444444444449</v>
          </cell>
          <cell r="AM506"/>
          <cell r="AN506" t="str">
            <v>SDGI VIETNAM</v>
          </cell>
          <cell r="AO506"/>
          <cell r="AP506"/>
          <cell r="AQ506"/>
          <cell r="AR506"/>
          <cell r="AS506"/>
          <cell r="AT506"/>
          <cell r="AU506">
            <v>250</v>
          </cell>
          <cell r="AV506">
            <v>242.39130434782609</v>
          </cell>
          <cell r="AW506"/>
          <cell r="AX506">
            <v>8544700000</v>
          </cell>
          <cell r="AZ506">
            <v>1049.3130058347451</v>
          </cell>
          <cell r="BA506">
            <v>629.58780350084703</v>
          </cell>
          <cell r="BB506">
            <v>524.65650291737256</v>
          </cell>
          <cell r="BC506">
            <v>419.7252023338981</v>
          </cell>
          <cell r="BE506">
            <v>314.79390175042352</v>
          </cell>
        </row>
        <row r="507">
          <cell r="I507" t="str">
            <v>KFO8OS2TBZHC</v>
          </cell>
          <cell r="J507" t="str">
            <v>U0807016</v>
          </cell>
          <cell r="K507" t="str">
            <v>8FO OS2 TIGHT BUFFERED LSZH UNIVERSAL Cca YELLOW RAL1021</v>
          </cell>
          <cell r="L507" t="str">
            <v>8FO OS2 STRUCTURE SERRÉE  LSZH UNIVERSEL Cca JAUNE RAL1021</v>
          </cell>
          <cell r="M507" t="str">
            <v>Cca</v>
          </cell>
          <cell r="N507" t="str">
            <v>Vietnam</v>
          </cell>
          <cell r="O507"/>
          <cell r="P507" t="str">
            <v>4000m drum</v>
          </cell>
          <cell r="Q507" t="str">
            <v>4KM</v>
          </cell>
          <cell r="R507">
            <v>4</v>
          </cell>
          <cell r="S507" t="e">
            <v>#N/A</v>
          </cell>
          <cell r="T507">
            <v>8544700000</v>
          </cell>
          <cell r="U507">
            <v>0</v>
          </cell>
          <cell r="V507">
            <v>30</v>
          </cell>
          <cell r="W507">
            <v>45</v>
          </cell>
          <cell r="X507">
            <v>55</v>
          </cell>
          <cell r="Y507" t="str">
            <v>T/T against copy of document</v>
          </cell>
          <cell r="Z507">
            <v>369.33333333333331</v>
          </cell>
          <cell r="AA507">
            <v>345.28514963297573</v>
          </cell>
          <cell r="AB507">
            <v>0.1</v>
          </cell>
          <cell r="AC507">
            <v>0.1</v>
          </cell>
          <cell r="AD507">
            <v>0.23</v>
          </cell>
          <cell r="AE507" t="str">
            <v>C</v>
          </cell>
          <cell r="AF507">
            <v>345.28514963297573</v>
          </cell>
          <cell r="AG507">
            <v>0.22999999999999998</v>
          </cell>
          <cell r="AH507">
            <v>274.66000000000003</v>
          </cell>
          <cell r="AI507">
            <v>307.77777777777777</v>
          </cell>
          <cell r="AJ507">
            <v>295.41062801932367</v>
          </cell>
          <cell r="AK507">
            <v>0.16666666666666663</v>
          </cell>
          <cell r="AL507">
            <v>0.14444444444444449</v>
          </cell>
          <cell r="AM507"/>
          <cell r="AN507" t="str">
            <v>SDGI VIETNAM</v>
          </cell>
          <cell r="AO507"/>
          <cell r="AP507"/>
          <cell r="AQ507"/>
          <cell r="AR507"/>
          <cell r="AS507"/>
          <cell r="AT507"/>
          <cell r="AU507">
            <v>277</v>
          </cell>
          <cell r="AV507">
            <v>265.86956521739131</v>
          </cell>
          <cell r="AW507"/>
          <cell r="AX507">
            <v>8544700000</v>
          </cell>
          <cell r="AZ507">
            <v>1150.9504987765858</v>
          </cell>
          <cell r="BA507">
            <v>690.57029926595146</v>
          </cell>
          <cell r="BB507">
            <v>575.47524938829292</v>
          </cell>
          <cell r="BC507">
            <v>460.38019951063438</v>
          </cell>
          <cell r="BE507">
            <v>345.28514963297573</v>
          </cell>
        </row>
        <row r="508">
          <cell r="I508" t="str">
            <v>KFO12OS2TBZHC</v>
          </cell>
          <cell r="J508" t="str">
            <v>U0807004</v>
          </cell>
          <cell r="K508" t="str">
            <v>12FO OS2 TIGHT BUFFERED LSZH UNIVERSAL Cca YELLOW RAL1021</v>
          </cell>
          <cell r="L508" t="str">
            <v>12FO OS2 STRUCTURE SERRÉE  LSZH UNIVERSEL Cca JAUNE RAL1021</v>
          </cell>
          <cell r="M508" t="str">
            <v>Cca</v>
          </cell>
          <cell r="N508" t="str">
            <v>Vietnam</v>
          </cell>
          <cell r="O508"/>
          <cell r="P508" t="str">
            <v>4000m drum</v>
          </cell>
          <cell r="Q508" t="str">
            <v>4KM</v>
          </cell>
          <cell r="R508">
            <v>4</v>
          </cell>
          <cell r="S508" t="e">
            <v>#N/A</v>
          </cell>
          <cell r="T508">
            <v>8544700000</v>
          </cell>
          <cell r="U508">
            <v>0</v>
          </cell>
          <cell r="V508">
            <v>30</v>
          </cell>
          <cell r="W508">
            <v>45</v>
          </cell>
          <cell r="X508">
            <v>55</v>
          </cell>
          <cell r="Y508" t="str">
            <v>T/T against copy of document</v>
          </cell>
          <cell r="Z508">
            <v>420</v>
          </cell>
          <cell r="AA508">
            <v>388.19875776397515</v>
          </cell>
          <cell r="AB508">
            <v>0.1</v>
          </cell>
          <cell r="AC508">
            <v>0.1</v>
          </cell>
          <cell r="AD508">
            <v>0.23</v>
          </cell>
          <cell r="AE508" t="str">
            <v>C</v>
          </cell>
          <cell r="AF508">
            <v>388.19875776397515</v>
          </cell>
          <cell r="AG508">
            <v>0.22999999999999998</v>
          </cell>
          <cell r="AH508">
            <v>315.75</v>
          </cell>
          <cell r="AI508">
            <v>350</v>
          </cell>
          <cell r="AJ508">
            <v>332.12560386473427</v>
          </cell>
          <cell r="AK508">
            <v>0.16666666666666663</v>
          </cell>
          <cell r="AL508">
            <v>0.14444444444444449</v>
          </cell>
          <cell r="AM508"/>
          <cell r="AN508" t="str">
            <v>SDGI VIETNAM</v>
          </cell>
          <cell r="AO508"/>
          <cell r="AP508"/>
          <cell r="AQ508"/>
          <cell r="AR508"/>
          <cell r="AS508"/>
          <cell r="AT508"/>
          <cell r="AU508">
            <v>315</v>
          </cell>
          <cell r="AV508">
            <v>298.91304347826087</v>
          </cell>
          <cell r="AW508"/>
          <cell r="AX508">
            <v>8544700000</v>
          </cell>
          <cell r="AZ508">
            <v>1293.9958592132505</v>
          </cell>
          <cell r="BA508">
            <v>776.3975155279503</v>
          </cell>
          <cell r="BB508">
            <v>646.99792960662523</v>
          </cell>
          <cell r="BC508">
            <v>517.59834368530016</v>
          </cell>
          <cell r="BE508">
            <v>388.19875776397515</v>
          </cell>
        </row>
        <row r="509">
          <cell r="I509" t="str">
            <v>KFO24OS2TBZHC</v>
          </cell>
          <cell r="J509" t="str">
            <v>U0807008</v>
          </cell>
          <cell r="K509" t="str">
            <v>24FO OS2 TIGHT BUFFERED LSZH UNIVERSAL Cca YELLOW RAL1021</v>
          </cell>
          <cell r="L509" t="str">
            <v>24FO OS2 STRUCTURE SERRÉE  LSZH UNIVERSEL Cca JAUNE RAL1021</v>
          </cell>
          <cell r="M509" t="str">
            <v>Cca</v>
          </cell>
          <cell r="N509" t="str">
            <v>Vietnam</v>
          </cell>
          <cell r="O509"/>
          <cell r="P509" t="str">
            <v>2000m drum</v>
          </cell>
          <cell r="Q509" t="str">
            <v>4KM</v>
          </cell>
          <cell r="R509">
            <v>4</v>
          </cell>
          <cell r="S509" t="e">
            <v>#N/A</v>
          </cell>
          <cell r="T509">
            <v>8544700000</v>
          </cell>
          <cell r="U509">
            <v>0</v>
          </cell>
          <cell r="V509">
            <v>30</v>
          </cell>
          <cell r="W509">
            <v>45</v>
          </cell>
          <cell r="X509">
            <v>55</v>
          </cell>
          <cell r="Y509" t="str">
            <v>T/T against copy of document</v>
          </cell>
          <cell r="Z509">
            <v>742.66666666666663</v>
          </cell>
          <cell r="AA509">
            <v>661.49068322981373</v>
          </cell>
          <cell r="AB509">
            <v>0.1</v>
          </cell>
          <cell r="AC509">
            <v>0.1</v>
          </cell>
          <cell r="AD509">
            <v>0.23</v>
          </cell>
          <cell r="AE509" t="str">
            <v>C</v>
          </cell>
          <cell r="AF509">
            <v>661.49068322981373</v>
          </cell>
          <cell r="AG509">
            <v>0.22999999999999998</v>
          </cell>
          <cell r="AH509">
            <v>436.3</v>
          </cell>
          <cell r="AI509">
            <v>618.88888888888891</v>
          </cell>
          <cell r="AJ509">
            <v>565.94202898550725</v>
          </cell>
          <cell r="AK509">
            <v>0.16666666666666663</v>
          </cell>
          <cell r="AL509">
            <v>0.14444444444444449</v>
          </cell>
          <cell r="AM509"/>
          <cell r="AN509" t="str">
            <v>SDGI VIETNAM</v>
          </cell>
          <cell r="AO509"/>
          <cell r="AP509"/>
          <cell r="AQ509"/>
          <cell r="AR509"/>
          <cell r="AS509"/>
          <cell r="AT509"/>
          <cell r="AU509">
            <v>557</v>
          </cell>
          <cell r="AV509">
            <v>509.34782608695656</v>
          </cell>
          <cell r="AW509"/>
          <cell r="AX509">
            <v>8544700000</v>
          </cell>
          <cell r="AZ509">
            <v>2204.9689440993793</v>
          </cell>
          <cell r="BA509">
            <v>1322.9813664596275</v>
          </cell>
          <cell r="BB509">
            <v>1102.4844720496897</v>
          </cell>
          <cell r="BC509">
            <v>881.98757763975175</v>
          </cell>
          <cell r="BE509">
            <v>661.49068322981373</v>
          </cell>
        </row>
        <row r="510">
          <cell r="I510" t="str">
            <v>KFO6OS2CT</v>
          </cell>
          <cell r="J510" t="str">
            <v>U0802006</v>
          </cell>
          <cell r="K510" t="str">
            <v>6FO OS2 CENTRAL LOOSE TUBE PEHD OUTDOOR BLACK RAL9005</v>
          </cell>
          <cell r="L510" t="str">
            <v>6FO OS2 TUBE CENTRAL STRUCTURE LIBRE PEHD EXTÉRIEUR NOIR RAL9005</v>
          </cell>
          <cell r="M510" t="str">
            <v>Fca</v>
          </cell>
          <cell r="N510" t="str">
            <v>Vietnam</v>
          </cell>
          <cell r="O510"/>
          <cell r="P510" t="str">
            <v>4000m drum</v>
          </cell>
          <cell r="Q510" t="str">
            <v>4KM</v>
          </cell>
          <cell r="R510">
            <v>4</v>
          </cell>
          <cell r="S510" t="e">
            <v>#N/A</v>
          </cell>
          <cell r="T510">
            <v>8544700000</v>
          </cell>
          <cell r="U510">
            <v>0</v>
          </cell>
          <cell r="V510">
            <v>30</v>
          </cell>
          <cell r="W510">
            <v>45</v>
          </cell>
          <cell r="X510">
            <v>55</v>
          </cell>
          <cell r="Y510" t="str">
            <v>T/T against copy of document</v>
          </cell>
          <cell r="Z510">
            <v>280</v>
          </cell>
          <cell r="AA510">
            <v>269.62168266516096</v>
          </cell>
          <cell r="AB510">
            <v>0.1</v>
          </cell>
          <cell r="AC510">
            <v>0.1</v>
          </cell>
          <cell r="AD510">
            <v>0.23</v>
          </cell>
          <cell r="AE510" t="str">
            <v>C</v>
          </cell>
          <cell r="AF510">
            <v>269.62168266516096</v>
          </cell>
          <cell r="AG510">
            <v>0.22999999999999998</v>
          </cell>
          <cell r="AH510">
            <v>213.01</v>
          </cell>
          <cell r="AI510">
            <v>233.33333333333331</v>
          </cell>
          <cell r="AJ510">
            <v>230.67632850241549</v>
          </cell>
          <cell r="AK510">
            <v>0.16666666666666674</v>
          </cell>
          <cell r="AL510">
            <v>0.14444444444444449</v>
          </cell>
          <cell r="AM510"/>
          <cell r="AN510" t="str">
            <v>SDGI VIETNAM</v>
          </cell>
          <cell r="AO510"/>
          <cell r="AP510"/>
          <cell r="AQ510"/>
          <cell r="AR510"/>
          <cell r="AS510"/>
          <cell r="AT510"/>
          <cell r="AU510">
            <v>210</v>
          </cell>
          <cell r="AV510">
            <v>207.60869565217394</v>
          </cell>
          <cell r="AW510"/>
          <cell r="AX510">
            <v>8544700000</v>
          </cell>
          <cell r="AZ510">
            <v>898.7389422172032</v>
          </cell>
          <cell r="BA510">
            <v>539.24336533032192</v>
          </cell>
          <cell r="BB510">
            <v>449.3694711086016</v>
          </cell>
          <cell r="BC510">
            <v>359.49557688688128</v>
          </cell>
          <cell r="BE510">
            <v>269.62168266516096</v>
          </cell>
        </row>
        <row r="511">
          <cell r="I511" t="str">
            <v>KFO8OS2CT</v>
          </cell>
          <cell r="J511" t="str">
            <v>U0802008</v>
          </cell>
          <cell r="K511" t="str">
            <v>8FO OS2 CENTRAL LOOSE TUBE PEHD OUTDOOR BLACK RAL9005</v>
          </cell>
          <cell r="L511" t="str">
            <v>8FO OS2 TUBE CENTRAL STRUCTURE LIBRE PEHD EXTÉRIEUR NOIR RAL9005</v>
          </cell>
          <cell r="M511" t="str">
            <v>Fca</v>
          </cell>
          <cell r="N511" t="str">
            <v>Vietnam</v>
          </cell>
          <cell r="O511"/>
          <cell r="P511" t="str">
            <v>4000m drum</v>
          </cell>
          <cell r="Q511" t="str">
            <v>4KM</v>
          </cell>
          <cell r="R511">
            <v>4</v>
          </cell>
          <cell r="S511" t="e">
            <v>#N/A</v>
          </cell>
          <cell r="T511">
            <v>8544700000</v>
          </cell>
          <cell r="U511">
            <v>0</v>
          </cell>
          <cell r="V511">
            <v>30</v>
          </cell>
          <cell r="W511">
            <v>45</v>
          </cell>
          <cell r="X511">
            <v>55</v>
          </cell>
          <cell r="Y511" t="str">
            <v>T/T against copy of document</v>
          </cell>
          <cell r="Z511">
            <v>301.33333333333331</v>
          </cell>
          <cell r="AA511">
            <v>287.69057029926597</v>
          </cell>
          <cell r="AB511">
            <v>0.1</v>
          </cell>
          <cell r="AC511">
            <v>0.1</v>
          </cell>
          <cell r="AD511">
            <v>0.23</v>
          </cell>
          <cell r="AE511" t="str">
            <v>C</v>
          </cell>
          <cell r="AF511">
            <v>287.69057029926597</v>
          </cell>
          <cell r="AG511">
            <v>0.22999999999999998</v>
          </cell>
          <cell r="AH511">
            <v>228.08</v>
          </cell>
          <cell r="AI511">
            <v>251.11111111111111</v>
          </cell>
          <cell r="AJ511">
            <v>246.1352657004831</v>
          </cell>
          <cell r="AK511">
            <v>0.16666666666666663</v>
          </cell>
          <cell r="AL511">
            <v>0.14444444444444449</v>
          </cell>
          <cell r="AM511"/>
          <cell r="AN511" t="str">
            <v>SDGI VIETNAM</v>
          </cell>
          <cell r="AO511"/>
          <cell r="AP511"/>
          <cell r="AQ511"/>
          <cell r="AR511"/>
          <cell r="AS511"/>
          <cell r="AT511"/>
          <cell r="AU511">
            <v>226</v>
          </cell>
          <cell r="AV511">
            <v>221.52173913043481</v>
          </cell>
          <cell r="AW511"/>
          <cell r="AX511">
            <v>8544700000</v>
          </cell>
          <cell r="AZ511">
            <v>958.9685676642199</v>
          </cell>
          <cell r="BA511">
            <v>575.38114059853194</v>
          </cell>
          <cell r="BB511">
            <v>479.48428383210995</v>
          </cell>
          <cell r="BC511">
            <v>383.58742706568796</v>
          </cell>
          <cell r="BE511">
            <v>287.69057029926597</v>
          </cell>
        </row>
        <row r="512">
          <cell r="I512" t="str">
            <v>KFO12OS2CT</v>
          </cell>
          <cell r="J512" t="str">
            <v>U0802002</v>
          </cell>
          <cell r="K512" t="str">
            <v>12FO OS2 CENTRAL LOOSE TUBE PEHD OUTDOOR BLACK RAL9005</v>
          </cell>
          <cell r="L512" t="str">
            <v>12FO OS2 TUBE CENTRAL STRUCTURE LIBRE PEHD EXTÉRIEUR NOIR RAL9005</v>
          </cell>
          <cell r="M512" t="str">
            <v>Fca</v>
          </cell>
          <cell r="N512" t="str">
            <v>Vietnam</v>
          </cell>
          <cell r="O512"/>
          <cell r="P512" t="str">
            <v>4000m drum</v>
          </cell>
          <cell r="Q512" t="str">
            <v>4KM</v>
          </cell>
          <cell r="R512">
            <v>4</v>
          </cell>
          <cell r="S512" t="e">
            <v>#N/A</v>
          </cell>
          <cell r="T512">
            <v>8544700000</v>
          </cell>
          <cell r="U512">
            <v>0</v>
          </cell>
          <cell r="V512">
            <v>30</v>
          </cell>
          <cell r="W512">
            <v>45</v>
          </cell>
          <cell r="X512">
            <v>55</v>
          </cell>
          <cell r="Y512" t="str">
            <v>T/T against copy of document</v>
          </cell>
          <cell r="Z512">
            <v>322.66666666666669</v>
          </cell>
          <cell r="AA512">
            <v>305.75945793337098</v>
          </cell>
          <cell r="AB512">
            <v>0.1</v>
          </cell>
          <cell r="AC512">
            <v>0.1</v>
          </cell>
          <cell r="AD512">
            <v>0.23</v>
          </cell>
          <cell r="AE512" t="str">
            <v>C</v>
          </cell>
          <cell r="AF512">
            <v>305.75945793337098</v>
          </cell>
          <cell r="AG512">
            <v>0.22999999999999998</v>
          </cell>
          <cell r="AH512">
            <v>243.15</v>
          </cell>
          <cell r="AI512">
            <v>268.88888888888886</v>
          </cell>
          <cell r="AJ512">
            <v>261.59420289855075</v>
          </cell>
          <cell r="AK512">
            <v>0.16666666666666685</v>
          </cell>
          <cell r="AL512">
            <v>0.14444444444444438</v>
          </cell>
          <cell r="AM512"/>
          <cell r="AN512" t="str">
            <v>SDGI VIETNAM</v>
          </cell>
          <cell r="AO512"/>
          <cell r="AP512"/>
          <cell r="AQ512"/>
          <cell r="AR512"/>
          <cell r="AS512"/>
          <cell r="AT512"/>
          <cell r="AU512">
            <v>242</v>
          </cell>
          <cell r="AV512">
            <v>235.43478260869566</v>
          </cell>
          <cell r="AW512"/>
          <cell r="AX512">
            <v>8544700000</v>
          </cell>
          <cell r="AZ512">
            <v>1019.1981931112366</v>
          </cell>
          <cell r="BA512">
            <v>611.51891586674196</v>
          </cell>
          <cell r="BB512">
            <v>509.5990965556183</v>
          </cell>
          <cell r="BC512">
            <v>407.67927724449464</v>
          </cell>
          <cell r="BE512">
            <v>305.75945793337098</v>
          </cell>
        </row>
        <row r="513">
          <cell r="I513" t="str">
            <v>KFO24OS2CT</v>
          </cell>
          <cell r="J513" t="str">
            <v>U0802004</v>
          </cell>
          <cell r="K513" t="str">
            <v>24FO OS2 CENTRAL LOOSE TUBE PEHD OUTDOOR BLACK RAL9005</v>
          </cell>
          <cell r="L513" t="str">
            <v>24FO OS2 TUBE CENTRAL STRUCTURE LIBRE PEHD EXTÉRIEUR NOIR RAL9005</v>
          </cell>
          <cell r="M513" t="str">
            <v>Fca</v>
          </cell>
          <cell r="N513" t="str">
            <v>Vietnam</v>
          </cell>
          <cell r="O513"/>
          <cell r="P513" t="str">
            <v>4000m drum</v>
          </cell>
          <cell r="Q513" t="str">
            <v>4KM</v>
          </cell>
          <cell r="R513">
            <v>4</v>
          </cell>
          <cell r="S513" t="e">
            <v>#N/A</v>
          </cell>
          <cell r="T513">
            <v>8544700000</v>
          </cell>
          <cell r="U513">
            <v>0</v>
          </cell>
          <cell r="V513">
            <v>30</v>
          </cell>
          <cell r="W513">
            <v>45</v>
          </cell>
          <cell r="X513">
            <v>55</v>
          </cell>
          <cell r="Y513" t="str">
            <v>T/T against copy of document</v>
          </cell>
          <cell r="Z513">
            <v>466.66666666666669</v>
          </cell>
          <cell r="AA513">
            <v>427.72444946357996</v>
          </cell>
          <cell r="AB513">
            <v>0.1</v>
          </cell>
          <cell r="AC513">
            <v>0.1</v>
          </cell>
          <cell r="AD513">
            <v>0.23</v>
          </cell>
          <cell r="AE513" t="str">
            <v>C</v>
          </cell>
          <cell r="AF513">
            <v>427.72444946357996</v>
          </cell>
          <cell r="AG513">
            <v>0.22999999999999998</v>
          </cell>
          <cell r="AH513">
            <v>323.97000000000003</v>
          </cell>
          <cell r="AI513">
            <v>388.88888888888886</v>
          </cell>
          <cell r="AJ513">
            <v>365.94202898550731</v>
          </cell>
          <cell r="AK513">
            <v>0.16666666666666674</v>
          </cell>
          <cell r="AL513">
            <v>0.14444444444444438</v>
          </cell>
          <cell r="AM513"/>
          <cell r="AN513" t="str">
            <v>SDGI VIETNAM</v>
          </cell>
          <cell r="AO513"/>
          <cell r="AP513"/>
          <cell r="AQ513"/>
          <cell r="AR513"/>
          <cell r="AS513"/>
          <cell r="AT513"/>
          <cell r="AU513">
            <v>350</v>
          </cell>
          <cell r="AV513">
            <v>329.34782608695656</v>
          </cell>
          <cell r="AW513"/>
          <cell r="AX513">
            <v>8544700000</v>
          </cell>
          <cell r="AZ513">
            <v>1425.7481648785999</v>
          </cell>
          <cell r="BA513">
            <v>855.44889892715992</v>
          </cell>
          <cell r="BB513">
            <v>712.87408243929997</v>
          </cell>
          <cell r="BC513">
            <v>570.29926595144002</v>
          </cell>
          <cell r="BE513">
            <v>427.72444946357996</v>
          </cell>
        </row>
        <row r="514">
          <cell r="I514" t="str">
            <v>KFO6OS2CTA</v>
          </cell>
          <cell r="J514" t="str">
            <v>U0801006</v>
          </cell>
          <cell r="K514" t="str">
            <v>6FO OS2 CENTRAL LOOSE TUBE ARMORED PEHD OUTDOOR BLACK RAL9005</v>
          </cell>
          <cell r="L514" t="str">
            <v>6FO OS2 TUBE CENTRAL STRUCTURE LIBRE ARMÉ  PEHD EXTÉRIEUR NOIR RAL9005</v>
          </cell>
          <cell r="M514" t="str">
            <v>Fca</v>
          </cell>
          <cell r="N514" t="str">
            <v>China</v>
          </cell>
          <cell r="O514"/>
          <cell r="P514" t="str">
            <v>4000m drum</v>
          </cell>
          <cell r="Q514" t="str">
            <v>4KM</v>
          </cell>
          <cell r="R514">
            <v>4</v>
          </cell>
          <cell r="S514" t="e">
            <v>#N/A</v>
          </cell>
          <cell r="T514">
            <v>8544700000</v>
          </cell>
          <cell r="U514">
            <v>0</v>
          </cell>
          <cell r="V514">
            <v>30</v>
          </cell>
          <cell r="W514">
            <v>45</v>
          </cell>
          <cell r="X514">
            <v>55</v>
          </cell>
          <cell r="Y514" t="str">
            <v>T/T against copy of document</v>
          </cell>
          <cell r="Z514">
            <v>307.45986779981115</v>
          </cell>
          <cell r="AA514">
            <v>292.87961699588749</v>
          </cell>
          <cell r="AB514">
            <v>0.1</v>
          </cell>
          <cell r="AC514">
            <v>0.1</v>
          </cell>
          <cell r="AD514">
            <v>0.23</v>
          </cell>
          <cell r="AE514" t="str">
            <v>C</v>
          </cell>
          <cell r="AF514">
            <v>292.87961699588749</v>
          </cell>
          <cell r="AG514">
            <v>0.22999999999999998</v>
          </cell>
          <cell r="AH514">
            <v>288.36</v>
          </cell>
          <cell r="AI514">
            <v>256.21655649984262</v>
          </cell>
          <cell r="AJ514">
            <v>250.57478342981486</v>
          </cell>
          <cell r="AK514">
            <v>0.16666666666666663</v>
          </cell>
          <cell r="AL514">
            <v>0.14444444444444438</v>
          </cell>
          <cell r="AM514"/>
          <cell r="AN514" t="str">
            <v>SDGI</v>
          </cell>
          <cell r="AO514"/>
          <cell r="AP514"/>
          <cell r="AQ514"/>
          <cell r="AR514"/>
          <cell r="AS514">
            <v>1628</v>
          </cell>
          <cell r="AT514">
            <v>1628</v>
          </cell>
          <cell r="AU514">
            <v>230.59490084985836</v>
          </cell>
          <cell r="AV514">
            <v>225.51730508683337</v>
          </cell>
          <cell r="AW514"/>
          <cell r="AX514">
            <v>8544700000</v>
          </cell>
          <cell r="AZ514">
            <v>976.26538998629167</v>
          </cell>
          <cell r="BA514">
            <v>585.75923399177498</v>
          </cell>
          <cell r="BB514">
            <v>488.13269499314583</v>
          </cell>
          <cell r="BC514">
            <v>390.50615599451669</v>
          </cell>
          <cell r="BE514">
            <v>292.87961699588749</v>
          </cell>
        </row>
        <row r="515">
          <cell r="I515" t="str">
            <v>KFO8OS2CTA</v>
          </cell>
          <cell r="J515" t="str">
            <v>U0801008</v>
          </cell>
          <cell r="K515" t="str">
            <v>8FO OS2 CENTRAL LOOSE TUBE ARMORED PEHD OUTDOOR BLACK RAL9005</v>
          </cell>
          <cell r="L515" t="str">
            <v>8FO OS2 TUBE CENTRAL STRUCTURE LIBRE ARMÉ  PEHD EXTÉRIEUR NOIR RAL9005</v>
          </cell>
          <cell r="M515" t="str">
            <v>Fca</v>
          </cell>
          <cell r="N515" t="str">
            <v>China</v>
          </cell>
          <cell r="O515"/>
          <cell r="P515" t="str">
            <v>4000m drum</v>
          </cell>
          <cell r="Q515" t="str">
            <v>4KM</v>
          </cell>
          <cell r="R515">
            <v>4</v>
          </cell>
          <cell r="S515" t="e">
            <v>#N/A</v>
          </cell>
          <cell r="T515">
            <v>8544700000</v>
          </cell>
          <cell r="U515">
            <v>0</v>
          </cell>
          <cell r="V515">
            <v>30</v>
          </cell>
          <cell r="W515">
            <v>45</v>
          </cell>
          <cell r="X515">
            <v>55</v>
          </cell>
          <cell r="Y515" t="str">
            <v>T/T against copy of document</v>
          </cell>
          <cell r="Z515">
            <v>319.16902738432486</v>
          </cell>
          <cell r="AA515">
            <v>302.79703053443666</v>
          </cell>
          <cell r="AB515">
            <v>0.1</v>
          </cell>
          <cell r="AC515">
            <v>0.1</v>
          </cell>
          <cell r="AD515">
            <v>0.23</v>
          </cell>
          <cell r="AE515" t="str">
            <v>C</v>
          </cell>
          <cell r="AF515">
            <v>302.79703053443666</v>
          </cell>
          <cell r="AG515">
            <v>0.22999999999999998</v>
          </cell>
          <cell r="AH515">
            <v>300.68</v>
          </cell>
          <cell r="AI515">
            <v>265.97418948693741</v>
          </cell>
          <cell r="AJ515">
            <v>259.05968167946247</v>
          </cell>
          <cell r="AK515">
            <v>0.16666666666666663</v>
          </cell>
          <cell r="AL515">
            <v>0.14444444444444449</v>
          </cell>
          <cell r="AM515"/>
          <cell r="AN515" t="str">
            <v>SDGI</v>
          </cell>
          <cell r="AO515"/>
          <cell r="AP515"/>
          <cell r="AQ515"/>
          <cell r="AR515"/>
          <cell r="AS515">
            <v>1690</v>
          </cell>
          <cell r="AT515">
            <v>1690</v>
          </cell>
          <cell r="AU515">
            <v>239.37677053824365</v>
          </cell>
          <cell r="AV515">
            <v>233.15371351151623</v>
          </cell>
          <cell r="AW515"/>
          <cell r="AX515">
            <v>8544700000</v>
          </cell>
          <cell r="AZ515">
            <v>1009.3234351147889</v>
          </cell>
          <cell r="BA515">
            <v>605.59406106887332</v>
          </cell>
          <cell r="BB515">
            <v>504.66171755739447</v>
          </cell>
          <cell r="BC515">
            <v>403.72937404591562</v>
          </cell>
          <cell r="BE515">
            <v>302.79703053443666</v>
          </cell>
        </row>
        <row r="516">
          <cell r="I516" t="str">
            <v>KFO12OS2CTA20</v>
          </cell>
          <cell r="J516" t="str">
            <v>U0801002</v>
          </cell>
          <cell r="K516" t="str">
            <v>12FO OS2 CENTRAL LOOSE TUBE ARMORED PEHD OUTDOOR BLACK RAL9005</v>
          </cell>
          <cell r="L516" t="str">
            <v>12FO OS2 TUBE CENTRAL STRUCTURE LIBRE ARMÉ  PEHD EXTÉRIEUR NOIR RAL9005</v>
          </cell>
          <cell r="M516" t="str">
            <v>Fca</v>
          </cell>
          <cell r="N516" t="str">
            <v>China</v>
          </cell>
          <cell r="O516"/>
          <cell r="P516" t="str">
            <v>4000m drum</v>
          </cell>
          <cell r="Q516" t="str">
            <v>4KM</v>
          </cell>
          <cell r="R516">
            <v>4</v>
          </cell>
          <cell r="S516" t="e">
            <v>#N/A</v>
          </cell>
          <cell r="T516">
            <v>8544700000</v>
          </cell>
          <cell r="U516">
            <v>0</v>
          </cell>
          <cell r="V516">
            <v>30</v>
          </cell>
          <cell r="W516">
            <v>45</v>
          </cell>
          <cell r="X516">
            <v>55</v>
          </cell>
          <cell r="Y516" t="str">
            <v>T/T against copy of document</v>
          </cell>
          <cell r="Z516">
            <v>350.33050047214357</v>
          </cell>
          <cell r="AA516">
            <v>329.1901472096078</v>
          </cell>
          <cell r="AB516">
            <v>0.1</v>
          </cell>
          <cell r="AC516">
            <v>0.1</v>
          </cell>
          <cell r="AD516">
            <v>0.23</v>
          </cell>
          <cell r="AE516" t="str">
            <v>C</v>
          </cell>
          <cell r="AF516">
            <v>329.1901472096078</v>
          </cell>
          <cell r="AG516">
            <v>0.22999999999999998</v>
          </cell>
          <cell r="AH516">
            <v>315.75</v>
          </cell>
          <cell r="AI516">
            <v>291.94208372678634</v>
          </cell>
          <cell r="AJ516">
            <v>281.64045927933114</v>
          </cell>
          <cell r="AK516">
            <v>0.16666666666666663</v>
          </cell>
          <cell r="AL516">
            <v>0.14444444444444438</v>
          </cell>
          <cell r="AM516"/>
          <cell r="AN516" t="str">
            <v>SDGI</v>
          </cell>
          <cell r="AO516"/>
          <cell r="AP516"/>
          <cell r="AQ516"/>
          <cell r="AR516"/>
          <cell r="AS516">
            <v>1855</v>
          </cell>
          <cell r="AT516">
            <v>1855</v>
          </cell>
          <cell r="AU516">
            <v>262.74787535410769</v>
          </cell>
          <cell r="AV516">
            <v>253.47641335139801</v>
          </cell>
          <cell r="AW516"/>
          <cell r="AX516">
            <v>8544700000</v>
          </cell>
          <cell r="AZ516">
            <v>1097.3004906986928</v>
          </cell>
          <cell r="BA516">
            <v>658.3802944192156</v>
          </cell>
          <cell r="BB516">
            <v>548.65024534934639</v>
          </cell>
          <cell r="BC516">
            <v>438.92019627947712</v>
          </cell>
          <cell r="BE516">
            <v>329.1901472096078</v>
          </cell>
        </row>
        <row r="517">
          <cell r="I517" t="str">
            <v>KFO24OS2CTA20</v>
          </cell>
          <cell r="J517" t="str">
            <v>U0801004</v>
          </cell>
          <cell r="K517" t="str">
            <v>24FO OS2 CENTRAL LOOSE TUBE ARMORED PEHD OUTDOOR BLACK RAL9005</v>
          </cell>
          <cell r="L517" t="str">
            <v>24FO OS2TUBE CENTRAL STRUCTURE LIBRE ARMÉ  PEHD EXTÉRIEUR NOIR RAL9005</v>
          </cell>
          <cell r="M517" t="str">
            <v>Fca</v>
          </cell>
          <cell r="N517" t="str">
            <v>China</v>
          </cell>
          <cell r="O517"/>
          <cell r="P517" t="str">
            <v>4000m drum</v>
          </cell>
          <cell r="Q517" t="str">
            <v>4KM</v>
          </cell>
          <cell r="R517">
            <v>4</v>
          </cell>
          <cell r="S517" t="e">
            <v>#N/A</v>
          </cell>
          <cell r="T517">
            <v>8544700000</v>
          </cell>
          <cell r="U517">
            <v>0</v>
          </cell>
          <cell r="V517">
            <v>30</v>
          </cell>
          <cell r="W517">
            <v>45</v>
          </cell>
          <cell r="X517">
            <v>55</v>
          </cell>
          <cell r="Y517" t="str">
            <v>T/T against copy of document</v>
          </cell>
          <cell r="Z517">
            <v>491.97355996222853</v>
          </cell>
          <cell r="AA517">
            <v>449.15885936947649</v>
          </cell>
          <cell r="AB517">
            <v>0.1</v>
          </cell>
          <cell r="AC517">
            <v>0.1</v>
          </cell>
          <cell r="AD517">
            <v>0.23</v>
          </cell>
          <cell r="AE517" t="str">
            <v>C</v>
          </cell>
          <cell r="AF517">
            <v>449.15885936947649</v>
          </cell>
          <cell r="AG517">
            <v>0.22999999999999998</v>
          </cell>
          <cell r="AH517">
            <v>392.47</v>
          </cell>
          <cell r="AI517">
            <v>409.9779666351904</v>
          </cell>
          <cell r="AJ517">
            <v>384.28035746055207</v>
          </cell>
          <cell r="AK517">
            <v>0.16666666666666674</v>
          </cell>
          <cell r="AL517">
            <v>0.14444444444444449</v>
          </cell>
          <cell r="AM517"/>
          <cell r="AN517" t="str">
            <v>SDGI</v>
          </cell>
          <cell r="AO517"/>
          <cell r="AP517"/>
          <cell r="AQ517"/>
          <cell r="AR517"/>
          <cell r="AS517">
            <v>2605</v>
          </cell>
          <cell r="AT517">
            <v>2605</v>
          </cell>
          <cell r="AU517">
            <v>368.98016997167139</v>
          </cell>
          <cell r="AV517">
            <v>345.8523217144969</v>
          </cell>
          <cell r="AW517"/>
          <cell r="AX517">
            <v>8544700000</v>
          </cell>
          <cell r="AZ517">
            <v>1497.1961978982549</v>
          </cell>
          <cell r="BA517">
            <v>898.31771873895298</v>
          </cell>
          <cell r="BB517">
            <v>748.59809894912746</v>
          </cell>
          <cell r="BC517">
            <v>598.87847915930195</v>
          </cell>
          <cell r="BE517">
            <v>449.15885936947649</v>
          </cell>
        </row>
        <row r="518">
          <cell r="I518" t="str">
            <v>KFO48OS2MTZHD</v>
          </cell>
          <cell r="J518" t="str">
            <v>U0806004</v>
          </cell>
          <cell r="K518" t="str">
            <v>48FO OS2 MULTI LOOSE TUBE LSZH UNIVERSAL Dca YELLOW RAL1021</v>
          </cell>
          <cell r="L518" t="str">
            <v>48FO OS2 MULTI TUBE STRUCTURE LIBRE LSZH UNIVERSEL Dca JAUNE RAL1021</v>
          </cell>
          <cell r="M518" t="str">
            <v>Dca</v>
          </cell>
          <cell r="N518" t="str">
            <v>Vietnam</v>
          </cell>
          <cell r="O518"/>
          <cell r="P518" t="str">
            <v>4000m drum</v>
          </cell>
          <cell r="Q518" t="str">
            <v>4KM</v>
          </cell>
          <cell r="R518">
            <v>4</v>
          </cell>
          <cell r="S518" t="e">
            <v>#N/A</v>
          </cell>
          <cell r="T518">
            <v>8544700000</v>
          </cell>
          <cell r="U518">
            <v>0</v>
          </cell>
          <cell r="V518">
            <v>30</v>
          </cell>
          <cell r="W518">
            <v>45</v>
          </cell>
          <cell r="X518">
            <v>55</v>
          </cell>
          <cell r="Y518" t="str">
            <v>T/T against copy of document</v>
          </cell>
          <cell r="Z518">
            <v>1207.8947368421052</v>
          </cell>
          <cell r="AA518">
            <v>1055.4626532887403</v>
          </cell>
          <cell r="AB518">
            <v>0.1</v>
          </cell>
          <cell r="AC518">
            <v>0.1</v>
          </cell>
          <cell r="AD518">
            <v>0.22</v>
          </cell>
          <cell r="AE518" t="str">
            <v>C</v>
          </cell>
          <cell r="AF518">
            <v>1055.4626532887403</v>
          </cell>
          <cell r="AG518">
            <v>0.21999999999999997</v>
          </cell>
          <cell r="AH518" t="e">
            <v>#N/A</v>
          </cell>
          <cell r="AI518">
            <v>1020</v>
          </cell>
          <cell r="AJ518">
            <v>914.73429951690832</v>
          </cell>
          <cell r="AK518">
            <v>0.15555555555555556</v>
          </cell>
          <cell r="AL518">
            <v>0.1333333333333333</v>
          </cell>
          <cell r="AM518"/>
          <cell r="AN518" t="str">
            <v>SDGI VIETNAM</v>
          </cell>
          <cell r="AO518"/>
          <cell r="AP518"/>
          <cell r="AQ518"/>
          <cell r="AR518"/>
          <cell r="AS518"/>
          <cell r="AT518"/>
          <cell r="AU518">
            <v>918</v>
          </cell>
          <cell r="AV518">
            <v>823.26086956521749</v>
          </cell>
          <cell r="AW518"/>
          <cell r="AX518">
            <v>8544700000</v>
          </cell>
          <cell r="AZ518">
            <v>3518.2088442958011</v>
          </cell>
          <cell r="BA518">
            <v>2110.9253065774806</v>
          </cell>
          <cell r="BB518">
            <v>1759.1044221479006</v>
          </cell>
          <cell r="BC518">
            <v>1407.2835377183205</v>
          </cell>
          <cell r="BE518">
            <v>1055.4626532887403</v>
          </cell>
        </row>
        <row r="519">
          <cell r="I519" t="str">
            <v>KFO96OS2MTZHD</v>
          </cell>
          <cell r="J519" t="str">
            <v>U0806008</v>
          </cell>
          <cell r="K519" t="str">
            <v>96FO OS2 MULTI LOOSE TUBE LSZH UNIVERSAL Dca YELLOW RAL1021</v>
          </cell>
          <cell r="L519" t="str">
            <v>96FO OS2 MULTI TUBE STRUCTURE LIBRE LSZH UNIVERSEL Dca JAUNE RAL1021</v>
          </cell>
          <cell r="M519" t="str">
            <v>Dca</v>
          </cell>
          <cell r="N519" t="str">
            <v>Vietnam</v>
          </cell>
          <cell r="O519"/>
          <cell r="P519" t="str">
            <v>4000m drum</v>
          </cell>
          <cell r="Q519" t="str">
            <v>4KM</v>
          </cell>
          <cell r="R519">
            <v>4</v>
          </cell>
          <cell r="S519" t="e">
            <v>#N/A</v>
          </cell>
          <cell r="T519">
            <v>8544700000</v>
          </cell>
          <cell r="U519">
            <v>0</v>
          </cell>
          <cell r="V519">
            <v>30</v>
          </cell>
          <cell r="W519">
            <v>45</v>
          </cell>
          <cell r="X519">
            <v>55</v>
          </cell>
          <cell r="Y519" t="str">
            <v>T/T against copy of document</v>
          </cell>
          <cell r="Z519">
            <v>1632.8947368421052</v>
          </cell>
          <cell r="AA519">
            <v>1415.551839464883</v>
          </cell>
          <cell r="AB519">
            <v>0.1</v>
          </cell>
          <cell r="AC519">
            <v>0.1</v>
          </cell>
          <cell r="AD519">
            <v>0.22</v>
          </cell>
          <cell r="AE519" t="str">
            <v>C</v>
          </cell>
          <cell r="AF519">
            <v>1415.551839464883</v>
          </cell>
          <cell r="AG519">
            <v>0.21999999999999997</v>
          </cell>
          <cell r="AH519" t="e">
            <v>#N/A</v>
          </cell>
          <cell r="AI519">
            <v>1378.8888888888889</v>
          </cell>
          <cell r="AJ519">
            <v>1226.8115942028985</v>
          </cell>
          <cell r="AK519">
            <v>0.15555555555555556</v>
          </cell>
          <cell r="AL519">
            <v>0.13333333333333341</v>
          </cell>
          <cell r="AM519"/>
          <cell r="AN519" t="str">
            <v>SDGI VIETNAM</v>
          </cell>
          <cell r="AO519"/>
          <cell r="AP519"/>
          <cell r="AQ519"/>
          <cell r="AR519"/>
          <cell r="AS519"/>
          <cell r="AT519"/>
          <cell r="AU519">
            <v>1241</v>
          </cell>
          <cell r="AV519">
            <v>1104.1304347826087</v>
          </cell>
          <cell r="AW519"/>
          <cell r="AX519">
            <v>8544700000</v>
          </cell>
          <cell r="AZ519">
            <v>4718.5061315496105</v>
          </cell>
          <cell r="BA519">
            <v>2831.1036789297664</v>
          </cell>
          <cell r="BB519">
            <v>2359.2530657748052</v>
          </cell>
          <cell r="BC519">
            <v>1887.4024526198443</v>
          </cell>
          <cell r="BE519">
            <v>1415.551839464883</v>
          </cell>
        </row>
        <row r="520">
          <cell r="I520" t="str">
            <v>KFO48OS2MT</v>
          </cell>
          <cell r="J520" t="str">
            <v>U0805003</v>
          </cell>
          <cell r="K520" t="str">
            <v>48FO OS2 MULTI LOOSE TUBE PEHD OUTDOOR BLACK RAL 9005</v>
          </cell>
          <cell r="L520" t="str">
            <v xml:space="preserve">48FO OS2 MULTI TUBE STRUCTURE LIBRE PEHD EXTÉRIEUR NOIR RAL9005 </v>
          </cell>
          <cell r="M520" t="str">
            <v>Dca</v>
          </cell>
          <cell r="N520" t="str">
            <v>Vietnam</v>
          </cell>
          <cell r="O520"/>
          <cell r="P520" t="str">
            <v>4000m drum</v>
          </cell>
          <cell r="Q520" t="str">
            <v>4KM</v>
          </cell>
          <cell r="R520">
            <v>4</v>
          </cell>
          <cell r="S520" t="e">
            <v>#N/A</v>
          </cell>
          <cell r="T520">
            <v>8544700000</v>
          </cell>
          <cell r="U520">
            <v>0</v>
          </cell>
          <cell r="V520">
            <v>30</v>
          </cell>
          <cell r="W520">
            <v>45</v>
          </cell>
          <cell r="X520">
            <v>55</v>
          </cell>
          <cell r="Y520" t="str">
            <v>T/T against copy of document</v>
          </cell>
          <cell r="Z520">
            <v>530.66666666666663</v>
          </cell>
          <cell r="AA520">
            <v>481.93111236589505</v>
          </cell>
          <cell r="AB520">
            <v>0.1</v>
          </cell>
          <cell r="AC520">
            <v>0.1</v>
          </cell>
          <cell r="AD520">
            <v>0.23</v>
          </cell>
          <cell r="AE520" t="str">
            <v>C</v>
          </cell>
          <cell r="AF520">
            <v>481.93111236589505</v>
          </cell>
          <cell r="AG520">
            <v>0.22999999999999998</v>
          </cell>
          <cell r="AH520">
            <v>710.96</v>
          </cell>
          <cell r="AI520">
            <v>442.22222222222223</v>
          </cell>
          <cell r="AJ520">
            <v>412.31884057971018</v>
          </cell>
          <cell r="AK520">
            <v>0.16666666666666663</v>
          </cell>
          <cell r="AL520">
            <v>0.14444444444444449</v>
          </cell>
          <cell r="AM520"/>
          <cell r="AN520" t="str">
            <v>SDGI VIETNAM</v>
          </cell>
          <cell r="AO520"/>
          <cell r="AP520"/>
          <cell r="AQ520"/>
          <cell r="AR520"/>
          <cell r="AS520"/>
          <cell r="AT520"/>
          <cell r="AU520">
            <v>398</v>
          </cell>
          <cell r="AV520">
            <v>371.08695652173918</v>
          </cell>
          <cell r="AW520"/>
          <cell r="AX520">
            <v>8544700000</v>
          </cell>
          <cell r="AZ520">
            <v>1606.4370412196502</v>
          </cell>
          <cell r="BA520">
            <v>963.86222473179009</v>
          </cell>
          <cell r="BB520">
            <v>803.21852060982508</v>
          </cell>
          <cell r="BC520">
            <v>642.57481648786006</v>
          </cell>
          <cell r="BE520">
            <v>481.93111236589505</v>
          </cell>
        </row>
        <row r="521">
          <cell r="I521" t="str">
            <v>KFO96OS2MT</v>
          </cell>
          <cell r="J521" t="str">
            <v>U0805006</v>
          </cell>
          <cell r="K521" t="str">
            <v>96FO OS2 MULTI LOOSE TUBE PEHD OUTDOOR BLACK RAL 9005</v>
          </cell>
          <cell r="L521" t="str">
            <v xml:space="preserve">96FO OS2 MULTI TUBE STRUCTURE LIBRE PEHD EXTÉRIEUR NOIR RAL9005 </v>
          </cell>
          <cell r="M521" t="str">
            <v>Dca</v>
          </cell>
          <cell r="N521" t="str">
            <v>Vietnam</v>
          </cell>
          <cell r="O521"/>
          <cell r="P521" t="str">
            <v>4000m drum</v>
          </cell>
          <cell r="Q521" t="str">
            <v>4KM</v>
          </cell>
          <cell r="R521">
            <v>4</v>
          </cell>
          <cell r="S521" t="e">
            <v>#N/A</v>
          </cell>
          <cell r="T521">
            <v>8544700000</v>
          </cell>
          <cell r="U521">
            <v>0</v>
          </cell>
          <cell r="V521">
            <v>30</v>
          </cell>
          <cell r="W521">
            <v>45</v>
          </cell>
          <cell r="X521">
            <v>55</v>
          </cell>
          <cell r="Y521" t="str">
            <v>T/T against copy of document</v>
          </cell>
          <cell r="Z521">
            <v>928</v>
          </cell>
          <cell r="AA521">
            <v>818.46414455110107</v>
          </cell>
          <cell r="AB521">
            <v>0.1</v>
          </cell>
          <cell r="AC521">
            <v>0.1</v>
          </cell>
          <cell r="AD521">
            <v>0.23</v>
          </cell>
          <cell r="AE521" t="str">
            <v>C</v>
          </cell>
          <cell r="AF521">
            <v>818.46414455110107</v>
          </cell>
          <cell r="AG521">
            <v>0.22999999999999998</v>
          </cell>
          <cell r="AH521">
            <v>1027.4000000000001</v>
          </cell>
          <cell r="AI521">
            <v>773.33333333333326</v>
          </cell>
          <cell r="AJ521">
            <v>700.24154589371983</v>
          </cell>
          <cell r="AK521">
            <v>0.16666666666666674</v>
          </cell>
          <cell r="AL521">
            <v>0.14444444444444438</v>
          </cell>
          <cell r="AM521"/>
          <cell r="AN521" t="str">
            <v>SDGI VIETNAM</v>
          </cell>
          <cell r="AO521"/>
          <cell r="AP521"/>
          <cell r="AQ521"/>
          <cell r="AR521"/>
          <cell r="AS521"/>
          <cell r="AT521"/>
          <cell r="AU521">
            <v>696</v>
          </cell>
          <cell r="AV521">
            <v>630.21739130434787</v>
          </cell>
          <cell r="AW521"/>
          <cell r="AX521">
            <v>8544700000</v>
          </cell>
          <cell r="AZ521">
            <v>2728.2138151703371</v>
          </cell>
          <cell r="BA521">
            <v>1636.9282891022021</v>
          </cell>
          <cell r="BB521">
            <v>1364.1069075851685</v>
          </cell>
          <cell r="BC521">
            <v>1091.2855260681349</v>
          </cell>
          <cell r="BE521">
            <v>818.46414455110107</v>
          </cell>
        </row>
        <row r="522">
          <cell r="I522" t="str">
            <v>KFO48OS2MTA</v>
          </cell>
          <cell r="J522" t="str">
            <v>U0804003</v>
          </cell>
          <cell r="K522" t="str">
            <v>48FO OS2 MULTI LOOSE TUBE ARMORDED PEHD OUTDOOR BLACK RAL 9005</v>
          </cell>
          <cell r="L522" t="str">
            <v xml:space="preserve">48FO OS2 MULTI TUBE STRUCTURE LIBRE ARMÉ PEHD EXTÉRIEUR NOIR RAL9005 </v>
          </cell>
          <cell r="M522" t="str">
            <v>Dca</v>
          </cell>
          <cell r="N522" t="str">
            <v>Vietnam</v>
          </cell>
          <cell r="O522"/>
          <cell r="P522" t="str">
            <v>4000m drum</v>
          </cell>
          <cell r="Q522" t="str">
            <v>4KM</v>
          </cell>
          <cell r="R522">
            <v>4</v>
          </cell>
          <cell r="S522" t="e">
            <v>#N/A</v>
          </cell>
          <cell r="T522">
            <v>8544700000</v>
          </cell>
          <cell r="U522">
            <v>0</v>
          </cell>
          <cell r="V522">
            <v>30</v>
          </cell>
          <cell r="W522">
            <v>45</v>
          </cell>
          <cell r="X522">
            <v>55</v>
          </cell>
          <cell r="Y522" t="str">
            <v>T/T against copy of document</v>
          </cell>
          <cell r="Z522">
            <v>602.66666666666663</v>
          </cell>
          <cell r="AA522">
            <v>542.91360813099948</v>
          </cell>
          <cell r="AB522">
            <v>0.1</v>
          </cell>
          <cell r="AC522">
            <v>0.1</v>
          </cell>
          <cell r="AD522">
            <v>0.23</v>
          </cell>
          <cell r="AE522" t="str">
            <v>C</v>
          </cell>
          <cell r="AF522">
            <v>542.91360813099948</v>
          </cell>
          <cell r="AG522">
            <v>0.22999999999999998</v>
          </cell>
          <cell r="AH522">
            <v>823.29</v>
          </cell>
          <cell r="AI522">
            <v>502.22222222222223</v>
          </cell>
          <cell r="AJ522">
            <v>464.49275362318843</v>
          </cell>
          <cell r="AK522">
            <v>0.16666666666666663</v>
          </cell>
          <cell r="AL522">
            <v>0.14444444444444449</v>
          </cell>
          <cell r="AM522"/>
          <cell r="AN522" t="str">
            <v>SDGI VIETNAM</v>
          </cell>
          <cell r="AO522"/>
          <cell r="AP522"/>
          <cell r="AQ522"/>
          <cell r="AR522"/>
          <cell r="AS522"/>
          <cell r="AT522"/>
          <cell r="AU522">
            <v>452</v>
          </cell>
          <cell r="AV522">
            <v>418.04347826086962</v>
          </cell>
          <cell r="AW522"/>
          <cell r="AX522">
            <v>8544700000</v>
          </cell>
          <cell r="AZ522">
            <v>1809.7120271033316</v>
          </cell>
          <cell r="BA522">
            <v>1085.827216261999</v>
          </cell>
          <cell r="BB522">
            <v>904.8560135516658</v>
          </cell>
          <cell r="BC522">
            <v>723.88481084133264</v>
          </cell>
          <cell r="BE522">
            <v>542.91360813099948</v>
          </cell>
        </row>
        <row r="523">
          <cell r="I523" t="str">
            <v>KFO96OS2MTA</v>
          </cell>
          <cell r="J523" t="str">
            <v>U0804006</v>
          </cell>
          <cell r="K523" t="str">
            <v>96FO OS2 MULTI LOOSE TUBE ARMORDED PEHD OUTDOOR BLACK RAL 9005</v>
          </cell>
          <cell r="L523" t="str">
            <v xml:space="preserve">96FO OS2 MULTI TUBE STRUCTURE LIBRE ARMÉ PEHD EXTÉRIEUR NOIR RAL9005 </v>
          </cell>
          <cell r="M523" t="str">
            <v>Dca</v>
          </cell>
          <cell r="N523" t="str">
            <v>Vietnam</v>
          </cell>
          <cell r="O523"/>
          <cell r="P523" t="str">
            <v>4000m drum</v>
          </cell>
          <cell r="Q523" t="str">
            <v>4KM</v>
          </cell>
          <cell r="R523">
            <v>4</v>
          </cell>
          <cell r="S523" t="e">
            <v>#N/A</v>
          </cell>
          <cell r="T523">
            <v>8544700000</v>
          </cell>
          <cell r="U523">
            <v>0</v>
          </cell>
          <cell r="V523">
            <v>30</v>
          </cell>
          <cell r="W523">
            <v>45</v>
          </cell>
          <cell r="X523">
            <v>55</v>
          </cell>
          <cell r="Y523" t="str">
            <v>T/T against copy of document</v>
          </cell>
          <cell r="Z523">
            <v>1002.6666666666666</v>
          </cell>
          <cell r="AA523">
            <v>881.70525127046869</v>
          </cell>
          <cell r="AB523">
            <v>0.1</v>
          </cell>
          <cell r="AC523">
            <v>0.1</v>
          </cell>
          <cell r="AD523">
            <v>0.23</v>
          </cell>
          <cell r="AE523" t="str">
            <v>C</v>
          </cell>
          <cell r="AF523">
            <v>881.70525127046869</v>
          </cell>
          <cell r="AG523">
            <v>0.22999999999999998</v>
          </cell>
          <cell r="AH523">
            <v>1183.56</v>
          </cell>
          <cell r="AI523">
            <v>835.55555555555554</v>
          </cell>
          <cell r="AJ523">
            <v>754.3478260869565</v>
          </cell>
          <cell r="AK523">
            <v>0.16666666666666663</v>
          </cell>
          <cell r="AL523">
            <v>0.14444444444444449</v>
          </cell>
          <cell r="AM523"/>
          <cell r="AN523" t="str">
            <v>SDGI VIETNAM</v>
          </cell>
          <cell r="AO523"/>
          <cell r="AP523"/>
          <cell r="AQ523"/>
          <cell r="AR523"/>
          <cell r="AS523"/>
          <cell r="AT523"/>
          <cell r="AU523">
            <v>752</v>
          </cell>
          <cell r="AV523">
            <v>678.91304347826087</v>
          </cell>
          <cell r="AW523"/>
          <cell r="AX523">
            <v>8544700000</v>
          </cell>
          <cell r="AZ523">
            <v>2939.0175042348956</v>
          </cell>
          <cell r="BA523">
            <v>1763.4105025409374</v>
          </cell>
          <cell r="BB523">
            <v>1469.5087521174478</v>
          </cell>
          <cell r="BC523">
            <v>1175.6070016939582</v>
          </cell>
          <cell r="BE523">
            <v>881.70525127046869</v>
          </cell>
        </row>
        <row r="524">
          <cell r="I524" t="str">
            <v>KFO6OM3CTZHD</v>
          </cell>
          <cell r="J524" t="str">
            <v>U0803009</v>
          </cell>
          <cell r="K524" t="str">
            <v>6FO OM3 CENTRAL LOOSE TUBE LSZH UNIVERSAL Dca AQUA RAL6027</v>
          </cell>
          <cell r="L524" t="str">
            <v>6FO OM3 TUBE CENTRAL STRUCTURE LIBRE LSZH UNIVERSEL Dca AQUA RAL6027</v>
          </cell>
          <cell r="M524" t="str">
            <v>Dca</v>
          </cell>
          <cell r="N524" t="str">
            <v>Turkey</v>
          </cell>
          <cell r="O524"/>
          <cell r="P524" t="str">
            <v>2000m drum</v>
          </cell>
          <cell r="Q524" t="str">
            <v>4KM</v>
          </cell>
          <cell r="R524">
            <v>2</v>
          </cell>
          <cell r="S524" t="e">
            <v>#N/A</v>
          </cell>
          <cell r="T524">
            <v>8544700000</v>
          </cell>
          <cell r="U524">
            <v>0</v>
          </cell>
          <cell r="V524">
            <v>30</v>
          </cell>
          <cell r="W524">
            <v>45</v>
          </cell>
          <cell r="X524">
            <v>55</v>
          </cell>
          <cell r="Y524" t="str">
            <v>T/T against copy of document</v>
          </cell>
          <cell r="Z524">
            <v>507.35294117647061</v>
          </cell>
          <cell r="AA524">
            <v>471.42857142857144</v>
          </cell>
          <cell r="AB524">
            <v>7.0000000000000007E-2</v>
          </cell>
          <cell r="AC524">
            <v>7.0000000000000007E-2</v>
          </cell>
          <cell r="AD524">
            <v>0.3</v>
          </cell>
          <cell r="AE524" t="str">
            <v>C</v>
          </cell>
          <cell r="AF524">
            <v>471.42857142857144</v>
          </cell>
          <cell r="AG524">
            <v>0.30000000000000004</v>
          </cell>
          <cell r="AH524"/>
          <cell r="AI524">
            <v>370.9677419354839</v>
          </cell>
          <cell r="AJ524">
            <v>354.83870967741939</v>
          </cell>
          <cell r="AK524">
            <v>0.26881720430107525</v>
          </cell>
          <cell r="AL524">
            <v>0.24731182795698925</v>
          </cell>
          <cell r="AM524"/>
          <cell r="AN524" t="str">
            <v>INFOKS</v>
          </cell>
          <cell r="AO524"/>
          <cell r="AP524"/>
          <cell r="AQ524"/>
          <cell r="AR524"/>
          <cell r="AS524"/>
          <cell r="AT524"/>
          <cell r="AU524">
            <v>300</v>
          </cell>
          <cell r="AV524">
            <v>330</v>
          </cell>
          <cell r="AW524"/>
          <cell r="AX524"/>
          <cell r="AZ524">
            <v>1571.4285714285716</v>
          </cell>
          <cell r="BA524">
            <v>942.85714285714289</v>
          </cell>
          <cell r="BB524">
            <v>785.71428571428578</v>
          </cell>
          <cell r="BC524">
            <v>628.57142857142867</v>
          </cell>
          <cell r="BE524">
            <v>471.42857142857144</v>
          </cell>
        </row>
        <row r="525">
          <cell r="I525" t="str">
            <v>KFO8OM3CTZHD</v>
          </cell>
          <cell r="J525" t="str">
            <v>U0803015</v>
          </cell>
          <cell r="K525" t="str">
            <v>8FO OM3 CENTRAL LOOSE TUBE LSZH UNIVERSAL Dca AQUA RAL6027</v>
          </cell>
          <cell r="L525" t="str">
            <v>8FO OM3 TUBE CENTRAL STRUCTURE LIBRE LSZH UNIVERSEL Dca AQUA RAL6027</v>
          </cell>
          <cell r="M525" t="str">
            <v>Dca</v>
          </cell>
          <cell r="N525" t="str">
            <v>Turkey</v>
          </cell>
          <cell r="O525"/>
          <cell r="P525" t="str">
            <v>2000m drum</v>
          </cell>
          <cell r="Q525" t="str">
            <v>4KM</v>
          </cell>
          <cell r="R525">
            <v>2</v>
          </cell>
          <cell r="S525" t="e">
            <v>#N/A</v>
          </cell>
          <cell r="T525">
            <v>8544700000</v>
          </cell>
          <cell r="U525">
            <v>0</v>
          </cell>
          <cell r="V525">
            <v>30</v>
          </cell>
          <cell r="W525">
            <v>45</v>
          </cell>
          <cell r="X525">
            <v>55</v>
          </cell>
          <cell r="Y525" t="str">
            <v>T/T against copy of document</v>
          </cell>
          <cell r="Z525">
            <v>586.83823529411768</v>
          </cell>
          <cell r="AA525">
            <v>545.28571428571433</v>
          </cell>
          <cell r="AB525">
            <v>7.0000000000000007E-2</v>
          </cell>
          <cell r="AC525">
            <v>7.0000000000000007E-2</v>
          </cell>
          <cell r="AD525">
            <v>0.3</v>
          </cell>
          <cell r="AE525" t="str">
            <v>C</v>
          </cell>
          <cell r="AF525">
            <v>545.28571428571433</v>
          </cell>
          <cell r="AG525">
            <v>0.29999999999999993</v>
          </cell>
          <cell r="AH525"/>
          <cell r="AI525">
            <v>429.08602150537632</v>
          </cell>
          <cell r="AJ525">
            <v>410.43010752688178</v>
          </cell>
          <cell r="AK525">
            <v>0.26881720430107536</v>
          </cell>
          <cell r="AL525">
            <v>0.24731182795698925</v>
          </cell>
          <cell r="AM525"/>
          <cell r="AN525" t="str">
            <v>INFOKS</v>
          </cell>
          <cell r="AO525"/>
          <cell r="AP525"/>
          <cell r="AQ525"/>
          <cell r="AR525"/>
          <cell r="AS525"/>
          <cell r="AT525"/>
          <cell r="AU525">
            <v>347</v>
          </cell>
          <cell r="AV525">
            <v>381.70000000000005</v>
          </cell>
          <cell r="AW525"/>
          <cell r="AX525"/>
          <cell r="AZ525">
            <v>1817.6190476190479</v>
          </cell>
          <cell r="BA525">
            <v>1090.5714285714287</v>
          </cell>
          <cell r="BB525">
            <v>908.80952380952397</v>
          </cell>
          <cell r="BC525">
            <v>727.04761904761926</v>
          </cell>
          <cell r="BE525">
            <v>545.28571428571433</v>
          </cell>
        </row>
        <row r="526">
          <cell r="I526" t="str">
            <v>KFO12OM3CTZHD20</v>
          </cell>
          <cell r="J526" t="str">
            <v>U0803001</v>
          </cell>
          <cell r="K526" t="str">
            <v>12FO OM3 CENTRAL LOOSE TUBE LSZH UNIVERSAL Dca AQUA RAL6027</v>
          </cell>
          <cell r="L526" t="str">
            <v>12FO OM3 TUBE CENTRAL STRUCTURE LIBRE LSZH UNIVERSEL Dca AQUA RAL6027</v>
          </cell>
          <cell r="M526" t="str">
            <v>Dca</v>
          </cell>
          <cell r="N526" t="str">
            <v>Turkey</v>
          </cell>
          <cell r="O526"/>
          <cell r="P526" t="str">
            <v>2000m drum</v>
          </cell>
          <cell r="Q526" t="str">
            <v>4KM</v>
          </cell>
          <cell r="R526">
            <v>2</v>
          </cell>
          <cell r="S526" t="e">
            <v>#N/A</v>
          </cell>
          <cell r="T526">
            <v>8544700000</v>
          </cell>
          <cell r="U526">
            <v>0</v>
          </cell>
          <cell r="V526">
            <v>30</v>
          </cell>
          <cell r="W526">
            <v>45</v>
          </cell>
          <cell r="X526">
            <v>55</v>
          </cell>
          <cell r="Y526" t="str">
            <v>T/T against copy of document</v>
          </cell>
          <cell r="Z526">
            <v>745.80882352941182</v>
          </cell>
          <cell r="AA526">
            <v>693.00000000000011</v>
          </cell>
          <cell r="AB526">
            <v>7.0000000000000007E-2</v>
          </cell>
          <cell r="AC526">
            <v>7.0000000000000007E-2</v>
          </cell>
          <cell r="AD526">
            <v>0.3</v>
          </cell>
          <cell r="AE526" t="str">
            <v>C</v>
          </cell>
          <cell r="AF526">
            <v>693.00000000000011</v>
          </cell>
          <cell r="AG526">
            <v>0.30000000000000004</v>
          </cell>
          <cell r="AH526"/>
          <cell r="AI526">
            <v>545.32258064516134</v>
          </cell>
          <cell r="AJ526">
            <v>521.61290322580646</v>
          </cell>
          <cell r="AK526">
            <v>0.26881720430107525</v>
          </cell>
          <cell r="AL526">
            <v>0.24731182795698936</v>
          </cell>
          <cell r="AM526"/>
          <cell r="AN526" t="str">
            <v>INFOKS</v>
          </cell>
          <cell r="AO526"/>
          <cell r="AP526"/>
          <cell r="AQ526"/>
          <cell r="AR526"/>
          <cell r="AS526"/>
          <cell r="AT526"/>
          <cell r="AU526">
            <v>441</v>
          </cell>
          <cell r="AV526">
            <v>485.1</v>
          </cell>
          <cell r="AW526"/>
          <cell r="AX526"/>
          <cell r="AZ526">
            <v>2310.0000000000005</v>
          </cell>
          <cell r="BA526">
            <v>1386.0000000000002</v>
          </cell>
          <cell r="BB526">
            <v>1155.0000000000002</v>
          </cell>
          <cell r="BC526">
            <v>924.00000000000023</v>
          </cell>
          <cell r="BE526">
            <v>693.00000000000011</v>
          </cell>
        </row>
        <row r="527">
          <cell r="I527" t="str">
            <v>KFO24OM3CTZHD</v>
          </cell>
          <cell r="J527" t="str">
            <v>U0803005</v>
          </cell>
          <cell r="K527" t="str">
            <v>24FO OM3 CENTRAL LOOSE TUBE LSZH UNIVERSAL Dca AQUA RAL6027</v>
          </cell>
          <cell r="L527" t="str">
            <v>24FO OM3 TUBE CENTRAL STRUCTURE LIBRE LSZH UNIVERSEL Dca AQUA RAL6027</v>
          </cell>
          <cell r="M527" t="str">
            <v>Dca</v>
          </cell>
          <cell r="N527" t="str">
            <v>Turkey</v>
          </cell>
          <cell r="O527"/>
          <cell r="P527" t="str">
            <v>2000m drum</v>
          </cell>
          <cell r="Q527" t="str">
            <v>4KM</v>
          </cell>
          <cell r="R527">
            <v>2</v>
          </cell>
          <cell r="S527" t="e">
            <v>#N/A</v>
          </cell>
          <cell r="T527">
            <v>8544700000</v>
          </cell>
          <cell r="U527">
            <v>0</v>
          </cell>
          <cell r="V527">
            <v>30</v>
          </cell>
          <cell r="W527">
            <v>45</v>
          </cell>
          <cell r="X527">
            <v>55</v>
          </cell>
          <cell r="Y527" t="str">
            <v>T/T against copy of document</v>
          </cell>
          <cell r="Z527">
            <v>1258.2352941176471</v>
          </cell>
          <cell r="AA527">
            <v>1169.1428571428573</v>
          </cell>
          <cell r="AB527">
            <v>7.0000000000000007E-2</v>
          </cell>
          <cell r="AC527">
            <v>7.0000000000000007E-2</v>
          </cell>
          <cell r="AD527">
            <v>0.3</v>
          </cell>
          <cell r="AE527" t="str">
            <v>C</v>
          </cell>
          <cell r="AF527">
            <v>1169.1428571428573</v>
          </cell>
          <cell r="AG527">
            <v>0.30000000000000004</v>
          </cell>
          <cell r="AH527"/>
          <cell r="AI527">
            <v>919.99999999999989</v>
          </cell>
          <cell r="AJ527">
            <v>880.00000000000011</v>
          </cell>
          <cell r="AK527">
            <v>0.26881720430107536</v>
          </cell>
          <cell r="AL527">
            <v>0.24731182795698925</v>
          </cell>
          <cell r="AM527"/>
          <cell r="AN527" t="str">
            <v>INFOKS</v>
          </cell>
          <cell r="AO527"/>
          <cell r="AP527"/>
          <cell r="AQ527"/>
          <cell r="AR527"/>
          <cell r="AS527"/>
          <cell r="AT527"/>
          <cell r="AU527">
            <v>744</v>
          </cell>
          <cell r="AV527">
            <v>818.40000000000009</v>
          </cell>
          <cell r="AW527"/>
          <cell r="AX527"/>
          <cell r="AZ527">
            <v>3897.1428571428578</v>
          </cell>
          <cell r="BA527">
            <v>2338.2857142857147</v>
          </cell>
          <cell r="BB527">
            <v>1948.5714285714289</v>
          </cell>
          <cell r="BC527">
            <v>1558.8571428571431</v>
          </cell>
          <cell r="BE527">
            <v>1169.1428571428573</v>
          </cell>
        </row>
        <row r="528">
          <cell r="I528" t="str">
            <v>KFO6OM3CTZHC</v>
          </cell>
          <cell r="J528" t="str">
            <v/>
          </cell>
          <cell r="K528" t="str">
            <v>6FO OM3 CENTRAL LOOSE TUBE LSZH UNIVERSAL Cca AQUA RAL6027</v>
          </cell>
          <cell r="L528" t="str">
            <v>6FO OM3 TUBE CENTRAL STRUCTURE LIBRE LSZH UNIVERSEL Cca AQUA RAL6027</v>
          </cell>
          <cell r="M528" t="str">
            <v>Cca/B2ca</v>
          </cell>
          <cell r="N528" t="str">
            <v>Turkey</v>
          </cell>
          <cell r="O528"/>
          <cell r="P528" t="str">
            <v>2000m drum</v>
          </cell>
          <cell r="Q528" t="str">
            <v>4KM</v>
          </cell>
          <cell r="R528">
            <v>2</v>
          </cell>
          <cell r="S528" t="e">
            <v>#N/A</v>
          </cell>
          <cell r="T528">
            <v>8544700000</v>
          </cell>
          <cell r="U528">
            <v>0</v>
          </cell>
          <cell r="V528">
            <v>30</v>
          </cell>
          <cell r="W528">
            <v>45</v>
          </cell>
          <cell r="X528">
            <v>55</v>
          </cell>
          <cell r="Y528" t="str">
            <v>T/T against copy of document</v>
          </cell>
          <cell r="Z528">
            <v>537.79411764705878</v>
          </cell>
          <cell r="AA528">
            <v>499.71428571428578</v>
          </cell>
          <cell r="AB528">
            <v>7.0000000000000007E-2</v>
          </cell>
          <cell r="AC528">
            <v>7.0000000000000007E-2</v>
          </cell>
          <cell r="AD528">
            <v>0.3</v>
          </cell>
          <cell r="AE528" t="str">
            <v>C</v>
          </cell>
          <cell r="AF528">
            <v>499.71428571428578</v>
          </cell>
          <cell r="AG528">
            <v>0.30000000000000004</v>
          </cell>
          <cell r="AH528"/>
          <cell r="AI528">
            <v>393.22580645161287</v>
          </cell>
          <cell r="AJ528">
            <v>376.12903225806457</v>
          </cell>
          <cell r="AK528">
            <v>0.26881720430107525</v>
          </cell>
          <cell r="AL528">
            <v>0.24731182795698925</v>
          </cell>
          <cell r="AM528"/>
          <cell r="AN528" t="str">
            <v>INFOKS</v>
          </cell>
          <cell r="AO528"/>
          <cell r="AP528"/>
          <cell r="AQ528"/>
          <cell r="AR528"/>
          <cell r="AS528"/>
          <cell r="AT528"/>
          <cell r="AU528">
            <v>318</v>
          </cell>
          <cell r="AV528">
            <v>349.8</v>
          </cell>
          <cell r="AW528"/>
          <cell r="AX528"/>
          <cell r="AZ528">
            <v>1665.714285714286</v>
          </cell>
          <cell r="BA528">
            <v>999.42857142857156</v>
          </cell>
          <cell r="BB528">
            <v>832.857142857143</v>
          </cell>
          <cell r="BC528">
            <v>666.28571428571445</v>
          </cell>
        </row>
        <row r="529">
          <cell r="I529" t="str">
            <v>KFO8OM3CTZHC</v>
          </cell>
          <cell r="J529" t="str">
            <v/>
          </cell>
          <cell r="K529" t="str">
            <v>8FO OM3 CENTRAL LOOSE TUBE LSZH UNIVERSAL Cca AQUA RAL6027</v>
          </cell>
          <cell r="L529" t="str">
            <v>8FO OM3 TUBE CENTRAL STRUCTURE LIBRE LSZH UNIVERSEL Cca AQUA RAL6027</v>
          </cell>
          <cell r="M529" t="str">
            <v>Cca/B2ca</v>
          </cell>
          <cell r="N529" t="str">
            <v>Turkey</v>
          </cell>
          <cell r="O529"/>
          <cell r="P529" t="str">
            <v>2000m drum</v>
          </cell>
          <cell r="Q529" t="str">
            <v>4KM</v>
          </cell>
          <cell r="R529">
            <v>2</v>
          </cell>
          <cell r="S529" t="e">
            <v>#N/A</v>
          </cell>
          <cell r="T529">
            <v>8544700000</v>
          </cell>
          <cell r="U529">
            <v>0</v>
          </cell>
          <cell r="V529">
            <v>30</v>
          </cell>
          <cell r="W529">
            <v>45</v>
          </cell>
          <cell r="X529">
            <v>55</v>
          </cell>
          <cell r="Y529" t="str">
            <v>T/T against copy of document</v>
          </cell>
          <cell r="Z529">
            <v>668.01470588235304</v>
          </cell>
          <cell r="AA529">
            <v>620.71428571428578</v>
          </cell>
          <cell r="AB529">
            <v>7.0000000000000007E-2</v>
          </cell>
          <cell r="AC529">
            <v>7.0000000000000007E-2</v>
          </cell>
          <cell r="AD529">
            <v>0.3</v>
          </cell>
          <cell r="AE529" t="str">
            <v>C</v>
          </cell>
          <cell r="AF529">
            <v>620.71428571428578</v>
          </cell>
          <cell r="AG529">
            <v>0.29999999999999993</v>
          </cell>
          <cell r="AH529"/>
          <cell r="AI529">
            <v>488.44086021505376</v>
          </cell>
          <cell r="AJ529">
            <v>467.20430107526892</v>
          </cell>
          <cell r="AK529">
            <v>0.26881720430107536</v>
          </cell>
          <cell r="AL529">
            <v>0.24731182795698914</v>
          </cell>
          <cell r="AM529"/>
          <cell r="AN529" t="str">
            <v>INFOKS</v>
          </cell>
          <cell r="AO529"/>
          <cell r="AP529"/>
          <cell r="AQ529"/>
          <cell r="AR529"/>
          <cell r="AS529"/>
          <cell r="AT529"/>
          <cell r="AU529">
            <v>395</v>
          </cell>
          <cell r="AV529">
            <v>434.50000000000006</v>
          </cell>
          <cell r="AW529"/>
          <cell r="AX529"/>
          <cell r="AZ529">
            <v>2069.0476190476193</v>
          </cell>
          <cell r="BA529">
            <v>1241.4285714285716</v>
          </cell>
          <cell r="BB529">
            <v>1034.5238095238096</v>
          </cell>
          <cell r="BC529">
            <v>827.61904761904771</v>
          </cell>
        </row>
        <row r="530">
          <cell r="I530" t="str">
            <v>KFO12OM3CTZHC</v>
          </cell>
          <cell r="J530" t="str">
            <v>U0803019</v>
          </cell>
          <cell r="K530" t="str">
            <v>12FO OM3 CENTRAL LOOSE TUBE LSZH UNIVERSAL Cca AQUA RAL6027</v>
          </cell>
          <cell r="L530" t="str">
            <v>12FO OM3 TUBE CENTRAL STRUCTURE LIBRE LSZH UNIVERSEL Cca AQUA RAL6027</v>
          </cell>
          <cell r="M530" t="str">
            <v>Cca/B2ca</v>
          </cell>
          <cell r="N530" t="str">
            <v>Turkey</v>
          </cell>
          <cell r="O530"/>
          <cell r="P530" t="str">
            <v>2000m drum</v>
          </cell>
          <cell r="Q530" t="str">
            <v>4KM</v>
          </cell>
          <cell r="R530">
            <v>2</v>
          </cell>
          <cell r="S530" t="e">
            <v>#N/A</v>
          </cell>
          <cell r="T530">
            <v>8544700000</v>
          </cell>
          <cell r="U530">
            <v>0</v>
          </cell>
          <cell r="V530">
            <v>30</v>
          </cell>
          <cell r="W530">
            <v>45</v>
          </cell>
          <cell r="X530">
            <v>55</v>
          </cell>
          <cell r="Y530" t="str">
            <v>T/T against copy of document</v>
          </cell>
          <cell r="Z530">
            <v>766.10294117647061</v>
          </cell>
          <cell r="AA530">
            <v>711.857142857143</v>
          </cell>
          <cell r="AB530">
            <v>7.0000000000000007E-2</v>
          </cell>
          <cell r="AC530">
            <v>7.0000000000000007E-2</v>
          </cell>
          <cell r="AD530">
            <v>0.3</v>
          </cell>
          <cell r="AE530" t="str">
            <v>C</v>
          </cell>
          <cell r="AF530">
            <v>711.857142857143</v>
          </cell>
          <cell r="AG530">
            <v>0.30000000000000004</v>
          </cell>
          <cell r="AH530"/>
          <cell r="AI530">
            <v>560.16129032258061</v>
          </cell>
          <cell r="AJ530">
            <v>535.80645161290329</v>
          </cell>
          <cell r="AK530">
            <v>0.26881720430107536</v>
          </cell>
          <cell r="AL530">
            <v>0.24731182795698936</v>
          </cell>
          <cell r="AM530"/>
          <cell r="AN530" t="str">
            <v>INFOKS</v>
          </cell>
          <cell r="AO530"/>
          <cell r="AP530"/>
          <cell r="AQ530"/>
          <cell r="AR530"/>
          <cell r="AS530"/>
          <cell r="AT530"/>
          <cell r="AU530">
            <v>453</v>
          </cell>
          <cell r="AV530">
            <v>498.30000000000007</v>
          </cell>
          <cell r="AW530"/>
          <cell r="AX530">
            <v>8544700000</v>
          </cell>
          <cell r="AZ530">
            <v>2372.8571428571436</v>
          </cell>
          <cell r="BA530">
            <v>1423.714285714286</v>
          </cell>
          <cell r="BB530">
            <v>1186.4285714285718</v>
          </cell>
          <cell r="BC530">
            <v>949.14285714285745</v>
          </cell>
        </row>
        <row r="531">
          <cell r="I531" t="str">
            <v>KFO24OM3CTZHC</v>
          </cell>
          <cell r="J531" t="str">
            <v>U0803021</v>
          </cell>
          <cell r="K531" t="str">
            <v>24FO OM3 CENTRAL LOOSE TUBE LSZH UNIVERSAL Cca AQUA RAL6027</v>
          </cell>
          <cell r="L531" t="str">
            <v>24FO OM3 TUBE CENTRAL STRUCTURE LIBRE LSZH UNIVERSEL Cca AQUA RAL6027</v>
          </cell>
          <cell r="M531" t="str">
            <v>Cca/B2ca</v>
          </cell>
          <cell r="N531" t="str">
            <v>Turkey</v>
          </cell>
          <cell r="O531"/>
          <cell r="P531" t="str">
            <v>2000m drum</v>
          </cell>
          <cell r="Q531" t="str">
            <v>4KM</v>
          </cell>
          <cell r="R531">
            <v>2</v>
          </cell>
          <cell r="S531" t="e">
            <v>#N/A</v>
          </cell>
          <cell r="T531">
            <v>8544700000</v>
          </cell>
          <cell r="U531">
            <v>0</v>
          </cell>
          <cell r="V531">
            <v>30</v>
          </cell>
          <cell r="W531">
            <v>45</v>
          </cell>
          <cell r="X531">
            <v>55</v>
          </cell>
          <cell r="Y531" t="str">
            <v>T/T against copy of document</v>
          </cell>
          <cell r="Z531">
            <v>1354.6323529411764</v>
          </cell>
          <cell r="AA531">
            <v>1258.7142857142858</v>
          </cell>
          <cell r="AB531">
            <v>7.0000000000000007E-2</v>
          </cell>
          <cell r="AC531">
            <v>7.0000000000000007E-2</v>
          </cell>
          <cell r="AD531">
            <v>0.3</v>
          </cell>
          <cell r="AE531" t="str">
            <v>C</v>
          </cell>
          <cell r="AF531">
            <v>1258.7142857142858</v>
          </cell>
          <cell r="AG531">
            <v>0.30000000000000004</v>
          </cell>
          <cell r="AH531"/>
          <cell r="AI531">
            <v>990.48387096774195</v>
          </cell>
          <cell r="AJ531">
            <v>947.41935483870975</v>
          </cell>
          <cell r="AK531">
            <v>0.26881720430107514</v>
          </cell>
          <cell r="AL531">
            <v>0.24731182795698925</v>
          </cell>
          <cell r="AM531"/>
          <cell r="AN531" t="str">
            <v>INFOKS</v>
          </cell>
          <cell r="AO531"/>
          <cell r="AP531"/>
          <cell r="AQ531"/>
          <cell r="AR531"/>
          <cell r="AS531"/>
          <cell r="AT531"/>
          <cell r="AU531">
            <v>801</v>
          </cell>
          <cell r="AV531">
            <v>881.1</v>
          </cell>
          <cell r="AW531"/>
          <cell r="AX531">
            <v>8544700000</v>
          </cell>
          <cell r="AZ531">
            <v>4195.7142857142862</v>
          </cell>
          <cell r="BA531">
            <v>2517.4285714285716</v>
          </cell>
          <cell r="BB531">
            <v>2097.8571428571431</v>
          </cell>
          <cell r="BC531">
            <v>1678.2857142857147</v>
          </cell>
        </row>
        <row r="532">
          <cell r="I532" t="str">
            <v>KFO6OM3TBZHC</v>
          </cell>
          <cell r="J532" t="str">
            <v>U0807009</v>
          </cell>
          <cell r="K532" t="str">
            <v>6FO OM3 TIGHT BUFFERED LSZH UNIVERSAL Cca AQUA RAL6027</v>
          </cell>
          <cell r="L532" t="str">
            <v>6FO OM3 STRUCTURE SERRÉE LSZH UNIVERSEL Cca AQUA RAL6027</v>
          </cell>
          <cell r="M532" t="str">
            <v>Cca</v>
          </cell>
          <cell r="N532" t="str">
            <v>Turkey</v>
          </cell>
          <cell r="O532"/>
          <cell r="P532" t="str">
            <v>2000m drum</v>
          </cell>
          <cell r="Q532" t="str">
            <v>4KM</v>
          </cell>
          <cell r="R532">
            <v>2</v>
          </cell>
          <cell r="S532" t="e">
            <v>#N/A</v>
          </cell>
          <cell r="T532">
            <v>8544700000</v>
          </cell>
          <cell r="U532">
            <v>0</v>
          </cell>
          <cell r="V532">
            <v>30</v>
          </cell>
          <cell r="W532">
            <v>45</v>
          </cell>
          <cell r="X532">
            <v>55</v>
          </cell>
          <cell r="Y532" t="str">
            <v>T/T against copy of document</v>
          </cell>
          <cell r="Z532">
            <v>521.79104477611941</v>
          </cell>
          <cell r="AA532">
            <v>484.63768115942037</v>
          </cell>
          <cell r="AB532">
            <v>7.0000000000000007E-2</v>
          </cell>
          <cell r="AC532">
            <v>7.0000000000000007E-2</v>
          </cell>
          <cell r="AD532">
            <v>0.31</v>
          </cell>
          <cell r="AE532" t="str">
            <v>C</v>
          </cell>
          <cell r="AF532">
            <v>484.63768115942037</v>
          </cell>
          <cell r="AG532">
            <v>0.31000000000000005</v>
          </cell>
          <cell r="AH532"/>
          <cell r="AI532">
            <v>375.91397849462362</v>
          </cell>
          <cell r="AJ532">
            <v>359.56989247311833</v>
          </cell>
          <cell r="AK532">
            <v>0.27956989247311836</v>
          </cell>
          <cell r="AL532">
            <v>0.25806451612903225</v>
          </cell>
          <cell r="AM532"/>
          <cell r="AN532" t="str">
            <v>INFOKS</v>
          </cell>
          <cell r="AO532"/>
          <cell r="AP532"/>
          <cell r="AQ532"/>
          <cell r="AR532"/>
          <cell r="AS532"/>
          <cell r="AT532"/>
          <cell r="AU532">
            <v>304</v>
          </cell>
          <cell r="AV532">
            <v>334.40000000000003</v>
          </cell>
          <cell r="AW532"/>
          <cell r="AX532"/>
          <cell r="AZ532">
            <v>1615.458937198068</v>
          </cell>
          <cell r="BA532">
            <v>969.27536231884073</v>
          </cell>
          <cell r="BB532">
            <v>807.72946859903402</v>
          </cell>
          <cell r="BC532">
            <v>646.18357487922731</v>
          </cell>
          <cell r="BE532">
            <v>484.63768115942037</v>
          </cell>
        </row>
        <row r="533">
          <cell r="I533" t="str">
            <v>KFO8OM3TBZHC</v>
          </cell>
          <cell r="J533" t="str">
            <v>U0807013</v>
          </cell>
          <cell r="K533" t="str">
            <v>8FO OM3 TIGHT BUFFERED LSZH UNIVERSAL Cca AQUA RAL6027</v>
          </cell>
          <cell r="L533" t="str">
            <v>8FO OM3 STRUCTURE SERRÉE  LSZH UNIVERSEL Cca AQUA RAL6027</v>
          </cell>
          <cell r="M533" t="str">
            <v>Cca</v>
          </cell>
          <cell r="N533" t="str">
            <v>Turkey</v>
          </cell>
          <cell r="O533"/>
          <cell r="P533" t="str">
            <v>2000m drum</v>
          </cell>
          <cell r="Q533" t="str">
            <v>4KM</v>
          </cell>
          <cell r="R533">
            <v>2</v>
          </cell>
          <cell r="S533" t="e">
            <v>#N/A</v>
          </cell>
          <cell r="T533">
            <v>8544700000</v>
          </cell>
          <cell r="U533">
            <v>0</v>
          </cell>
          <cell r="V533">
            <v>30</v>
          </cell>
          <cell r="W533">
            <v>45</v>
          </cell>
          <cell r="X533">
            <v>55</v>
          </cell>
          <cell r="Y533" t="str">
            <v>T/T against copy of document</v>
          </cell>
          <cell r="Z533">
            <v>614.47761194029852</v>
          </cell>
          <cell r="AA533">
            <v>570.72463768115949</v>
          </cell>
          <cell r="AB533">
            <v>7.0000000000000007E-2</v>
          </cell>
          <cell r="AC533">
            <v>7.0000000000000007E-2</v>
          </cell>
          <cell r="AD533">
            <v>0.31</v>
          </cell>
          <cell r="AE533" t="str">
            <v>C</v>
          </cell>
          <cell r="AF533">
            <v>570.72463768115949</v>
          </cell>
          <cell r="AG533">
            <v>0.31000000000000005</v>
          </cell>
          <cell r="AH533"/>
          <cell r="AI533">
            <v>442.68817204301075</v>
          </cell>
          <cell r="AJ533">
            <v>423.44086021505382</v>
          </cell>
          <cell r="AK533">
            <v>0.27956989247311825</v>
          </cell>
          <cell r="AL533">
            <v>0.25806451612903225</v>
          </cell>
          <cell r="AM533"/>
          <cell r="AN533" t="str">
            <v>INFOKS</v>
          </cell>
          <cell r="AO533"/>
          <cell r="AP533"/>
          <cell r="AQ533"/>
          <cell r="AR533"/>
          <cell r="AS533"/>
          <cell r="AT533"/>
          <cell r="AU533">
            <v>358</v>
          </cell>
          <cell r="AV533">
            <v>393.8</v>
          </cell>
          <cell r="AW533"/>
          <cell r="AX533"/>
          <cell r="AZ533">
            <v>1902.4154589371983</v>
          </cell>
          <cell r="BA533">
            <v>1141.449275362319</v>
          </cell>
          <cell r="BB533">
            <v>951.20772946859915</v>
          </cell>
          <cell r="BC533">
            <v>760.96618357487932</v>
          </cell>
          <cell r="BE533">
            <v>570.72463768115949</v>
          </cell>
        </row>
        <row r="534">
          <cell r="I534" t="str">
            <v>KFO12OM3TBZHC</v>
          </cell>
          <cell r="J534" t="str">
            <v>U0807001</v>
          </cell>
          <cell r="K534" t="str">
            <v>12FO OM3 TIGHT BUFFERED LSZH UNIVERSAL Cca AQUA RAL6027</v>
          </cell>
          <cell r="L534" t="str">
            <v>12FO OM3 STRUCTURE SERRÉE  LSZH UNIVERSEL Cca AQUA RAL6027</v>
          </cell>
          <cell r="M534" t="str">
            <v>Cca</v>
          </cell>
          <cell r="N534" t="str">
            <v>Turkey</v>
          </cell>
          <cell r="O534"/>
          <cell r="P534" t="str">
            <v>2000m drum</v>
          </cell>
          <cell r="Q534" t="str">
            <v>4KM</v>
          </cell>
          <cell r="R534">
            <v>2</v>
          </cell>
          <cell r="S534" t="e">
            <v>#N/A</v>
          </cell>
          <cell r="T534">
            <v>8544700000</v>
          </cell>
          <cell r="U534">
            <v>0</v>
          </cell>
          <cell r="V534">
            <v>30</v>
          </cell>
          <cell r="W534">
            <v>45</v>
          </cell>
          <cell r="X534">
            <v>55</v>
          </cell>
          <cell r="Y534" t="str">
            <v>T/T against copy of document</v>
          </cell>
          <cell r="Z534">
            <v>825.59701492537306</v>
          </cell>
          <cell r="AA534">
            <v>766.81159420289862</v>
          </cell>
          <cell r="AB534">
            <v>7.0000000000000007E-2</v>
          </cell>
          <cell r="AC534">
            <v>7.0000000000000007E-2</v>
          </cell>
          <cell r="AD534">
            <v>0.31</v>
          </cell>
          <cell r="AE534" t="str">
            <v>C</v>
          </cell>
          <cell r="AF534">
            <v>766.81159420289862</v>
          </cell>
          <cell r="AG534">
            <v>0.31000000000000005</v>
          </cell>
          <cell r="AH534"/>
          <cell r="AI534">
            <v>594.78494623655911</v>
          </cell>
          <cell r="AJ534">
            <v>568.92473118279577</v>
          </cell>
          <cell r="AK534">
            <v>0.27956989247311825</v>
          </cell>
          <cell r="AL534">
            <v>0.25806451612903225</v>
          </cell>
          <cell r="AM534"/>
          <cell r="AN534" t="str">
            <v>INFOKS</v>
          </cell>
          <cell r="AO534"/>
          <cell r="AP534"/>
          <cell r="AQ534"/>
          <cell r="AR534"/>
          <cell r="AS534"/>
          <cell r="AT534"/>
          <cell r="AU534">
            <v>481</v>
          </cell>
          <cell r="AV534">
            <v>529.1</v>
          </cell>
          <cell r="AW534"/>
          <cell r="AX534"/>
          <cell r="AZ534">
            <v>2556.0386473429953</v>
          </cell>
          <cell r="BA534">
            <v>1533.6231884057972</v>
          </cell>
          <cell r="BB534">
            <v>1278.0193236714977</v>
          </cell>
          <cell r="BC534">
            <v>1022.4154589371982</v>
          </cell>
          <cell r="BE534">
            <v>766.81159420289862</v>
          </cell>
        </row>
        <row r="535">
          <cell r="I535" t="str">
            <v>KFO24OM3TBZHC</v>
          </cell>
          <cell r="J535" t="str">
            <v>U0807005</v>
          </cell>
          <cell r="K535" t="str">
            <v>24FO OM3 TIGHT BUFFERED LSZH UNIVERSAL Cca AQUA RAL6027</v>
          </cell>
          <cell r="L535" t="str">
            <v>24FO OM3 STRUCTURE SERRÉE  LSZH UNIVERSEL Cca AQUA RAL6027</v>
          </cell>
          <cell r="M535" t="str">
            <v>Cca</v>
          </cell>
          <cell r="N535" t="str">
            <v>Turkey</v>
          </cell>
          <cell r="O535"/>
          <cell r="P535" t="str">
            <v>2000m drum</v>
          </cell>
          <cell r="Q535" t="str">
            <v>4KM</v>
          </cell>
          <cell r="R535">
            <v>2</v>
          </cell>
          <cell r="S535" t="e">
            <v>#N/A</v>
          </cell>
          <cell r="T535">
            <v>8544700000</v>
          </cell>
          <cell r="U535">
            <v>0</v>
          </cell>
          <cell r="V535">
            <v>30</v>
          </cell>
          <cell r="W535">
            <v>45</v>
          </cell>
          <cell r="X535">
            <v>55</v>
          </cell>
          <cell r="Y535" t="str">
            <v>T/T against copy of document</v>
          </cell>
          <cell r="Z535">
            <v>1367.9850746268658</v>
          </cell>
          <cell r="AA535">
            <v>1270.5797101449277</v>
          </cell>
          <cell r="AB535">
            <v>7.0000000000000007E-2</v>
          </cell>
          <cell r="AC535">
            <v>7.0000000000000007E-2</v>
          </cell>
          <cell r="AD535">
            <v>0.31</v>
          </cell>
          <cell r="AE535" t="str">
            <v>C</v>
          </cell>
          <cell r="AF535">
            <v>1270.5797101449277</v>
          </cell>
          <cell r="AG535">
            <v>0.31000000000000005</v>
          </cell>
          <cell r="AH535"/>
          <cell r="AI535">
            <v>985.53763440860212</v>
          </cell>
          <cell r="AJ535">
            <v>942.68817204301081</v>
          </cell>
          <cell r="AK535">
            <v>0.27956989247311836</v>
          </cell>
          <cell r="AL535">
            <v>0.25806451612903236</v>
          </cell>
          <cell r="AM535"/>
          <cell r="AN535" t="str">
            <v>INFOKS</v>
          </cell>
          <cell r="AO535"/>
          <cell r="AP535"/>
          <cell r="AQ535"/>
          <cell r="AR535"/>
          <cell r="AS535"/>
          <cell r="AT535"/>
          <cell r="AU535">
            <v>797</v>
          </cell>
          <cell r="AV535">
            <v>876.7</v>
          </cell>
          <cell r="AW535"/>
          <cell r="AX535"/>
          <cell r="AZ535">
            <v>4235.2657004830926</v>
          </cell>
          <cell r="BA535">
            <v>2541.1594202898555</v>
          </cell>
          <cell r="BB535">
            <v>2117.6328502415463</v>
          </cell>
          <cell r="BC535">
            <v>1694.1062801932371</v>
          </cell>
          <cell r="BE535">
            <v>1270.5797101449277</v>
          </cell>
        </row>
        <row r="536">
          <cell r="I536" t="str">
            <v>KFO6OM3CT</v>
          </cell>
          <cell r="J536" t="str">
            <v>U0802005</v>
          </cell>
          <cell r="K536" t="str">
            <v>6FO OM3 CENTRAL LOOSE TUBE PEHD OUTDOOR BLACK RAL 9005</v>
          </cell>
          <cell r="L536" t="str">
            <v>6FO OM3 TUBE CENTRAL STRUCTURE LIBRE PEHD EXTÉRIEUR NOIR RAL9005</v>
          </cell>
          <cell r="M536" t="str">
            <v>Fca</v>
          </cell>
          <cell r="N536" t="str">
            <v>Turkey</v>
          </cell>
          <cell r="O536"/>
          <cell r="P536" t="str">
            <v>2000m drum</v>
          </cell>
          <cell r="Q536" t="str">
            <v>4KM</v>
          </cell>
          <cell r="R536">
            <v>2</v>
          </cell>
          <cell r="S536" t="e">
            <v>#N/A</v>
          </cell>
          <cell r="T536">
            <v>8544700000</v>
          </cell>
          <cell r="U536">
            <v>0</v>
          </cell>
          <cell r="V536">
            <v>30</v>
          </cell>
          <cell r="W536">
            <v>45</v>
          </cell>
          <cell r="X536">
            <v>55</v>
          </cell>
          <cell r="Y536" t="str">
            <v>T/T against copy of document</v>
          </cell>
          <cell r="Z536">
            <v>447.80303030303031</v>
          </cell>
          <cell r="AA536">
            <v>415.73529411764719</v>
          </cell>
          <cell r="AB536">
            <v>7.0000000000000007E-2</v>
          </cell>
          <cell r="AC536">
            <v>7.0000000000000007E-2</v>
          </cell>
          <cell r="AD536">
            <v>0.32</v>
          </cell>
          <cell r="AE536" t="str">
            <v>C</v>
          </cell>
          <cell r="AF536">
            <v>415.73529411764719</v>
          </cell>
          <cell r="AG536">
            <v>0.32000000000000006</v>
          </cell>
          <cell r="AH536"/>
          <cell r="AI536">
            <v>317.7956989247312</v>
          </cell>
          <cell r="AJ536">
            <v>303.97849462365599</v>
          </cell>
          <cell r="AK536">
            <v>0.29032258064516125</v>
          </cell>
          <cell r="AL536">
            <v>0.26881720430107536</v>
          </cell>
          <cell r="AM536"/>
          <cell r="AN536" t="str">
            <v>INFOKS</v>
          </cell>
          <cell r="AO536"/>
          <cell r="AP536"/>
          <cell r="AQ536"/>
          <cell r="AR536"/>
          <cell r="AS536"/>
          <cell r="AT536"/>
          <cell r="AU536">
            <v>257</v>
          </cell>
          <cell r="AV536">
            <v>282.70000000000005</v>
          </cell>
          <cell r="AW536"/>
          <cell r="AX536"/>
          <cell r="AZ536">
            <v>1385.7843137254906</v>
          </cell>
          <cell r="BA536">
            <v>831.47058823529437</v>
          </cell>
          <cell r="BB536">
            <v>692.89215686274531</v>
          </cell>
          <cell r="BC536">
            <v>554.31372549019625</v>
          </cell>
          <cell r="BE536">
            <v>415.73529411764719</v>
          </cell>
        </row>
        <row r="537">
          <cell r="I537" t="str">
            <v>KFO8OM3CT</v>
          </cell>
          <cell r="J537" t="str">
            <v>U0802007</v>
          </cell>
          <cell r="K537" t="str">
            <v>8FO OM3 CENTRAL LOOSE TUBE PEHD OUTDOOR BLACK RAL9005</v>
          </cell>
          <cell r="L537" t="str">
            <v>8FO OM3 TUBE CENTRAL STRUCTURE LIBRE PEHD EXTÉRIEUR NOIR RAL9005</v>
          </cell>
          <cell r="M537" t="str">
            <v>Fca</v>
          </cell>
          <cell r="N537" t="str">
            <v>Turkey</v>
          </cell>
          <cell r="O537"/>
          <cell r="P537" t="str">
            <v>2000m drum</v>
          </cell>
          <cell r="Q537" t="str">
            <v>4KM</v>
          </cell>
          <cell r="R537">
            <v>2</v>
          </cell>
          <cell r="S537" t="e">
            <v>#N/A</v>
          </cell>
          <cell r="T537">
            <v>8544700000</v>
          </cell>
          <cell r="U537">
            <v>0</v>
          </cell>
          <cell r="V537">
            <v>30</v>
          </cell>
          <cell r="W537">
            <v>45</v>
          </cell>
          <cell r="X537">
            <v>55</v>
          </cell>
          <cell r="Y537" t="str">
            <v>T/T against copy of document</v>
          </cell>
          <cell r="Z537">
            <v>536.66666666666674</v>
          </cell>
          <cell r="AA537">
            <v>498.23529411764713</v>
          </cell>
          <cell r="AB537">
            <v>7.0000000000000007E-2</v>
          </cell>
          <cell r="AC537">
            <v>7.0000000000000007E-2</v>
          </cell>
          <cell r="AD537">
            <v>0.32</v>
          </cell>
          <cell r="AE537" t="str">
            <v>C</v>
          </cell>
          <cell r="AF537">
            <v>498.23529411764713</v>
          </cell>
          <cell r="AG537">
            <v>0.32000000000000006</v>
          </cell>
          <cell r="AH537"/>
          <cell r="AI537">
            <v>380.8602150537634</v>
          </cell>
          <cell r="AJ537">
            <v>364.30107526881721</v>
          </cell>
          <cell r="AK537">
            <v>0.29032258064516148</v>
          </cell>
          <cell r="AL537">
            <v>0.26881720430107536</v>
          </cell>
          <cell r="AM537"/>
          <cell r="AN537" t="str">
            <v>INFOKS</v>
          </cell>
          <cell r="AO537"/>
          <cell r="AP537"/>
          <cell r="AQ537"/>
          <cell r="AR537"/>
          <cell r="AS537"/>
          <cell r="AT537"/>
          <cell r="AU537">
            <v>308</v>
          </cell>
          <cell r="AV537">
            <v>338.8</v>
          </cell>
          <cell r="AW537"/>
          <cell r="AX537"/>
          <cell r="AZ537">
            <v>1660.7843137254904</v>
          </cell>
          <cell r="BA537">
            <v>996.47058823529414</v>
          </cell>
          <cell r="BB537">
            <v>830.3921568627452</v>
          </cell>
          <cell r="BC537">
            <v>664.31372549019625</v>
          </cell>
          <cell r="BE537">
            <v>498.23529411764713</v>
          </cell>
        </row>
        <row r="538">
          <cell r="I538" t="str">
            <v>KFO12OM3CT</v>
          </cell>
          <cell r="J538" t="str">
            <v>U0802001</v>
          </cell>
          <cell r="K538" t="str">
            <v>12FO OM3 CENTRAL LOOSE TUBE PEHD OUTDOOR BLACK RAL9005</v>
          </cell>
          <cell r="L538" t="str">
            <v>12FO OM3 TUBE CENTRAL STRUCTURE LIBRE PEHD EXTÉRIEUR NOIR RAL9005</v>
          </cell>
          <cell r="M538" t="str">
            <v>Fca</v>
          </cell>
          <cell r="N538" t="str">
            <v>Turkey</v>
          </cell>
          <cell r="O538"/>
          <cell r="P538" t="str">
            <v>2000m drum</v>
          </cell>
          <cell r="Q538" t="str">
            <v>4KM</v>
          </cell>
          <cell r="R538">
            <v>2</v>
          </cell>
          <cell r="S538" t="e">
            <v>#N/A</v>
          </cell>
          <cell r="T538">
            <v>8544700000</v>
          </cell>
          <cell r="U538">
            <v>0</v>
          </cell>
          <cell r="V538">
            <v>30</v>
          </cell>
          <cell r="W538">
            <v>45</v>
          </cell>
          <cell r="X538">
            <v>55</v>
          </cell>
          <cell r="Y538" t="str">
            <v>T/T against copy of document</v>
          </cell>
          <cell r="Z538">
            <v>686.61764705882354</v>
          </cell>
          <cell r="AA538">
            <v>638.00000000000011</v>
          </cell>
          <cell r="AB538">
            <v>7.0000000000000007E-2</v>
          </cell>
          <cell r="AC538">
            <v>7.0000000000000007E-2</v>
          </cell>
          <cell r="AD538">
            <v>0.3</v>
          </cell>
          <cell r="AE538" t="str">
            <v>C</v>
          </cell>
          <cell r="AF538">
            <v>638.00000000000011</v>
          </cell>
          <cell r="AG538">
            <v>0.30000000000000004</v>
          </cell>
          <cell r="AH538"/>
          <cell r="AI538">
            <v>502.04301075268813</v>
          </cell>
          <cell r="AJ538">
            <v>480.21505376344089</v>
          </cell>
          <cell r="AK538">
            <v>0.26881720430107536</v>
          </cell>
          <cell r="AL538">
            <v>0.24731182795698936</v>
          </cell>
          <cell r="AM538"/>
          <cell r="AN538" t="str">
            <v>INFOKS</v>
          </cell>
          <cell r="AO538"/>
          <cell r="AP538"/>
          <cell r="AQ538"/>
          <cell r="AR538"/>
          <cell r="AS538"/>
          <cell r="AT538"/>
          <cell r="AU538">
            <v>406</v>
          </cell>
          <cell r="AV538">
            <v>446.6</v>
          </cell>
          <cell r="AW538"/>
          <cell r="AX538"/>
          <cell r="AZ538">
            <v>2126.666666666667</v>
          </cell>
          <cell r="BA538">
            <v>1276.0000000000002</v>
          </cell>
          <cell r="BB538">
            <v>1063.3333333333335</v>
          </cell>
          <cell r="BC538">
            <v>850.66666666666686</v>
          </cell>
          <cell r="BE538">
            <v>638.00000000000011</v>
          </cell>
        </row>
        <row r="539">
          <cell r="I539" t="str">
            <v>KFO24OM3CT</v>
          </cell>
          <cell r="J539" t="str">
            <v>U0802003</v>
          </cell>
          <cell r="K539" t="str">
            <v>24FO OM3 CENTRAL LOOSE TUBE PEHD OUTDOOR BLACK RAL9005</v>
          </cell>
          <cell r="L539" t="str">
            <v>24FO OM3 TUBE CENTRAL STRUCTURE LIBRE PEHD EXTÉRIEUR NOIR RAL9005</v>
          </cell>
          <cell r="M539" t="str">
            <v>Fca</v>
          </cell>
          <cell r="N539" t="str">
            <v>Turkey</v>
          </cell>
          <cell r="O539"/>
          <cell r="P539" t="str">
            <v>2000m drum</v>
          </cell>
          <cell r="Q539" t="str">
            <v>4KM</v>
          </cell>
          <cell r="R539">
            <v>2</v>
          </cell>
          <cell r="S539" t="e">
            <v>#N/A</v>
          </cell>
          <cell r="T539">
            <v>8544700000</v>
          </cell>
          <cell r="U539">
            <v>0</v>
          </cell>
          <cell r="V539">
            <v>30</v>
          </cell>
          <cell r="W539">
            <v>45</v>
          </cell>
          <cell r="X539">
            <v>55</v>
          </cell>
          <cell r="Y539" t="str">
            <v>T/T against copy of document</v>
          </cell>
          <cell r="Z539">
            <v>1178.75</v>
          </cell>
          <cell r="AA539">
            <v>1095.2857142857144</v>
          </cell>
          <cell r="AB539">
            <v>7.0000000000000007E-2</v>
          </cell>
          <cell r="AC539">
            <v>7.0000000000000007E-2</v>
          </cell>
          <cell r="AD539">
            <v>0.3</v>
          </cell>
          <cell r="AE539" t="str">
            <v>C</v>
          </cell>
          <cell r="AF539">
            <v>1095.2857142857144</v>
          </cell>
          <cell r="AG539">
            <v>0.30000000000000004</v>
          </cell>
          <cell r="AH539"/>
          <cell r="AI539">
            <v>861.88172043010752</v>
          </cell>
          <cell r="AJ539">
            <v>824.40860215053772</v>
          </cell>
          <cell r="AK539">
            <v>0.26881720430107525</v>
          </cell>
          <cell r="AL539">
            <v>0.24731182795698925</v>
          </cell>
          <cell r="AM539"/>
          <cell r="AN539" t="str">
            <v>INFOKS</v>
          </cell>
          <cell r="AO539"/>
          <cell r="AP539"/>
          <cell r="AQ539"/>
          <cell r="AR539"/>
          <cell r="AS539"/>
          <cell r="AT539"/>
          <cell r="AU539">
            <v>697</v>
          </cell>
          <cell r="AV539">
            <v>766.7</v>
          </cell>
          <cell r="AW539"/>
          <cell r="AX539"/>
          <cell r="AZ539">
            <v>3650.9523809523816</v>
          </cell>
          <cell r="BA539">
            <v>2190.5714285714289</v>
          </cell>
          <cell r="BB539">
            <v>1825.4761904761908</v>
          </cell>
          <cell r="BC539">
            <v>1460.3809523809527</v>
          </cell>
          <cell r="BE539">
            <v>1095.2857142857144</v>
          </cell>
        </row>
        <row r="540">
          <cell r="I540" t="str">
            <v>KFO6OM3CTA</v>
          </cell>
          <cell r="J540" t="str">
            <v>U0801005</v>
          </cell>
          <cell r="K540" t="str">
            <v>6FO OM3 CENTRAL LOOSE TUBE ARMORED PEHD OUTDOOR BLACK RAL9005</v>
          </cell>
          <cell r="L540" t="str">
            <v>6FO OM3 TUBE CENTRAL STRUCTURE LIBRE ARMÉ PEHD EXTÉRIEUR NOIR RAL9005</v>
          </cell>
          <cell r="M540" t="str">
            <v>Fca</v>
          </cell>
          <cell r="N540" t="str">
            <v>Turkey</v>
          </cell>
          <cell r="O540"/>
          <cell r="P540" t="str">
            <v>2000m drum</v>
          </cell>
          <cell r="Q540" t="str">
            <v>4KM</v>
          </cell>
          <cell r="R540">
            <v>2</v>
          </cell>
          <cell r="S540" t="e">
            <v>#N/A</v>
          </cell>
          <cell r="T540">
            <v>8544700000</v>
          </cell>
          <cell r="U540">
            <v>0</v>
          </cell>
          <cell r="V540">
            <v>30</v>
          </cell>
          <cell r="W540">
            <v>45</v>
          </cell>
          <cell r="X540">
            <v>55</v>
          </cell>
          <cell r="Y540" t="str">
            <v>T/T against copy of document</v>
          </cell>
          <cell r="Z540">
            <v>539.48529411764707</v>
          </cell>
          <cell r="AA540">
            <v>501.28571428571439</v>
          </cell>
          <cell r="AB540">
            <v>7.0000000000000007E-2</v>
          </cell>
          <cell r="AC540">
            <v>7.0000000000000007E-2</v>
          </cell>
          <cell r="AD540">
            <v>0.3</v>
          </cell>
          <cell r="AE540" t="str">
            <v>C</v>
          </cell>
          <cell r="AF540">
            <v>501.28571428571439</v>
          </cell>
          <cell r="AG540">
            <v>0.30000000000000004</v>
          </cell>
          <cell r="AH540"/>
          <cell r="AI540">
            <v>394.46236559139788</v>
          </cell>
          <cell r="AJ540">
            <v>377.3118279569893</v>
          </cell>
          <cell r="AK540">
            <v>0.26881720430107525</v>
          </cell>
          <cell r="AL540">
            <v>0.24731182795698925</v>
          </cell>
          <cell r="AM540"/>
          <cell r="AN540" t="str">
            <v>INFOKS</v>
          </cell>
          <cell r="AO540"/>
          <cell r="AP540"/>
          <cell r="AQ540"/>
          <cell r="AR540"/>
          <cell r="AS540"/>
          <cell r="AT540"/>
          <cell r="AU540">
            <v>319</v>
          </cell>
          <cell r="AV540">
            <v>350.90000000000003</v>
          </cell>
          <cell r="AW540"/>
          <cell r="AX540"/>
          <cell r="AZ540">
            <v>1670.9523809523814</v>
          </cell>
          <cell r="BA540">
            <v>1002.5714285714288</v>
          </cell>
          <cell r="BB540">
            <v>835.47619047619071</v>
          </cell>
          <cell r="BC540">
            <v>668.38095238095264</v>
          </cell>
          <cell r="BE540">
            <v>501.28571428571439</v>
          </cell>
        </row>
        <row r="541">
          <cell r="I541" t="str">
            <v>KFO8OM3CTA</v>
          </cell>
          <cell r="J541" t="str">
            <v>U0801007</v>
          </cell>
          <cell r="K541" t="str">
            <v>8FO OM3 CENTRAL LOOSE TUBE ARMORED PEHD OUTDOOR BLACK RAL9005</v>
          </cell>
          <cell r="L541" t="str">
            <v>8FO OM3 TUBE CENTRAL STRUCTURE LIBRE ARMÉ EXTÉRIEUR NOIR RAL9005</v>
          </cell>
          <cell r="M541" t="str">
            <v>Fca</v>
          </cell>
          <cell r="N541" t="str">
            <v>Turkey</v>
          </cell>
          <cell r="O541"/>
          <cell r="P541" t="str">
            <v>2000m drum</v>
          </cell>
          <cell r="Q541" t="str">
            <v>4KM</v>
          </cell>
          <cell r="R541">
            <v>2</v>
          </cell>
          <cell r="S541" t="e">
            <v>#N/A</v>
          </cell>
          <cell r="T541">
            <v>8544700000</v>
          </cell>
          <cell r="U541">
            <v>0</v>
          </cell>
          <cell r="V541">
            <v>30</v>
          </cell>
          <cell r="W541">
            <v>45</v>
          </cell>
          <cell r="X541">
            <v>55</v>
          </cell>
          <cell r="Y541" t="str">
            <v>T/T against copy of document</v>
          </cell>
          <cell r="Z541">
            <v>620.66176470588232</v>
          </cell>
          <cell r="AA541">
            <v>576.71428571428578</v>
          </cell>
          <cell r="AB541">
            <v>7.0000000000000007E-2</v>
          </cell>
          <cell r="AC541">
            <v>7.0000000000000007E-2</v>
          </cell>
          <cell r="AD541">
            <v>0.3</v>
          </cell>
          <cell r="AE541" t="str">
            <v>C</v>
          </cell>
          <cell r="AF541">
            <v>576.71428571428578</v>
          </cell>
          <cell r="AG541">
            <v>0.30000000000000004</v>
          </cell>
          <cell r="AH541"/>
          <cell r="AI541">
            <v>453.81720430107521</v>
          </cell>
          <cell r="AJ541">
            <v>434.08602150537644</v>
          </cell>
          <cell r="AK541">
            <v>0.26881720430107536</v>
          </cell>
          <cell r="AL541">
            <v>0.24731182795698914</v>
          </cell>
          <cell r="AM541"/>
          <cell r="AN541" t="str">
            <v>INFOKS</v>
          </cell>
          <cell r="AO541"/>
          <cell r="AP541"/>
          <cell r="AQ541"/>
          <cell r="AR541"/>
          <cell r="AS541"/>
          <cell r="AT541"/>
          <cell r="AU541">
            <v>367</v>
          </cell>
          <cell r="AV541">
            <v>403.70000000000005</v>
          </cell>
          <cell r="AW541"/>
          <cell r="AX541"/>
          <cell r="AZ541">
            <v>1922.3809523809527</v>
          </cell>
          <cell r="BA541">
            <v>1153.4285714285716</v>
          </cell>
          <cell r="BB541">
            <v>961.19047619047637</v>
          </cell>
          <cell r="BC541">
            <v>768.95238095238119</v>
          </cell>
          <cell r="BE541">
            <v>576.71428571428578</v>
          </cell>
        </row>
        <row r="542">
          <cell r="I542" t="str">
            <v>KFO12OM3CTA</v>
          </cell>
          <cell r="J542" t="str">
            <v>U0801001</v>
          </cell>
          <cell r="K542" t="str">
            <v>12FO OM3 CENTRAL LOOSE TUBE ARMORED PEHD OUTDOOR BLACK RAL9005</v>
          </cell>
          <cell r="L542" t="str">
            <v>12FO OM3 TUBE CENTRAL STRUCTURE LIBRE ARMÉ  PEHD EXTÉRIEUR NOIR RAL9005</v>
          </cell>
          <cell r="M542" t="str">
            <v>Fca</v>
          </cell>
          <cell r="N542" t="str">
            <v>Turkey</v>
          </cell>
          <cell r="O542"/>
          <cell r="P542" t="str">
            <v>2000m drum</v>
          </cell>
          <cell r="Q542" t="str">
            <v>4KM</v>
          </cell>
          <cell r="R542">
            <v>2</v>
          </cell>
          <cell r="S542" t="e">
            <v>#N/A</v>
          </cell>
          <cell r="T542">
            <v>8544700000</v>
          </cell>
          <cell r="U542">
            <v>0</v>
          </cell>
          <cell r="V542">
            <v>30</v>
          </cell>
          <cell r="W542">
            <v>45</v>
          </cell>
          <cell r="X542">
            <v>55</v>
          </cell>
          <cell r="Y542" t="str">
            <v>T/T against copy of document</v>
          </cell>
          <cell r="Z542">
            <v>757.64705882352939</v>
          </cell>
          <cell r="AA542">
            <v>704.00000000000011</v>
          </cell>
          <cell r="AB542">
            <v>7.0000000000000007E-2</v>
          </cell>
          <cell r="AC542">
            <v>7.0000000000000007E-2</v>
          </cell>
          <cell r="AD542">
            <v>0.3</v>
          </cell>
          <cell r="AE542" t="str">
            <v>C</v>
          </cell>
          <cell r="AF542">
            <v>704.00000000000011</v>
          </cell>
          <cell r="AG542">
            <v>0.30000000000000004</v>
          </cell>
          <cell r="AH542"/>
          <cell r="AI542">
            <v>553.97849462365593</v>
          </cell>
          <cell r="AJ542">
            <v>529.89247311827967</v>
          </cell>
          <cell r="AK542">
            <v>0.26881720430107525</v>
          </cell>
          <cell r="AL542">
            <v>0.24731182795698925</v>
          </cell>
          <cell r="AM542"/>
          <cell r="AN542" t="str">
            <v>INFOKS</v>
          </cell>
          <cell r="AO542"/>
          <cell r="AP542"/>
          <cell r="AQ542"/>
          <cell r="AR542"/>
          <cell r="AS542"/>
          <cell r="AT542"/>
          <cell r="AU542">
            <v>448</v>
          </cell>
          <cell r="AV542">
            <v>492.80000000000007</v>
          </cell>
          <cell r="AW542"/>
          <cell r="AX542"/>
          <cell r="AZ542">
            <v>2346.666666666667</v>
          </cell>
          <cell r="BA542">
            <v>1408.0000000000002</v>
          </cell>
          <cell r="BB542">
            <v>1173.3333333333335</v>
          </cell>
          <cell r="BC542">
            <v>938.66666666666686</v>
          </cell>
          <cell r="BE542">
            <v>704.00000000000011</v>
          </cell>
        </row>
        <row r="543">
          <cell r="I543" t="str">
            <v>KFO24OM3CTA</v>
          </cell>
          <cell r="J543" t="str">
            <v>U0801003</v>
          </cell>
          <cell r="K543" t="str">
            <v>24FO OM3 CENTRAL LOOSE TUBE ARMORED PEHD OUTDOOR BLACK RAL9005</v>
          </cell>
          <cell r="L543" t="str">
            <v>24FO OM3 TUBE CENTRAL STRUCTURE LIBRE ARMÉ  PEHD EXTÉRIEUR NOIR RAL9005</v>
          </cell>
          <cell r="M543" t="str">
            <v>Fca</v>
          </cell>
          <cell r="N543" t="str">
            <v>Turkey</v>
          </cell>
          <cell r="O543"/>
          <cell r="P543" t="str">
            <v>2000m drum</v>
          </cell>
          <cell r="Q543" t="str">
            <v>4KM</v>
          </cell>
          <cell r="R543">
            <v>2</v>
          </cell>
          <cell r="S543" t="e">
            <v>#N/A</v>
          </cell>
          <cell r="T543">
            <v>8544700000</v>
          </cell>
          <cell r="U543">
            <v>0</v>
          </cell>
          <cell r="V543">
            <v>30</v>
          </cell>
          <cell r="W543">
            <v>45</v>
          </cell>
          <cell r="X543">
            <v>55</v>
          </cell>
          <cell r="Y543" t="str">
            <v>T/T against copy of document</v>
          </cell>
          <cell r="Z543">
            <v>1275.1470588235295</v>
          </cell>
          <cell r="AA543">
            <v>1184.8571428571431</v>
          </cell>
          <cell r="AB543">
            <v>7.0000000000000007E-2</v>
          </cell>
          <cell r="AC543">
            <v>7.0000000000000007E-2</v>
          </cell>
          <cell r="AD543">
            <v>0.3</v>
          </cell>
          <cell r="AE543" t="str">
            <v>C</v>
          </cell>
          <cell r="AF543">
            <v>1184.8571428571431</v>
          </cell>
          <cell r="AG543">
            <v>0.30000000000000004</v>
          </cell>
          <cell r="AH543"/>
          <cell r="AI543">
            <v>932.36559139784936</v>
          </cell>
          <cell r="AJ543">
            <v>891.82795698924747</v>
          </cell>
          <cell r="AK543">
            <v>0.26881720430107536</v>
          </cell>
          <cell r="AL543">
            <v>0.24731182795698925</v>
          </cell>
          <cell r="AM543"/>
          <cell r="AN543" t="str">
            <v>INFOKS</v>
          </cell>
          <cell r="AO543"/>
          <cell r="AP543"/>
          <cell r="AQ543"/>
          <cell r="AR543"/>
          <cell r="AS543"/>
          <cell r="AT543"/>
          <cell r="AU543">
            <v>754</v>
          </cell>
          <cell r="AV543">
            <v>829.40000000000009</v>
          </cell>
          <cell r="AW543"/>
          <cell r="AX543"/>
          <cell r="AZ543">
            <v>3949.5238095238105</v>
          </cell>
          <cell r="BA543">
            <v>2369.7142857142862</v>
          </cell>
          <cell r="BB543">
            <v>1974.7619047619053</v>
          </cell>
          <cell r="BC543">
            <v>1579.8095238095243</v>
          </cell>
          <cell r="BE543">
            <v>1184.8571428571431</v>
          </cell>
        </row>
        <row r="544">
          <cell r="I544" t="str">
            <v>KFO12OM3CTAZHB2</v>
          </cell>
          <cell r="J544" t="str">
            <v/>
          </cell>
          <cell r="K544" t="str">
            <v>12FO OM3 CENTRAL LOOSE TUBE ARMORED LSZH B2ca OUTDOOR AQUA RAL6027</v>
          </cell>
          <cell r="L544" t="str">
            <v>12FO OM3 TUBE CENTRAL STRUCTURE LIBRE ARMÉ LSZH B2ca EXTÉRIEUR AQUA RAL6027</v>
          </cell>
          <cell r="M544" t="str">
            <v>B2ca</v>
          </cell>
          <cell r="N544" t="str">
            <v>Turkey</v>
          </cell>
          <cell r="O544"/>
          <cell r="P544" t="str">
            <v>2000m drum</v>
          </cell>
          <cell r="Q544" t="str">
            <v>4KM</v>
          </cell>
          <cell r="R544">
            <v>2</v>
          </cell>
          <cell r="S544" t="e">
            <v>#N/A</v>
          </cell>
          <cell r="T544">
            <v>8544700000</v>
          </cell>
          <cell r="U544">
            <v>0</v>
          </cell>
          <cell r="V544">
            <v>30</v>
          </cell>
          <cell r="W544">
            <v>45</v>
          </cell>
          <cell r="X544">
            <v>55</v>
          </cell>
          <cell r="Y544" t="str">
            <v>T/T against copy of document</v>
          </cell>
          <cell r="Z544">
            <v>1023.1617647058823</v>
          </cell>
          <cell r="AA544">
            <v>950.71428571428578</v>
          </cell>
          <cell r="AB544">
            <v>7.0000000000000007E-2</v>
          </cell>
          <cell r="AC544">
            <v>7.0000000000000007E-2</v>
          </cell>
          <cell r="AD544">
            <v>0.3</v>
          </cell>
          <cell r="AE544" t="str">
            <v>C</v>
          </cell>
          <cell r="AF544">
            <v>950.71428571428578</v>
          </cell>
          <cell r="AG544">
            <v>0.30000000000000004</v>
          </cell>
          <cell r="AH544"/>
          <cell r="AI544">
            <v>748.11827956989248</v>
          </cell>
          <cell r="AJ544">
            <v>715.5913978494624</v>
          </cell>
          <cell r="AK544">
            <v>0.26881720430107525</v>
          </cell>
          <cell r="AL544">
            <v>0.24731182795698925</v>
          </cell>
          <cell r="AM544"/>
          <cell r="AN544" t="str">
            <v>INFOKS</v>
          </cell>
          <cell r="AO544"/>
          <cell r="AP544"/>
          <cell r="AQ544"/>
          <cell r="AR544"/>
          <cell r="AS544"/>
          <cell r="AT544"/>
          <cell r="AU544">
            <v>605</v>
          </cell>
          <cell r="AV544">
            <v>665.5</v>
          </cell>
          <cell r="AW544"/>
          <cell r="AX544"/>
          <cell r="AZ544">
            <v>3169.0476190476193</v>
          </cell>
          <cell r="BA544">
            <v>1901.4285714285716</v>
          </cell>
          <cell r="BB544">
            <v>1584.5238095238096</v>
          </cell>
          <cell r="BC544">
            <v>1267.6190476190477</v>
          </cell>
        </row>
        <row r="545">
          <cell r="I545" t="str">
            <v>KFO24OM3CTAZHB2</v>
          </cell>
          <cell r="J545" t="str">
            <v/>
          </cell>
          <cell r="K545" t="str">
            <v>24FO OM3 CENTRAL LOOSE TUBE ARMORED LSZH B2ca OUTDOOR AQUA RAL6027</v>
          </cell>
          <cell r="L545" t="str">
            <v>24FO OM3 TUBE CENTRAL STRUCTURE LIBRE ARMÉ LSZH B2ca EXTÉRIEUR AQUA RAL6027</v>
          </cell>
          <cell r="M545" t="str">
            <v>B2ca</v>
          </cell>
          <cell r="N545" t="str">
            <v>Turkey</v>
          </cell>
          <cell r="O545"/>
          <cell r="P545" t="str">
            <v>2000m drum</v>
          </cell>
          <cell r="Q545" t="str">
            <v>4KM</v>
          </cell>
          <cell r="R545">
            <v>2</v>
          </cell>
          <cell r="S545" t="e">
            <v>#N/A</v>
          </cell>
          <cell r="T545">
            <v>8544700000</v>
          </cell>
          <cell r="U545">
            <v>0</v>
          </cell>
          <cell r="V545">
            <v>30</v>
          </cell>
          <cell r="W545">
            <v>45</v>
          </cell>
          <cell r="X545">
            <v>55</v>
          </cell>
          <cell r="Y545" t="str">
            <v>T/T against copy of document</v>
          </cell>
          <cell r="Z545">
            <v>1591.3970588235295</v>
          </cell>
          <cell r="AA545">
            <v>1478.714285714286</v>
          </cell>
          <cell r="AB545">
            <v>7.0000000000000007E-2</v>
          </cell>
          <cell r="AC545">
            <v>7.0000000000000007E-2</v>
          </cell>
          <cell r="AD545">
            <v>0.3</v>
          </cell>
          <cell r="AE545" t="str">
            <v>C</v>
          </cell>
          <cell r="AF545">
            <v>1478.714285714286</v>
          </cell>
          <cell r="AG545">
            <v>0.30000000000000004</v>
          </cell>
          <cell r="AH545"/>
          <cell r="AI545">
            <v>1163.6021505376343</v>
          </cell>
          <cell r="AJ545">
            <v>1113.0107526881723</v>
          </cell>
          <cell r="AK545">
            <v>0.26881720430107536</v>
          </cell>
          <cell r="AL545">
            <v>0.24731182795698925</v>
          </cell>
          <cell r="AM545"/>
          <cell r="AN545" t="str">
            <v>INFOKS</v>
          </cell>
          <cell r="AO545"/>
          <cell r="AP545"/>
          <cell r="AQ545"/>
          <cell r="AR545"/>
          <cell r="AS545"/>
          <cell r="AT545"/>
          <cell r="AU545">
            <v>941</v>
          </cell>
          <cell r="AV545">
            <v>1035.1000000000001</v>
          </cell>
          <cell r="AW545"/>
          <cell r="AX545"/>
          <cell r="AZ545">
            <v>4929.0476190476202</v>
          </cell>
          <cell r="BA545">
            <v>2957.428571428572</v>
          </cell>
          <cell r="BB545">
            <v>2464.5238095238101</v>
          </cell>
          <cell r="BC545">
            <v>1971.6190476190482</v>
          </cell>
        </row>
        <row r="546">
          <cell r="I546" t="str">
            <v>KFO4OM3CTAZHB2FR</v>
          </cell>
          <cell r="J546" t="str">
            <v/>
          </cell>
          <cell r="K546" t="str">
            <v>4FO OM3 CENTRAL LOOSE TUBE ARMORED LSZH FR B2ca OUTDOOR AQUA RAL6027</v>
          </cell>
          <cell r="L546" t="str">
            <v>4FO OM3 TUBE CENTRAL STRUCTURE LIBRE ARMÉ LSZH FR B2ca EXTÉRIEUR AQUA RAL6027</v>
          </cell>
          <cell r="M546" t="str">
            <v>B2ca</v>
          </cell>
          <cell r="N546" t="str">
            <v>Turkey</v>
          </cell>
          <cell r="O546"/>
          <cell r="P546" t="str">
            <v>2000m drum</v>
          </cell>
          <cell r="Q546" t="str">
            <v>4KM</v>
          </cell>
          <cell r="R546">
            <v>2</v>
          </cell>
          <cell r="S546" t="e">
            <v>#N/A</v>
          </cell>
          <cell r="T546">
            <v>8544700000</v>
          </cell>
          <cell r="U546">
            <v>0</v>
          </cell>
          <cell r="V546">
            <v>30</v>
          </cell>
          <cell r="W546">
            <v>45</v>
          </cell>
          <cell r="X546">
            <v>55</v>
          </cell>
          <cell r="Y546" t="str">
            <v>T/T against copy of document</v>
          </cell>
          <cell r="Z546">
            <v>671.39705882352939</v>
          </cell>
          <cell r="AA546">
            <v>623.857142857143</v>
          </cell>
          <cell r="AB546">
            <v>7.0000000000000007E-2</v>
          </cell>
          <cell r="AC546">
            <v>7.0000000000000007E-2</v>
          </cell>
          <cell r="AD546">
            <v>0.3</v>
          </cell>
          <cell r="AE546" t="str">
            <v>C</v>
          </cell>
          <cell r="AF546">
            <v>623.857142857143</v>
          </cell>
          <cell r="AG546">
            <v>0.30000000000000004</v>
          </cell>
          <cell r="AH546"/>
          <cell r="AI546">
            <v>490.91397849462368</v>
          </cell>
          <cell r="AJ546">
            <v>469.56989247311839</v>
          </cell>
          <cell r="AK546">
            <v>0.26881720430107525</v>
          </cell>
          <cell r="AL546">
            <v>0.24731182795698925</v>
          </cell>
          <cell r="AM546"/>
          <cell r="AN546" t="str">
            <v>INFOKS</v>
          </cell>
          <cell r="AO546"/>
          <cell r="AP546"/>
          <cell r="AQ546"/>
          <cell r="AR546"/>
          <cell r="AS546"/>
          <cell r="AT546"/>
          <cell r="AU546">
            <v>397</v>
          </cell>
          <cell r="AV546">
            <v>436.70000000000005</v>
          </cell>
          <cell r="AW546"/>
          <cell r="AX546"/>
          <cell r="AZ546">
            <v>2079.5238095238101</v>
          </cell>
          <cell r="BA546">
            <v>1247.714285714286</v>
          </cell>
          <cell r="BB546">
            <v>1039.761904761905</v>
          </cell>
          <cell r="BC546">
            <v>831.80952380952408</v>
          </cell>
        </row>
        <row r="547">
          <cell r="I547" t="str">
            <v>KFO6OM3CTAZHB2FR</v>
          </cell>
          <cell r="J547" t="str">
            <v/>
          </cell>
          <cell r="K547" t="str">
            <v>6FO OM3 CENTRAL LOOSE TUBE ARMORED LSZH FR B2ca OUTDOOR AQUA RAL6027</v>
          </cell>
          <cell r="L547" t="str">
            <v>6FO OM3 TUBE CENTRAL STRUCTURE LIBRE ARMÉ LSZH FR B2ca EXTÉRIEUR AQUA RAL6027</v>
          </cell>
          <cell r="M547" t="str">
            <v>B2ca</v>
          </cell>
          <cell r="N547" t="str">
            <v>Turkey</v>
          </cell>
          <cell r="O547"/>
          <cell r="P547" t="str">
            <v>2000m drum</v>
          </cell>
          <cell r="Q547" t="str">
            <v>4KM</v>
          </cell>
          <cell r="R547">
            <v>2</v>
          </cell>
          <cell r="S547" t="e">
            <v>#N/A</v>
          </cell>
          <cell r="T547">
            <v>8544700000</v>
          </cell>
          <cell r="U547">
            <v>0</v>
          </cell>
          <cell r="V547">
            <v>30</v>
          </cell>
          <cell r="W547">
            <v>45</v>
          </cell>
          <cell r="X547">
            <v>55</v>
          </cell>
          <cell r="Y547" t="str">
            <v>T/T against copy of document</v>
          </cell>
          <cell r="Z547">
            <v>754.26470588235304</v>
          </cell>
          <cell r="AA547">
            <v>700.85714285714289</v>
          </cell>
          <cell r="AB547">
            <v>7.0000000000000007E-2</v>
          </cell>
          <cell r="AC547">
            <v>7.0000000000000007E-2</v>
          </cell>
          <cell r="AD547">
            <v>0.3</v>
          </cell>
          <cell r="AE547" t="str">
            <v>C</v>
          </cell>
          <cell r="AF547">
            <v>700.85714285714289</v>
          </cell>
          <cell r="AG547">
            <v>0.30000000000000004</v>
          </cell>
          <cell r="AH547"/>
          <cell r="AI547">
            <v>551.50537634408602</v>
          </cell>
          <cell r="AJ547">
            <v>527.5268817204302</v>
          </cell>
          <cell r="AK547">
            <v>0.26881720430107536</v>
          </cell>
          <cell r="AL547">
            <v>0.24731182795698914</v>
          </cell>
          <cell r="AM547"/>
          <cell r="AN547" t="str">
            <v>INFOKS</v>
          </cell>
          <cell r="AO547"/>
          <cell r="AP547"/>
          <cell r="AQ547"/>
          <cell r="AR547"/>
          <cell r="AS547"/>
          <cell r="AT547"/>
          <cell r="AU547">
            <v>446</v>
          </cell>
          <cell r="AV547">
            <v>490.6</v>
          </cell>
          <cell r="AW547"/>
          <cell r="AX547"/>
          <cell r="AZ547">
            <v>2336.1904761904766</v>
          </cell>
          <cell r="BA547">
            <v>1401.714285714286</v>
          </cell>
          <cell r="BB547">
            <v>1168.0952380952383</v>
          </cell>
          <cell r="BC547">
            <v>934.47619047619071</v>
          </cell>
        </row>
        <row r="548">
          <cell r="I548" t="str">
            <v>KFO8OM3CTAZHB2FR</v>
          </cell>
          <cell r="J548" t="str">
            <v/>
          </cell>
          <cell r="K548" t="str">
            <v>8FO OM3 CENTRAL LOOSE TUBE ARMORED LSZH FR B2ca OUTDOOR AQUA RAL6027</v>
          </cell>
          <cell r="L548" t="str">
            <v>8FO OM3 TUBE CENTRAL STRUCTURE LIBRE ARMÉ LSZH FR B2ca EXTÉRIEUR AQUA RAL6027</v>
          </cell>
          <cell r="M548" t="str">
            <v>B2ca</v>
          </cell>
          <cell r="N548" t="str">
            <v>Turkey</v>
          </cell>
          <cell r="O548"/>
          <cell r="P548" t="str">
            <v>2000m drum</v>
          </cell>
          <cell r="Q548" t="str">
            <v>4KM</v>
          </cell>
          <cell r="R548">
            <v>2</v>
          </cell>
          <cell r="S548" t="e">
            <v>#N/A</v>
          </cell>
          <cell r="T548">
            <v>8544700000</v>
          </cell>
          <cell r="U548">
            <v>0</v>
          </cell>
          <cell r="V548">
            <v>30</v>
          </cell>
          <cell r="W548">
            <v>45</v>
          </cell>
          <cell r="X548">
            <v>55</v>
          </cell>
          <cell r="Y548" t="str">
            <v>T/T against copy of document</v>
          </cell>
          <cell r="Z548">
            <v>852.35294117647061</v>
          </cell>
          <cell r="AA548">
            <v>792.00000000000023</v>
          </cell>
          <cell r="AB548">
            <v>7.0000000000000007E-2</v>
          </cell>
          <cell r="AC548">
            <v>7.0000000000000007E-2</v>
          </cell>
          <cell r="AD548">
            <v>0.3</v>
          </cell>
          <cell r="AE548" t="str">
            <v>C</v>
          </cell>
          <cell r="AF548">
            <v>792.00000000000023</v>
          </cell>
          <cell r="AG548">
            <v>0.30000000000000004</v>
          </cell>
          <cell r="AH548"/>
          <cell r="AI548">
            <v>623.22580645161293</v>
          </cell>
          <cell r="AJ548">
            <v>596.12903225806463</v>
          </cell>
          <cell r="AK548">
            <v>0.26881720430107525</v>
          </cell>
          <cell r="AL548">
            <v>0.24731182795698936</v>
          </cell>
          <cell r="AM548"/>
          <cell r="AN548" t="str">
            <v>INFOKS</v>
          </cell>
          <cell r="AO548"/>
          <cell r="AP548"/>
          <cell r="AQ548"/>
          <cell r="AR548"/>
          <cell r="AS548"/>
          <cell r="AT548"/>
          <cell r="AU548">
            <v>504</v>
          </cell>
          <cell r="AV548">
            <v>554.40000000000009</v>
          </cell>
          <cell r="AW548"/>
          <cell r="AX548"/>
          <cell r="AZ548">
            <v>2640.0000000000009</v>
          </cell>
          <cell r="BA548">
            <v>1584.0000000000005</v>
          </cell>
          <cell r="BB548">
            <v>1320.0000000000005</v>
          </cell>
          <cell r="BC548">
            <v>1056.0000000000005</v>
          </cell>
        </row>
        <row r="549">
          <cell r="I549" t="str">
            <v>KFO12OM3CTAZHB2FR</v>
          </cell>
          <cell r="J549" t="str">
            <v/>
          </cell>
          <cell r="K549" t="str">
            <v>12FO OM3 CENTRAL LOOSE TUBE ARMORED LSZH FR B2ca OUTDOOR AQUA RAL6027</v>
          </cell>
          <cell r="L549" t="str">
            <v>12FO OM3 TUBE CENTRAL STRUCTURE LIBRE ARMÉ LSZH FR B2ca EXTÉRIEUR AQUA RAL6027</v>
          </cell>
          <cell r="M549" t="str">
            <v>B2ca</v>
          </cell>
          <cell r="N549" t="str">
            <v>Turkey</v>
          </cell>
          <cell r="O549"/>
          <cell r="P549" t="str">
            <v>2000m drum</v>
          </cell>
          <cell r="Q549" t="str">
            <v>4KM</v>
          </cell>
          <cell r="R549">
            <v>2</v>
          </cell>
          <cell r="S549" t="e">
            <v>#N/A</v>
          </cell>
          <cell r="T549">
            <v>8544700000</v>
          </cell>
          <cell r="U549">
            <v>0</v>
          </cell>
          <cell r="V549">
            <v>30</v>
          </cell>
          <cell r="W549">
            <v>45</v>
          </cell>
          <cell r="X549">
            <v>55</v>
          </cell>
          <cell r="Y549" t="str">
            <v>T/T against copy of document</v>
          </cell>
          <cell r="Z549">
            <v>1033.3088235294117</v>
          </cell>
          <cell r="AA549">
            <v>960.14285714285722</v>
          </cell>
          <cell r="AB549">
            <v>7.0000000000000007E-2</v>
          </cell>
          <cell r="AC549">
            <v>7.0000000000000007E-2</v>
          </cell>
          <cell r="AD549">
            <v>0.3</v>
          </cell>
          <cell r="AE549" t="str">
            <v>C</v>
          </cell>
          <cell r="AF549">
            <v>960.14285714285722</v>
          </cell>
          <cell r="AG549">
            <v>0.30000000000000004</v>
          </cell>
          <cell r="AH549"/>
          <cell r="AI549">
            <v>755.53763440860212</v>
          </cell>
          <cell r="AJ549">
            <v>722.68817204301081</v>
          </cell>
          <cell r="AK549">
            <v>0.26881720430107525</v>
          </cell>
          <cell r="AL549">
            <v>0.24731182795698925</v>
          </cell>
          <cell r="AM549"/>
          <cell r="AN549" t="str">
            <v>INFOKS</v>
          </cell>
          <cell r="AO549"/>
          <cell r="AP549"/>
          <cell r="AQ549"/>
          <cell r="AR549"/>
          <cell r="AS549"/>
          <cell r="AT549"/>
          <cell r="AU549">
            <v>611</v>
          </cell>
          <cell r="AV549">
            <v>672.1</v>
          </cell>
          <cell r="AW549"/>
          <cell r="AX549"/>
          <cell r="AZ549">
            <v>3200.4761904761908</v>
          </cell>
          <cell r="BA549">
            <v>1920.2857142857144</v>
          </cell>
          <cell r="BB549">
            <v>1600.2380952380954</v>
          </cell>
          <cell r="BC549">
            <v>1280.1904761904764</v>
          </cell>
        </row>
        <row r="550">
          <cell r="I550" t="str">
            <v>KFO24OM3CTAZHB2FR</v>
          </cell>
          <cell r="J550" t="str">
            <v/>
          </cell>
          <cell r="K550" t="str">
            <v>24FO OM3 CENTRAL LOOSE TUBE ARMORED LSZH FR B2ca OUTDOOR AQUA RAL6027</v>
          </cell>
          <cell r="L550" t="str">
            <v>24FO OM3 TUBE CENTRAL STRUCTURE LIBRE ARMÉ LSZH FR B2ca EXTÉRIEUR AQUA RAL6027</v>
          </cell>
          <cell r="M550" t="str">
            <v>B2ca</v>
          </cell>
          <cell r="N550" t="str">
            <v>Turkey</v>
          </cell>
          <cell r="O550"/>
          <cell r="P550" t="str">
            <v>2000m drum</v>
          </cell>
          <cell r="Q550" t="str">
            <v>4KM</v>
          </cell>
          <cell r="R550">
            <v>2</v>
          </cell>
          <cell r="S550" t="e">
            <v>#N/A</v>
          </cell>
          <cell r="T550">
            <v>8544700000</v>
          </cell>
          <cell r="U550">
            <v>0</v>
          </cell>
          <cell r="V550">
            <v>30</v>
          </cell>
          <cell r="W550">
            <v>45</v>
          </cell>
          <cell r="X550">
            <v>55</v>
          </cell>
          <cell r="Y550" t="str">
            <v>T/T against copy of document</v>
          </cell>
          <cell r="Z550">
            <v>1616.7647058823529</v>
          </cell>
          <cell r="AA550">
            <v>1502.2857142857147</v>
          </cell>
          <cell r="AB550">
            <v>7.0000000000000007E-2</v>
          </cell>
          <cell r="AC550">
            <v>7.0000000000000007E-2</v>
          </cell>
          <cell r="AD550">
            <v>0.3</v>
          </cell>
          <cell r="AE550" t="str">
            <v>C</v>
          </cell>
          <cell r="AF550">
            <v>1502.2857142857147</v>
          </cell>
          <cell r="AG550">
            <v>0.30000000000000004</v>
          </cell>
          <cell r="AH550"/>
          <cell r="AI550">
            <v>1182.1505376344085</v>
          </cell>
          <cell r="AJ550">
            <v>1130.7526881720432</v>
          </cell>
          <cell r="AK550">
            <v>0.26881720430107536</v>
          </cell>
          <cell r="AL550">
            <v>0.24731182795698925</v>
          </cell>
          <cell r="AM550"/>
          <cell r="AN550" t="str">
            <v>INFOKS</v>
          </cell>
          <cell r="AO550"/>
          <cell r="AP550"/>
          <cell r="AQ550"/>
          <cell r="AR550"/>
          <cell r="AS550"/>
          <cell r="AT550"/>
          <cell r="AU550">
            <v>956</v>
          </cell>
          <cell r="AV550">
            <v>1051.6000000000001</v>
          </cell>
          <cell r="AW550"/>
          <cell r="AX550"/>
          <cell r="AZ550">
            <v>5007.6190476190495</v>
          </cell>
          <cell r="BA550">
            <v>3004.5714285714298</v>
          </cell>
          <cell r="BB550">
            <v>2503.8095238095248</v>
          </cell>
          <cell r="BC550">
            <v>2003.0476190476199</v>
          </cell>
        </row>
        <row r="551">
          <cell r="I551" t="str">
            <v>KFO12OM3MTZHD</v>
          </cell>
          <cell r="J551" t="str">
            <v/>
          </cell>
          <cell r="K551" t="str">
            <v>12FO OM3 MULTI LOOSE TUBE LSZH UNIVERSAL Dca AQUA RAL6027</v>
          </cell>
          <cell r="L551" t="str">
            <v>12FO OM3 MULTI TUBE STRUCTURE LIBRE LSZH UNIVERSEL Dca AQUA RAL6027</v>
          </cell>
          <cell r="M551" t="str">
            <v>Dca</v>
          </cell>
          <cell r="N551" t="str">
            <v>Turkey</v>
          </cell>
          <cell r="O551"/>
          <cell r="P551" t="str">
            <v>2000m drum</v>
          </cell>
          <cell r="Q551" t="str">
            <v>4KM</v>
          </cell>
          <cell r="R551">
            <v>2</v>
          </cell>
          <cell r="S551" t="e">
            <v>#N/A</v>
          </cell>
          <cell r="T551">
            <v>8544700000</v>
          </cell>
          <cell r="U551">
            <v>0</v>
          </cell>
          <cell r="V551">
            <v>30</v>
          </cell>
          <cell r="W551">
            <v>45</v>
          </cell>
          <cell r="X551">
            <v>55</v>
          </cell>
          <cell r="Y551" t="str">
            <v>T/T against copy of document</v>
          </cell>
          <cell r="Z551">
            <v>1248.0882352941178</v>
          </cell>
          <cell r="AA551">
            <v>1159.7142857142858</v>
          </cell>
          <cell r="AB551">
            <v>7.0000000000000007E-2</v>
          </cell>
          <cell r="AC551">
            <v>7.0000000000000007E-2</v>
          </cell>
          <cell r="AD551">
            <v>0.3</v>
          </cell>
          <cell r="AE551" t="str">
            <v>C</v>
          </cell>
          <cell r="AF551">
            <v>1159.7142857142858</v>
          </cell>
          <cell r="AG551">
            <v>0.29999999999999993</v>
          </cell>
          <cell r="AH551"/>
          <cell r="AI551">
            <v>912.58064516129036</v>
          </cell>
          <cell r="AJ551">
            <v>872.9032258064517</v>
          </cell>
          <cell r="AK551">
            <v>0.26881720430107536</v>
          </cell>
          <cell r="AL551">
            <v>0.24731182795698925</v>
          </cell>
          <cell r="AM551"/>
          <cell r="AN551" t="str">
            <v>INFOKS</v>
          </cell>
          <cell r="AO551"/>
          <cell r="AP551"/>
          <cell r="AQ551"/>
          <cell r="AR551"/>
          <cell r="AS551"/>
          <cell r="AT551"/>
          <cell r="AU551">
            <v>738</v>
          </cell>
          <cell r="AV551">
            <v>811.80000000000007</v>
          </cell>
          <cell r="AW551"/>
          <cell r="AX551"/>
          <cell r="AZ551">
            <v>3865.7142857142862</v>
          </cell>
          <cell r="BA551">
            <v>2319.4285714285716</v>
          </cell>
          <cell r="BB551">
            <v>1932.8571428571431</v>
          </cell>
          <cell r="BC551">
            <v>1546.2857142857147</v>
          </cell>
          <cell r="BE551">
            <v>1159.7142857142858</v>
          </cell>
        </row>
        <row r="552">
          <cell r="I552" t="str">
            <v>KFO24OM3MTZHD</v>
          </cell>
          <cell r="J552" t="str">
            <v/>
          </cell>
          <cell r="K552" t="str">
            <v>24FO OM3 MULTI LOOSE TUBE LSZH UNIVERSAL Dca AQUA RAL6027</v>
          </cell>
          <cell r="L552" t="str">
            <v>24FO OM3 MULTI TUBE STRUCTURE LIBRE LSZH UNIVERSEL Dca AQUA RAL6027</v>
          </cell>
          <cell r="M552" t="str">
            <v>Dca</v>
          </cell>
          <cell r="N552" t="str">
            <v>Turkey</v>
          </cell>
          <cell r="O552"/>
          <cell r="P552" t="str">
            <v>2000m drum</v>
          </cell>
          <cell r="Q552" t="str">
            <v>4KM</v>
          </cell>
          <cell r="R552">
            <v>2</v>
          </cell>
          <cell r="S552" t="e">
            <v>#N/A</v>
          </cell>
          <cell r="T552">
            <v>8544700000</v>
          </cell>
          <cell r="U552">
            <v>0</v>
          </cell>
          <cell r="V552">
            <v>30</v>
          </cell>
          <cell r="W552">
            <v>45</v>
          </cell>
          <cell r="X552">
            <v>55</v>
          </cell>
          <cell r="Y552" t="str">
            <v>T/T against copy of document</v>
          </cell>
          <cell r="Z552">
            <v>1780.8088235294119</v>
          </cell>
          <cell r="AA552">
            <v>1654.714285714286</v>
          </cell>
          <cell r="AB552">
            <v>7.0000000000000007E-2</v>
          </cell>
          <cell r="AC552">
            <v>7.0000000000000007E-2</v>
          </cell>
          <cell r="AD552">
            <v>0.3</v>
          </cell>
          <cell r="AE552" t="str">
            <v>C</v>
          </cell>
          <cell r="AF552">
            <v>1654.714285714286</v>
          </cell>
          <cell r="AG552">
            <v>0.30000000000000004</v>
          </cell>
          <cell r="AH552"/>
          <cell r="AI552">
            <v>1302.0967741935483</v>
          </cell>
          <cell r="AJ552">
            <v>1245.4838709677422</v>
          </cell>
          <cell r="AK552">
            <v>0.26881720430107536</v>
          </cell>
          <cell r="AL552">
            <v>0.24731182795698925</v>
          </cell>
          <cell r="AM552"/>
          <cell r="AN552" t="str">
            <v>INFOKS</v>
          </cell>
          <cell r="AO552"/>
          <cell r="AP552"/>
          <cell r="AQ552"/>
          <cell r="AR552"/>
          <cell r="AS552"/>
          <cell r="AT552"/>
          <cell r="AU552">
            <v>1053</v>
          </cell>
          <cell r="AV552">
            <v>1158.3000000000002</v>
          </cell>
          <cell r="AW552"/>
          <cell r="AX552"/>
          <cell r="AZ552">
            <v>5515.7142857142871</v>
          </cell>
          <cell r="BA552">
            <v>3309.428571428572</v>
          </cell>
          <cell r="BB552">
            <v>2757.8571428571436</v>
          </cell>
          <cell r="BC552">
            <v>2206.2857142857151</v>
          </cell>
          <cell r="BE552">
            <v>1654.714285714286</v>
          </cell>
        </row>
        <row r="553">
          <cell r="I553" t="str">
            <v>KFO48OM3MTZHD</v>
          </cell>
          <cell r="J553" t="str">
            <v>U0806001</v>
          </cell>
          <cell r="K553" t="str">
            <v>48FO OM3 MULTI LOOSE TUBE LSZH UNIVERSAL Dca AQUA RAL6027</v>
          </cell>
          <cell r="L553" t="str">
            <v>48FO OM3 MULTI TUBE STRUCTURE LIBRE LSZH UNIVERSEL Dca AQUA RAL6027</v>
          </cell>
          <cell r="M553" t="str">
            <v>Dca</v>
          </cell>
          <cell r="N553" t="str">
            <v>Turkey</v>
          </cell>
          <cell r="O553"/>
          <cell r="P553" t="str">
            <v>2000m drum</v>
          </cell>
          <cell r="Q553" t="str">
            <v>4KM</v>
          </cell>
          <cell r="R553">
            <v>2</v>
          </cell>
          <cell r="S553" t="e">
            <v>#N/A</v>
          </cell>
          <cell r="T553">
            <v>8544700000</v>
          </cell>
          <cell r="U553">
            <v>0</v>
          </cell>
          <cell r="V553">
            <v>30</v>
          </cell>
          <cell r="W553">
            <v>45</v>
          </cell>
          <cell r="X553">
            <v>55</v>
          </cell>
          <cell r="Y553" t="str">
            <v>T/T against copy of document</v>
          </cell>
          <cell r="Z553">
            <v>2511.3970588235293</v>
          </cell>
          <cell r="AA553">
            <v>2333.5714285714289</v>
          </cell>
          <cell r="AB553">
            <v>7.0000000000000007E-2</v>
          </cell>
          <cell r="AC553">
            <v>7.0000000000000007E-2</v>
          </cell>
          <cell r="AD553">
            <v>0.3</v>
          </cell>
          <cell r="AE553" t="str">
            <v>C</v>
          </cell>
          <cell r="AF553">
            <v>2333.5714285714289</v>
          </cell>
          <cell r="AG553">
            <v>0.30000000000000004</v>
          </cell>
          <cell r="AH553"/>
          <cell r="AI553">
            <v>1836.2903225806454</v>
          </cell>
          <cell r="AJ553">
            <v>1756.4516129032261</v>
          </cell>
          <cell r="AK553">
            <v>0.26881720430107514</v>
          </cell>
          <cell r="AL553">
            <v>0.24731182795698925</v>
          </cell>
          <cell r="AM553"/>
          <cell r="AN553" t="str">
            <v>INFOKS</v>
          </cell>
          <cell r="AO553"/>
          <cell r="AP553"/>
          <cell r="AQ553"/>
          <cell r="AR553"/>
          <cell r="AS553"/>
          <cell r="AT553"/>
          <cell r="AU553">
            <v>1485</v>
          </cell>
          <cell r="AV553">
            <v>1633.5000000000002</v>
          </cell>
          <cell r="AW553"/>
          <cell r="AX553"/>
          <cell r="AZ553">
            <v>7778.5714285714303</v>
          </cell>
          <cell r="BA553">
            <v>4667.1428571428578</v>
          </cell>
          <cell r="BB553">
            <v>3889.2857142857151</v>
          </cell>
          <cell r="BC553">
            <v>3111.4285714285725</v>
          </cell>
          <cell r="BE553">
            <v>2333.5714285714289</v>
          </cell>
        </row>
        <row r="554">
          <cell r="I554" t="str">
            <v>KFO72OM3MTZHD</v>
          </cell>
          <cell r="J554" t="str">
            <v/>
          </cell>
          <cell r="K554" t="str">
            <v>72FO OM3 MULTI LOOSE TUBE LSZH UNIVERSAL Dca AQUA RAL6027</v>
          </cell>
          <cell r="L554" t="str">
            <v>72FO OM3 MULTI TUBE STRUCTURE LIBRE LSZH UNIVERSEL Dca AQUA RAL6027</v>
          </cell>
          <cell r="M554" t="str">
            <v>Dca</v>
          </cell>
          <cell r="N554" t="str">
            <v>Turkey</v>
          </cell>
          <cell r="O554"/>
          <cell r="P554" t="str">
            <v>2000m drum</v>
          </cell>
          <cell r="Q554" t="str">
            <v>4KM</v>
          </cell>
          <cell r="R554">
            <v>2</v>
          </cell>
          <cell r="S554" t="e">
            <v>#N/A</v>
          </cell>
          <cell r="T554">
            <v>8544700000</v>
          </cell>
          <cell r="U554">
            <v>0</v>
          </cell>
          <cell r="V554">
            <v>30</v>
          </cell>
          <cell r="W554">
            <v>45</v>
          </cell>
          <cell r="X554">
            <v>55</v>
          </cell>
          <cell r="Y554" t="str">
            <v>T/T against copy of document</v>
          </cell>
          <cell r="Z554">
            <v>3899.8529411764707</v>
          </cell>
          <cell r="AA554">
            <v>3623.7142857142867</v>
          </cell>
          <cell r="AB554">
            <v>7.0000000000000007E-2</v>
          </cell>
          <cell r="AC554">
            <v>7.0000000000000007E-2</v>
          </cell>
          <cell r="AD554">
            <v>0.3</v>
          </cell>
          <cell r="AE554" t="str">
            <v>C</v>
          </cell>
          <cell r="AF554">
            <v>3623.7142857142867</v>
          </cell>
          <cell r="AG554">
            <v>0.30000000000000004</v>
          </cell>
          <cell r="AH554"/>
          <cell r="AI554">
            <v>2851.5053763440865</v>
          </cell>
          <cell r="AJ554">
            <v>2727.5268817204305</v>
          </cell>
          <cell r="AK554">
            <v>0.26881720430107514</v>
          </cell>
          <cell r="AL554">
            <v>0.24731182795698936</v>
          </cell>
          <cell r="AM554"/>
          <cell r="AN554" t="str">
            <v>INFOKS</v>
          </cell>
          <cell r="AO554"/>
          <cell r="AP554"/>
          <cell r="AQ554"/>
          <cell r="AR554"/>
          <cell r="AS554"/>
          <cell r="AT554"/>
          <cell r="AU554">
            <v>2306</v>
          </cell>
          <cell r="AV554">
            <v>2536.6000000000004</v>
          </cell>
          <cell r="AW554"/>
          <cell r="AX554"/>
          <cell r="AZ554">
            <v>12079.047619047622</v>
          </cell>
          <cell r="BA554">
            <v>7247.4285714285734</v>
          </cell>
          <cell r="BB554">
            <v>6039.523809523811</v>
          </cell>
          <cell r="BC554">
            <v>4831.6190476190486</v>
          </cell>
          <cell r="BE554">
            <v>3623.7142857142867</v>
          </cell>
        </row>
        <row r="555">
          <cell r="I555" t="str">
            <v>KFO96OM3MTZHD</v>
          </cell>
          <cell r="J555" t="str">
            <v>U0806005</v>
          </cell>
          <cell r="K555" t="str">
            <v>96FO OM3 MULTI LOOSE TUBE LSZH UNIVERSAL Dca AQUA RAL6027</v>
          </cell>
          <cell r="L555" t="str">
            <v>96FO OM3 MULTI TUBE STRUCTURE LIBRE LSZH UNIVERSEL Dca AQUA RAL6027</v>
          </cell>
          <cell r="M555" t="str">
            <v>Dca</v>
          </cell>
          <cell r="N555" t="str">
            <v>Turkey</v>
          </cell>
          <cell r="O555"/>
          <cell r="P555" t="str">
            <v>2000m drum</v>
          </cell>
          <cell r="Q555" t="str">
            <v>4KM</v>
          </cell>
          <cell r="R555">
            <v>2</v>
          </cell>
          <cell r="S555" t="e">
            <v>#N/A</v>
          </cell>
          <cell r="T555">
            <v>8544700000</v>
          </cell>
          <cell r="U555">
            <v>0</v>
          </cell>
          <cell r="V555">
            <v>30</v>
          </cell>
          <cell r="W555">
            <v>45</v>
          </cell>
          <cell r="X555">
            <v>55</v>
          </cell>
          <cell r="Y555" t="str">
            <v>T/T against copy of document</v>
          </cell>
          <cell r="Z555">
            <v>4659.1911764705883</v>
          </cell>
          <cell r="AA555">
            <v>4329.2857142857156</v>
          </cell>
          <cell r="AB555">
            <v>7.0000000000000007E-2</v>
          </cell>
          <cell r="AC555">
            <v>7.0000000000000007E-2</v>
          </cell>
          <cell r="AD555">
            <v>0.3</v>
          </cell>
          <cell r="AE555" t="str">
            <v>C</v>
          </cell>
          <cell r="AF555">
            <v>4329.2857142857156</v>
          </cell>
          <cell r="AG555">
            <v>0.30000000000000016</v>
          </cell>
          <cell r="AH555"/>
          <cell r="AI555">
            <v>3406.7204301075267</v>
          </cell>
          <cell r="AJ555">
            <v>3258.6021505376352</v>
          </cell>
          <cell r="AK555">
            <v>0.26881720430107536</v>
          </cell>
          <cell r="AL555">
            <v>0.24731182795698925</v>
          </cell>
          <cell r="AM555"/>
          <cell r="AN555" t="str">
            <v>INFOKS</v>
          </cell>
          <cell r="AO555"/>
          <cell r="AP555"/>
          <cell r="AQ555"/>
          <cell r="AR555"/>
          <cell r="AS555"/>
          <cell r="AT555"/>
          <cell r="AU555">
            <v>2755</v>
          </cell>
          <cell r="AV555">
            <v>3030.5000000000005</v>
          </cell>
          <cell r="AW555"/>
          <cell r="AX555"/>
          <cell r="AZ555">
            <v>14430.952380952385</v>
          </cell>
          <cell r="BA555">
            <v>8658.5714285714312</v>
          </cell>
          <cell r="BB555">
            <v>7215.4761904761926</v>
          </cell>
          <cell r="BC555">
            <v>5772.3809523809541</v>
          </cell>
          <cell r="BE555">
            <v>4329.2857142857156</v>
          </cell>
        </row>
        <row r="556">
          <cell r="I556" t="str">
            <v>KFO144OM3MTZHD</v>
          </cell>
          <cell r="J556" t="str">
            <v/>
          </cell>
          <cell r="K556" t="str">
            <v>144FO OM3 MULTI LOOSE TUBE LSZH UNIVERSAL Dca AQUA RAL6027</v>
          </cell>
          <cell r="L556" t="str">
            <v>144FO OM3 MULTI TUBE STRUCTURE LIBRE LSZH UNIVERSEL Dca AQUA RAL6027</v>
          </cell>
          <cell r="M556" t="str">
            <v>Dca</v>
          </cell>
          <cell r="N556" t="str">
            <v>Turkey</v>
          </cell>
          <cell r="O556"/>
          <cell r="P556" t="str">
            <v>2000m drum</v>
          </cell>
          <cell r="Q556" t="str">
            <v>4KM</v>
          </cell>
          <cell r="R556">
            <v>2</v>
          </cell>
          <cell r="S556" t="e">
            <v>#N/A</v>
          </cell>
          <cell r="T556">
            <v>8544700000</v>
          </cell>
          <cell r="U556">
            <v>0</v>
          </cell>
          <cell r="V556">
            <v>30</v>
          </cell>
          <cell r="W556">
            <v>45</v>
          </cell>
          <cell r="X556">
            <v>55</v>
          </cell>
          <cell r="Y556" t="str">
            <v>T/T against copy of document</v>
          </cell>
          <cell r="Z556">
            <v>7420.8823529411766</v>
          </cell>
          <cell r="AA556">
            <v>6895.4285714285725</v>
          </cell>
          <cell r="AB556">
            <v>7.0000000000000007E-2</v>
          </cell>
          <cell r="AC556">
            <v>7.0000000000000007E-2</v>
          </cell>
          <cell r="AD556">
            <v>0.3</v>
          </cell>
          <cell r="AE556" t="str">
            <v>C</v>
          </cell>
          <cell r="AF556">
            <v>6895.4285714285725</v>
          </cell>
          <cell r="AG556">
            <v>0.30000000000000004</v>
          </cell>
          <cell r="AH556"/>
          <cell r="AI556">
            <v>5426.0215053763441</v>
          </cell>
          <cell r="AJ556">
            <v>5190.1075268817212</v>
          </cell>
          <cell r="AK556">
            <v>0.26881720430107525</v>
          </cell>
          <cell r="AL556">
            <v>0.24731182795698925</v>
          </cell>
          <cell r="AM556"/>
          <cell r="AN556" t="str">
            <v>INFOKS</v>
          </cell>
          <cell r="AO556"/>
          <cell r="AP556"/>
          <cell r="AQ556"/>
          <cell r="AR556"/>
          <cell r="AS556"/>
          <cell r="AT556"/>
          <cell r="AU556">
            <v>4388</v>
          </cell>
          <cell r="AV556">
            <v>4826.8</v>
          </cell>
          <cell r="AW556"/>
          <cell r="AX556"/>
          <cell r="AZ556">
            <v>22984.761904761908</v>
          </cell>
          <cell r="BA556">
            <v>13790.857142857145</v>
          </cell>
          <cell r="BB556">
            <v>11492.380952380954</v>
          </cell>
          <cell r="BC556">
            <v>9193.9047619047633</v>
          </cell>
          <cell r="BE556">
            <v>6895.4285714285725</v>
          </cell>
        </row>
        <row r="557">
          <cell r="I557" t="str">
            <v>KFO288OM3MTZHD</v>
          </cell>
          <cell r="J557" t="str">
            <v/>
          </cell>
          <cell r="K557" t="str">
            <v>288FO OM3 MULTI LOOSE TUBE LSZH UNIVERSAL Dca AQUA RAL6027</v>
          </cell>
          <cell r="L557" t="str">
            <v>288FO OM3 MULTI TUBE STRUCTURE LIBRE LSZH UNIVERSEL Dca AQUA RAL6027</v>
          </cell>
          <cell r="M557" t="str">
            <v>Dca</v>
          </cell>
          <cell r="N557" t="str">
            <v>Turkey</v>
          </cell>
          <cell r="O557"/>
          <cell r="P557" t="str">
            <v>2000m drum</v>
          </cell>
          <cell r="Q557" t="str">
            <v>4KM</v>
          </cell>
          <cell r="R557">
            <v>2</v>
          </cell>
          <cell r="S557" t="e">
            <v>#N/A</v>
          </cell>
          <cell r="T557">
            <v>8544700000</v>
          </cell>
          <cell r="U557">
            <v>0</v>
          </cell>
          <cell r="V557">
            <v>30</v>
          </cell>
          <cell r="W557">
            <v>45</v>
          </cell>
          <cell r="X557">
            <v>55</v>
          </cell>
          <cell r="Y557" t="str">
            <v>T/T against copy of document</v>
          </cell>
          <cell r="Z557">
            <v>14180.514705882353</v>
          </cell>
          <cell r="AA557">
            <v>13176.428571428572</v>
          </cell>
          <cell r="AB557">
            <v>7.0000000000000007E-2</v>
          </cell>
          <cell r="AC557">
            <v>7.0000000000000007E-2</v>
          </cell>
          <cell r="AD557">
            <v>0.3</v>
          </cell>
          <cell r="AE557" t="str">
            <v>C</v>
          </cell>
          <cell r="AF557">
            <v>13176.428571428572</v>
          </cell>
          <cell r="AG557">
            <v>0.30000000000000004</v>
          </cell>
          <cell r="AH557"/>
          <cell r="AI557">
            <v>10368.548387096773</v>
          </cell>
          <cell r="AJ557">
            <v>9917.7419354838712</v>
          </cell>
          <cell r="AK557">
            <v>0.26881720430107536</v>
          </cell>
          <cell r="AL557">
            <v>0.24731182795698925</v>
          </cell>
          <cell r="AM557"/>
          <cell r="AN557" t="str">
            <v>INFOKS</v>
          </cell>
          <cell r="AO557"/>
          <cell r="AP557"/>
          <cell r="AQ557"/>
          <cell r="AR557"/>
          <cell r="AS557"/>
          <cell r="AT557"/>
          <cell r="AU557">
            <v>8385</v>
          </cell>
          <cell r="AV557">
            <v>9223.5</v>
          </cell>
          <cell r="AW557"/>
          <cell r="AX557"/>
          <cell r="AZ557">
            <v>43921.42857142858</v>
          </cell>
          <cell r="BA557">
            <v>26352.857142857149</v>
          </cell>
          <cell r="BB557">
            <v>21960.71428571429</v>
          </cell>
          <cell r="BC557">
            <v>17568.571428571431</v>
          </cell>
          <cell r="BE557">
            <v>13176.428571428572</v>
          </cell>
        </row>
        <row r="558">
          <cell r="I558" t="str">
            <v>KFO12OM3MTZHC</v>
          </cell>
          <cell r="J558" t="str">
            <v/>
          </cell>
          <cell r="K558" t="str">
            <v>12FO OM3 MULTI LOOSE TUBE LSZH UNIVERSAL Cca AQUA RAL6027</v>
          </cell>
          <cell r="L558" t="str">
            <v>12FO OM3 MULTI TUBE STRUCTURE LIBRE LSZH UNIVERSEL Cca AQUA RAL6027</v>
          </cell>
          <cell r="M558" t="str">
            <v>Cca</v>
          </cell>
          <cell r="N558" t="str">
            <v>Turkey</v>
          </cell>
          <cell r="O558"/>
          <cell r="P558" t="str">
            <v>2000m drum</v>
          </cell>
          <cell r="Q558" t="str">
            <v>4KM</v>
          </cell>
          <cell r="R558">
            <v>2</v>
          </cell>
          <cell r="S558" t="e">
            <v>#N/A</v>
          </cell>
          <cell r="T558">
            <v>8544700000</v>
          </cell>
          <cell r="U558">
            <v>0</v>
          </cell>
          <cell r="V558">
            <v>30</v>
          </cell>
          <cell r="W558">
            <v>45</v>
          </cell>
          <cell r="X558">
            <v>55</v>
          </cell>
          <cell r="Y558" t="str">
            <v>T/T against copy of document</v>
          </cell>
          <cell r="Z558">
            <v>1371.5441176470588</v>
          </cell>
          <cell r="AA558">
            <v>1274.4285714285716</v>
          </cell>
          <cell r="AB558">
            <v>7.0000000000000007E-2</v>
          </cell>
          <cell r="AC558">
            <v>7.0000000000000007E-2</v>
          </cell>
          <cell r="AD558">
            <v>0.3</v>
          </cell>
          <cell r="AE558" t="str">
            <v>C</v>
          </cell>
          <cell r="AF558">
            <v>1274.4285714285716</v>
          </cell>
          <cell r="AG558">
            <v>0.30000000000000004</v>
          </cell>
          <cell r="AH558"/>
          <cell r="AI558">
            <v>1002.8494623655914</v>
          </cell>
          <cell r="AJ558">
            <v>959.24731182795711</v>
          </cell>
          <cell r="AK558">
            <v>0.26881720430107525</v>
          </cell>
          <cell r="AL558">
            <v>0.24731182795698925</v>
          </cell>
          <cell r="AM558"/>
          <cell r="AN558" t="str">
            <v>INFOKS</v>
          </cell>
          <cell r="AO558"/>
          <cell r="AP558"/>
          <cell r="AQ558"/>
          <cell r="AR558"/>
          <cell r="AS558"/>
          <cell r="AT558"/>
          <cell r="AU558">
            <v>811</v>
          </cell>
          <cell r="AV558">
            <v>892.1</v>
          </cell>
          <cell r="AW558"/>
          <cell r="AX558"/>
          <cell r="AZ558">
            <v>4248.0952380952385</v>
          </cell>
          <cell r="BA558">
            <v>2548.8571428571431</v>
          </cell>
          <cell r="BB558">
            <v>2124.0476190476193</v>
          </cell>
          <cell r="BC558">
            <v>1699.2380952380954</v>
          </cell>
          <cell r="BE558">
            <v>1274.4285714285716</v>
          </cell>
        </row>
        <row r="559">
          <cell r="I559" t="str">
            <v>KFO24OM3MTZHC</v>
          </cell>
          <cell r="J559" t="str">
            <v/>
          </cell>
          <cell r="K559" t="str">
            <v>24FO OM3 MULTI LOOSE TUBE LSZH UNIVERSAL Cca AQUA RAL6027</v>
          </cell>
          <cell r="L559" t="str">
            <v>24FO OM3 MULTI TUBE STRUCTURE LIBRE LSZH UNIVERSEL Cca AQUA RAL6027</v>
          </cell>
          <cell r="M559" t="str">
            <v>Cca</v>
          </cell>
          <cell r="N559" t="str">
            <v>Turkey</v>
          </cell>
          <cell r="O559"/>
          <cell r="P559" t="str">
            <v>2000m drum</v>
          </cell>
          <cell r="Q559" t="str">
            <v>4KM</v>
          </cell>
          <cell r="R559">
            <v>2</v>
          </cell>
          <cell r="S559" t="e">
            <v>#N/A</v>
          </cell>
          <cell r="T559">
            <v>8544700000</v>
          </cell>
          <cell r="U559">
            <v>0</v>
          </cell>
          <cell r="V559">
            <v>30</v>
          </cell>
          <cell r="W559">
            <v>45</v>
          </cell>
          <cell r="X559">
            <v>55</v>
          </cell>
          <cell r="Y559" t="str">
            <v>T/T against copy of document</v>
          </cell>
          <cell r="Z559">
            <v>1922.8676470588236</v>
          </cell>
          <cell r="AA559">
            <v>1786.7142857142858</v>
          </cell>
          <cell r="AB559">
            <v>7.0000000000000007E-2</v>
          </cell>
          <cell r="AC559">
            <v>7.0000000000000007E-2</v>
          </cell>
          <cell r="AD559">
            <v>0.3</v>
          </cell>
          <cell r="AE559" t="str">
            <v>C</v>
          </cell>
          <cell r="AF559">
            <v>1786.7142857142858</v>
          </cell>
          <cell r="AG559">
            <v>0.30000000000000004</v>
          </cell>
          <cell r="AH559"/>
          <cell r="AI559">
            <v>1405.9677419354839</v>
          </cell>
          <cell r="AJ559">
            <v>1344.8387096774195</v>
          </cell>
          <cell r="AK559">
            <v>0.26881720430107525</v>
          </cell>
          <cell r="AL559">
            <v>0.24731182795698914</v>
          </cell>
          <cell r="AM559"/>
          <cell r="AN559" t="str">
            <v>INFOKS</v>
          </cell>
          <cell r="AO559"/>
          <cell r="AP559"/>
          <cell r="AQ559"/>
          <cell r="AR559"/>
          <cell r="AS559"/>
          <cell r="AT559"/>
          <cell r="AU559">
            <v>1137</v>
          </cell>
          <cell r="AV559">
            <v>1250.7</v>
          </cell>
          <cell r="AW559"/>
          <cell r="AX559"/>
          <cell r="AZ559">
            <v>5955.7142857142862</v>
          </cell>
          <cell r="BA559">
            <v>3573.4285714285716</v>
          </cell>
          <cell r="BB559">
            <v>2977.8571428571431</v>
          </cell>
          <cell r="BC559">
            <v>2382.2857142857147</v>
          </cell>
          <cell r="BE559">
            <v>1786.7142857142858</v>
          </cell>
        </row>
        <row r="560">
          <cell r="I560" t="str">
            <v>KFO48OM3MTZHC</v>
          </cell>
          <cell r="J560" t="str">
            <v/>
          </cell>
          <cell r="K560" t="str">
            <v>48FO OM3 MULTI LOOSE TUBE LSZH UNIVERSAL Cca AQUA RAL6027</v>
          </cell>
          <cell r="L560" t="str">
            <v>48FO OM3 MULTI TUBE STRUCTURE LIBRE LSZH UNIVERSEL Cca AQUA RAL6027</v>
          </cell>
          <cell r="M560" t="str">
            <v>Cca</v>
          </cell>
          <cell r="N560" t="str">
            <v>Turkey</v>
          </cell>
          <cell r="O560"/>
          <cell r="P560" t="str">
            <v>2000m drum</v>
          </cell>
          <cell r="Q560" t="str">
            <v>4KM</v>
          </cell>
          <cell r="R560">
            <v>2</v>
          </cell>
          <cell r="S560" t="e">
            <v>#N/A</v>
          </cell>
          <cell r="T560">
            <v>8544700000</v>
          </cell>
          <cell r="U560">
            <v>0</v>
          </cell>
          <cell r="V560">
            <v>30</v>
          </cell>
          <cell r="W560">
            <v>45</v>
          </cell>
          <cell r="X560">
            <v>55</v>
          </cell>
          <cell r="Y560" t="str">
            <v>T/T against copy of document</v>
          </cell>
          <cell r="Z560">
            <v>2668.6764705882356</v>
          </cell>
          <cell r="AA560">
            <v>2479.7142857142862</v>
          </cell>
          <cell r="AB560">
            <v>7.0000000000000007E-2</v>
          </cell>
          <cell r="AC560">
            <v>7.0000000000000007E-2</v>
          </cell>
          <cell r="AD560">
            <v>0.3</v>
          </cell>
          <cell r="AE560" t="str">
            <v>C</v>
          </cell>
          <cell r="AF560">
            <v>2479.7142857142862</v>
          </cell>
          <cell r="AG560">
            <v>0.30000000000000004</v>
          </cell>
          <cell r="AH560"/>
          <cell r="AI560">
            <v>1951.2903225806454</v>
          </cell>
          <cell r="AJ560">
            <v>1866.4516129032261</v>
          </cell>
          <cell r="AK560">
            <v>0.26881720430107525</v>
          </cell>
          <cell r="AL560">
            <v>0.24731182795698925</v>
          </cell>
          <cell r="AM560"/>
          <cell r="AN560" t="str">
            <v>INFOKS</v>
          </cell>
          <cell r="AO560"/>
          <cell r="AP560"/>
          <cell r="AQ560"/>
          <cell r="AR560"/>
          <cell r="AS560"/>
          <cell r="AT560"/>
          <cell r="AU560">
            <v>1578</v>
          </cell>
          <cell r="AV560">
            <v>1735.8000000000002</v>
          </cell>
          <cell r="AW560"/>
          <cell r="AX560"/>
          <cell r="AZ560">
            <v>8265.7142857142881</v>
          </cell>
          <cell r="BA560">
            <v>4959.4285714285725</v>
          </cell>
          <cell r="BB560">
            <v>4132.857142857144</v>
          </cell>
          <cell r="BC560">
            <v>3306.2857142857156</v>
          </cell>
          <cell r="BE560">
            <v>2479.7142857142862</v>
          </cell>
        </row>
        <row r="561">
          <cell r="I561" t="str">
            <v>KFO72OM3MTZHC</v>
          </cell>
          <cell r="J561" t="str">
            <v/>
          </cell>
          <cell r="K561" t="str">
            <v>72FO OM3 MULTI LOOSE TUBE LSZH UNIVERSAL Cca AQUA RAL6027</v>
          </cell>
          <cell r="L561" t="str">
            <v>72FO OM3 MULTI TUBE STRUCTURE LIBRE LSZH UNIVERSEL Cca AQUA RAL6027</v>
          </cell>
          <cell r="M561" t="str">
            <v>Cca</v>
          </cell>
          <cell r="N561" t="str">
            <v>Turkey</v>
          </cell>
          <cell r="O561"/>
          <cell r="P561" t="str">
            <v>2000m drum</v>
          </cell>
          <cell r="Q561" t="str">
            <v>4KM</v>
          </cell>
          <cell r="R561">
            <v>2</v>
          </cell>
          <cell r="S561" t="e">
            <v>#N/A</v>
          </cell>
          <cell r="T561">
            <v>8544700000</v>
          </cell>
          <cell r="U561">
            <v>0</v>
          </cell>
          <cell r="V561">
            <v>30</v>
          </cell>
          <cell r="W561">
            <v>45</v>
          </cell>
          <cell r="X561">
            <v>55</v>
          </cell>
          <cell r="Y561" t="str">
            <v>T/T against copy of document</v>
          </cell>
          <cell r="Z561">
            <v>4126.4705882352937</v>
          </cell>
          <cell r="AA561">
            <v>3834.2857142857147</v>
          </cell>
          <cell r="AB561">
            <v>7.0000000000000007E-2</v>
          </cell>
          <cell r="AC561">
            <v>7.0000000000000007E-2</v>
          </cell>
          <cell r="AD561">
            <v>0.3</v>
          </cell>
          <cell r="AE561" t="str">
            <v>C</v>
          </cell>
          <cell r="AF561">
            <v>3834.2857142857147</v>
          </cell>
          <cell r="AG561">
            <v>0.30000000000000004</v>
          </cell>
          <cell r="AH561"/>
          <cell r="AI561">
            <v>3017.2043010752691</v>
          </cell>
          <cell r="AJ561">
            <v>2886.0215053763441</v>
          </cell>
          <cell r="AK561">
            <v>0.26881720430107514</v>
          </cell>
          <cell r="AL561">
            <v>0.24731182795698936</v>
          </cell>
          <cell r="AM561"/>
          <cell r="AN561" t="str">
            <v>INFOKS</v>
          </cell>
          <cell r="AO561"/>
          <cell r="AP561"/>
          <cell r="AQ561"/>
          <cell r="AR561"/>
          <cell r="AS561"/>
          <cell r="AT561"/>
          <cell r="AU561">
            <v>2440</v>
          </cell>
          <cell r="AV561">
            <v>2684</v>
          </cell>
          <cell r="AW561"/>
          <cell r="AX561"/>
          <cell r="AZ561">
            <v>12780.952380952383</v>
          </cell>
          <cell r="BA561">
            <v>7668.5714285714294</v>
          </cell>
          <cell r="BB561">
            <v>6390.4761904761917</v>
          </cell>
          <cell r="BC561">
            <v>5112.3809523809541</v>
          </cell>
          <cell r="BE561">
            <v>3834.2857142857147</v>
          </cell>
        </row>
        <row r="562">
          <cell r="I562" t="str">
            <v>KFO96OM3MTZHC</v>
          </cell>
          <cell r="J562" t="str">
            <v/>
          </cell>
          <cell r="K562" t="str">
            <v>96FO OM3 MULTI LOOSE TUBE LSZH UNIVERSAL Cca AQUA RAL6027</v>
          </cell>
          <cell r="L562" t="str">
            <v>96FO OM3 MULTI TUBE STRUCTURE LIBRE LSZH UNIVERSEL Cca AQUA RAL6027</v>
          </cell>
          <cell r="M562" t="str">
            <v>Cca</v>
          </cell>
          <cell r="N562" t="str">
            <v>Turkey</v>
          </cell>
          <cell r="O562"/>
          <cell r="P562" t="str">
            <v>2000m drum</v>
          </cell>
          <cell r="Q562" t="str">
            <v>4KM</v>
          </cell>
          <cell r="R562">
            <v>2</v>
          </cell>
          <cell r="S562" t="e">
            <v>#N/A</v>
          </cell>
          <cell r="T562">
            <v>8544700000</v>
          </cell>
          <cell r="U562">
            <v>0</v>
          </cell>
          <cell r="V562">
            <v>30</v>
          </cell>
          <cell r="W562">
            <v>45</v>
          </cell>
          <cell r="X562">
            <v>55</v>
          </cell>
          <cell r="Y562" t="str">
            <v>T/T against copy of document</v>
          </cell>
          <cell r="Z562">
            <v>5440.5147058823522</v>
          </cell>
          <cell r="AA562">
            <v>5055.2857142857147</v>
          </cell>
          <cell r="AB562">
            <v>7.0000000000000007E-2</v>
          </cell>
          <cell r="AC562">
            <v>7.0000000000000007E-2</v>
          </cell>
          <cell r="AD562">
            <v>0.3</v>
          </cell>
          <cell r="AE562" t="str">
            <v>C</v>
          </cell>
          <cell r="AF562">
            <v>5055.2857142857147</v>
          </cell>
          <cell r="AG562">
            <v>0.30000000000000004</v>
          </cell>
          <cell r="AH562"/>
          <cell r="AI562">
            <v>3978.010752688172</v>
          </cell>
          <cell r="AJ562">
            <v>3805.0537634408606</v>
          </cell>
          <cell r="AK562">
            <v>0.26881720430107514</v>
          </cell>
          <cell r="AL562">
            <v>0.24731182795698925</v>
          </cell>
          <cell r="AM562"/>
          <cell r="AN562" t="str">
            <v>INFOKS</v>
          </cell>
          <cell r="AO562"/>
          <cell r="AP562"/>
          <cell r="AQ562"/>
          <cell r="AR562"/>
          <cell r="AS562"/>
          <cell r="AT562"/>
          <cell r="AU562">
            <v>3217</v>
          </cell>
          <cell r="AV562">
            <v>3538.7000000000003</v>
          </cell>
          <cell r="AW562"/>
          <cell r="AX562"/>
          <cell r="AZ562">
            <v>16850.952380952382</v>
          </cell>
          <cell r="BA562">
            <v>10110.571428571429</v>
          </cell>
          <cell r="BB562">
            <v>8425.4761904761908</v>
          </cell>
          <cell r="BC562">
            <v>6740.3809523809532</v>
          </cell>
          <cell r="BE562">
            <v>5055.2857142857147</v>
          </cell>
        </row>
        <row r="563">
          <cell r="I563" t="str">
            <v>KFO144OM3MTZHC</v>
          </cell>
          <cell r="J563" t="str">
            <v/>
          </cell>
          <cell r="K563" t="str">
            <v>144FO OM3 MULTI LOOSE TUBE LSZH UNIVERSAL Cca AQUA RAL6027</v>
          </cell>
          <cell r="L563" t="str">
            <v>144FO OM3 MULTI TUBE STRUCTURE LIBRE LSZH UNIVERSEL Cca AQUA RAL6027</v>
          </cell>
          <cell r="M563" t="str">
            <v>Cca</v>
          </cell>
          <cell r="N563" t="str">
            <v>Turkey</v>
          </cell>
          <cell r="O563"/>
          <cell r="P563" t="str">
            <v>2000m drum</v>
          </cell>
          <cell r="Q563" t="str">
            <v>4KM</v>
          </cell>
          <cell r="R563">
            <v>2</v>
          </cell>
          <cell r="S563" t="e">
            <v>#N/A</v>
          </cell>
          <cell r="T563">
            <v>8544700000</v>
          </cell>
          <cell r="U563">
            <v>0</v>
          </cell>
          <cell r="V563">
            <v>30</v>
          </cell>
          <cell r="W563">
            <v>45</v>
          </cell>
          <cell r="X563">
            <v>55</v>
          </cell>
          <cell r="Y563" t="str">
            <v>T/T against copy of document</v>
          </cell>
          <cell r="Z563">
            <v>7816.6176470588243</v>
          </cell>
          <cell r="AA563">
            <v>7263.1428571428587</v>
          </cell>
          <cell r="AB563">
            <v>7.0000000000000007E-2</v>
          </cell>
          <cell r="AC563">
            <v>7.0000000000000007E-2</v>
          </cell>
          <cell r="AD563">
            <v>0.3</v>
          </cell>
          <cell r="AE563" t="str">
            <v>C</v>
          </cell>
          <cell r="AF563">
            <v>7263.1428571428587</v>
          </cell>
          <cell r="AG563">
            <v>0.30000000000000004</v>
          </cell>
          <cell r="AH563"/>
          <cell r="AI563">
            <v>5715.3763440860212</v>
          </cell>
          <cell r="AJ563">
            <v>5466.8817204301085</v>
          </cell>
          <cell r="AK563">
            <v>0.26881720430107536</v>
          </cell>
          <cell r="AL563">
            <v>0.24731182795698925</v>
          </cell>
          <cell r="AM563"/>
          <cell r="AN563" t="str">
            <v>INFOKS</v>
          </cell>
          <cell r="AO563"/>
          <cell r="AP563"/>
          <cell r="AQ563"/>
          <cell r="AR563"/>
          <cell r="AS563"/>
          <cell r="AT563"/>
          <cell r="AU563">
            <v>4622</v>
          </cell>
          <cell r="AV563">
            <v>5084.2000000000007</v>
          </cell>
          <cell r="AW563"/>
          <cell r="AX563"/>
          <cell r="AZ563">
            <v>24210.476190476198</v>
          </cell>
          <cell r="BA563">
            <v>14526.285714285719</v>
          </cell>
          <cell r="BB563">
            <v>12105.238095238099</v>
          </cell>
          <cell r="BC563">
            <v>9684.1904761904789</v>
          </cell>
          <cell r="BE563">
            <v>7263.1428571428587</v>
          </cell>
        </row>
        <row r="564">
          <cell r="I564" t="str">
            <v>KFO288OM3MTZHC</v>
          </cell>
          <cell r="J564" t="str">
            <v/>
          </cell>
          <cell r="K564" t="str">
            <v>288FO OM3 MULTI LOOSE TUBE LSZH UNIVERSAL Cca AQUA RAL6027</v>
          </cell>
          <cell r="L564" t="str">
            <v>288FO OM3 MULTI TUBE STRUCTURE LIBRE LSZH UNIVERSEL Cca AQUA RAL6027</v>
          </cell>
          <cell r="M564" t="str">
            <v>Cca</v>
          </cell>
          <cell r="N564" t="str">
            <v>Turkey</v>
          </cell>
          <cell r="O564"/>
          <cell r="P564" t="str">
            <v>2000m drum</v>
          </cell>
          <cell r="Q564" t="str">
            <v>4KM</v>
          </cell>
          <cell r="R564">
            <v>2</v>
          </cell>
          <cell r="S564" t="e">
            <v>#N/A</v>
          </cell>
          <cell r="T564">
            <v>8544700000</v>
          </cell>
          <cell r="U564">
            <v>0</v>
          </cell>
          <cell r="V564">
            <v>30</v>
          </cell>
          <cell r="W564">
            <v>45</v>
          </cell>
          <cell r="X564">
            <v>55</v>
          </cell>
          <cell r="Y564" t="str">
            <v>T/T against copy of document</v>
          </cell>
          <cell r="Z564">
            <v>14865.441176470589</v>
          </cell>
          <cell r="AA564">
            <v>13812.857142857143</v>
          </cell>
          <cell r="AB564">
            <v>7.0000000000000007E-2</v>
          </cell>
          <cell r="AC564">
            <v>7.0000000000000007E-2</v>
          </cell>
          <cell r="AD564">
            <v>0.3</v>
          </cell>
          <cell r="AE564" t="str">
            <v>C</v>
          </cell>
          <cell r="AF564">
            <v>13812.857142857143</v>
          </cell>
          <cell r="AG564">
            <v>0.30000000000000004</v>
          </cell>
          <cell r="AH564"/>
          <cell r="AI564">
            <v>10869.354838709676</v>
          </cell>
          <cell r="AJ564">
            <v>10396.774193548388</v>
          </cell>
          <cell r="AK564">
            <v>0.26881720430107536</v>
          </cell>
          <cell r="AL564">
            <v>0.24731182795698914</v>
          </cell>
          <cell r="AM564"/>
          <cell r="AN564" t="str">
            <v>INFOKS</v>
          </cell>
          <cell r="AO564"/>
          <cell r="AP564"/>
          <cell r="AQ564"/>
          <cell r="AR564"/>
          <cell r="AS564"/>
          <cell r="AT564"/>
          <cell r="AU564">
            <v>8790</v>
          </cell>
          <cell r="AV564">
            <v>9669</v>
          </cell>
          <cell r="AW564"/>
          <cell r="AX564"/>
          <cell r="AZ564">
            <v>46042.857142857145</v>
          </cell>
          <cell r="BA564">
            <v>27625.714285714286</v>
          </cell>
          <cell r="BB564">
            <v>23021.428571428572</v>
          </cell>
          <cell r="BC564">
            <v>18417.142857142859</v>
          </cell>
          <cell r="BE564">
            <v>13812.857142857143</v>
          </cell>
        </row>
        <row r="565">
          <cell r="I565" t="str">
            <v>KFO48OM3MT</v>
          </cell>
          <cell r="J565" t="str">
            <v>U0805001</v>
          </cell>
          <cell r="K565" t="str">
            <v>48FO OM3 MULTI LOOSE TUBE PEHD OUTDOOR BLACK RAL 9005</v>
          </cell>
          <cell r="L565" t="str">
            <v>48FO OM3 MULTI TUBE STRUCTURE LIBRE PEHD EXTÉRIEUR NOIR RAL9005</v>
          </cell>
          <cell r="M565" t="str">
            <v>Fca</v>
          </cell>
          <cell r="N565" t="str">
            <v>Turkey</v>
          </cell>
          <cell r="O565"/>
          <cell r="P565" t="str">
            <v>2000m drum</v>
          </cell>
          <cell r="Q565" t="str">
            <v>4KM</v>
          </cell>
          <cell r="R565">
            <v>2</v>
          </cell>
          <cell r="S565" t="e">
            <v>#N/A</v>
          </cell>
          <cell r="T565">
            <v>8544700000</v>
          </cell>
          <cell r="U565">
            <v>0</v>
          </cell>
          <cell r="V565">
            <v>30</v>
          </cell>
          <cell r="W565">
            <v>45</v>
          </cell>
          <cell r="X565">
            <v>55</v>
          </cell>
          <cell r="Y565" t="str">
            <v>T/T against copy of document</v>
          </cell>
          <cell r="Z565">
            <v>2387.9411764705883</v>
          </cell>
          <cell r="AA565">
            <v>2218.8571428571431</v>
          </cell>
          <cell r="AB565">
            <v>7.0000000000000007E-2</v>
          </cell>
          <cell r="AC565">
            <v>7.0000000000000007E-2</v>
          </cell>
          <cell r="AD565">
            <v>0.3</v>
          </cell>
          <cell r="AE565" t="str">
            <v>C</v>
          </cell>
          <cell r="AF565">
            <v>2218.8571428571431</v>
          </cell>
          <cell r="AG565">
            <v>0.30000000000000004</v>
          </cell>
          <cell r="AH565"/>
          <cell r="AI565">
            <v>1746.0215053763443</v>
          </cell>
          <cell r="AJ565">
            <v>1670.1075268817206</v>
          </cell>
          <cell r="AK565">
            <v>0.26881720430107525</v>
          </cell>
          <cell r="AL565">
            <v>0.24731182795698925</v>
          </cell>
          <cell r="AM565"/>
          <cell r="AN565" t="str">
            <v>INFOKS</v>
          </cell>
          <cell r="AO565"/>
          <cell r="AP565"/>
          <cell r="AQ565"/>
          <cell r="AR565"/>
          <cell r="AS565"/>
          <cell r="AT565"/>
          <cell r="AU565">
            <v>1412</v>
          </cell>
          <cell r="AV565">
            <v>1553.2</v>
          </cell>
          <cell r="AW565"/>
          <cell r="AX565"/>
          <cell r="AZ565">
            <v>7396.1904761904771</v>
          </cell>
          <cell r="BA565">
            <v>4437.7142857142862</v>
          </cell>
          <cell r="BB565">
            <v>3698.0952380952385</v>
          </cell>
          <cell r="BC565">
            <v>2958.4761904761908</v>
          </cell>
          <cell r="BE565">
            <v>2218.8571428571431</v>
          </cell>
        </row>
        <row r="566">
          <cell r="I566" t="str">
            <v>KFO96OM3MT</v>
          </cell>
          <cell r="J566" t="str">
            <v>U0805004</v>
          </cell>
          <cell r="K566" t="str">
            <v>96FO OM3 MULTI LOOSE TUBE PEHD OUTDOOR BLACK RAL 9005</v>
          </cell>
          <cell r="L566" t="str">
            <v>96FO OM3 MULTI TUBE STRUCTURE LIBRE PEHD EXTÉRIEUR NOIR RAL9005</v>
          </cell>
          <cell r="M566" t="str">
            <v>Fca</v>
          </cell>
          <cell r="N566" t="str">
            <v>Turkey</v>
          </cell>
          <cell r="O566"/>
          <cell r="P566" t="str">
            <v>2000m drum</v>
          </cell>
          <cell r="Q566" t="str">
            <v>4KM</v>
          </cell>
          <cell r="R566">
            <v>2</v>
          </cell>
          <cell r="S566" t="e">
            <v>#N/A</v>
          </cell>
          <cell r="T566">
            <v>8544700000</v>
          </cell>
          <cell r="U566">
            <v>0</v>
          </cell>
          <cell r="V566">
            <v>30</v>
          </cell>
          <cell r="W566">
            <v>45</v>
          </cell>
          <cell r="X566">
            <v>55</v>
          </cell>
          <cell r="Y566" t="str">
            <v>T/T against copy of document</v>
          </cell>
          <cell r="Z566">
            <v>4312.5</v>
          </cell>
          <cell r="AA566">
            <v>4007.1428571428573</v>
          </cell>
          <cell r="AB566">
            <v>7.0000000000000007E-2</v>
          </cell>
          <cell r="AC566">
            <v>7.0000000000000007E-2</v>
          </cell>
          <cell r="AD566">
            <v>0.3</v>
          </cell>
          <cell r="AE566" t="str">
            <v>C</v>
          </cell>
          <cell r="AF566">
            <v>4007.1428571428573</v>
          </cell>
          <cell r="AG566">
            <v>0.30000000000000004</v>
          </cell>
          <cell r="AH566"/>
          <cell r="AI566">
            <v>3153.2258064516127</v>
          </cell>
          <cell r="AJ566">
            <v>3016.1290322580649</v>
          </cell>
          <cell r="AK566">
            <v>0.26881720430107536</v>
          </cell>
          <cell r="AL566">
            <v>0.24731182795698925</v>
          </cell>
          <cell r="AM566"/>
          <cell r="AN566" t="str">
            <v>INFOKS</v>
          </cell>
          <cell r="AO566"/>
          <cell r="AP566"/>
          <cell r="AQ566"/>
          <cell r="AR566"/>
          <cell r="AS566"/>
          <cell r="AT566"/>
          <cell r="AU566">
            <v>2550</v>
          </cell>
          <cell r="AV566">
            <v>2805</v>
          </cell>
          <cell r="AW566"/>
          <cell r="AX566"/>
          <cell r="AZ566">
            <v>13357.142857142859</v>
          </cell>
          <cell r="BA566">
            <v>8014.2857142857147</v>
          </cell>
          <cell r="BB566">
            <v>6678.5714285714294</v>
          </cell>
          <cell r="BC566">
            <v>5342.857142857144</v>
          </cell>
          <cell r="BE566">
            <v>4007.1428571428573</v>
          </cell>
        </row>
        <row r="567">
          <cell r="I567" t="str">
            <v>KFO48OM3MTA</v>
          </cell>
          <cell r="J567" t="str">
            <v>U0804001</v>
          </cell>
          <cell r="K567" t="str">
            <v>48FO OM3 MULTI LOOSE TUBE ARMORDED PEHD OUTDOOR BLACK RAL 9005</v>
          </cell>
          <cell r="L567" t="str">
            <v>48FO OM3 MULTI TUBE STRUCTURE LIBRE ARMÉ PEHD EXTÉRIEUR NOIR RAL9005</v>
          </cell>
          <cell r="M567" t="str">
            <v>Fca</v>
          </cell>
          <cell r="N567" t="str">
            <v>Turkey</v>
          </cell>
          <cell r="O567"/>
          <cell r="P567" t="str">
            <v>2000m drum</v>
          </cell>
          <cell r="Q567" t="str">
            <v>4KM</v>
          </cell>
          <cell r="R567">
            <v>2</v>
          </cell>
          <cell r="S567" t="e">
            <v>#N/A</v>
          </cell>
          <cell r="T567">
            <v>8544700000</v>
          </cell>
          <cell r="U567">
            <v>0</v>
          </cell>
          <cell r="V567">
            <v>30</v>
          </cell>
          <cell r="W567">
            <v>45</v>
          </cell>
          <cell r="X567">
            <v>55</v>
          </cell>
          <cell r="Y567" t="str">
            <v>T/T against copy of document</v>
          </cell>
          <cell r="Z567">
            <v>2623.6428571428569</v>
          </cell>
          <cell r="AA567">
            <v>2439.8611111111113</v>
          </cell>
          <cell r="AB567">
            <v>7.0000000000000007E-2</v>
          </cell>
          <cell r="AC567">
            <v>7.0000000000000007E-2</v>
          </cell>
          <cell r="AD567">
            <v>0.28000000000000003</v>
          </cell>
          <cell r="AE567" t="str">
            <v>C</v>
          </cell>
          <cell r="AF567">
            <v>2439.8611111111113</v>
          </cell>
          <cell r="AG567">
            <v>0.28000000000000003</v>
          </cell>
          <cell r="AH567"/>
          <cell r="AI567">
            <v>1974.7849462365591</v>
          </cell>
          <cell r="AJ567">
            <v>1888.9247311827958</v>
          </cell>
          <cell r="AK567">
            <v>0.24731182795698914</v>
          </cell>
          <cell r="AL567">
            <v>0.22580645161290325</v>
          </cell>
          <cell r="AM567"/>
          <cell r="AN567" t="str">
            <v>INFOKS</v>
          </cell>
          <cell r="AO567"/>
          <cell r="AP567"/>
          <cell r="AQ567"/>
          <cell r="AR567"/>
          <cell r="AS567"/>
          <cell r="AT567"/>
          <cell r="AU567">
            <v>1597</v>
          </cell>
          <cell r="AV567">
            <v>1756.7</v>
          </cell>
          <cell r="AW567"/>
          <cell r="AX567"/>
          <cell r="AZ567">
            <v>8132.8703703703713</v>
          </cell>
          <cell r="BA567">
            <v>4879.7222222222226</v>
          </cell>
          <cell r="BB567">
            <v>4066.4351851851857</v>
          </cell>
          <cell r="BC567">
            <v>3253.1481481481487</v>
          </cell>
          <cell r="BE567">
            <v>2439.8611111111113</v>
          </cell>
        </row>
        <row r="568">
          <cell r="I568" t="str">
            <v>KFO96OM3MTA</v>
          </cell>
          <cell r="J568" t="str">
            <v>U0804004</v>
          </cell>
          <cell r="K568" t="str">
            <v>96FO OM3 MULTI LOOSE TUBE ARMORDED PEHD OUTDOOR BLACK RAL 9005</v>
          </cell>
          <cell r="L568" t="str">
            <v>96FO OM3 MULTI TUBE STRUCTURE LIBRE ARMÉ PEHD EXTÉRIEUR NOIR RAL9005</v>
          </cell>
          <cell r="M568" t="str">
            <v>Fca</v>
          </cell>
          <cell r="N568" t="str">
            <v>Turkey</v>
          </cell>
          <cell r="O568"/>
          <cell r="P568" t="str">
            <v>2000m drum</v>
          </cell>
          <cell r="Q568" t="str">
            <v>4KM</v>
          </cell>
          <cell r="R568">
            <v>2</v>
          </cell>
          <cell r="S568" t="e">
            <v>#N/A</v>
          </cell>
          <cell r="T568">
            <v>8544700000</v>
          </cell>
          <cell r="U568">
            <v>0</v>
          </cell>
          <cell r="V568">
            <v>30</v>
          </cell>
          <cell r="W568">
            <v>45</v>
          </cell>
          <cell r="X568">
            <v>55</v>
          </cell>
          <cell r="Y568" t="str">
            <v>T/T against copy of document</v>
          </cell>
          <cell r="Z568">
            <v>4547.4285714285716</v>
          </cell>
          <cell r="AA568">
            <v>4228.8888888888896</v>
          </cell>
          <cell r="AB568">
            <v>7.0000000000000007E-2</v>
          </cell>
          <cell r="AC568">
            <v>7.0000000000000007E-2</v>
          </cell>
          <cell r="AD568">
            <v>0.28000000000000003</v>
          </cell>
          <cell r="AE568" t="str">
            <v>C</v>
          </cell>
          <cell r="AF568">
            <v>4228.8888888888896</v>
          </cell>
          <cell r="AG568">
            <v>0.28000000000000003</v>
          </cell>
          <cell r="AH568"/>
          <cell r="AI568">
            <v>3422.7956989247309</v>
          </cell>
          <cell r="AJ568">
            <v>3273.9784946236564</v>
          </cell>
          <cell r="AK568">
            <v>0.24731182795698936</v>
          </cell>
          <cell r="AL568">
            <v>0.22580645161290325</v>
          </cell>
          <cell r="AM568"/>
          <cell r="AN568" t="str">
            <v>INFOKS</v>
          </cell>
          <cell r="AO568"/>
          <cell r="AP568"/>
          <cell r="AQ568"/>
          <cell r="AR568"/>
          <cell r="AS568"/>
          <cell r="AT568"/>
          <cell r="AU568">
            <v>2768</v>
          </cell>
          <cell r="AV568">
            <v>3044.8</v>
          </cell>
          <cell r="AW568"/>
          <cell r="AX568"/>
          <cell r="AZ568">
            <v>14096.296296296299</v>
          </cell>
          <cell r="BA568">
            <v>8457.7777777777792</v>
          </cell>
          <cell r="BB568">
            <v>7048.1481481481496</v>
          </cell>
          <cell r="BC568">
            <v>5638.5185185185201</v>
          </cell>
          <cell r="BE568">
            <v>4228.8888888888896</v>
          </cell>
        </row>
        <row r="569">
          <cell r="I569" t="str">
            <v>KFO12OM3MTAZHB2</v>
          </cell>
          <cell r="J569" t="str">
            <v/>
          </cell>
          <cell r="K569" t="str">
            <v>12FO OM3 MULTI LOOSE TUBE ARMORDED SIMPLE JACKET LSZH B2ca OUTDOOR AQUA RAL6027</v>
          </cell>
          <cell r="L569" t="str">
            <v>12FO OM3 MULTITUBE STRUCTURE LIBRE ARME SIMPLE GAINE LSZH B2ca EXTÉRIEUR AQUA RAL6027</v>
          </cell>
          <cell r="M569" t="str">
            <v>B2ca</v>
          </cell>
          <cell r="N569" t="str">
            <v>Turkey</v>
          </cell>
          <cell r="O569"/>
          <cell r="P569" t="str">
            <v>2000m drum</v>
          </cell>
          <cell r="Q569" t="str">
            <v>4KM</v>
          </cell>
          <cell r="R569">
            <v>2</v>
          </cell>
          <cell r="S569" t="e">
            <v>#N/A</v>
          </cell>
          <cell r="T569">
            <v>8544700000</v>
          </cell>
          <cell r="U569">
            <v>0</v>
          </cell>
          <cell r="V569">
            <v>30</v>
          </cell>
          <cell r="W569">
            <v>45</v>
          </cell>
          <cell r="X569">
            <v>55</v>
          </cell>
          <cell r="Y569" t="str">
            <v>T/T against copy of document</v>
          </cell>
          <cell r="Z569">
            <v>1480.4225352112676</v>
          </cell>
          <cell r="AA569">
            <v>1377.2602739726028</v>
          </cell>
          <cell r="AB569">
            <v>7.0000000000000007E-2</v>
          </cell>
          <cell r="AC569">
            <v>7.0000000000000007E-2</v>
          </cell>
          <cell r="AD569">
            <v>0.27</v>
          </cell>
          <cell r="AE569" t="str">
            <v>C</v>
          </cell>
          <cell r="AF569">
            <v>1377.2602739726028</v>
          </cell>
          <cell r="AG569">
            <v>0.27</v>
          </cell>
          <cell r="AH569"/>
          <cell r="AI569">
            <v>1130.2150537634409</v>
          </cell>
          <cell r="AJ569">
            <v>1081.0752688172045</v>
          </cell>
          <cell r="AK569">
            <v>0.23655913978494625</v>
          </cell>
          <cell r="AL569">
            <v>0.21505376344086014</v>
          </cell>
          <cell r="AM569"/>
          <cell r="AN569" t="str">
            <v>INFOKS</v>
          </cell>
          <cell r="AO569"/>
          <cell r="AP569"/>
          <cell r="AQ569"/>
          <cell r="AR569"/>
          <cell r="AS569"/>
          <cell r="AT569"/>
          <cell r="AU569">
            <v>914</v>
          </cell>
          <cell r="AV569">
            <v>1005.4000000000001</v>
          </cell>
          <cell r="AW569"/>
          <cell r="AX569"/>
          <cell r="AZ569">
            <v>4590.8675799086759</v>
          </cell>
          <cell r="BA569">
            <v>2754.5205479452056</v>
          </cell>
          <cell r="BB569">
            <v>2295.433789954338</v>
          </cell>
          <cell r="BC569">
            <v>1836.3470319634705</v>
          </cell>
        </row>
        <row r="570">
          <cell r="I570" t="str">
            <v>KFO24OM3MTAZHB2</v>
          </cell>
          <cell r="J570" t="str">
            <v/>
          </cell>
          <cell r="K570" t="str">
            <v>24FO OM3 MULTI LOOSE TUBE ARMORDED SIMPLE JACKET LSZH B2ca OUTDOOR AQUA RAL6027</v>
          </cell>
          <cell r="L570" t="str">
            <v>24FO OM3 MULTITUBE STRUCTURE LIBRE ARME SIMPLE GAINE LSZH B2ca EXTÉRIEUR AQUA RAL6027</v>
          </cell>
          <cell r="M570" t="str">
            <v>B2ca</v>
          </cell>
          <cell r="N570" t="str">
            <v>Turkey</v>
          </cell>
          <cell r="O570"/>
          <cell r="P570" t="str">
            <v>2000m drum</v>
          </cell>
          <cell r="Q570" t="str">
            <v>4KM</v>
          </cell>
          <cell r="R570">
            <v>2</v>
          </cell>
          <cell r="S570" t="e">
            <v>#N/A</v>
          </cell>
          <cell r="T570">
            <v>8544700000</v>
          </cell>
          <cell r="U570">
            <v>0</v>
          </cell>
          <cell r="V570">
            <v>30</v>
          </cell>
          <cell r="W570">
            <v>45</v>
          </cell>
          <cell r="X570">
            <v>55</v>
          </cell>
          <cell r="Y570" t="str">
            <v>T/T against copy of document</v>
          </cell>
          <cell r="Z570">
            <v>1998.7323943661972</v>
          </cell>
          <cell r="AA570">
            <v>1859.4520547945208</v>
          </cell>
          <cell r="AB570">
            <v>7.0000000000000007E-2</v>
          </cell>
          <cell r="AC570">
            <v>7.0000000000000007E-2</v>
          </cell>
          <cell r="AD570">
            <v>0.27</v>
          </cell>
          <cell r="AE570" t="str">
            <v>C</v>
          </cell>
          <cell r="AF570">
            <v>1859.4520547945208</v>
          </cell>
          <cell r="AG570">
            <v>0.27</v>
          </cell>
          <cell r="AH570"/>
          <cell r="AI570">
            <v>1525.9139784946237</v>
          </cell>
          <cell r="AJ570">
            <v>1459.5698924731184</v>
          </cell>
          <cell r="AK570">
            <v>0.23655913978494625</v>
          </cell>
          <cell r="AL570">
            <v>0.21505376344086025</v>
          </cell>
          <cell r="AM570"/>
          <cell r="AN570" t="str">
            <v>INFOKS</v>
          </cell>
          <cell r="AO570"/>
          <cell r="AP570"/>
          <cell r="AQ570"/>
          <cell r="AR570"/>
          <cell r="AS570"/>
          <cell r="AT570"/>
          <cell r="AU570">
            <v>1234</v>
          </cell>
          <cell r="AV570">
            <v>1357.4</v>
          </cell>
          <cell r="AW570"/>
          <cell r="AX570"/>
          <cell r="AZ570">
            <v>6198.1735159817363</v>
          </cell>
          <cell r="BA570">
            <v>3718.9041095890416</v>
          </cell>
          <cell r="BB570">
            <v>3099.0867579908681</v>
          </cell>
          <cell r="BC570">
            <v>2479.2694063926947</v>
          </cell>
        </row>
        <row r="571">
          <cell r="I571" t="str">
            <v>KFO48OM3MTAZHB2</v>
          </cell>
          <cell r="J571" t="str">
            <v/>
          </cell>
          <cell r="K571" t="str">
            <v>48FO OM3 MULTI LOOSE TUBE ARMORDED SIMPLE JACKET LSZH B2ca OUTDOOR AQUA RAL6027</v>
          </cell>
          <cell r="L571" t="str">
            <v>48FO OM3 MULTITUBE STRUCTURE LIBRE ARME SIMPLE GAINE LSZH B2ca EXTÉRIEUR AQUA RAL6027</v>
          </cell>
          <cell r="M571" t="str">
            <v>B2ca</v>
          </cell>
          <cell r="N571" t="str">
            <v>Turkey</v>
          </cell>
          <cell r="O571"/>
          <cell r="P571" t="str">
            <v>2000m drum</v>
          </cell>
          <cell r="Q571" t="str">
            <v>4KM</v>
          </cell>
          <cell r="R571">
            <v>2</v>
          </cell>
          <cell r="S571" t="e">
            <v>#N/A</v>
          </cell>
          <cell r="T571">
            <v>8544700000</v>
          </cell>
          <cell r="U571">
            <v>0</v>
          </cell>
          <cell r="V571">
            <v>30</v>
          </cell>
          <cell r="W571">
            <v>45</v>
          </cell>
          <cell r="X571">
            <v>55</v>
          </cell>
          <cell r="Y571" t="str">
            <v>T/T against copy of document</v>
          </cell>
          <cell r="Z571">
            <v>2988.3802816901407</v>
          </cell>
          <cell r="AA571">
            <v>2780.1369863013701</v>
          </cell>
          <cell r="AB571">
            <v>7.0000000000000007E-2</v>
          </cell>
          <cell r="AC571">
            <v>7.0000000000000007E-2</v>
          </cell>
          <cell r="AD571">
            <v>0.27</v>
          </cell>
          <cell r="AE571" t="str">
            <v>C</v>
          </cell>
          <cell r="AF571">
            <v>2780.1369863013701</v>
          </cell>
          <cell r="AG571">
            <v>0.27</v>
          </cell>
          <cell r="AH571"/>
          <cell r="AI571">
            <v>2281.4516129032259</v>
          </cell>
          <cell r="AJ571">
            <v>2182.2580645161293</v>
          </cell>
          <cell r="AK571">
            <v>0.23655913978494614</v>
          </cell>
          <cell r="AL571">
            <v>0.21505376344086025</v>
          </cell>
          <cell r="AM571"/>
          <cell r="AN571" t="str">
            <v>INFOKS</v>
          </cell>
          <cell r="AO571"/>
          <cell r="AP571"/>
          <cell r="AQ571"/>
          <cell r="AR571"/>
          <cell r="AS571"/>
          <cell r="AT571"/>
          <cell r="AU571">
            <v>1845</v>
          </cell>
          <cell r="AV571">
            <v>2029.5000000000002</v>
          </cell>
          <cell r="AW571"/>
          <cell r="AX571"/>
          <cell r="AZ571">
            <v>9267.1232876712347</v>
          </cell>
          <cell r="BA571">
            <v>5560.2739726027403</v>
          </cell>
          <cell r="BB571">
            <v>4633.5616438356174</v>
          </cell>
          <cell r="BC571">
            <v>3706.849315068494</v>
          </cell>
        </row>
        <row r="572">
          <cell r="I572" t="str">
            <v>KFO12OM3MTZHAZHB2</v>
          </cell>
          <cell r="J572" t="str">
            <v/>
          </cell>
          <cell r="K572" t="str">
            <v>12FO OM3 MULTI LOOSE TUBE ARMORDED DOUBLE JACKET LSZH B2ca OUTDOOR AQUA RAL6027</v>
          </cell>
          <cell r="L572" t="str">
            <v>12FO OM3 MULTITUBE STRUCTURE LIBRE ARME DOUBLE GAINE LSZH B2ca EXTÉRIEUR AQUA RAL6027</v>
          </cell>
          <cell r="M572" t="str">
            <v>B2ca</v>
          </cell>
          <cell r="N572" t="str">
            <v>Turkey</v>
          </cell>
          <cell r="O572"/>
          <cell r="P572" t="str">
            <v>2000m drum</v>
          </cell>
          <cell r="Q572" t="str">
            <v>4KM</v>
          </cell>
          <cell r="R572">
            <v>2</v>
          </cell>
          <cell r="S572" t="e">
            <v>#N/A</v>
          </cell>
          <cell r="T572">
            <v>8544700000</v>
          </cell>
          <cell r="U572">
            <v>0</v>
          </cell>
          <cell r="V572">
            <v>30</v>
          </cell>
          <cell r="W572">
            <v>45</v>
          </cell>
          <cell r="X572">
            <v>55</v>
          </cell>
          <cell r="Y572" t="str">
            <v>T/T against copy of document</v>
          </cell>
          <cell r="Z572">
            <v>1707.1830985915492</v>
          </cell>
          <cell r="AA572">
            <v>1588.219178082192</v>
          </cell>
          <cell r="AB572">
            <v>7.0000000000000007E-2</v>
          </cell>
          <cell r="AC572">
            <v>7.0000000000000007E-2</v>
          </cell>
          <cell r="AD572">
            <v>0.27</v>
          </cell>
          <cell r="AE572" t="str">
            <v>C</v>
          </cell>
          <cell r="AF572">
            <v>1588.219178082192</v>
          </cell>
          <cell r="AG572">
            <v>0.27</v>
          </cell>
          <cell r="AH572"/>
          <cell r="AI572">
            <v>1303.3333333333335</v>
          </cell>
          <cell r="AJ572">
            <v>1246.6666666666667</v>
          </cell>
          <cell r="AK572">
            <v>0.23655913978494614</v>
          </cell>
          <cell r="AL572">
            <v>0.21505376344086025</v>
          </cell>
          <cell r="AM572"/>
          <cell r="AN572" t="str">
            <v>INFOKS</v>
          </cell>
          <cell r="AO572"/>
          <cell r="AP572"/>
          <cell r="AQ572"/>
          <cell r="AR572"/>
          <cell r="AS572"/>
          <cell r="AT572"/>
          <cell r="AU572">
            <v>1054</v>
          </cell>
          <cell r="AV572">
            <v>1159.4000000000001</v>
          </cell>
          <cell r="AW572"/>
          <cell r="AX572"/>
          <cell r="AZ572">
            <v>5294.0639269406402</v>
          </cell>
          <cell r="BA572">
            <v>3176.438356164384</v>
          </cell>
          <cell r="BB572">
            <v>2647.0319634703201</v>
          </cell>
          <cell r="BC572">
            <v>2117.6255707762562</v>
          </cell>
        </row>
        <row r="573">
          <cell r="I573" t="str">
            <v>KFO24OM3MTZHAZHB2</v>
          </cell>
          <cell r="J573" t="str">
            <v/>
          </cell>
          <cell r="K573" t="str">
            <v>24FO OM3 MULTI LOOSE TUBE ARMORDED DOUBLE JACKET LSZH B2ca OUTDOOR AQUA RAL6027</v>
          </cell>
          <cell r="L573" t="str">
            <v>24FO OM3 MULTITUBE STRUCTURE LIBRE ARME DOUBLE GAINE LSZH B2ca EXTÉRIEUR AQUA RAL6027</v>
          </cell>
          <cell r="M573" t="str">
            <v>B2ca</v>
          </cell>
          <cell r="N573" t="str">
            <v>Turkey</v>
          </cell>
          <cell r="O573"/>
          <cell r="P573" t="str">
            <v>2000m drum</v>
          </cell>
          <cell r="Q573" t="str">
            <v>4KM</v>
          </cell>
          <cell r="R573">
            <v>2</v>
          </cell>
          <cell r="S573" t="e">
            <v>#N/A</v>
          </cell>
          <cell r="T573">
            <v>8544700000</v>
          </cell>
          <cell r="U573">
            <v>0</v>
          </cell>
          <cell r="V573">
            <v>30</v>
          </cell>
          <cell r="W573">
            <v>45</v>
          </cell>
          <cell r="X573">
            <v>55</v>
          </cell>
          <cell r="Y573" t="str">
            <v>T/T against copy of document</v>
          </cell>
          <cell r="Z573">
            <v>2231.9718309859154</v>
          </cell>
          <cell r="AA573">
            <v>2076.438356164384</v>
          </cell>
          <cell r="AB573">
            <v>7.0000000000000007E-2</v>
          </cell>
          <cell r="AC573">
            <v>7.0000000000000007E-2</v>
          </cell>
          <cell r="AD573">
            <v>0.27</v>
          </cell>
          <cell r="AE573" t="str">
            <v>C</v>
          </cell>
          <cell r="AF573">
            <v>2076.438356164384</v>
          </cell>
          <cell r="AG573">
            <v>0.27</v>
          </cell>
          <cell r="AH573"/>
          <cell r="AI573">
            <v>1703.9784946236557</v>
          </cell>
          <cell r="AJ573">
            <v>1629.8924731182799</v>
          </cell>
          <cell r="AK573">
            <v>0.23655913978494625</v>
          </cell>
          <cell r="AL573">
            <v>0.21505376344086025</v>
          </cell>
          <cell r="AM573"/>
          <cell r="AN573" t="str">
            <v>INFOKS</v>
          </cell>
          <cell r="AO573"/>
          <cell r="AP573"/>
          <cell r="AQ573"/>
          <cell r="AR573"/>
          <cell r="AS573"/>
          <cell r="AT573"/>
          <cell r="AU573">
            <v>1378</v>
          </cell>
          <cell r="AV573">
            <v>1515.8000000000002</v>
          </cell>
          <cell r="AW573"/>
          <cell r="AX573"/>
          <cell r="AZ573">
            <v>6921.4611872146133</v>
          </cell>
          <cell r="BA573">
            <v>4152.876712328768</v>
          </cell>
          <cell r="BB573">
            <v>3460.7305936073067</v>
          </cell>
          <cell r="BC573">
            <v>2768.5844748858453</v>
          </cell>
        </row>
        <row r="574">
          <cell r="I574" t="str">
            <v>KFO48OM3MTZHAZHB2</v>
          </cell>
          <cell r="J574" t="str">
            <v/>
          </cell>
          <cell r="K574" t="str">
            <v>48FO OM3 MULTI LOOSE TUBE ARMORDED DOUBLE JACKET LSZH B2ca OUTDOOR AQUA RAL6027</v>
          </cell>
          <cell r="L574" t="str">
            <v>48FO OM3 MULTITUBE STRUCTURE LIBRE ARME DOUBLE GAINE LSZH B2ca EXTÉRIEUR AQUA RAL6027</v>
          </cell>
          <cell r="M574" t="str">
            <v>B2ca</v>
          </cell>
          <cell r="N574" t="str">
            <v>Turkey</v>
          </cell>
          <cell r="O574"/>
          <cell r="P574" t="str">
            <v>2000m drum</v>
          </cell>
          <cell r="Q574" t="str">
            <v>4KM</v>
          </cell>
          <cell r="R574">
            <v>2</v>
          </cell>
          <cell r="S574" t="e">
            <v>#N/A</v>
          </cell>
          <cell r="T574">
            <v>8544700000</v>
          </cell>
          <cell r="U574">
            <v>0</v>
          </cell>
          <cell r="V574">
            <v>30</v>
          </cell>
          <cell r="W574">
            <v>45</v>
          </cell>
          <cell r="X574">
            <v>55</v>
          </cell>
          <cell r="Y574" t="str">
            <v>T/T against copy of document</v>
          </cell>
          <cell r="Z574">
            <v>3268.5915492957747</v>
          </cell>
          <cell r="AA574">
            <v>3040.8219178082195</v>
          </cell>
          <cell r="AB574">
            <v>7.0000000000000007E-2</v>
          </cell>
          <cell r="AC574">
            <v>7.0000000000000007E-2</v>
          </cell>
          <cell r="AD574">
            <v>0.27</v>
          </cell>
          <cell r="AE574" t="str">
            <v>C</v>
          </cell>
          <cell r="AF574">
            <v>3040.8219178082195</v>
          </cell>
          <cell r="AG574">
            <v>0.27</v>
          </cell>
          <cell r="AH574"/>
          <cell r="AI574">
            <v>2495.3763440860216</v>
          </cell>
          <cell r="AJ574">
            <v>2386.8817204301081</v>
          </cell>
          <cell r="AK574">
            <v>0.23655913978494625</v>
          </cell>
          <cell r="AL574">
            <v>0.21505376344086014</v>
          </cell>
          <cell r="AM574"/>
          <cell r="AN574" t="str">
            <v>INFOKS</v>
          </cell>
          <cell r="AO574"/>
          <cell r="AP574"/>
          <cell r="AQ574"/>
          <cell r="AR574"/>
          <cell r="AS574"/>
          <cell r="AT574"/>
          <cell r="AU574">
            <v>2018</v>
          </cell>
          <cell r="AV574">
            <v>2219.8000000000002</v>
          </cell>
          <cell r="AW574"/>
          <cell r="AX574"/>
          <cell r="AZ574">
            <v>10136.073059360731</v>
          </cell>
          <cell r="BA574">
            <v>6081.643835616439</v>
          </cell>
          <cell r="BB574">
            <v>5068.0365296803657</v>
          </cell>
          <cell r="BC574">
            <v>4054.4292237442928</v>
          </cell>
        </row>
        <row r="575">
          <cell r="I575" t="str">
            <v>KFO6OM4CTZHD</v>
          </cell>
          <cell r="J575" t="str">
            <v>U0803011</v>
          </cell>
          <cell r="K575" t="str">
            <v>6FO OM4 CENTRAL LOOSE TUBE LSZH UNIVERSAL Dca ERIKA VIOLET RAL4003</v>
          </cell>
          <cell r="L575" t="str">
            <v>6FO OM4 TUBE CENTRAL STRUCTURE LIBRE LSZH UNIVERSEL Dca VIOLET ERIKA RAL4003</v>
          </cell>
          <cell r="M575" t="str">
            <v>Dca</v>
          </cell>
          <cell r="N575" t="str">
            <v>Turkey</v>
          </cell>
          <cell r="O575"/>
          <cell r="P575" t="str">
            <v>2000m drum</v>
          </cell>
          <cell r="Q575" t="str">
            <v>4KM</v>
          </cell>
          <cell r="R575">
            <v>2</v>
          </cell>
          <cell r="S575" t="e">
            <v>#N/A</v>
          </cell>
          <cell r="T575">
            <v>8544700000</v>
          </cell>
          <cell r="U575">
            <v>0</v>
          </cell>
          <cell r="V575">
            <v>30</v>
          </cell>
          <cell r="W575">
            <v>45</v>
          </cell>
          <cell r="X575">
            <v>55</v>
          </cell>
          <cell r="Y575" t="str">
            <v>T/T against copy of document</v>
          </cell>
          <cell r="Z575">
            <v>846.81818181818187</v>
          </cell>
          <cell r="AA575">
            <v>786.17647058823536</v>
          </cell>
          <cell r="AB575">
            <v>7.0000000000000007E-2</v>
          </cell>
          <cell r="AC575">
            <v>7.0000000000000007E-2</v>
          </cell>
          <cell r="AD575">
            <v>0.32</v>
          </cell>
          <cell r="AE575" t="str">
            <v>C</v>
          </cell>
          <cell r="AF575">
            <v>786.17647058823536</v>
          </cell>
          <cell r="AG575">
            <v>0.32000000000000006</v>
          </cell>
          <cell r="AH575"/>
          <cell r="AI575">
            <v>600.9677419354839</v>
          </cell>
          <cell r="AJ575">
            <v>574.83870967741939</v>
          </cell>
          <cell r="AK575">
            <v>0.29032258064516125</v>
          </cell>
          <cell r="AL575">
            <v>0.26881720430107525</v>
          </cell>
          <cell r="AM575"/>
          <cell r="AN575" t="str">
            <v>INFOKS</v>
          </cell>
          <cell r="AO575"/>
          <cell r="AP575"/>
          <cell r="AQ575"/>
          <cell r="AR575"/>
          <cell r="AS575"/>
          <cell r="AT575"/>
          <cell r="AU575">
            <v>486</v>
          </cell>
          <cell r="AV575">
            <v>534.6</v>
          </cell>
          <cell r="AW575"/>
          <cell r="AX575"/>
          <cell r="AZ575">
            <v>2620.588235294118</v>
          </cell>
          <cell r="BA575">
            <v>1572.3529411764707</v>
          </cell>
          <cell r="BB575">
            <v>1310.294117647059</v>
          </cell>
          <cell r="BC575">
            <v>1048.2352941176473</v>
          </cell>
          <cell r="BE575">
            <v>786.17647058823536</v>
          </cell>
        </row>
        <row r="576">
          <cell r="I576" t="str">
            <v>KFO8OM4CTZHD20</v>
          </cell>
          <cell r="J576" t="str">
            <v>U0803016</v>
          </cell>
          <cell r="K576" t="str">
            <v>8FO OM4 CENTRAL LOOSE TUBE LSZH UNIVERSAL Dca ERIKA VIOLET RAL4003</v>
          </cell>
          <cell r="L576" t="str">
            <v>8FO OM4 TUBE CENTRAL STRUCTURE LIBRE LSZH UNIVERSEL Dca VIOLET ERIKA RAL4003</v>
          </cell>
          <cell r="M576" t="str">
            <v>Dca</v>
          </cell>
          <cell r="N576" t="str">
            <v>Turkey</v>
          </cell>
          <cell r="O576"/>
          <cell r="P576" t="str">
            <v>2000m drum</v>
          </cell>
          <cell r="Q576" t="str">
            <v>4KM</v>
          </cell>
          <cell r="R576">
            <v>2</v>
          </cell>
          <cell r="S576" t="e">
            <v>#N/A</v>
          </cell>
          <cell r="T576">
            <v>8544700000</v>
          </cell>
          <cell r="U576">
            <v>0</v>
          </cell>
          <cell r="V576">
            <v>30</v>
          </cell>
          <cell r="W576">
            <v>45</v>
          </cell>
          <cell r="X576">
            <v>55</v>
          </cell>
          <cell r="Y576" t="str">
            <v>T/T against copy of document</v>
          </cell>
          <cell r="Z576">
            <v>1038.4848484848485</v>
          </cell>
          <cell r="AA576">
            <v>964.11764705882365</v>
          </cell>
          <cell r="AB576">
            <v>7.0000000000000007E-2</v>
          </cell>
          <cell r="AC576">
            <v>7.0000000000000007E-2</v>
          </cell>
          <cell r="AD576">
            <v>0.32</v>
          </cell>
          <cell r="AE576" t="str">
            <v>C</v>
          </cell>
          <cell r="AF576">
            <v>964.11764705882365</v>
          </cell>
          <cell r="AG576">
            <v>0.32000000000000006</v>
          </cell>
          <cell r="AH576"/>
          <cell r="AI576">
            <v>736.98924731182797</v>
          </cell>
          <cell r="AJ576">
            <v>704.94623655913983</v>
          </cell>
          <cell r="AK576">
            <v>0.29032258064516125</v>
          </cell>
          <cell r="AL576">
            <v>0.26881720430107536</v>
          </cell>
          <cell r="AM576"/>
          <cell r="AN576" t="str">
            <v>INFOKS</v>
          </cell>
          <cell r="AO576"/>
          <cell r="AP576"/>
          <cell r="AQ576"/>
          <cell r="AR576"/>
          <cell r="AS576"/>
          <cell r="AT576"/>
          <cell r="AU576">
            <v>596</v>
          </cell>
          <cell r="AV576">
            <v>655.6</v>
          </cell>
          <cell r="AW576"/>
          <cell r="AX576"/>
          <cell r="AZ576">
            <v>3213.7254901960791</v>
          </cell>
          <cell r="BA576">
            <v>1928.2352941176473</v>
          </cell>
          <cell r="BB576">
            <v>1606.8627450980396</v>
          </cell>
          <cell r="BC576">
            <v>1285.4901960784318</v>
          </cell>
          <cell r="BE576">
            <v>964.11764705882365</v>
          </cell>
        </row>
        <row r="577">
          <cell r="I577" t="str">
            <v>KFO12OM4CTZHD20</v>
          </cell>
          <cell r="J577" t="str">
            <v>U0803002</v>
          </cell>
          <cell r="K577" t="str">
            <v>12FO OM4 CENTRAL LOOSE TUBE LSZH UNIVERSAL Dca ERIKA VIOLET RAL4003</v>
          </cell>
          <cell r="L577" t="str">
            <v>12FO OM4 TUBE CENTRAL STRUCTURE LIBRE LSZH UNIVERSEL Dca VIOLET ERIKA RAL4003</v>
          </cell>
          <cell r="M577" t="str">
            <v>Dca</v>
          </cell>
          <cell r="N577" t="str">
            <v>Turkey</v>
          </cell>
          <cell r="O577"/>
          <cell r="P577" t="str">
            <v>2000m drum</v>
          </cell>
          <cell r="Q577" t="str">
            <v>4KM</v>
          </cell>
          <cell r="R577">
            <v>2</v>
          </cell>
          <cell r="S577" t="e">
            <v>#N/A</v>
          </cell>
          <cell r="T577">
            <v>8544700000</v>
          </cell>
          <cell r="U577">
            <v>0</v>
          </cell>
          <cell r="V577">
            <v>30</v>
          </cell>
          <cell r="W577">
            <v>45</v>
          </cell>
          <cell r="X577">
            <v>55</v>
          </cell>
          <cell r="Y577" t="str">
            <v>T/T against copy of document</v>
          </cell>
          <cell r="Z577">
            <v>1423.560606060606</v>
          </cell>
          <cell r="AA577">
            <v>1321.6176470588236</v>
          </cell>
          <cell r="AB577">
            <v>7.0000000000000007E-2</v>
          </cell>
          <cell r="AC577">
            <v>7.0000000000000007E-2</v>
          </cell>
          <cell r="AD577">
            <v>0.32</v>
          </cell>
          <cell r="AE577" t="str">
            <v>C</v>
          </cell>
          <cell r="AF577">
            <v>1321.6176470588236</v>
          </cell>
          <cell r="AG577">
            <v>0.32000000000000006</v>
          </cell>
          <cell r="AH577"/>
          <cell r="AI577">
            <v>1010.2688172043011</v>
          </cell>
          <cell r="AJ577">
            <v>966.34408602150552</v>
          </cell>
          <cell r="AK577">
            <v>0.29032258064516125</v>
          </cell>
          <cell r="AL577">
            <v>0.26881720430107525</v>
          </cell>
          <cell r="AM577"/>
          <cell r="AN577" t="str">
            <v>INFOKS</v>
          </cell>
          <cell r="AO577"/>
          <cell r="AP577"/>
          <cell r="AQ577"/>
          <cell r="AR577"/>
          <cell r="AS577"/>
          <cell r="AT577"/>
          <cell r="AU577">
            <v>817</v>
          </cell>
          <cell r="AV577">
            <v>898.7</v>
          </cell>
          <cell r="AW577"/>
          <cell r="AX577"/>
          <cell r="AZ577">
            <v>4405.3921568627457</v>
          </cell>
          <cell r="BA577">
            <v>2643.2352941176473</v>
          </cell>
          <cell r="BB577">
            <v>2202.6960784313728</v>
          </cell>
          <cell r="BC577">
            <v>1762.1568627450984</v>
          </cell>
          <cell r="BE577">
            <v>1321.6176470588236</v>
          </cell>
        </row>
        <row r="578">
          <cell r="I578" t="str">
            <v>KFO24OM4CTZHD20</v>
          </cell>
          <cell r="J578" t="str">
            <v>U0803006</v>
          </cell>
          <cell r="K578" t="str">
            <v>24FO OM4 CENTRAL LOOSE TUBE LSZH UNIVERSAL Dca ERIKA VIOLET RAL4003</v>
          </cell>
          <cell r="L578" t="str">
            <v>24FO OM4 TUBE CENTRAL STRUCTURE LIBRE LSZH UNIVERSEL Dca VIOLET ERIKA RAL4003</v>
          </cell>
          <cell r="M578" t="str">
            <v>Dca</v>
          </cell>
          <cell r="N578" t="str">
            <v>Turkey</v>
          </cell>
          <cell r="O578"/>
          <cell r="P578" t="str">
            <v>2000m drum</v>
          </cell>
          <cell r="Q578" t="str">
            <v>4KM</v>
          </cell>
          <cell r="R578">
            <v>2</v>
          </cell>
          <cell r="S578" t="e">
            <v>#N/A</v>
          </cell>
          <cell r="T578">
            <v>8544700000</v>
          </cell>
          <cell r="U578">
            <v>0</v>
          </cell>
          <cell r="V578">
            <v>30</v>
          </cell>
          <cell r="W578">
            <v>45</v>
          </cell>
          <cell r="X578">
            <v>55</v>
          </cell>
          <cell r="Y578" t="str">
            <v>T/T against copy of document</v>
          </cell>
          <cell r="Z578">
            <v>2653.7121212121215</v>
          </cell>
          <cell r="AA578">
            <v>2463.6764705882356</v>
          </cell>
          <cell r="AB578">
            <v>7.0000000000000007E-2</v>
          </cell>
          <cell r="AC578">
            <v>7.0000000000000007E-2</v>
          </cell>
          <cell r="AD578">
            <v>0.32</v>
          </cell>
          <cell r="AE578" t="str">
            <v>C</v>
          </cell>
          <cell r="AF578">
            <v>2463.6764705882356</v>
          </cell>
          <cell r="AG578">
            <v>0.32000000000000006</v>
          </cell>
          <cell r="AH578"/>
          <cell r="AI578">
            <v>1883.2795698924731</v>
          </cell>
          <cell r="AJ578">
            <v>1801.3978494623659</v>
          </cell>
          <cell r="AK578">
            <v>0.29032258064516137</v>
          </cell>
          <cell r="AL578">
            <v>0.26881720430107525</v>
          </cell>
          <cell r="AM578"/>
          <cell r="AN578" t="str">
            <v>INFOKS</v>
          </cell>
          <cell r="AO578"/>
          <cell r="AP578"/>
          <cell r="AQ578"/>
          <cell r="AR578"/>
          <cell r="AS578"/>
          <cell r="AT578"/>
          <cell r="AU578">
            <v>1523</v>
          </cell>
          <cell r="AV578">
            <v>1675.3000000000002</v>
          </cell>
          <cell r="AW578"/>
          <cell r="AX578"/>
          <cell r="AZ578">
            <v>8212.254901960785</v>
          </cell>
          <cell r="BA578">
            <v>4927.3529411764712</v>
          </cell>
          <cell r="BB578">
            <v>4106.1274509803925</v>
          </cell>
          <cell r="BC578">
            <v>3284.9019607843143</v>
          </cell>
          <cell r="BE578">
            <v>2463.6764705882356</v>
          </cell>
        </row>
        <row r="579">
          <cell r="I579" t="str">
            <v>KFO12OM4CTAZHB2</v>
          </cell>
          <cell r="J579" t="str">
            <v/>
          </cell>
          <cell r="K579" t="str">
            <v>12FO OM4 CENTRAL LOOSE TUBE ARMORED LSZH B2ca OUTDOOR ERIKA VIOLET RAL4003</v>
          </cell>
          <cell r="L579" t="str">
            <v>12FO OM4 TUBE CENTRAL STRUCTURE LIBRE ARMÉ LSZH B2ca EXTÉRIEUR VIOLET ERIKA RAL4003</v>
          </cell>
          <cell r="M579" t="str">
            <v>B2ca</v>
          </cell>
          <cell r="N579" t="str">
            <v>Turkey</v>
          </cell>
          <cell r="O579"/>
          <cell r="P579" t="str">
            <v>2000m drum</v>
          </cell>
          <cell r="Q579" t="str">
            <v>4KM</v>
          </cell>
          <cell r="R579">
            <v>2</v>
          </cell>
          <cell r="S579" t="e">
            <v>#N/A</v>
          </cell>
          <cell r="T579">
            <v>8544700000</v>
          </cell>
          <cell r="U579">
            <v>0</v>
          </cell>
          <cell r="V579">
            <v>30</v>
          </cell>
          <cell r="W579">
            <v>45</v>
          </cell>
          <cell r="X579">
            <v>55</v>
          </cell>
          <cell r="Y579" t="str">
            <v>T/T against copy of document</v>
          </cell>
          <cell r="Z579">
            <v>1665.757575757576</v>
          </cell>
          <cell r="AA579">
            <v>1546.4705882352944</v>
          </cell>
          <cell r="AB579">
            <v>7.0000000000000007E-2</v>
          </cell>
          <cell r="AC579">
            <v>7.0000000000000007E-2</v>
          </cell>
          <cell r="AD579">
            <v>0.32</v>
          </cell>
          <cell r="AE579" t="str">
            <v>C</v>
          </cell>
          <cell r="AF579">
            <v>1546.4705882352944</v>
          </cell>
          <cell r="AG579">
            <v>0.32000000000000006</v>
          </cell>
          <cell r="AH579"/>
          <cell r="AI579">
            <v>1182.1505376344085</v>
          </cell>
          <cell r="AJ579">
            <v>1130.7526881720432</v>
          </cell>
          <cell r="AK579">
            <v>0.29032258064516148</v>
          </cell>
          <cell r="AL579">
            <v>0.26881720430107525</v>
          </cell>
          <cell r="AM579"/>
          <cell r="AN579" t="str">
            <v>INFOKS</v>
          </cell>
          <cell r="AO579"/>
          <cell r="AP579"/>
          <cell r="AQ579"/>
          <cell r="AR579"/>
          <cell r="AS579"/>
          <cell r="AT579"/>
          <cell r="AU579">
            <v>956</v>
          </cell>
          <cell r="AV579">
            <v>1051.6000000000001</v>
          </cell>
          <cell r="AZ579">
            <v>5154.9019607843147</v>
          </cell>
          <cell r="BA579">
            <v>3092.9411764705887</v>
          </cell>
          <cell r="BB579">
            <v>2577.4509803921574</v>
          </cell>
          <cell r="BC579">
            <v>2061.960784313726</v>
          </cell>
        </row>
        <row r="580">
          <cell r="I580" t="str">
            <v>KFO24OM4CTAZHB2</v>
          </cell>
          <cell r="J580" t="str">
            <v/>
          </cell>
          <cell r="K580" t="str">
            <v>24FO OM4 CENTRAL LOOSE TUBE ARMORED LSZH B2ca OUTDOOR ERIKA VIOLET RAL4003</v>
          </cell>
          <cell r="L580" t="str">
            <v>24FO OM4 TUBE CENTRAL STRUCTURE LIBRE ARMÉ LSZH B2ca EXTÉRIEUR VIOLET ERIKA RAL4003</v>
          </cell>
          <cell r="M580" t="str">
            <v>B2ca</v>
          </cell>
          <cell r="N580" t="str">
            <v>Turkey</v>
          </cell>
          <cell r="O580"/>
          <cell r="P580" t="str">
            <v>2000m drum</v>
          </cell>
          <cell r="Q580" t="str">
            <v>4KM</v>
          </cell>
          <cell r="R580">
            <v>2</v>
          </cell>
          <cell r="S580" t="e">
            <v>#N/A</v>
          </cell>
          <cell r="T580">
            <v>8544700000</v>
          </cell>
          <cell r="U580">
            <v>0</v>
          </cell>
          <cell r="V580">
            <v>30</v>
          </cell>
          <cell r="W580">
            <v>45</v>
          </cell>
          <cell r="X580">
            <v>55</v>
          </cell>
          <cell r="Y580" t="str">
            <v>T/T against copy of document</v>
          </cell>
          <cell r="Z580">
            <v>3040.5303030303035</v>
          </cell>
          <cell r="AA580">
            <v>2822.7941176470595</v>
          </cell>
          <cell r="AB580">
            <v>7.0000000000000007E-2</v>
          </cell>
          <cell r="AC580">
            <v>7.0000000000000007E-2</v>
          </cell>
          <cell r="AD580">
            <v>0.32</v>
          </cell>
          <cell r="AE580" t="str">
            <v>C</v>
          </cell>
          <cell r="AF580">
            <v>2822.7941176470595</v>
          </cell>
          <cell r="AG580">
            <v>0.32000000000000006</v>
          </cell>
          <cell r="AH580"/>
          <cell r="AI580">
            <v>2157.7956989247314</v>
          </cell>
          <cell r="AJ580">
            <v>2063.9784946236564</v>
          </cell>
          <cell r="AK580">
            <v>0.29032258064516137</v>
          </cell>
          <cell r="AL580">
            <v>0.26881720430107525</v>
          </cell>
          <cell r="AM580"/>
          <cell r="AN580" t="str">
            <v>INFOKS</v>
          </cell>
          <cell r="AO580"/>
          <cell r="AP580"/>
          <cell r="AQ580"/>
          <cell r="AR580"/>
          <cell r="AS580"/>
          <cell r="AT580"/>
          <cell r="AU580">
            <v>1745</v>
          </cell>
          <cell r="AV580">
            <v>1919.5000000000002</v>
          </cell>
          <cell r="AW580"/>
          <cell r="AX580"/>
          <cell r="AZ580">
            <v>9409.3137254901994</v>
          </cell>
          <cell r="BA580">
            <v>5645.5882352941198</v>
          </cell>
          <cell r="BB580">
            <v>4704.6568627450997</v>
          </cell>
          <cell r="BC580">
            <v>3763.72549019608</v>
          </cell>
        </row>
        <row r="581">
          <cell r="I581" t="str">
            <v>KFO12OM4MTZHD</v>
          </cell>
          <cell r="J581" t="str">
            <v/>
          </cell>
          <cell r="K581" t="str">
            <v>12FO OM4 MULTI LOOSE TUBE LSZH UNIVERSAL Dca ERIKA VIOLET RAL4003</v>
          </cell>
          <cell r="L581" t="str">
            <v>12FO OM4 MULTI TUBE STRUCTURE LIBRE LSZH UNIVERSEL Dca VIOLET ERIKA RAL4003</v>
          </cell>
          <cell r="M581" t="str">
            <v>Dca</v>
          </cell>
          <cell r="N581" t="str">
            <v>Turkey</v>
          </cell>
          <cell r="O581"/>
          <cell r="P581" t="str">
            <v>2000m drum</v>
          </cell>
          <cell r="Q581" t="str">
            <v>4KM</v>
          </cell>
          <cell r="R581">
            <v>2</v>
          </cell>
          <cell r="S581" t="e">
            <v>#N/A</v>
          </cell>
          <cell r="T581">
            <v>8544700000</v>
          </cell>
          <cell r="U581">
            <v>0</v>
          </cell>
          <cell r="V581">
            <v>30</v>
          </cell>
          <cell r="W581">
            <v>45</v>
          </cell>
          <cell r="X581">
            <v>55</v>
          </cell>
          <cell r="Y581" t="str">
            <v>T/T against copy of document</v>
          </cell>
          <cell r="Z581">
            <v>2237.2727272727275</v>
          </cell>
          <cell r="AA581">
            <v>2077.0588235294122</v>
          </cell>
          <cell r="AB581">
            <v>7.0000000000000007E-2</v>
          </cell>
          <cell r="AC581">
            <v>7.0000000000000007E-2</v>
          </cell>
          <cell r="AD581">
            <v>0.32</v>
          </cell>
          <cell r="AE581" t="str">
            <v>C</v>
          </cell>
          <cell r="AF581">
            <v>2077.0588235294122</v>
          </cell>
          <cell r="AG581">
            <v>0.32000000000000006</v>
          </cell>
          <cell r="AH581"/>
          <cell r="AI581">
            <v>1587.741935483871</v>
          </cell>
          <cell r="AJ581">
            <v>1518.7096774193551</v>
          </cell>
          <cell r="AK581">
            <v>0.29032258064516137</v>
          </cell>
          <cell r="AL581">
            <v>0.26881720430107525</v>
          </cell>
          <cell r="AM581"/>
          <cell r="AN581" t="str">
            <v>INFOKS</v>
          </cell>
          <cell r="AO581"/>
          <cell r="AP581"/>
          <cell r="AQ581"/>
          <cell r="AR581"/>
          <cell r="AS581"/>
          <cell r="AT581"/>
          <cell r="AU581">
            <v>1284</v>
          </cell>
          <cell r="AV581">
            <v>1412.4</v>
          </cell>
          <cell r="AW581"/>
          <cell r="AX581"/>
          <cell r="AZ581">
            <v>6923.5294117647072</v>
          </cell>
          <cell r="BA581">
            <v>4154.1176470588243</v>
          </cell>
          <cell r="BB581">
            <v>3461.7647058823536</v>
          </cell>
          <cell r="BC581">
            <v>2769.4117647058829</v>
          </cell>
          <cell r="BE581">
            <v>2077.0588235294122</v>
          </cell>
        </row>
        <row r="582">
          <cell r="I582" t="str">
            <v>KFO24OM4MTZHD</v>
          </cell>
          <cell r="J582" t="str">
            <v/>
          </cell>
          <cell r="K582" t="str">
            <v>24FO OM4 MULTI LOOSE TUBE LSZH UNIVERSAL Dca ERIKA VIOLET RAL4003</v>
          </cell>
          <cell r="L582" t="str">
            <v>24FO OM4 MULTI TUBE STRUCTURE LIBRE LSZH UNIVERSEL Dca VIOLET ERIKA RAL4003</v>
          </cell>
          <cell r="M582" t="str">
            <v>Dca</v>
          </cell>
          <cell r="N582" t="str">
            <v>Turkey</v>
          </cell>
          <cell r="O582"/>
          <cell r="P582" t="str">
            <v>2000m drum</v>
          </cell>
          <cell r="Q582" t="str">
            <v>4KM</v>
          </cell>
          <cell r="R582">
            <v>2</v>
          </cell>
          <cell r="S582" t="e">
            <v>#N/A</v>
          </cell>
          <cell r="T582">
            <v>8544700000</v>
          </cell>
          <cell r="U582">
            <v>0</v>
          </cell>
          <cell r="V582">
            <v>30</v>
          </cell>
          <cell r="W582">
            <v>45</v>
          </cell>
          <cell r="X582">
            <v>55</v>
          </cell>
          <cell r="Y582" t="str">
            <v>T/T against copy of document</v>
          </cell>
          <cell r="Z582">
            <v>3737.5000000000005</v>
          </cell>
          <cell r="AA582">
            <v>3469.8529411764707</v>
          </cell>
          <cell r="AB582">
            <v>7.0000000000000007E-2</v>
          </cell>
          <cell r="AC582">
            <v>7.0000000000000007E-2</v>
          </cell>
          <cell r="AD582">
            <v>0.32</v>
          </cell>
          <cell r="AE582" t="str">
            <v>C</v>
          </cell>
          <cell r="AF582">
            <v>3469.8529411764707</v>
          </cell>
          <cell r="AG582">
            <v>0.32000000000000006</v>
          </cell>
          <cell r="AH582"/>
          <cell r="AI582">
            <v>2652.4193548387093</v>
          </cell>
          <cell r="AJ582">
            <v>2537.0967741935488</v>
          </cell>
          <cell r="AK582">
            <v>0.29032258064516148</v>
          </cell>
          <cell r="AL582">
            <v>0.26881720430107514</v>
          </cell>
          <cell r="AM582"/>
          <cell r="AN582" t="str">
            <v>INFOKS</v>
          </cell>
          <cell r="AO582"/>
          <cell r="AP582"/>
          <cell r="AQ582"/>
          <cell r="AR582"/>
          <cell r="AS582"/>
          <cell r="AT582"/>
          <cell r="AU582">
            <v>2145</v>
          </cell>
          <cell r="AV582">
            <v>2359.5</v>
          </cell>
          <cell r="AW582"/>
          <cell r="AX582"/>
          <cell r="AZ582">
            <v>11566.176470588236</v>
          </cell>
          <cell r="BA582">
            <v>6939.7058823529414</v>
          </cell>
          <cell r="BB582">
            <v>5783.088235294118</v>
          </cell>
          <cell r="BC582">
            <v>4626.4705882352946</v>
          </cell>
          <cell r="BE582">
            <v>3469.8529411764707</v>
          </cell>
        </row>
        <row r="583">
          <cell r="I583" t="str">
            <v>KFO48OM4MTZHD</v>
          </cell>
          <cell r="J583" t="str">
            <v>U0806002</v>
          </cell>
          <cell r="K583" t="str">
            <v>48FO OM4 MULTI LOOSE TUBE LSZH UNIVERSAL Dca ERIKA VIOLET RAL4003</v>
          </cell>
          <cell r="L583" t="str">
            <v>48FO OM4 MULTI TUBE STRUCTURE LIBRE LSZH UNIVERSEL Dca VIOLET ERIKA RAL4003</v>
          </cell>
          <cell r="M583" t="str">
            <v>Dca</v>
          </cell>
          <cell r="N583" t="str">
            <v>Turkey</v>
          </cell>
          <cell r="O583"/>
          <cell r="P583" t="str">
            <v>2000m drum</v>
          </cell>
          <cell r="Q583" t="str">
            <v>4KM</v>
          </cell>
          <cell r="R583">
            <v>2</v>
          </cell>
          <cell r="S583" t="e">
            <v>#N/A</v>
          </cell>
          <cell r="T583">
            <v>8544700000</v>
          </cell>
          <cell r="U583">
            <v>0</v>
          </cell>
          <cell r="V583">
            <v>30</v>
          </cell>
          <cell r="W583">
            <v>45</v>
          </cell>
          <cell r="X583">
            <v>55</v>
          </cell>
          <cell r="Y583" t="str">
            <v>T/T against copy of document</v>
          </cell>
          <cell r="Z583">
            <v>5532.19696969697</v>
          </cell>
          <cell r="AA583">
            <v>5136.0294117647072</v>
          </cell>
          <cell r="AB583">
            <v>7.0000000000000007E-2</v>
          </cell>
          <cell r="AC583">
            <v>7.0000000000000007E-2</v>
          </cell>
          <cell r="AD583">
            <v>0.32</v>
          </cell>
          <cell r="AE583" t="str">
            <v>C</v>
          </cell>
          <cell r="AF583">
            <v>5136.0294117647072</v>
          </cell>
          <cell r="AG583">
            <v>0.32000000000000006</v>
          </cell>
          <cell r="AH583"/>
          <cell r="AI583">
            <v>3926.0752688172042</v>
          </cell>
          <cell r="AJ583">
            <v>3755.3763440860221</v>
          </cell>
          <cell r="AK583">
            <v>0.29032258064516137</v>
          </cell>
          <cell r="AL583">
            <v>0.26881720430107536</v>
          </cell>
          <cell r="AM583"/>
          <cell r="AN583" t="str">
            <v>INFOKS</v>
          </cell>
          <cell r="AO583"/>
          <cell r="AP583"/>
          <cell r="AQ583"/>
          <cell r="AR583"/>
          <cell r="AS583"/>
          <cell r="AT583"/>
          <cell r="AU583">
            <v>3175</v>
          </cell>
          <cell r="AV583">
            <v>3492.5000000000005</v>
          </cell>
          <cell r="AW583"/>
          <cell r="AX583"/>
          <cell r="AZ583">
            <v>17120.098039215693</v>
          </cell>
          <cell r="BA583">
            <v>10272.058823529414</v>
          </cell>
          <cell r="BB583">
            <v>8560.0490196078463</v>
          </cell>
          <cell r="BC583">
            <v>6848.0392156862772</v>
          </cell>
          <cell r="BE583">
            <v>5136.0294117647072</v>
          </cell>
        </row>
        <row r="584">
          <cell r="I584" t="str">
            <v>KFO72OM4MTZHD</v>
          </cell>
          <cell r="J584" t="str">
            <v/>
          </cell>
          <cell r="K584" t="str">
            <v>72FO OM4 MULTI LOOSE TUBE LSZH UNIVERSAL Dca ERIKA VIOLET RAL4003</v>
          </cell>
          <cell r="L584" t="str">
            <v>72FO OM4 MULTI TUBE STRUCTURE LIBRE LSZH UNIVERSEL Dca VIOLET ERIKA RAL4003</v>
          </cell>
          <cell r="M584" t="str">
            <v>Dca</v>
          </cell>
          <cell r="N584" t="str">
            <v>Turkey</v>
          </cell>
          <cell r="O584"/>
          <cell r="P584" t="str">
            <v>2000m drum</v>
          </cell>
          <cell r="Q584" t="str">
            <v>4KM</v>
          </cell>
          <cell r="R584">
            <v>2</v>
          </cell>
          <cell r="S584" t="e">
            <v>#N/A</v>
          </cell>
          <cell r="T584">
            <v>8544700000</v>
          </cell>
          <cell r="U584">
            <v>0</v>
          </cell>
          <cell r="V584">
            <v>30</v>
          </cell>
          <cell r="W584">
            <v>45</v>
          </cell>
          <cell r="X584">
            <v>55</v>
          </cell>
          <cell r="Y584" t="str">
            <v>T/T against copy of document</v>
          </cell>
          <cell r="Z584">
            <v>9726.2121212121201</v>
          </cell>
          <cell r="AA584">
            <v>9029.7058823529424</v>
          </cell>
          <cell r="AB584">
            <v>7.0000000000000007E-2</v>
          </cell>
          <cell r="AC584">
            <v>7.0000000000000007E-2</v>
          </cell>
          <cell r="AD584">
            <v>0.32</v>
          </cell>
          <cell r="AE584" t="str">
            <v>C</v>
          </cell>
          <cell r="AF584">
            <v>9029.7058823529424</v>
          </cell>
          <cell r="AG584">
            <v>0.32000000000000006</v>
          </cell>
          <cell r="AH584"/>
          <cell r="AI584">
            <v>6902.4731182795704</v>
          </cell>
          <cell r="AJ584">
            <v>6602.3655913978509</v>
          </cell>
          <cell r="AK584">
            <v>0.29032258064516114</v>
          </cell>
          <cell r="AL584">
            <v>0.26881720430107525</v>
          </cell>
          <cell r="AM584"/>
          <cell r="AN584" t="str">
            <v>INFOKS</v>
          </cell>
          <cell r="AO584"/>
          <cell r="AP584"/>
          <cell r="AQ584"/>
          <cell r="AR584"/>
          <cell r="AS584"/>
          <cell r="AT584"/>
          <cell r="AU584">
            <v>5582</v>
          </cell>
          <cell r="AV584">
            <v>6140.2000000000007</v>
          </cell>
          <cell r="AW584"/>
          <cell r="AX584"/>
          <cell r="AZ584">
            <v>30099.019607843144</v>
          </cell>
          <cell r="BA584">
            <v>18059.411764705885</v>
          </cell>
          <cell r="BB584">
            <v>15049.509803921572</v>
          </cell>
          <cell r="BC584">
            <v>12039.607843137259</v>
          </cell>
          <cell r="BE584">
            <v>9029.7058823529424</v>
          </cell>
        </row>
        <row r="585">
          <cell r="I585" t="str">
            <v>KFO96OM4MTZHD</v>
          </cell>
          <cell r="J585" t="str">
            <v>U0806006</v>
          </cell>
          <cell r="K585" t="str">
            <v>96FO OM4 MULTI LOOSE TUBE LSZH UNIVERSAL Dca ERIKA VIOLET RAL4003</v>
          </cell>
          <cell r="L585" t="str">
            <v>96FO OM4 MULTI TUBE STRUCTURE LIBRE LSZH UNIVERSEL Dca VIOLET ERIKA RAL4003</v>
          </cell>
          <cell r="M585" t="str">
            <v>Dca</v>
          </cell>
          <cell r="N585" t="str">
            <v>Turkey</v>
          </cell>
          <cell r="O585"/>
          <cell r="P585" t="str">
            <v>2000m drum</v>
          </cell>
          <cell r="Q585" t="str">
            <v>4KM</v>
          </cell>
          <cell r="R585">
            <v>2</v>
          </cell>
          <cell r="S585" t="e">
            <v>#N/A</v>
          </cell>
          <cell r="T585">
            <v>8544700000</v>
          </cell>
          <cell r="U585">
            <v>0</v>
          </cell>
          <cell r="V585">
            <v>30</v>
          </cell>
          <cell r="W585">
            <v>45</v>
          </cell>
          <cell r="X585">
            <v>55</v>
          </cell>
          <cell r="Y585" t="str">
            <v>T/T against copy of document</v>
          </cell>
          <cell r="Z585">
            <v>10360.454545454546</v>
          </cell>
          <cell r="AA585">
            <v>9618.5294117647081</v>
          </cell>
          <cell r="AB585">
            <v>7.0000000000000007E-2</v>
          </cell>
          <cell r="AC585">
            <v>7.0000000000000007E-2</v>
          </cell>
          <cell r="AD585">
            <v>0.32</v>
          </cell>
          <cell r="AE585" t="str">
            <v>C</v>
          </cell>
          <cell r="AF585">
            <v>9618.5294117647081</v>
          </cell>
          <cell r="AG585">
            <v>0.32000000000000017</v>
          </cell>
          <cell r="AH585"/>
          <cell r="AI585">
            <v>7352.5806451612898</v>
          </cell>
          <cell r="AJ585">
            <v>7032.9032258064526</v>
          </cell>
          <cell r="AK585">
            <v>0.29032258064516137</v>
          </cell>
          <cell r="AL585">
            <v>0.26881720430107536</v>
          </cell>
          <cell r="AM585"/>
          <cell r="AN585" t="str">
            <v>INFOKS</v>
          </cell>
          <cell r="AO585"/>
          <cell r="AP585"/>
          <cell r="AQ585"/>
          <cell r="AR585"/>
          <cell r="AS585"/>
          <cell r="AT585"/>
          <cell r="AU585">
            <v>5946</v>
          </cell>
          <cell r="AV585">
            <v>6540.6</v>
          </cell>
          <cell r="AW585"/>
          <cell r="AX585"/>
          <cell r="AZ585">
            <v>32061.76470588236</v>
          </cell>
          <cell r="BA585">
            <v>19237.058823529416</v>
          </cell>
          <cell r="BB585">
            <v>16030.88235294118</v>
          </cell>
          <cell r="BC585">
            <v>12824.705882352944</v>
          </cell>
          <cell r="BE585">
            <v>9618.5294117647081</v>
          </cell>
        </row>
        <row r="586">
          <cell r="I586" t="str">
            <v>KFO144OM4MTZHD</v>
          </cell>
          <cell r="J586" t="str">
            <v/>
          </cell>
          <cell r="K586" t="str">
            <v>144FO OM4 MULTI LOOSE TUBE LSZH UNIVERSAL Dca ERIKA VIOLET RAL4003</v>
          </cell>
          <cell r="L586" t="str">
            <v>144FO OM4 MULTI TUBE STRUCTURE LIBRE LSZH UNIVERSEL Dca VIOLET ERIKA RAL4003</v>
          </cell>
          <cell r="M586" t="str">
            <v>Dca</v>
          </cell>
          <cell r="N586" t="str">
            <v>Turkey</v>
          </cell>
          <cell r="O586"/>
          <cell r="P586" t="str">
            <v>2000m drum</v>
          </cell>
          <cell r="Q586" t="str">
            <v>4KM</v>
          </cell>
          <cell r="R586">
            <v>2</v>
          </cell>
          <cell r="S586" t="e">
            <v>#N/A</v>
          </cell>
          <cell r="T586">
            <v>8544700000</v>
          </cell>
          <cell r="U586">
            <v>0</v>
          </cell>
          <cell r="V586">
            <v>30</v>
          </cell>
          <cell r="W586">
            <v>45</v>
          </cell>
          <cell r="X586">
            <v>55</v>
          </cell>
          <cell r="Y586" t="str">
            <v>T/T against copy of document</v>
          </cell>
          <cell r="Z586">
            <v>19062.121212121212</v>
          </cell>
          <cell r="AA586">
            <v>17697.058823529416</v>
          </cell>
          <cell r="AB586">
            <v>7.0000000000000007E-2</v>
          </cell>
          <cell r="AC586">
            <v>7.0000000000000007E-2</v>
          </cell>
          <cell r="AD586">
            <v>0.32</v>
          </cell>
          <cell r="AE586" t="str">
            <v>C</v>
          </cell>
          <cell r="AF586">
            <v>17697.058823529416</v>
          </cell>
          <cell r="AG586">
            <v>0.32000000000000006</v>
          </cell>
          <cell r="AH586"/>
          <cell r="AI586">
            <v>13527.956989247312</v>
          </cell>
          <cell r="AJ586">
            <v>12939.784946236561</v>
          </cell>
          <cell r="AK586">
            <v>0.29032258064516125</v>
          </cell>
          <cell r="AL586">
            <v>0.26881720430107536</v>
          </cell>
          <cell r="AM586"/>
          <cell r="AN586" t="str">
            <v>INFOKS</v>
          </cell>
          <cell r="AO586"/>
          <cell r="AP586"/>
          <cell r="AQ586"/>
          <cell r="AR586"/>
          <cell r="AS586"/>
          <cell r="AT586"/>
          <cell r="AU586">
            <v>10940</v>
          </cell>
          <cell r="AV586">
            <v>12034.000000000002</v>
          </cell>
          <cell r="AW586"/>
          <cell r="AX586"/>
          <cell r="AZ586">
            <v>58990.196078431392</v>
          </cell>
          <cell r="BA586">
            <v>35394.117647058833</v>
          </cell>
          <cell r="BB586">
            <v>29495.098039215696</v>
          </cell>
          <cell r="BC586">
            <v>23596.07843137256</v>
          </cell>
          <cell r="BE586">
            <v>17697.058823529416</v>
          </cell>
        </row>
        <row r="587">
          <cell r="I587" t="str">
            <v>KFO288OM4MTZHD</v>
          </cell>
          <cell r="J587" t="str">
            <v/>
          </cell>
          <cell r="K587" t="str">
            <v>288FO OM4 MULTI LOOSE TUBE LSZH UNIVERSAL Dca ERIKA VIOLET RAL4003</v>
          </cell>
          <cell r="L587" t="str">
            <v>288FO OM4 MULTI TUBE STRUCTURE LIBRE LSZH UNIVERSEL Dca VIOLET ERIKA RAL4003</v>
          </cell>
          <cell r="M587" t="str">
            <v>Dca</v>
          </cell>
          <cell r="N587" t="str">
            <v>Turkey</v>
          </cell>
          <cell r="O587"/>
          <cell r="P587" t="str">
            <v>2000m drum</v>
          </cell>
          <cell r="Q587" t="str">
            <v>4KM</v>
          </cell>
          <cell r="R587">
            <v>2</v>
          </cell>
          <cell r="S587" t="e">
            <v>#N/A</v>
          </cell>
          <cell r="T587">
            <v>8544700000</v>
          </cell>
          <cell r="U587">
            <v>0</v>
          </cell>
          <cell r="V587">
            <v>30</v>
          </cell>
          <cell r="W587">
            <v>45</v>
          </cell>
          <cell r="X587">
            <v>55</v>
          </cell>
          <cell r="Y587" t="str">
            <v>T/T against copy of document</v>
          </cell>
          <cell r="Z587">
            <v>37442.954545454544</v>
          </cell>
          <cell r="AA587">
            <v>34761.617647058825</v>
          </cell>
          <cell r="AB587">
            <v>7.0000000000000007E-2</v>
          </cell>
          <cell r="AC587">
            <v>7.0000000000000007E-2</v>
          </cell>
          <cell r="AD587">
            <v>0.32</v>
          </cell>
          <cell r="AE587" t="str">
            <v>C</v>
          </cell>
          <cell r="AF587">
            <v>34761.617647058825</v>
          </cell>
          <cell r="AG587">
            <v>0.31999999999999995</v>
          </cell>
          <cell r="AH587"/>
          <cell r="AI587">
            <v>26572.419354838708</v>
          </cell>
          <cell r="AJ587">
            <v>25417.096774193553</v>
          </cell>
          <cell r="AK587">
            <v>0.29032258064516125</v>
          </cell>
          <cell r="AL587">
            <v>0.26881720430107514</v>
          </cell>
          <cell r="AM587"/>
          <cell r="AN587" t="str">
            <v>INFOKS</v>
          </cell>
          <cell r="AO587"/>
          <cell r="AP587"/>
          <cell r="AQ587"/>
          <cell r="AR587"/>
          <cell r="AS587"/>
          <cell r="AT587"/>
          <cell r="AU587">
            <v>21489</v>
          </cell>
          <cell r="AV587">
            <v>23637.9</v>
          </cell>
          <cell r="AW587"/>
          <cell r="AX587"/>
          <cell r="AZ587">
            <v>115872.05882352943</v>
          </cell>
          <cell r="BA587">
            <v>69523.23529411765</v>
          </cell>
          <cell r="BB587">
            <v>57936.029411764714</v>
          </cell>
          <cell r="BC587">
            <v>46348.823529411777</v>
          </cell>
          <cell r="BE587">
            <v>34761.617647058825</v>
          </cell>
        </row>
        <row r="588">
          <cell r="I588" t="str">
            <v>KFO6OM4CTZHC</v>
          </cell>
          <cell r="J588" t="str">
            <v/>
          </cell>
          <cell r="K588" t="str">
            <v>6FO OM4 CENTRAL LOOSE TUBE LSZH UNIVERSAL Cca ERIKA VIOLET RAL4003</v>
          </cell>
          <cell r="L588" t="str">
            <v>6FO OM4 TUBE CENTRAL STRUCTURE LIBRE LSZH UNIVERSEL Cca VIOLET ERIKA RAL4003</v>
          </cell>
          <cell r="M588" t="str">
            <v>Cca/B2ca</v>
          </cell>
          <cell r="N588" t="str">
            <v>Turkey</v>
          </cell>
          <cell r="O588"/>
          <cell r="P588" t="str">
            <v>2000m drum</v>
          </cell>
          <cell r="Q588" t="str">
            <v>4KM</v>
          </cell>
          <cell r="R588">
            <v>2</v>
          </cell>
          <cell r="S588" t="e">
            <v>#N/A</v>
          </cell>
          <cell r="T588">
            <v>8544700000</v>
          </cell>
          <cell r="U588">
            <v>0</v>
          </cell>
          <cell r="V588">
            <v>30</v>
          </cell>
          <cell r="W588">
            <v>45</v>
          </cell>
          <cell r="X588">
            <v>55</v>
          </cell>
          <cell r="Y588" t="str">
            <v>T/T against copy of document</v>
          </cell>
          <cell r="Z588">
            <v>907.80303030303037</v>
          </cell>
          <cell r="AA588">
            <v>842.7941176470589</v>
          </cell>
          <cell r="AB588">
            <v>7.0000000000000007E-2</v>
          </cell>
          <cell r="AC588">
            <v>7.0000000000000007E-2</v>
          </cell>
          <cell r="AD588">
            <v>0.32</v>
          </cell>
          <cell r="AE588" t="str">
            <v>C</v>
          </cell>
          <cell r="AF588">
            <v>842.7941176470589</v>
          </cell>
          <cell r="AG588">
            <v>0.32000000000000006</v>
          </cell>
          <cell r="AH588"/>
          <cell r="AI588">
            <v>644.24731182795699</v>
          </cell>
          <cell r="AJ588">
            <v>616.23655913978496</v>
          </cell>
          <cell r="AK588">
            <v>0.29032258064516137</v>
          </cell>
          <cell r="AL588">
            <v>0.26881720430107536</v>
          </cell>
          <cell r="AM588"/>
          <cell r="AN588" t="str">
            <v>INFOKS</v>
          </cell>
          <cell r="AO588"/>
          <cell r="AP588"/>
          <cell r="AQ588"/>
          <cell r="AR588"/>
          <cell r="AS588"/>
          <cell r="AT588"/>
          <cell r="AU588">
            <v>521</v>
          </cell>
          <cell r="AV588">
            <v>573.1</v>
          </cell>
          <cell r="AW588"/>
          <cell r="AX588"/>
          <cell r="AZ588">
            <v>2809.3137254901962</v>
          </cell>
          <cell r="BA588">
            <v>1685.5882352941178</v>
          </cell>
          <cell r="BB588">
            <v>1404.6568627450981</v>
          </cell>
          <cell r="BC588">
            <v>1123.7254901960785</v>
          </cell>
        </row>
        <row r="589">
          <cell r="I589" t="str">
            <v>KFO8OM4CTZHC</v>
          </cell>
          <cell r="J589" t="str">
            <v/>
          </cell>
          <cell r="K589" t="str">
            <v>8FO OM4 CENTRAL LOOSE TUBE LSZH UNIVERSAL Cca ERIKA VIOLET RAL4003</v>
          </cell>
          <cell r="L589" t="str">
            <v>8FO OM4 TUBE CENTRAL STRUCTURE LIBRE LSZH UNIVERSEL Cca VIOLET ERIKA RAL4003</v>
          </cell>
          <cell r="M589" t="str">
            <v>Cca/B2ca</v>
          </cell>
          <cell r="N589" t="str">
            <v>Turkey</v>
          </cell>
          <cell r="O589"/>
          <cell r="P589" t="str">
            <v>2000m drum</v>
          </cell>
          <cell r="Q589" t="str">
            <v>4KM</v>
          </cell>
          <cell r="R589">
            <v>2</v>
          </cell>
          <cell r="S589" t="e">
            <v>#N/A</v>
          </cell>
          <cell r="T589">
            <v>8544700000</v>
          </cell>
          <cell r="U589">
            <v>0</v>
          </cell>
          <cell r="V589">
            <v>30</v>
          </cell>
          <cell r="W589">
            <v>45</v>
          </cell>
          <cell r="X589">
            <v>55</v>
          </cell>
          <cell r="Y589" t="str">
            <v>T/T against copy of document</v>
          </cell>
          <cell r="Z589">
            <v>1289.3939393939393</v>
          </cell>
          <cell r="AA589">
            <v>1197.0588235294119</v>
          </cell>
          <cell r="AB589">
            <v>7.0000000000000007E-2</v>
          </cell>
          <cell r="AC589">
            <v>7.0000000000000007E-2</v>
          </cell>
          <cell r="AD589">
            <v>0.32</v>
          </cell>
          <cell r="AE589" t="str">
            <v>C</v>
          </cell>
          <cell r="AF589">
            <v>1197.0588235294119</v>
          </cell>
          <cell r="AG589">
            <v>0.31999999999999995</v>
          </cell>
          <cell r="AH589"/>
          <cell r="AI589">
            <v>915.05376344086017</v>
          </cell>
          <cell r="AJ589">
            <v>875.26881720430129</v>
          </cell>
          <cell r="AK589">
            <v>0.29032258064516125</v>
          </cell>
          <cell r="AL589">
            <v>0.26881720430107525</v>
          </cell>
          <cell r="AM589"/>
          <cell r="AN589" t="str">
            <v>INFOKS</v>
          </cell>
          <cell r="AO589"/>
          <cell r="AP589"/>
          <cell r="AQ589"/>
          <cell r="AR589"/>
          <cell r="AS589"/>
          <cell r="AT589"/>
          <cell r="AU589">
            <v>740</v>
          </cell>
          <cell r="AV589">
            <v>814.00000000000011</v>
          </cell>
          <cell r="AW589"/>
          <cell r="AX589"/>
          <cell r="AZ589">
            <v>3990.1960784313733</v>
          </cell>
          <cell r="BA589">
            <v>2394.1176470588239</v>
          </cell>
          <cell r="BB589">
            <v>1995.0980392156866</v>
          </cell>
          <cell r="BC589">
            <v>1596.0784313725494</v>
          </cell>
        </row>
        <row r="590">
          <cell r="I590" t="str">
            <v>KFO12OM4CTZHC</v>
          </cell>
          <cell r="J590" t="str">
            <v/>
          </cell>
          <cell r="K590" t="str">
            <v>12FO OM4 CENTRAL LOOSE TUBE LSZH UNIVERSAL Cca ERIKA VIOLET RAL4003</v>
          </cell>
          <cell r="L590" t="str">
            <v>12FO OM4 TUBE CENTRAL STRUCTURE LIBRE LSZH UNIVERSEL Cca VIOLET ERIKA RAL4003</v>
          </cell>
          <cell r="M590" t="str">
            <v>Cca/B2ca</v>
          </cell>
          <cell r="N590" t="str">
            <v>Turkey</v>
          </cell>
          <cell r="O590"/>
          <cell r="P590" t="str">
            <v>2000m drum</v>
          </cell>
          <cell r="Q590" t="str">
            <v>4KM</v>
          </cell>
          <cell r="R590">
            <v>2</v>
          </cell>
          <cell r="S590" t="e">
            <v>#N/A</v>
          </cell>
          <cell r="T590">
            <v>8544700000</v>
          </cell>
          <cell r="U590">
            <v>0</v>
          </cell>
          <cell r="V590">
            <v>30</v>
          </cell>
          <cell r="W590">
            <v>45</v>
          </cell>
          <cell r="X590">
            <v>55</v>
          </cell>
          <cell r="Y590" t="str">
            <v>T/T against copy of document</v>
          </cell>
          <cell r="Z590">
            <v>1547.2727272727275</v>
          </cell>
          <cell r="AA590">
            <v>1436.4705882352944</v>
          </cell>
          <cell r="AB590">
            <v>7.0000000000000007E-2</v>
          </cell>
          <cell r="AC590">
            <v>7.0000000000000007E-2</v>
          </cell>
          <cell r="AD590">
            <v>0.32</v>
          </cell>
          <cell r="AE590" t="str">
            <v>C</v>
          </cell>
          <cell r="AF590">
            <v>1436.4705882352944</v>
          </cell>
          <cell r="AG590">
            <v>0.32000000000000006</v>
          </cell>
          <cell r="AH590"/>
          <cell r="AI590">
            <v>1098.0645161290322</v>
          </cell>
          <cell r="AJ590">
            <v>1050.3225806451615</v>
          </cell>
          <cell r="AK590">
            <v>0.29032258064516148</v>
          </cell>
          <cell r="AL590">
            <v>0.26881720430107525</v>
          </cell>
          <cell r="AM590"/>
          <cell r="AN590" t="str">
            <v>INFOKS</v>
          </cell>
          <cell r="AO590"/>
          <cell r="AP590"/>
          <cell r="AQ590"/>
          <cell r="AR590"/>
          <cell r="AS590"/>
          <cell r="AT590"/>
          <cell r="AU590">
            <v>888</v>
          </cell>
          <cell r="AV590">
            <v>976.80000000000007</v>
          </cell>
          <cell r="AW590"/>
          <cell r="AX590"/>
          <cell r="AZ590">
            <v>4788.2352941176478</v>
          </cell>
          <cell r="BA590">
            <v>2872.9411764705887</v>
          </cell>
          <cell r="BB590">
            <v>2394.1176470588239</v>
          </cell>
          <cell r="BC590">
            <v>1915.2941176470592</v>
          </cell>
        </row>
        <row r="591">
          <cell r="I591" t="str">
            <v>KFO24OM4CTZHC</v>
          </cell>
          <cell r="J591" t="str">
            <v/>
          </cell>
          <cell r="K591" t="str">
            <v>24FO OM4 CENTRAL LOOSE TUBE LSZH UNIVERSAL Cca ERIKA VIOLET RAL4003</v>
          </cell>
          <cell r="L591" t="str">
            <v>24FO OM4 TUBE CENTRAL STRUCTURE LIBRE LSZH UNIVERSEL Cca VIOLET ERIKA RAL4003</v>
          </cell>
          <cell r="M591" t="str">
            <v>Cca/B2ca</v>
          </cell>
          <cell r="N591" t="str">
            <v>Turkey</v>
          </cell>
          <cell r="O591"/>
          <cell r="P591" t="str">
            <v>2000m drum</v>
          </cell>
          <cell r="Q591" t="str">
            <v>4KM</v>
          </cell>
          <cell r="R591">
            <v>2</v>
          </cell>
          <cell r="S591" t="e">
            <v>#N/A</v>
          </cell>
          <cell r="T591">
            <v>8544700000</v>
          </cell>
          <cell r="U591">
            <v>0</v>
          </cell>
          <cell r="V591">
            <v>30</v>
          </cell>
          <cell r="W591">
            <v>45</v>
          </cell>
          <cell r="X591">
            <v>55</v>
          </cell>
          <cell r="Y591" t="str">
            <v>T/T against copy of document</v>
          </cell>
          <cell r="Z591">
            <v>2819.2424242424245</v>
          </cell>
          <cell r="AA591">
            <v>2617.3529411764712</v>
          </cell>
          <cell r="AB591">
            <v>7.0000000000000007E-2</v>
          </cell>
          <cell r="AC591">
            <v>7.0000000000000007E-2</v>
          </cell>
          <cell r="AD591">
            <v>0.32</v>
          </cell>
          <cell r="AE591" t="str">
            <v>C</v>
          </cell>
          <cell r="AF591">
            <v>2617.3529411764712</v>
          </cell>
          <cell r="AG591">
            <v>0.32000000000000006</v>
          </cell>
          <cell r="AH591"/>
          <cell r="AI591">
            <v>2000.752688172043</v>
          </cell>
          <cell r="AJ591">
            <v>1913.7634408602153</v>
          </cell>
          <cell r="AK591">
            <v>0.29032258064516137</v>
          </cell>
          <cell r="AL591">
            <v>0.26881720430107536</v>
          </cell>
          <cell r="AM591"/>
          <cell r="AN591" t="str">
            <v>INFOKS</v>
          </cell>
          <cell r="AO591"/>
          <cell r="AP591"/>
          <cell r="AQ591"/>
          <cell r="AR591"/>
          <cell r="AS591"/>
          <cell r="AT591"/>
          <cell r="AU591">
            <v>1618</v>
          </cell>
          <cell r="AV591">
            <v>1779.8000000000002</v>
          </cell>
          <cell r="AW591"/>
          <cell r="AX591"/>
          <cell r="AZ591">
            <v>8724.5098039215718</v>
          </cell>
          <cell r="BA591">
            <v>5234.7058823529433</v>
          </cell>
          <cell r="BB591">
            <v>4362.2549019607859</v>
          </cell>
          <cell r="BC591">
            <v>3489.803921568629</v>
          </cell>
        </row>
        <row r="592">
          <cell r="I592" t="str">
            <v>KFO12OM4MTZHC</v>
          </cell>
          <cell r="J592" t="str">
            <v/>
          </cell>
          <cell r="K592" t="str">
            <v>12FO OM4 MULTI LOOSE TUBE LSZH UNIVERSAL Cca ERIKA VIOLET RAL4003</v>
          </cell>
          <cell r="L592" t="str">
            <v>12FO OM4 MULTI TUBE STRUCTURE LIBRE LSZH UNIVERSEL Cca VIOLET ERIKA RAL4003</v>
          </cell>
          <cell r="M592" t="str">
            <v>Cca/B2ca</v>
          </cell>
          <cell r="N592" t="str">
            <v>Turkey</v>
          </cell>
          <cell r="O592"/>
          <cell r="P592" t="str">
            <v>2000m drum</v>
          </cell>
          <cell r="Q592" t="str">
            <v>4KM</v>
          </cell>
          <cell r="R592">
            <v>2</v>
          </cell>
          <cell r="S592" t="e">
            <v>#N/A</v>
          </cell>
          <cell r="T592">
            <v>8544700000</v>
          </cell>
          <cell r="U592">
            <v>0</v>
          </cell>
          <cell r="V592">
            <v>30</v>
          </cell>
          <cell r="W592">
            <v>45</v>
          </cell>
          <cell r="X592">
            <v>55</v>
          </cell>
          <cell r="Y592" t="str">
            <v>T/T against copy of document</v>
          </cell>
          <cell r="Z592">
            <v>2401.060606060606</v>
          </cell>
          <cell r="AA592">
            <v>2229.1176470588239</v>
          </cell>
          <cell r="AB592">
            <v>7.0000000000000007E-2</v>
          </cell>
          <cell r="AC592">
            <v>7.0000000000000007E-2</v>
          </cell>
          <cell r="AD592">
            <v>0.32</v>
          </cell>
          <cell r="AE592" t="str">
            <v>C</v>
          </cell>
          <cell r="AF592">
            <v>2229.1176470588239</v>
          </cell>
          <cell r="AG592">
            <v>0.32000000000000006</v>
          </cell>
          <cell r="AH592"/>
          <cell r="AI592">
            <v>1703.9784946236557</v>
          </cell>
          <cell r="AJ592">
            <v>1629.8924731182799</v>
          </cell>
          <cell r="AK592">
            <v>0.29032258064516137</v>
          </cell>
          <cell r="AL592">
            <v>0.26881720430107525</v>
          </cell>
          <cell r="AM592"/>
          <cell r="AN592" t="str">
            <v>INFOKS</v>
          </cell>
          <cell r="AO592"/>
          <cell r="AP592"/>
          <cell r="AQ592"/>
          <cell r="AR592"/>
          <cell r="AS592"/>
          <cell r="AT592"/>
          <cell r="AU592">
            <v>1378</v>
          </cell>
          <cell r="AV592">
            <v>1515.8000000000002</v>
          </cell>
          <cell r="AW592"/>
          <cell r="AX592"/>
          <cell r="AZ592">
            <v>7430.3921568627466</v>
          </cell>
          <cell r="BA592">
            <v>4458.2352941176478</v>
          </cell>
          <cell r="BB592">
            <v>3715.1960784313733</v>
          </cell>
          <cell r="BC592">
            <v>2972.1568627450988</v>
          </cell>
        </row>
        <row r="593">
          <cell r="I593" t="str">
            <v>KFO24OM4MTZHC</v>
          </cell>
          <cell r="J593" t="str">
            <v/>
          </cell>
          <cell r="K593" t="str">
            <v>24FO OM4 MULTI LOOSE TUBE LSZH UNIVERSAL Cca ERIKA VIOLET RAL4003</v>
          </cell>
          <cell r="L593" t="str">
            <v>24FO OM4 MULTI TUBE STRUCTURE LIBRE LSZH UNIVERSEL Cca VIOLET ERIKA RAL4003</v>
          </cell>
          <cell r="M593" t="str">
            <v>Cca/B2ca</v>
          </cell>
          <cell r="N593" t="str">
            <v>Turkey</v>
          </cell>
          <cell r="O593"/>
          <cell r="P593" t="str">
            <v>2000m drum</v>
          </cell>
          <cell r="Q593" t="str">
            <v>4KM</v>
          </cell>
          <cell r="R593">
            <v>2</v>
          </cell>
          <cell r="S593" t="e">
            <v>#N/A</v>
          </cell>
          <cell r="T593">
            <v>8544700000</v>
          </cell>
          <cell r="U593">
            <v>0</v>
          </cell>
          <cell r="V593">
            <v>30</v>
          </cell>
          <cell r="W593">
            <v>45</v>
          </cell>
          <cell r="X593">
            <v>55</v>
          </cell>
          <cell r="Y593" t="str">
            <v>T/T against copy of document</v>
          </cell>
          <cell r="Z593">
            <v>3957.045454545455</v>
          </cell>
          <cell r="AA593">
            <v>3673.676470588236</v>
          </cell>
          <cell r="AB593">
            <v>7.0000000000000007E-2</v>
          </cell>
          <cell r="AC593">
            <v>7.0000000000000007E-2</v>
          </cell>
          <cell r="AD593">
            <v>0.32</v>
          </cell>
          <cell r="AE593" t="str">
            <v>C</v>
          </cell>
          <cell r="AF593">
            <v>3673.676470588236</v>
          </cell>
          <cell r="AG593">
            <v>0.32000000000000006</v>
          </cell>
          <cell r="AH593"/>
          <cell r="AI593">
            <v>2808.2258064516127</v>
          </cell>
          <cell r="AJ593">
            <v>2686.1290322580653</v>
          </cell>
          <cell r="AK593">
            <v>0.29032258064516137</v>
          </cell>
          <cell r="AL593">
            <v>0.26881720430107525</v>
          </cell>
          <cell r="AM593"/>
          <cell r="AN593" t="str">
            <v>INFOKS</v>
          </cell>
          <cell r="AO593"/>
          <cell r="AP593"/>
          <cell r="AQ593"/>
          <cell r="AR593"/>
          <cell r="AS593"/>
          <cell r="AT593"/>
          <cell r="AU593">
            <v>2271</v>
          </cell>
          <cell r="AV593">
            <v>2498.1000000000004</v>
          </cell>
          <cell r="AW593"/>
          <cell r="AX593"/>
          <cell r="AZ593">
            <v>12245.588235294121</v>
          </cell>
          <cell r="BA593">
            <v>7347.3529411764721</v>
          </cell>
          <cell r="BB593">
            <v>6122.7941176470604</v>
          </cell>
          <cell r="BC593">
            <v>4898.2352941176487</v>
          </cell>
        </row>
        <row r="594">
          <cell r="I594" t="str">
            <v>KFO48OM4MTZHC</v>
          </cell>
          <cell r="J594" t="str">
            <v/>
          </cell>
          <cell r="K594" t="str">
            <v>48FO OM4 MULTI LOOSE TUBE LSZH UNIVERSAL Cca ERIKA VIOLET RAL4003</v>
          </cell>
          <cell r="L594" t="str">
            <v>48FO OM4 MULTI TUBE STRUCTURE LIBRE LSZH UNIVERSEL Cca VIOLET ERIKA RAL4003</v>
          </cell>
          <cell r="M594" t="str">
            <v>Cca/B2ca</v>
          </cell>
          <cell r="N594" t="str">
            <v>Turkey</v>
          </cell>
          <cell r="O594"/>
          <cell r="P594" t="str">
            <v>2000m drum</v>
          </cell>
          <cell r="Q594" t="str">
            <v>4KM</v>
          </cell>
          <cell r="R594">
            <v>2</v>
          </cell>
          <cell r="S594" t="e">
            <v>#N/A</v>
          </cell>
          <cell r="T594">
            <v>8544700000</v>
          </cell>
          <cell r="U594">
            <v>0</v>
          </cell>
          <cell r="V594">
            <v>30</v>
          </cell>
          <cell r="W594">
            <v>45</v>
          </cell>
          <cell r="X594">
            <v>55</v>
          </cell>
          <cell r="Y594" t="str">
            <v>T/T against copy of document</v>
          </cell>
          <cell r="Z594">
            <v>5885.909090909091</v>
          </cell>
          <cell r="AA594">
            <v>5464.4117647058829</v>
          </cell>
          <cell r="AB594">
            <v>7.0000000000000007E-2</v>
          </cell>
          <cell r="AC594">
            <v>7.0000000000000007E-2</v>
          </cell>
          <cell r="AD594">
            <v>0.32</v>
          </cell>
          <cell r="AE594" t="str">
            <v>C</v>
          </cell>
          <cell r="AF594">
            <v>5464.4117647058829</v>
          </cell>
          <cell r="AG594">
            <v>0.32000000000000006</v>
          </cell>
          <cell r="AH594"/>
          <cell r="AI594">
            <v>4177.0967741935483</v>
          </cell>
          <cell r="AJ594">
            <v>3995.4838709677424</v>
          </cell>
          <cell r="AK594">
            <v>0.29032258064516137</v>
          </cell>
          <cell r="AL594">
            <v>0.26881720430107525</v>
          </cell>
          <cell r="AM594"/>
          <cell r="AN594" t="str">
            <v>INFOKS</v>
          </cell>
          <cell r="AO594"/>
          <cell r="AP594"/>
          <cell r="AQ594"/>
          <cell r="AR594"/>
          <cell r="AS594"/>
          <cell r="AT594"/>
          <cell r="AU594">
            <v>3378</v>
          </cell>
          <cell r="AV594">
            <v>3715.8</v>
          </cell>
          <cell r="AW594"/>
          <cell r="AX594"/>
          <cell r="AZ594">
            <v>18214.705882352944</v>
          </cell>
          <cell r="BA594">
            <v>10928.823529411766</v>
          </cell>
          <cell r="BB594">
            <v>9107.3529411764721</v>
          </cell>
          <cell r="BC594">
            <v>7285.8823529411784</v>
          </cell>
        </row>
        <row r="595">
          <cell r="I595" t="str">
            <v>KFO72OM4MTZHC</v>
          </cell>
          <cell r="J595" t="str">
            <v/>
          </cell>
          <cell r="K595" t="str">
            <v>72FO OM4 MULTI LOOSE TUBE LSZH UNIVERSAL Cca ERIKA VIOLET RAL4003</v>
          </cell>
          <cell r="L595" t="str">
            <v>72FO OM4 MULTI TUBE STRUCTURE LIBRE LSZH UNIVERSEL Cca VIOLET ERIKA RAL4003</v>
          </cell>
          <cell r="M595" t="str">
            <v>Cca/B2ca</v>
          </cell>
          <cell r="N595" t="str">
            <v>Turkey</v>
          </cell>
          <cell r="O595"/>
          <cell r="P595" t="str">
            <v>2000m drum</v>
          </cell>
          <cell r="Q595" t="str">
            <v>4KM</v>
          </cell>
          <cell r="R595">
            <v>2</v>
          </cell>
          <cell r="S595" t="e">
            <v>#N/A</v>
          </cell>
          <cell r="T595">
            <v>8544700000</v>
          </cell>
          <cell r="U595">
            <v>0</v>
          </cell>
          <cell r="V595">
            <v>30</v>
          </cell>
          <cell r="W595">
            <v>45</v>
          </cell>
          <cell r="X595">
            <v>55</v>
          </cell>
          <cell r="Y595" t="str">
            <v>T/T against copy of document</v>
          </cell>
          <cell r="Z595">
            <v>10175.757575757576</v>
          </cell>
          <cell r="AA595">
            <v>9447.0588235294144</v>
          </cell>
          <cell r="AB595">
            <v>7.0000000000000007E-2</v>
          </cell>
          <cell r="AC595">
            <v>7.0000000000000007E-2</v>
          </cell>
          <cell r="AD595">
            <v>0.32</v>
          </cell>
          <cell r="AE595" t="str">
            <v>C</v>
          </cell>
          <cell r="AF595">
            <v>9447.0588235294144</v>
          </cell>
          <cell r="AG595">
            <v>0.32000000000000006</v>
          </cell>
          <cell r="AH595"/>
          <cell r="AI595">
            <v>7221.5053763440856</v>
          </cell>
          <cell r="AJ595">
            <v>6907.5268817204314</v>
          </cell>
          <cell r="AK595">
            <v>0.29032258064516137</v>
          </cell>
          <cell r="AL595">
            <v>0.26881720430107536</v>
          </cell>
          <cell r="AM595"/>
          <cell r="AN595" t="str">
            <v>INFOKS</v>
          </cell>
          <cell r="AO595"/>
          <cell r="AP595"/>
          <cell r="AQ595"/>
          <cell r="AR595"/>
          <cell r="AS595"/>
          <cell r="AT595"/>
          <cell r="AU595">
            <v>5840</v>
          </cell>
          <cell r="AV595">
            <v>6424.0000000000009</v>
          </cell>
          <cell r="AW595"/>
          <cell r="AX595"/>
          <cell r="AZ595">
            <v>31490.196078431381</v>
          </cell>
          <cell r="BA595">
            <v>18894.117647058829</v>
          </cell>
          <cell r="BB595">
            <v>15745.098039215691</v>
          </cell>
          <cell r="BC595">
            <v>12596.078431372553</v>
          </cell>
        </row>
        <row r="596">
          <cell r="I596" t="str">
            <v>KFO96OM4MTZHC</v>
          </cell>
          <cell r="J596" t="str">
            <v/>
          </cell>
          <cell r="K596" t="str">
            <v>96FO OM4 MULTI LOOSE TUBE LSZH UNIVERSAL Cca ERIKA VIOLET RAL4003</v>
          </cell>
          <cell r="L596" t="str">
            <v>96FO OM4 MULTI TUBE STRUCTURE LIBRE LSZH UNIVERSEL Cca VIOLET ERIKA RAL4003</v>
          </cell>
          <cell r="M596" t="str">
            <v>Cca/B2ca</v>
          </cell>
          <cell r="N596" t="str">
            <v>Turkey</v>
          </cell>
          <cell r="O596"/>
          <cell r="P596" t="str">
            <v>2000m drum</v>
          </cell>
          <cell r="Q596" t="str">
            <v>4KM</v>
          </cell>
          <cell r="R596">
            <v>2</v>
          </cell>
          <cell r="S596" t="e">
            <v>#N/A</v>
          </cell>
          <cell r="T596">
            <v>8544700000</v>
          </cell>
          <cell r="U596">
            <v>0</v>
          </cell>
          <cell r="V596">
            <v>30</v>
          </cell>
          <cell r="W596">
            <v>45</v>
          </cell>
          <cell r="X596">
            <v>55</v>
          </cell>
          <cell r="Y596" t="str">
            <v>T/T against copy of document</v>
          </cell>
          <cell r="Z596">
            <v>13512.500000000002</v>
          </cell>
          <cell r="AA596">
            <v>12544.852941176472</v>
          </cell>
          <cell r="AB596">
            <v>7.0000000000000007E-2</v>
          </cell>
          <cell r="AC596">
            <v>7.0000000000000007E-2</v>
          </cell>
          <cell r="AD596">
            <v>0.32</v>
          </cell>
          <cell r="AE596" t="str">
            <v>C</v>
          </cell>
          <cell r="AF596">
            <v>12544.852941176472</v>
          </cell>
          <cell r="AG596">
            <v>0.32000000000000006</v>
          </cell>
          <cell r="AH596"/>
          <cell r="AI596">
            <v>9589.5161290322594</v>
          </cell>
          <cell r="AJ596">
            <v>9172.5806451612916</v>
          </cell>
          <cell r="AK596">
            <v>0.29032258064516125</v>
          </cell>
          <cell r="AL596">
            <v>0.26881720430107525</v>
          </cell>
          <cell r="AM596"/>
          <cell r="AN596" t="str">
            <v>INFOKS</v>
          </cell>
          <cell r="AO596"/>
          <cell r="AP596"/>
          <cell r="AQ596"/>
          <cell r="AR596"/>
          <cell r="AS596"/>
          <cell r="AT596"/>
          <cell r="AU596">
            <v>7755</v>
          </cell>
          <cell r="AV596">
            <v>8530.5</v>
          </cell>
          <cell r="AW596"/>
          <cell r="AX596"/>
          <cell r="AZ596">
            <v>41816.176470588245</v>
          </cell>
          <cell r="BA596">
            <v>25089.705882352948</v>
          </cell>
          <cell r="BB596">
            <v>20908.088235294123</v>
          </cell>
          <cell r="BC596">
            <v>16726.470588235297</v>
          </cell>
        </row>
        <row r="597">
          <cell r="I597" t="str">
            <v>KFO144OM4MTZHC</v>
          </cell>
          <cell r="J597" t="str">
            <v/>
          </cell>
          <cell r="K597" t="str">
            <v>144FO OM4 MULTI LOOSE TUBE LSZH UNIVERSAL Cca ERIKA VIOLET RAL4003</v>
          </cell>
          <cell r="L597" t="str">
            <v>144FO OM4 MULTI TUBE STRUCTURE LIBRE LSZH UNIVERSEL Cca VIOLET ERIKA RAL4003</v>
          </cell>
          <cell r="M597" t="str">
            <v>Cca/B2ca</v>
          </cell>
          <cell r="N597" t="str">
            <v>Turkey</v>
          </cell>
          <cell r="O597"/>
          <cell r="P597" t="str">
            <v>2000m drum</v>
          </cell>
          <cell r="Q597" t="str">
            <v>4KM</v>
          </cell>
          <cell r="R597">
            <v>2</v>
          </cell>
          <cell r="S597" t="e">
            <v>#N/A</v>
          </cell>
          <cell r="T597">
            <v>8544700000</v>
          </cell>
          <cell r="U597">
            <v>0</v>
          </cell>
          <cell r="V597">
            <v>30</v>
          </cell>
          <cell r="W597">
            <v>45</v>
          </cell>
          <cell r="X597">
            <v>55</v>
          </cell>
          <cell r="Y597" t="str">
            <v>T/T against copy of document</v>
          </cell>
          <cell r="Z597">
            <v>14749.621212121214</v>
          </cell>
          <cell r="AA597">
            <v>13693.382352941178</v>
          </cell>
          <cell r="AB597">
            <v>7.0000000000000007E-2</v>
          </cell>
          <cell r="AC597">
            <v>7.0000000000000007E-2</v>
          </cell>
          <cell r="AD597">
            <v>0.32</v>
          </cell>
          <cell r="AE597" t="str">
            <v>C</v>
          </cell>
          <cell r="AF597">
            <v>13693.382352941178</v>
          </cell>
          <cell r="AG597">
            <v>0.32000000000000006</v>
          </cell>
          <cell r="AH597"/>
          <cell r="AI597">
            <v>10467.473118279569</v>
          </cell>
          <cell r="AJ597">
            <v>10012.365591397851</v>
          </cell>
          <cell r="AK597">
            <v>0.29032258064516137</v>
          </cell>
          <cell r="AL597">
            <v>0.26881720430107525</v>
          </cell>
          <cell r="AM597"/>
          <cell r="AN597" t="str">
            <v>INFOKS</v>
          </cell>
          <cell r="AO597"/>
          <cell r="AP597"/>
          <cell r="AQ597"/>
          <cell r="AR597"/>
          <cell r="AS597"/>
          <cell r="AT597"/>
          <cell r="AU597">
            <v>8465</v>
          </cell>
          <cell r="AV597">
            <v>9311.5</v>
          </cell>
          <cell r="AW597"/>
          <cell r="AX597"/>
          <cell r="AZ597">
            <v>45644.607843137266</v>
          </cell>
          <cell r="BA597">
            <v>27386.76470588236</v>
          </cell>
          <cell r="BB597">
            <v>22822.303921568633</v>
          </cell>
          <cell r="BC597">
            <v>18257.843137254906</v>
          </cell>
        </row>
        <row r="598">
          <cell r="I598" t="str">
            <v>KFO288OM4MTZHC</v>
          </cell>
          <cell r="J598" t="str">
            <v/>
          </cell>
          <cell r="K598" t="str">
            <v>288FO OM4 MULTI LOOSE TUBE LSZH UNIVERSAL Cca ERIKA VIOLET RAL4003</v>
          </cell>
          <cell r="L598" t="str">
            <v>288FO OM4 MULTI TUBE STRUCTURE LIBRE LSZH UNIVERSEL Cca VIOLET ERIKA RAL4003</v>
          </cell>
          <cell r="M598" t="str">
            <v>Cca/B2ca</v>
          </cell>
          <cell r="N598" t="str">
            <v>Turkey</v>
          </cell>
          <cell r="O598"/>
          <cell r="P598" t="str">
            <v>2000m drum</v>
          </cell>
          <cell r="Q598" t="str">
            <v>4KM</v>
          </cell>
          <cell r="R598">
            <v>2</v>
          </cell>
          <cell r="S598" t="e">
            <v>#N/A</v>
          </cell>
          <cell r="T598">
            <v>8544700000</v>
          </cell>
          <cell r="U598">
            <v>0</v>
          </cell>
          <cell r="V598">
            <v>30</v>
          </cell>
          <cell r="W598">
            <v>45</v>
          </cell>
          <cell r="X598">
            <v>55</v>
          </cell>
          <cell r="Y598" t="str">
            <v>T/T against copy of document</v>
          </cell>
          <cell r="Z598">
            <v>39030.303030303032</v>
          </cell>
          <cell r="AA598">
            <v>36235.29411764707</v>
          </cell>
          <cell r="AB598">
            <v>7.0000000000000007E-2</v>
          </cell>
          <cell r="AC598">
            <v>7.0000000000000007E-2</v>
          </cell>
          <cell r="AD598">
            <v>0.32</v>
          </cell>
          <cell r="AE598" t="str">
            <v>C</v>
          </cell>
          <cell r="AF598">
            <v>36235.29411764707</v>
          </cell>
          <cell r="AG598">
            <v>0.32000000000000006</v>
          </cell>
          <cell r="AH598"/>
          <cell r="AI598">
            <v>27698.924731182797</v>
          </cell>
          <cell r="AJ598">
            <v>26494.623655913983</v>
          </cell>
          <cell r="AK598">
            <v>0.29032258064516125</v>
          </cell>
          <cell r="AL598">
            <v>0.26881720430107536</v>
          </cell>
          <cell r="AM598"/>
          <cell r="AN598" t="str">
            <v>INFOKS</v>
          </cell>
          <cell r="AO598"/>
          <cell r="AP598"/>
          <cell r="AQ598"/>
          <cell r="AR598"/>
          <cell r="AS598"/>
          <cell r="AT598"/>
          <cell r="AU598">
            <v>22400</v>
          </cell>
          <cell r="AV598">
            <v>24640.000000000004</v>
          </cell>
          <cell r="AW598"/>
          <cell r="AX598"/>
          <cell r="AZ598">
            <v>120784.31372549024</v>
          </cell>
          <cell r="BA598">
            <v>72470.588235294141</v>
          </cell>
          <cell r="BB598">
            <v>60392.15686274512</v>
          </cell>
          <cell r="BC598">
            <v>48313.725490196099</v>
          </cell>
        </row>
        <row r="599">
          <cell r="I599" t="str">
            <v>KFO6OM4TBZHC</v>
          </cell>
          <cell r="J599" t="str">
            <v>U0807010</v>
          </cell>
          <cell r="K599" t="str">
            <v>6FO OM4 TIGHT BUFFERED LSZH UNIVERSAL Cca ERIKA VIOLET RAL4003</v>
          </cell>
          <cell r="L599" t="str">
            <v>6FO OM4 STRUCTURE SERRÉE LSZH UNIVERSEL Cca VIOLET ERIKA RAL4003</v>
          </cell>
          <cell r="M599" t="str">
            <v>Cca</v>
          </cell>
          <cell r="N599" t="str">
            <v>Turkey</v>
          </cell>
          <cell r="O599"/>
          <cell r="P599" t="str">
            <v>2000m drum</v>
          </cell>
          <cell r="Q599" t="str">
            <v>4KM</v>
          </cell>
          <cell r="R599">
            <v>2</v>
          </cell>
          <cell r="S599" t="e">
            <v>#N/A</v>
          </cell>
          <cell r="T599">
            <v>8544700000</v>
          </cell>
          <cell r="U599">
            <v>0</v>
          </cell>
          <cell r="V599">
            <v>30</v>
          </cell>
          <cell r="W599">
            <v>45</v>
          </cell>
          <cell r="X599">
            <v>55</v>
          </cell>
          <cell r="Y599" t="str">
            <v>T/T against copy of document</v>
          </cell>
          <cell r="Z599">
            <v>902.57575757575762</v>
          </cell>
          <cell r="AA599">
            <v>837.9411764705884</v>
          </cell>
          <cell r="AB599">
            <v>7.0000000000000007E-2</v>
          </cell>
          <cell r="AC599">
            <v>7.0000000000000007E-2</v>
          </cell>
          <cell r="AD599">
            <v>0.32</v>
          </cell>
          <cell r="AE599" t="str">
            <v>C</v>
          </cell>
          <cell r="AF599">
            <v>837.9411764705884</v>
          </cell>
          <cell r="AG599">
            <v>0.32000000000000006</v>
          </cell>
          <cell r="AH599"/>
          <cell r="AI599">
            <v>640.53763440860212</v>
          </cell>
          <cell r="AJ599">
            <v>612.68817204301092</v>
          </cell>
          <cell r="AK599">
            <v>0.29032258064516137</v>
          </cell>
          <cell r="AL599">
            <v>0.26881720430107525</v>
          </cell>
          <cell r="AM599"/>
          <cell r="AN599" t="str">
            <v>INFOKS</v>
          </cell>
          <cell r="AO599"/>
          <cell r="AP599"/>
          <cell r="AQ599"/>
          <cell r="AR599"/>
          <cell r="AS599"/>
          <cell r="AT599"/>
          <cell r="AU599">
            <v>518</v>
          </cell>
          <cell r="AV599">
            <v>569.80000000000007</v>
          </cell>
          <cell r="AW599"/>
          <cell r="AX599"/>
          <cell r="AZ599">
            <v>2793.1372549019616</v>
          </cell>
          <cell r="BA599">
            <v>1675.8823529411768</v>
          </cell>
          <cell r="BB599">
            <v>1396.5686274509808</v>
          </cell>
          <cell r="BC599">
            <v>1117.2549019607848</v>
          </cell>
          <cell r="BE599">
            <v>837.9411764705884</v>
          </cell>
        </row>
        <row r="600">
          <cell r="I600" t="str">
            <v>KFO8OM4TBZHC</v>
          </cell>
          <cell r="J600" t="str">
            <v>U0807014</v>
          </cell>
          <cell r="K600" t="str">
            <v>8FO OM4 TIGHT BUFFERED LSZH UNIVERSAL Cca ERIKA VIOLET RAL4003</v>
          </cell>
          <cell r="L600" t="str">
            <v>8FO OM4 STRUCTURE SERRÉE  LSZH UNIVERSEL Cca VIOLET ERIKA RAL4003</v>
          </cell>
          <cell r="M600" t="str">
            <v>Cca</v>
          </cell>
          <cell r="N600" t="str">
            <v>Turkey</v>
          </cell>
          <cell r="O600"/>
          <cell r="P600" t="str">
            <v>2000m drum</v>
          </cell>
          <cell r="Q600" t="str">
            <v>4KM</v>
          </cell>
          <cell r="R600">
            <v>2</v>
          </cell>
          <cell r="S600" t="e">
            <v>#N/A</v>
          </cell>
          <cell r="T600">
            <v>8544700000</v>
          </cell>
          <cell r="U600">
            <v>0</v>
          </cell>
          <cell r="V600">
            <v>30</v>
          </cell>
          <cell r="W600">
            <v>45</v>
          </cell>
          <cell r="X600">
            <v>55</v>
          </cell>
          <cell r="Y600" t="str">
            <v>T/T against copy of document</v>
          </cell>
          <cell r="Z600">
            <v>1123.8636363636365</v>
          </cell>
          <cell r="AA600">
            <v>1043.3823529411768</v>
          </cell>
          <cell r="AB600">
            <v>7.0000000000000007E-2</v>
          </cell>
          <cell r="AC600">
            <v>7.0000000000000007E-2</v>
          </cell>
          <cell r="AD600">
            <v>0.32</v>
          </cell>
          <cell r="AE600" t="str">
            <v>C</v>
          </cell>
          <cell r="AF600">
            <v>1043.3823529411768</v>
          </cell>
          <cell r="AG600">
            <v>0.32000000000000006</v>
          </cell>
          <cell r="AH600"/>
          <cell r="AI600">
            <v>797.58064516129036</v>
          </cell>
          <cell r="AJ600">
            <v>762.90322580645181</v>
          </cell>
          <cell r="AK600">
            <v>0.29032258064516137</v>
          </cell>
          <cell r="AL600">
            <v>0.26881720430107536</v>
          </cell>
          <cell r="AM600"/>
          <cell r="AN600" t="str">
            <v>INFOKS</v>
          </cell>
          <cell r="AO600"/>
          <cell r="AP600"/>
          <cell r="AQ600"/>
          <cell r="AR600"/>
          <cell r="AS600"/>
          <cell r="AT600"/>
          <cell r="AU600">
            <v>645</v>
          </cell>
          <cell r="AV600">
            <v>709.50000000000011</v>
          </cell>
          <cell r="AW600"/>
          <cell r="AX600"/>
          <cell r="AZ600">
            <v>3477.9411764705897</v>
          </cell>
          <cell r="BA600">
            <v>2086.7647058823536</v>
          </cell>
          <cell r="BB600">
            <v>1738.9705882352948</v>
          </cell>
          <cell r="BC600">
            <v>1391.176470588236</v>
          </cell>
          <cell r="BE600">
            <v>1043.3823529411768</v>
          </cell>
        </row>
        <row r="601">
          <cell r="I601" t="str">
            <v>KFO12OM4TBZHC</v>
          </cell>
          <cell r="J601" t="str">
            <v>U0807002</v>
          </cell>
          <cell r="K601" t="str">
            <v>12FO OM4 TIGHT BUFFERED LSZH UNIVERSAL Cca ERIKA VIOLET RAL4003</v>
          </cell>
          <cell r="L601" t="str">
            <v>12FO OM4 STRUCTURE SERRÉE  LSZH UNIVERSEL Cca VIOLET ERIKA RAL4003</v>
          </cell>
          <cell r="M601" t="str">
            <v>Cca</v>
          </cell>
          <cell r="N601" t="str">
            <v>Turkey</v>
          </cell>
          <cell r="O601"/>
          <cell r="P601" t="str">
            <v>2000m drum</v>
          </cell>
          <cell r="Q601" t="str">
            <v>4KM</v>
          </cell>
          <cell r="R601">
            <v>2</v>
          </cell>
          <cell r="S601" t="e">
            <v>#N/A</v>
          </cell>
          <cell r="T601">
            <v>8544700000</v>
          </cell>
          <cell r="U601">
            <v>0</v>
          </cell>
          <cell r="V601">
            <v>30</v>
          </cell>
          <cell r="W601">
            <v>45</v>
          </cell>
          <cell r="X601">
            <v>55</v>
          </cell>
          <cell r="Y601" t="str">
            <v>T/T against copy of document</v>
          </cell>
          <cell r="Z601">
            <v>1550.757575757576</v>
          </cell>
          <cell r="AA601">
            <v>1439.7058823529414</v>
          </cell>
          <cell r="AB601">
            <v>7.0000000000000007E-2</v>
          </cell>
          <cell r="AC601">
            <v>7.0000000000000007E-2</v>
          </cell>
          <cell r="AD601">
            <v>0.32</v>
          </cell>
          <cell r="AE601" t="str">
            <v>C</v>
          </cell>
          <cell r="AF601">
            <v>1439.7058823529414</v>
          </cell>
          <cell r="AG601">
            <v>0.32000000000000006</v>
          </cell>
          <cell r="AH601"/>
          <cell r="AI601">
            <v>1100.5376344086021</v>
          </cell>
          <cell r="AJ601">
            <v>1052.688172043011</v>
          </cell>
          <cell r="AK601">
            <v>0.29032258064516137</v>
          </cell>
          <cell r="AL601">
            <v>0.26881720430107525</v>
          </cell>
          <cell r="AM601"/>
          <cell r="AN601" t="str">
            <v>INFOKS</v>
          </cell>
          <cell r="AO601"/>
          <cell r="AP601"/>
          <cell r="AQ601"/>
          <cell r="AR601"/>
          <cell r="AS601"/>
          <cell r="AT601"/>
          <cell r="AU601">
            <v>890</v>
          </cell>
          <cell r="AV601">
            <v>979.00000000000011</v>
          </cell>
          <cell r="AW601"/>
          <cell r="AX601"/>
          <cell r="AZ601">
            <v>4799.0196078431381</v>
          </cell>
          <cell r="BA601">
            <v>2879.4117647058829</v>
          </cell>
          <cell r="BB601">
            <v>2399.5098039215691</v>
          </cell>
          <cell r="BC601">
            <v>1919.6078431372553</v>
          </cell>
          <cell r="BE601">
            <v>1439.7058823529414</v>
          </cell>
        </row>
        <row r="602">
          <cell r="I602" t="str">
            <v>KFO24OM4TBZHC</v>
          </cell>
          <cell r="J602" t="str">
            <v>U0807006</v>
          </cell>
          <cell r="K602" t="str">
            <v>24FO OM4 TIGHT BUFFERED LSZH UNIVERSAL Cca ERIKA VIOLET RAL4003</v>
          </cell>
          <cell r="L602" t="str">
            <v>24FO OM4 STRUCTURE SERRÉE  LSZH UNIVERSEL Cca VIOLET ERIKA RAL4003</v>
          </cell>
          <cell r="M602" t="str">
            <v>Cca</v>
          </cell>
          <cell r="N602" t="str">
            <v>Turkey</v>
          </cell>
          <cell r="O602"/>
          <cell r="P602" t="str">
            <v>2000m drum</v>
          </cell>
          <cell r="Q602" t="str">
            <v>4KM</v>
          </cell>
          <cell r="R602">
            <v>2</v>
          </cell>
          <cell r="S602" t="e">
            <v>#N/A</v>
          </cell>
          <cell r="T602">
            <v>8544700000</v>
          </cell>
          <cell r="U602">
            <v>0</v>
          </cell>
          <cell r="V602">
            <v>30</v>
          </cell>
          <cell r="W602">
            <v>45</v>
          </cell>
          <cell r="X602">
            <v>55</v>
          </cell>
          <cell r="Y602" t="str">
            <v>T/T against copy of document</v>
          </cell>
          <cell r="Z602">
            <v>2892.4242424242425</v>
          </cell>
          <cell r="AA602">
            <v>2685.2941176470595</v>
          </cell>
          <cell r="AB602">
            <v>7.0000000000000007E-2</v>
          </cell>
          <cell r="AC602">
            <v>7.0000000000000007E-2</v>
          </cell>
          <cell r="AD602">
            <v>0.32</v>
          </cell>
          <cell r="AE602" t="str">
            <v>C</v>
          </cell>
          <cell r="AF602">
            <v>2685.2941176470595</v>
          </cell>
          <cell r="AG602">
            <v>0.32000000000000006</v>
          </cell>
          <cell r="AH602"/>
          <cell r="AI602">
            <v>2052.6881720430106</v>
          </cell>
          <cell r="AJ602">
            <v>1963.440860215054</v>
          </cell>
          <cell r="AK602">
            <v>0.29032258064516137</v>
          </cell>
          <cell r="AL602">
            <v>0.26881720430107536</v>
          </cell>
          <cell r="AM602"/>
          <cell r="AN602" t="str">
            <v>INFOKS</v>
          </cell>
          <cell r="AO602"/>
          <cell r="AP602"/>
          <cell r="AQ602"/>
          <cell r="AR602"/>
          <cell r="AS602"/>
          <cell r="AT602"/>
          <cell r="AU602">
            <v>1660</v>
          </cell>
          <cell r="AV602">
            <v>1826.0000000000002</v>
          </cell>
          <cell r="AW602"/>
          <cell r="AX602"/>
          <cell r="AZ602">
            <v>8950.9803921568655</v>
          </cell>
          <cell r="BA602">
            <v>5370.5882352941189</v>
          </cell>
          <cell r="BB602">
            <v>4475.4901960784327</v>
          </cell>
          <cell r="BC602">
            <v>3580.3921568627466</v>
          </cell>
          <cell r="BE602">
            <v>2685.2941176470595</v>
          </cell>
        </row>
        <row r="603">
          <cell r="I603" t="str">
            <v>KFO6OM5TBZHC</v>
          </cell>
          <cell r="J603" t="str">
            <v>U0807011</v>
          </cell>
          <cell r="K603" t="str">
            <v>6FO OM5 TIGHT BUFFERED LSZH UNIVERSAL Cca LIME GREEN RAL 6039</v>
          </cell>
          <cell r="L603" t="str">
            <v>6FO OM5 STRUCTURE SERRÉE LSZH UNIVERSEL Cca VERT LIME RAL 6039</v>
          </cell>
          <cell r="M603" t="str">
            <v>Cca</v>
          </cell>
          <cell r="N603" t="str">
            <v>Turkey</v>
          </cell>
          <cell r="O603"/>
          <cell r="P603" t="str">
            <v>2000m drum</v>
          </cell>
          <cell r="Q603" t="str">
            <v>4KM</v>
          </cell>
          <cell r="R603">
            <v>2</v>
          </cell>
          <cell r="S603" t="e">
            <v>#N/A</v>
          </cell>
          <cell r="T603">
            <v>8544700000</v>
          </cell>
          <cell r="U603">
            <v>0</v>
          </cell>
          <cell r="V603">
            <v>30</v>
          </cell>
          <cell r="W603">
            <v>45</v>
          </cell>
          <cell r="X603">
            <v>55</v>
          </cell>
          <cell r="Y603" t="str">
            <v>T/T against copy of document</v>
          </cell>
          <cell r="Z603">
            <v>1568.1818181818182</v>
          </cell>
          <cell r="AA603">
            <v>1455.8823529411768</v>
          </cell>
          <cell r="AB603">
            <v>7.0000000000000007E-2</v>
          </cell>
          <cell r="AC603">
            <v>7.0000000000000007E-2</v>
          </cell>
          <cell r="AD603">
            <v>0.32</v>
          </cell>
          <cell r="AE603" t="str">
            <v>C</v>
          </cell>
          <cell r="AF603">
            <v>1455.8823529411768</v>
          </cell>
          <cell r="AG603">
            <v>0.32000000000000006</v>
          </cell>
          <cell r="AH603"/>
          <cell r="AI603">
            <v>1112.9032258064517</v>
          </cell>
          <cell r="AJ603">
            <v>1064.5161290322583</v>
          </cell>
          <cell r="AK603">
            <v>0.29032258064516125</v>
          </cell>
          <cell r="AL603">
            <v>0.26881720430107525</v>
          </cell>
          <cell r="AM603"/>
          <cell r="AN603" t="str">
            <v>INFOKS</v>
          </cell>
          <cell r="AO603"/>
          <cell r="AP603"/>
          <cell r="AQ603"/>
          <cell r="AR603"/>
          <cell r="AS603"/>
          <cell r="AT603"/>
          <cell r="AU603">
            <v>900</v>
          </cell>
          <cell r="AV603">
            <v>990.00000000000011</v>
          </cell>
          <cell r="AW603"/>
          <cell r="AX603"/>
          <cell r="AZ603">
            <v>4852.9411764705892</v>
          </cell>
          <cell r="BA603">
            <v>2911.7647058823536</v>
          </cell>
          <cell r="BB603">
            <v>2426.4705882352946</v>
          </cell>
          <cell r="BC603">
            <v>1941.1764705882358</v>
          </cell>
          <cell r="BE603">
            <v>1455.8823529411768</v>
          </cell>
        </row>
        <row r="604">
          <cell r="I604" t="str">
            <v>KFO8OM5TBZHC</v>
          </cell>
          <cell r="J604" t="str">
            <v>U0807015</v>
          </cell>
          <cell r="K604" t="str">
            <v>8FO OM5 TIGHT BUFFERED LSZH UNIVERSAL Cca LIME GREEN RAL 6039</v>
          </cell>
          <cell r="L604" t="str">
            <v>8FO OM5 STRUCTURE SERRÉE  LSZH UNIVERSEL Cca VERT LIME RAL 6039</v>
          </cell>
          <cell r="M604" t="str">
            <v>Cca</v>
          </cell>
          <cell r="N604" t="str">
            <v>Turkey</v>
          </cell>
          <cell r="O604"/>
          <cell r="P604" t="str">
            <v>2000m drum</v>
          </cell>
          <cell r="Q604" t="str">
            <v>4KM</v>
          </cell>
          <cell r="R604">
            <v>2</v>
          </cell>
          <cell r="S604" t="e">
            <v>#N/A</v>
          </cell>
          <cell r="T604">
            <v>8544700000</v>
          </cell>
          <cell r="U604">
            <v>0</v>
          </cell>
          <cell r="V604">
            <v>30</v>
          </cell>
          <cell r="W604">
            <v>45</v>
          </cell>
          <cell r="X604">
            <v>55</v>
          </cell>
          <cell r="Y604" t="str">
            <v>T/T against copy of document</v>
          </cell>
          <cell r="Z604">
            <v>2021.2121212121212</v>
          </cell>
          <cell r="AA604">
            <v>1876.4705882352944</v>
          </cell>
          <cell r="AB604">
            <v>7.0000000000000007E-2</v>
          </cell>
          <cell r="AC604">
            <v>7.0000000000000007E-2</v>
          </cell>
          <cell r="AD604">
            <v>0.32</v>
          </cell>
          <cell r="AE604" t="str">
            <v>C</v>
          </cell>
          <cell r="AF604">
            <v>1876.4705882352944</v>
          </cell>
          <cell r="AG604">
            <v>0.32000000000000006</v>
          </cell>
          <cell r="AH604"/>
          <cell r="AI604">
            <v>1434.4086021505377</v>
          </cell>
          <cell r="AJ604">
            <v>1372.0430107526884</v>
          </cell>
          <cell r="AK604">
            <v>0.29032258064516125</v>
          </cell>
          <cell r="AL604">
            <v>0.26881720430107525</v>
          </cell>
          <cell r="AM604"/>
          <cell r="AN604" t="str">
            <v>INFOKS</v>
          </cell>
          <cell r="AO604"/>
          <cell r="AP604"/>
          <cell r="AQ604"/>
          <cell r="AR604"/>
          <cell r="AS604"/>
          <cell r="AT604"/>
          <cell r="AU604">
            <v>1160</v>
          </cell>
          <cell r="AV604">
            <v>1276</v>
          </cell>
          <cell r="AW604"/>
          <cell r="AX604"/>
          <cell r="AZ604">
            <v>6254.9019607843147</v>
          </cell>
          <cell r="BA604">
            <v>3752.9411764705887</v>
          </cell>
          <cell r="BB604">
            <v>3127.4509803921574</v>
          </cell>
          <cell r="BC604">
            <v>2501.960784313726</v>
          </cell>
          <cell r="BE604">
            <v>1876.4705882352944</v>
          </cell>
        </row>
        <row r="605">
          <cell r="I605" t="str">
            <v>KFO12OM5TBZHC</v>
          </cell>
          <cell r="J605" t="str">
            <v>U0807003</v>
          </cell>
          <cell r="K605" t="str">
            <v>12FO OM5 TIGHT BUFFERED LSZH UNIVERSAL Cca LIME GREEN RAL 6039</v>
          </cell>
          <cell r="L605" t="str">
            <v>12FO OM5 STRUCTURE SERRÉE  LSZH UNIVERSEL Cca VERT LIME RAL 6039</v>
          </cell>
          <cell r="M605" t="str">
            <v>Cca</v>
          </cell>
          <cell r="N605" t="str">
            <v>Turkey</v>
          </cell>
          <cell r="O605"/>
          <cell r="P605" t="str">
            <v>2000m drum</v>
          </cell>
          <cell r="Q605" t="str">
            <v>4KM</v>
          </cell>
          <cell r="R605">
            <v>2</v>
          </cell>
          <cell r="S605" t="e">
            <v>#N/A</v>
          </cell>
          <cell r="T605">
            <v>8544700000</v>
          </cell>
          <cell r="U605">
            <v>0</v>
          </cell>
          <cell r="V605">
            <v>30</v>
          </cell>
          <cell r="W605">
            <v>45</v>
          </cell>
          <cell r="X605">
            <v>55</v>
          </cell>
          <cell r="Y605" t="str">
            <v>T/T against copy of document</v>
          </cell>
          <cell r="Z605">
            <v>3040.5303030303035</v>
          </cell>
          <cell r="AA605">
            <v>2822.7941176470595</v>
          </cell>
          <cell r="AB605">
            <v>7.0000000000000007E-2</v>
          </cell>
          <cell r="AC605">
            <v>7.0000000000000007E-2</v>
          </cell>
          <cell r="AD605">
            <v>0.32</v>
          </cell>
          <cell r="AE605" t="str">
            <v>C</v>
          </cell>
          <cell r="AF605">
            <v>2822.7941176470595</v>
          </cell>
          <cell r="AG605">
            <v>0.32000000000000006</v>
          </cell>
          <cell r="AH605"/>
          <cell r="AI605">
            <v>2157.7956989247314</v>
          </cell>
          <cell r="AJ605">
            <v>2063.9784946236564</v>
          </cell>
          <cell r="AK605">
            <v>0.29032258064516137</v>
          </cell>
          <cell r="AL605">
            <v>0.26881720430107525</v>
          </cell>
          <cell r="AM605"/>
          <cell r="AN605" t="str">
            <v>INFOKS</v>
          </cell>
          <cell r="AO605"/>
          <cell r="AP605"/>
          <cell r="AQ605"/>
          <cell r="AR605"/>
          <cell r="AS605"/>
          <cell r="AT605"/>
          <cell r="AU605">
            <v>1745</v>
          </cell>
          <cell r="AV605">
            <v>1919.5000000000002</v>
          </cell>
          <cell r="AW605"/>
          <cell r="AX605"/>
          <cell r="AZ605">
            <v>9409.3137254901994</v>
          </cell>
          <cell r="BA605">
            <v>5645.5882352941198</v>
          </cell>
          <cell r="BB605">
            <v>4704.6568627450997</v>
          </cell>
          <cell r="BC605">
            <v>3763.72549019608</v>
          </cell>
          <cell r="BE605">
            <v>2822.7941176470595</v>
          </cell>
        </row>
        <row r="606">
          <cell r="I606" t="str">
            <v>KFO24OM5TBZHC</v>
          </cell>
          <cell r="J606" t="str">
            <v>U0807007</v>
          </cell>
          <cell r="K606" t="str">
            <v>24FO OM5 TIGHT BUFFERED LSZH UNIVERSAL Cca LIME GREEN RAL 6039</v>
          </cell>
          <cell r="L606" t="str">
            <v>24FO OM5 STRUCTURE SERRÉE  LSZH UNIVERSEL Cca VERT LIME RAL 6039</v>
          </cell>
          <cell r="M606" t="str">
            <v>Cca</v>
          </cell>
          <cell r="N606" t="str">
            <v>Turkey</v>
          </cell>
          <cell r="O606"/>
          <cell r="P606" t="str">
            <v>2000m drum</v>
          </cell>
          <cell r="Q606" t="str">
            <v>4KM</v>
          </cell>
          <cell r="R606">
            <v>2</v>
          </cell>
          <cell r="S606" t="e">
            <v>#N/A</v>
          </cell>
          <cell r="T606">
            <v>8544700000</v>
          </cell>
          <cell r="U606">
            <v>0</v>
          </cell>
          <cell r="V606">
            <v>30</v>
          </cell>
          <cell r="W606">
            <v>45</v>
          </cell>
          <cell r="X606">
            <v>55</v>
          </cell>
          <cell r="Y606" t="str">
            <v>T/T against copy of document</v>
          </cell>
          <cell r="Z606">
            <v>5770.909090909091</v>
          </cell>
          <cell r="AA606">
            <v>5357.6470588235306</v>
          </cell>
          <cell r="AB606">
            <v>7.0000000000000007E-2</v>
          </cell>
          <cell r="AC606">
            <v>7.0000000000000007E-2</v>
          </cell>
          <cell r="AD606">
            <v>0.32</v>
          </cell>
          <cell r="AE606" t="str">
            <v>C</v>
          </cell>
          <cell r="AF606">
            <v>5357.6470588235306</v>
          </cell>
          <cell r="AG606">
            <v>0.32000000000000006</v>
          </cell>
          <cell r="AH606"/>
          <cell r="AI606">
            <v>4095.483870967742</v>
          </cell>
          <cell r="AJ606">
            <v>3917.4193548387102</v>
          </cell>
          <cell r="AK606">
            <v>0.29032258064516125</v>
          </cell>
          <cell r="AL606">
            <v>0.26881720430107536</v>
          </cell>
          <cell r="AM606"/>
          <cell r="AN606" t="str">
            <v>INFOKS</v>
          </cell>
          <cell r="AO606"/>
          <cell r="AP606"/>
          <cell r="AQ606"/>
          <cell r="AR606"/>
          <cell r="AS606"/>
          <cell r="AT606"/>
          <cell r="AU606">
            <v>3312</v>
          </cell>
          <cell r="AV606">
            <v>3643.2000000000003</v>
          </cell>
          <cell r="AW606"/>
          <cell r="AX606"/>
          <cell r="AZ606">
            <v>17858.823529411769</v>
          </cell>
          <cell r="BA606">
            <v>10715.294117647061</v>
          </cell>
          <cell r="BB606">
            <v>8929.4117647058847</v>
          </cell>
          <cell r="BC606">
            <v>7143.5294117647081</v>
          </cell>
          <cell r="BE606">
            <v>5357.6470588235306</v>
          </cell>
        </row>
        <row r="607">
          <cell r="I607" t="str">
            <v>KFO48OM4MT</v>
          </cell>
          <cell r="J607" t="str">
            <v>U0805002</v>
          </cell>
          <cell r="K607" t="str">
            <v>48FO OM4 MULTI LOOSE TUBE PEHD OUTDOOR BLACK RAL 9005</v>
          </cell>
          <cell r="L607" t="str">
            <v xml:space="preserve">48FO OM4 MULTI TUBE STRUCTURE LIBRE PEHD EXTÉRIEUR NOIR RAL9005 </v>
          </cell>
          <cell r="M607" t="str">
            <v>Fca</v>
          </cell>
          <cell r="N607" t="str">
            <v>Turkey</v>
          </cell>
          <cell r="O607"/>
          <cell r="P607" t="str">
            <v>2000m drum</v>
          </cell>
          <cell r="Q607" t="str">
            <v>4KM</v>
          </cell>
          <cell r="R607">
            <v>2</v>
          </cell>
          <cell r="S607" t="e">
            <v>#N/A</v>
          </cell>
          <cell r="T607">
            <v>8544700000</v>
          </cell>
          <cell r="U607">
            <v>0</v>
          </cell>
          <cell r="V607">
            <v>30</v>
          </cell>
          <cell r="W607">
            <v>45</v>
          </cell>
          <cell r="X607">
            <v>55</v>
          </cell>
          <cell r="Y607" t="str">
            <v>T/T against copy of document</v>
          </cell>
          <cell r="Z607">
            <v>5366.666666666667</v>
          </cell>
          <cell r="AA607">
            <v>4982.3529411764721</v>
          </cell>
          <cell r="AB607">
            <v>7.0000000000000007E-2</v>
          </cell>
          <cell r="AC607">
            <v>7.0000000000000007E-2</v>
          </cell>
          <cell r="AD607">
            <v>0.32</v>
          </cell>
          <cell r="AE607" t="str">
            <v>C</v>
          </cell>
          <cell r="AF607">
            <v>4982.3529411764721</v>
          </cell>
          <cell r="AG607">
            <v>0.32000000000000006</v>
          </cell>
          <cell r="AH607"/>
          <cell r="AI607">
            <v>3808.6021505376343</v>
          </cell>
          <cell r="AJ607">
            <v>3643.0107526881729</v>
          </cell>
          <cell r="AK607">
            <v>0.29032258064516137</v>
          </cell>
          <cell r="AL607">
            <v>0.26881720430107536</v>
          </cell>
          <cell r="AM607"/>
          <cell r="AN607" t="str">
            <v>INFOKS</v>
          </cell>
          <cell r="AO607"/>
          <cell r="AP607"/>
          <cell r="AQ607"/>
          <cell r="AR607"/>
          <cell r="AS607"/>
          <cell r="AT607"/>
          <cell r="AU607">
            <v>3080</v>
          </cell>
          <cell r="AV607">
            <v>3388.0000000000005</v>
          </cell>
          <cell r="AW607"/>
          <cell r="AX607"/>
          <cell r="AZ607">
            <v>16607.843137254909</v>
          </cell>
          <cell r="BA607">
            <v>9964.705882352946</v>
          </cell>
          <cell r="BB607">
            <v>8303.9215686274547</v>
          </cell>
          <cell r="BC607">
            <v>6643.1372549019643</v>
          </cell>
          <cell r="BE607">
            <v>4982.3529411764721</v>
          </cell>
        </row>
        <row r="608">
          <cell r="I608" t="str">
            <v>KFO96OM4MT</v>
          </cell>
          <cell r="J608" t="str">
            <v>U0805005</v>
          </cell>
          <cell r="K608" t="str">
            <v>96FO OM4 MULTI LOOSE TUBE PEHD OUTDOOR BLACK RAL 9005</v>
          </cell>
          <cell r="L608" t="str">
            <v xml:space="preserve">96FO OM4 MULTI TUBE STRUCTURE LIBREPEHD EXTÉRIEUR NOIR RAL9005 </v>
          </cell>
          <cell r="M608" t="str">
            <v>Fca</v>
          </cell>
          <cell r="N608" t="str">
            <v>Turkey</v>
          </cell>
          <cell r="O608"/>
          <cell r="P608" t="str">
            <v>2000m drum</v>
          </cell>
          <cell r="Q608" t="str">
            <v>4KM</v>
          </cell>
          <cell r="R608">
            <v>2</v>
          </cell>
          <cell r="S608" t="e">
            <v>#N/A</v>
          </cell>
          <cell r="T608">
            <v>8544700000</v>
          </cell>
          <cell r="U608">
            <v>0</v>
          </cell>
          <cell r="V608">
            <v>30</v>
          </cell>
          <cell r="W608">
            <v>45</v>
          </cell>
          <cell r="X608">
            <v>55</v>
          </cell>
          <cell r="Y608" t="str">
            <v>T/T against copy of document</v>
          </cell>
          <cell r="Z608">
            <v>10085.151515151514</v>
          </cell>
          <cell r="AA608">
            <v>9362.9411764705892</v>
          </cell>
          <cell r="AB608">
            <v>7.0000000000000007E-2</v>
          </cell>
          <cell r="AC608">
            <v>7.0000000000000007E-2</v>
          </cell>
          <cell r="AD608">
            <v>0.32</v>
          </cell>
          <cell r="AE608" t="str">
            <v>C</v>
          </cell>
          <cell r="AF608">
            <v>9362.9411764705892</v>
          </cell>
          <cell r="AG608">
            <v>0.32000000000000006</v>
          </cell>
          <cell r="AH608"/>
          <cell r="AI608">
            <v>7157.2043010752686</v>
          </cell>
          <cell r="AJ608">
            <v>6846.021505376345</v>
          </cell>
          <cell r="AK608">
            <v>0.29032258064516125</v>
          </cell>
          <cell r="AL608">
            <v>0.26881720430107525</v>
          </cell>
          <cell r="AM608"/>
          <cell r="AN608" t="str">
            <v>INFOKS</v>
          </cell>
          <cell r="AO608"/>
          <cell r="AP608"/>
          <cell r="AQ608"/>
          <cell r="AR608"/>
          <cell r="AS608"/>
          <cell r="AT608"/>
          <cell r="AU608">
            <v>5788</v>
          </cell>
          <cell r="AV608">
            <v>6366.8</v>
          </cell>
          <cell r="AW608"/>
          <cell r="AX608"/>
          <cell r="AZ608">
            <v>31209.803921568633</v>
          </cell>
          <cell r="BA608">
            <v>18725.882352941178</v>
          </cell>
          <cell r="BB608">
            <v>15604.901960784317</v>
          </cell>
          <cell r="BC608">
            <v>12483.921568627455</v>
          </cell>
          <cell r="BE608">
            <v>9362.9411764705892</v>
          </cell>
        </row>
        <row r="609">
          <cell r="I609" t="str">
            <v>KFO48OM4MTA</v>
          </cell>
          <cell r="J609" t="str">
            <v>U0804002</v>
          </cell>
          <cell r="K609" t="str">
            <v>48FO OM4 MULTI LOOSE TUBE ARMORDED PEHD OUTDOOR BLACK RAL 9005</v>
          </cell>
          <cell r="L609" t="str">
            <v xml:space="preserve">48FO OM4 MULTI TUBE STRUCTURE LIBRE ARMÉ PEHD EXTÉRIEUR NOIR RAL9005 </v>
          </cell>
          <cell r="M609" t="str">
            <v>Fca</v>
          </cell>
          <cell r="N609" t="str">
            <v>Turkey</v>
          </cell>
          <cell r="O609"/>
          <cell r="P609" t="str">
            <v>2000m drum</v>
          </cell>
          <cell r="Q609" t="str">
            <v>4KM</v>
          </cell>
          <cell r="R609">
            <v>2</v>
          </cell>
          <cell r="S609" t="e">
            <v>#N/A</v>
          </cell>
          <cell r="T609">
            <v>8544700000</v>
          </cell>
          <cell r="U609">
            <v>0</v>
          </cell>
          <cell r="V609">
            <v>30</v>
          </cell>
          <cell r="W609">
            <v>45</v>
          </cell>
          <cell r="X609">
            <v>55</v>
          </cell>
          <cell r="Y609" t="str">
            <v>T/T against copy of document</v>
          </cell>
          <cell r="Z609">
            <v>5300.1470588235288</v>
          </cell>
          <cell r="AA609">
            <v>4924.8571428571431</v>
          </cell>
          <cell r="AB609">
            <v>7.0000000000000007E-2</v>
          </cell>
          <cell r="AC609">
            <v>7.0000000000000007E-2</v>
          </cell>
          <cell r="AD609">
            <v>0.3</v>
          </cell>
          <cell r="AE609" t="str">
            <v>C</v>
          </cell>
          <cell r="AF609">
            <v>4924.8571428571431</v>
          </cell>
          <cell r="AG609">
            <v>0.30000000000000004</v>
          </cell>
          <cell r="AH609"/>
          <cell r="AI609">
            <v>3875.3763440860212</v>
          </cell>
          <cell r="AJ609">
            <v>3706.8817204301081</v>
          </cell>
          <cell r="AK609">
            <v>0.26881720430107525</v>
          </cell>
          <cell r="AL609">
            <v>0.24731182795698914</v>
          </cell>
          <cell r="AM609"/>
          <cell r="AN609" t="str">
            <v>INFOKS</v>
          </cell>
          <cell r="AO609"/>
          <cell r="AP609"/>
          <cell r="AQ609"/>
          <cell r="AR609"/>
          <cell r="AS609"/>
          <cell r="AT609"/>
          <cell r="AU609">
            <v>3134</v>
          </cell>
          <cell r="AV609">
            <v>3447.4</v>
          </cell>
          <cell r="AW609"/>
          <cell r="AX609"/>
          <cell r="AZ609">
            <v>16416.190476190477</v>
          </cell>
          <cell r="BA609">
            <v>9849.7142857142862</v>
          </cell>
          <cell r="BB609">
            <v>8208.0952380952385</v>
          </cell>
          <cell r="BC609">
            <v>6566.4761904761908</v>
          </cell>
          <cell r="BE609">
            <v>4924.8571428571431</v>
          </cell>
        </row>
        <row r="610">
          <cell r="I610" t="str">
            <v>KFO96OM4MTA</v>
          </cell>
          <cell r="J610" t="str">
            <v>U0804005</v>
          </cell>
          <cell r="K610" t="str">
            <v>96FO OM4 MULTI LOOSE TUBE ARMORDED PEHD OUTDOOR BLACK RAL 9005</v>
          </cell>
          <cell r="L610" t="str">
            <v xml:space="preserve">96FO OM4 MULTI TUBE STRUCTURE LIBRE ARMÉ PEHD EXTÉRIEUR NOIR RAL9005 </v>
          </cell>
          <cell r="M610" t="str">
            <v>Fca</v>
          </cell>
          <cell r="N610" t="str">
            <v>Turkey</v>
          </cell>
          <cell r="O610"/>
          <cell r="P610" t="str">
            <v>2000m drum</v>
          </cell>
          <cell r="Q610" t="str">
            <v>4KM</v>
          </cell>
          <cell r="R610">
            <v>2</v>
          </cell>
          <cell r="S610" t="e">
            <v>#N/A</v>
          </cell>
          <cell r="T610">
            <v>8544700000</v>
          </cell>
          <cell r="U610">
            <v>0</v>
          </cell>
          <cell r="V610">
            <v>30</v>
          </cell>
          <cell r="W610">
            <v>45</v>
          </cell>
          <cell r="X610">
            <v>55</v>
          </cell>
          <cell r="Y610" t="str">
            <v>T/T against copy of document</v>
          </cell>
          <cell r="Z610">
            <v>9935.6617647058829</v>
          </cell>
          <cell r="AA610">
            <v>9232.1428571428587</v>
          </cell>
          <cell r="AB610">
            <v>7.0000000000000007E-2</v>
          </cell>
          <cell r="AC610">
            <v>7.0000000000000007E-2</v>
          </cell>
          <cell r="AD610">
            <v>0.3</v>
          </cell>
          <cell r="AE610" t="str">
            <v>C</v>
          </cell>
          <cell r="AF610">
            <v>9232.1428571428587</v>
          </cell>
          <cell r="AG610">
            <v>0.30000000000000004</v>
          </cell>
          <cell r="AH610"/>
          <cell r="AI610">
            <v>7264.7849462365593</v>
          </cell>
          <cell r="AJ610">
            <v>6948.9247311827976</v>
          </cell>
          <cell r="AK610">
            <v>0.26881720430107525</v>
          </cell>
          <cell r="AL610">
            <v>0.24731182795698914</v>
          </cell>
          <cell r="AM610"/>
          <cell r="AN610" t="str">
            <v>INFOKS</v>
          </cell>
          <cell r="AO610"/>
          <cell r="AP610"/>
          <cell r="AQ610"/>
          <cell r="AR610"/>
          <cell r="AS610"/>
          <cell r="AT610"/>
          <cell r="AU610">
            <v>5875</v>
          </cell>
          <cell r="AV610">
            <v>6462.5000000000009</v>
          </cell>
          <cell r="AW610"/>
          <cell r="AX610"/>
          <cell r="AZ610">
            <v>30773.80952380953</v>
          </cell>
          <cell r="BA610">
            <v>18464.285714285717</v>
          </cell>
          <cell r="BB610">
            <v>15386.904761904765</v>
          </cell>
          <cell r="BC610">
            <v>12309.523809523813</v>
          </cell>
          <cell r="BE610">
            <v>9232.1428571428587</v>
          </cell>
        </row>
        <row r="611">
          <cell r="I611" t="str">
            <v>KFO12OM4MTAZHB2</v>
          </cell>
          <cell r="J611" t="str">
            <v/>
          </cell>
          <cell r="K611" t="str">
            <v>12FO OM4 MULTI LOOSE TUBE ARMORDED SIMPLE JACKET LSZH B2ca OUTDOOR ERIKA VIOLET RAL4003</v>
          </cell>
          <cell r="L611" t="str">
            <v>12FO OM4 MULTITUBE STRUCTURE LIBRE ARME SIMPLE GAINE LSZH B2ca EXTÉRIEUR VIOLET ERIKA RAL4003</v>
          </cell>
          <cell r="M611" t="str">
            <v>B2ca</v>
          </cell>
          <cell r="N611" t="str">
            <v>Turkey</v>
          </cell>
          <cell r="O611"/>
          <cell r="P611" t="str">
            <v>2000m drum</v>
          </cell>
          <cell r="Q611" t="str">
            <v>4KM</v>
          </cell>
          <cell r="R611">
            <v>2</v>
          </cell>
          <cell r="S611" t="e">
            <v>#N/A</v>
          </cell>
          <cell r="T611">
            <v>8544700000</v>
          </cell>
          <cell r="U611">
            <v>0</v>
          </cell>
          <cell r="V611">
            <v>30</v>
          </cell>
          <cell r="W611">
            <v>45</v>
          </cell>
          <cell r="X611">
            <v>55</v>
          </cell>
          <cell r="Y611" t="str">
            <v>T/T against copy of document</v>
          </cell>
          <cell r="Z611">
            <v>2097.5352112676055</v>
          </cell>
          <cell r="AA611">
            <v>1951.3698630136989</v>
          </cell>
          <cell r="AB611">
            <v>7.0000000000000007E-2</v>
          </cell>
          <cell r="AC611">
            <v>7.0000000000000007E-2</v>
          </cell>
          <cell r="AD611">
            <v>0.27</v>
          </cell>
          <cell r="AE611" t="str">
            <v>C</v>
          </cell>
          <cell r="AF611">
            <v>1951.3698630136989</v>
          </cell>
          <cell r="AG611">
            <v>0.27</v>
          </cell>
          <cell r="AH611"/>
          <cell r="AI611">
            <v>1601.3440860215053</v>
          </cell>
          <cell r="AJ611">
            <v>1531.7204301075271</v>
          </cell>
          <cell r="AK611">
            <v>0.23655913978494625</v>
          </cell>
          <cell r="AL611">
            <v>0.21505376344086025</v>
          </cell>
          <cell r="AM611"/>
          <cell r="AN611" t="str">
            <v>INFOKS</v>
          </cell>
          <cell r="AO611"/>
          <cell r="AP611"/>
          <cell r="AQ611"/>
          <cell r="AR611"/>
          <cell r="AS611"/>
          <cell r="AT611"/>
          <cell r="AU611">
            <v>1295</v>
          </cell>
          <cell r="AV611">
            <v>1424.5000000000002</v>
          </cell>
          <cell r="AW611"/>
          <cell r="AX611"/>
          <cell r="AZ611">
            <v>6504.566210045663</v>
          </cell>
          <cell r="BA611">
            <v>3902.7397260273974</v>
          </cell>
          <cell r="BB611">
            <v>3252.2831050228315</v>
          </cell>
          <cell r="BC611">
            <v>2601.8264840182655</v>
          </cell>
        </row>
        <row r="612">
          <cell r="I612" t="str">
            <v>KFO24OM4MTAZHB2</v>
          </cell>
          <cell r="J612" t="str">
            <v/>
          </cell>
          <cell r="K612" t="str">
            <v>24FO OM4 MULTI LOOSE TUBE ARMORDED SIMPLE JACKET LSZH B2ca OUTDOOR ERIKA VIOLET RAL4003</v>
          </cell>
          <cell r="L612" t="str">
            <v>24FO OM4 MULTITUBE STRUCTURE LIBRE ARME SIMPLE GAINE LSZH B2ca EXTÉRIEUR VIOLET ERIKA RAL4003</v>
          </cell>
          <cell r="M612" t="str">
            <v>B2ca</v>
          </cell>
          <cell r="N612" t="str">
            <v>Turkey</v>
          </cell>
          <cell r="O612"/>
          <cell r="P612" t="str">
            <v>2000m drum</v>
          </cell>
          <cell r="Q612" t="str">
            <v>4KM</v>
          </cell>
          <cell r="R612">
            <v>2</v>
          </cell>
          <cell r="S612" t="e">
            <v>#N/A</v>
          </cell>
          <cell r="T612">
            <v>8544700000</v>
          </cell>
          <cell r="U612">
            <v>0</v>
          </cell>
          <cell r="V612">
            <v>30</v>
          </cell>
          <cell r="W612">
            <v>45</v>
          </cell>
          <cell r="X612">
            <v>55</v>
          </cell>
          <cell r="Y612" t="str">
            <v>T/T against copy of document</v>
          </cell>
          <cell r="Z612">
            <v>3294.5070422535209</v>
          </cell>
          <cell r="AA612">
            <v>3064.9315068493152</v>
          </cell>
          <cell r="AB612">
            <v>7.0000000000000007E-2</v>
          </cell>
          <cell r="AC612">
            <v>7.0000000000000007E-2</v>
          </cell>
          <cell r="AD612">
            <v>0.27</v>
          </cell>
          <cell r="AE612" t="str">
            <v>C</v>
          </cell>
          <cell r="AF612">
            <v>3064.9315068493152</v>
          </cell>
          <cell r="AG612">
            <v>0.27</v>
          </cell>
          <cell r="AH612"/>
          <cell r="AI612">
            <v>2515.161290322581</v>
          </cell>
          <cell r="AJ612">
            <v>2405.8064516129034</v>
          </cell>
          <cell r="AK612">
            <v>0.23655913978494614</v>
          </cell>
          <cell r="AL612">
            <v>0.21505376344086014</v>
          </cell>
          <cell r="AM612"/>
          <cell r="AN612" t="str">
            <v>INFOKS</v>
          </cell>
          <cell r="AO612"/>
          <cell r="AP612"/>
          <cell r="AQ612"/>
          <cell r="AR612"/>
          <cell r="AS612"/>
          <cell r="AT612"/>
          <cell r="AU612">
            <v>2034</v>
          </cell>
          <cell r="AV612">
            <v>2237.4</v>
          </cell>
          <cell r="AW612"/>
          <cell r="AX612"/>
          <cell r="AZ612">
            <v>10216.438356164384</v>
          </cell>
          <cell r="BA612">
            <v>6129.8630136986303</v>
          </cell>
          <cell r="BB612">
            <v>5108.2191780821922</v>
          </cell>
          <cell r="BC612">
            <v>4086.5753424657541</v>
          </cell>
        </row>
        <row r="613">
          <cell r="I613" t="str">
            <v>KFO48OM4MTAZHB2</v>
          </cell>
          <cell r="J613" t="str">
            <v/>
          </cell>
          <cell r="K613" t="str">
            <v>48FO OM4 MULTI LOOSE TUBE ARMORDED SIMPLE JACKET LSZH B2ca OUTDOOR ERIKA VIOLET RAL4003</v>
          </cell>
          <cell r="L613" t="str">
            <v>48FO OM4 MULTITUBE STRUCTURE LIBRE ARME SIMPLE GAINE LSZH B2ca EXTÉRIEUR VIOLET ERIKA RAL4003</v>
          </cell>
          <cell r="M613" t="str">
            <v>B2ca</v>
          </cell>
          <cell r="N613" t="str">
            <v>Turkey</v>
          </cell>
          <cell r="O613"/>
          <cell r="P613" t="str">
            <v>2000m drum</v>
          </cell>
          <cell r="Q613" t="str">
            <v>4KM</v>
          </cell>
          <cell r="R613">
            <v>2</v>
          </cell>
          <cell r="S613" t="e">
            <v>#N/A</v>
          </cell>
          <cell r="T613">
            <v>8544700000</v>
          </cell>
          <cell r="U613">
            <v>0</v>
          </cell>
          <cell r="V613">
            <v>30</v>
          </cell>
          <cell r="W613">
            <v>45</v>
          </cell>
          <cell r="X613">
            <v>55</v>
          </cell>
          <cell r="Y613" t="str">
            <v>T/T against copy of document</v>
          </cell>
          <cell r="Z613">
            <v>5717.6056338028166</v>
          </cell>
          <cell r="AA613">
            <v>5319.1780821917819</v>
          </cell>
          <cell r="AB613">
            <v>7.0000000000000007E-2</v>
          </cell>
          <cell r="AC613">
            <v>7.0000000000000007E-2</v>
          </cell>
          <cell r="AD613">
            <v>0.27</v>
          </cell>
          <cell r="AE613" t="str">
            <v>C</v>
          </cell>
          <cell r="AF613">
            <v>5319.1780821917819</v>
          </cell>
          <cell r="AG613">
            <v>0.27</v>
          </cell>
          <cell r="AH613"/>
          <cell r="AI613">
            <v>4365.0537634408602</v>
          </cell>
          <cell r="AJ613">
            <v>4175.2688172043017</v>
          </cell>
          <cell r="AK613">
            <v>0.23655913978494625</v>
          </cell>
          <cell r="AL613">
            <v>0.21505376344086025</v>
          </cell>
          <cell r="AM613"/>
          <cell r="AN613" t="str">
            <v>INFOKS</v>
          </cell>
          <cell r="AO613"/>
          <cell r="AP613"/>
          <cell r="AQ613"/>
          <cell r="AR613"/>
          <cell r="AS613"/>
          <cell r="AT613"/>
          <cell r="AU613">
            <v>3530</v>
          </cell>
          <cell r="AV613">
            <v>3883.0000000000005</v>
          </cell>
          <cell r="AW613"/>
          <cell r="AX613"/>
          <cell r="AZ613">
            <v>17730.593607305942</v>
          </cell>
          <cell r="BA613">
            <v>10638.356164383566</v>
          </cell>
          <cell r="BB613">
            <v>8865.296803652971</v>
          </cell>
          <cell r="BC613">
            <v>7092.2374429223773</v>
          </cell>
        </row>
        <row r="614">
          <cell r="I614" t="str">
            <v>KFO12OM4MTZHAZHB2</v>
          </cell>
          <cell r="J614" t="str">
            <v/>
          </cell>
          <cell r="K614" t="str">
            <v>12FO OM4 MULTI LOOSE TUBE ARMORDED DOUBLE JACKET LSZH B2ca OUTDOOR ERIKA VIOLET RAL4003</v>
          </cell>
          <cell r="L614" t="str">
            <v>12FO OM4 MULTITUBE STRUCTURE LIBRE ARME DOUBLE GAINE LSZH B2ca EXTÉRIEUR VIOLET ERIKA RAL4003</v>
          </cell>
          <cell r="M614" t="str">
            <v>B2ca</v>
          </cell>
          <cell r="N614" t="str">
            <v>Turkey</v>
          </cell>
          <cell r="O614"/>
          <cell r="P614" t="str">
            <v>2000m drum</v>
          </cell>
          <cell r="Q614" t="str">
            <v>4KM</v>
          </cell>
          <cell r="R614">
            <v>2</v>
          </cell>
          <cell r="S614" t="e">
            <v>#N/A</v>
          </cell>
          <cell r="T614">
            <v>8544700000</v>
          </cell>
          <cell r="U614">
            <v>0</v>
          </cell>
          <cell r="V614">
            <v>30</v>
          </cell>
          <cell r="W614">
            <v>45</v>
          </cell>
          <cell r="X614">
            <v>55</v>
          </cell>
          <cell r="Y614" t="str">
            <v>T/T against copy of document</v>
          </cell>
          <cell r="Z614">
            <v>2494.3661971830984</v>
          </cell>
          <cell r="AA614">
            <v>2320.5479452054797</v>
          </cell>
          <cell r="AB614">
            <v>7.0000000000000007E-2</v>
          </cell>
          <cell r="AC614">
            <v>7.0000000000000007E-2</v>
          </cell>
          <cell r="AD614">
            <v>0.27</v>
          </cell>
          <cell r="AE614" t="str">
            <v>C</v>
          </cell>
          <cell r="AF614">
            <v>2320.5479452054797</v>
          </cell>
          <cell r="AG614">
            <v>0.27</v>
          </cell>
          <cell r="AH614"/>
          <cell r="AI614">
            <v>1904.3010752688172</v>
          </cell>
          <cell r="AJ614">
            <v>1821.5053763440865</v>
          </cell>
          <cell r="AK614">
            <v>0.23655913978494625</v>
          </cell>
          <cell r="AL614">
            <v>0.21505376344086014</v>
          </cell>
          <cell r="AM614"/>
          <cell r="AN614" t="str">
            <v>INFOKS</v>
          </cell>
          <cell r="AO614"/>
          <cell r="AP614"/>
          <cell r="AQ614"/>
          <cell r="AR614"/>
          <cell r="AS614"/>
          <cell r="AT614"/>
          <cell r="AU614">
            <v>1540</v>
          </cell>
          <cell r="AV614">
            <v>1694.0000000000002</v>
          </cell>
          <cell r="AW614"/>
          <cell r="AX614"/>
          <cell r="AZ614">
            <v>7735.1598173515995</v>
          </cell>
          <cell r="BA614">
            <v>4641.0958904109593</v>
          </cell>
          <cell r="BB614">
            <v>3867.5799086757997</v>
          </cell>
          <cell r="BC614">
            <v>3094.0639269406402</v>
          </cell>
        </row>
        <row r="615">
          <cell r="I615" t="str">
            <v>KFO24OM4MTZHAZHB2</v>
          </cell>
          <cell r="J615" t="str">
            <v/>
          </cell>
          <cell r="K615" t="str">
            <v>24FO OM4 MULTI LOOSE TUBE ARMORDED DOUBLE JACKET LSZH B2ca OUTDOOR ERIKA VIOLET RAL4003</v>
          </cell>
          <cell r="L615" t="str">
            <v>24FO OM4 MULTITUBE STRUCTURE LIBRE ARME DOUBLE GAINE LSZH B2ca EXTÉRIEUR VIOLET ERIKA RAL4003</v>
          </cell>
          <cell r="M615" t="str">
            <v>B2ca</v>
          </cell>
          <cell r="N615" t="str">
            <v>Turkey</v>
          </cell>
          <cell r="O615"/>
          <cell r="P615" t="str">
            <v>2000m drum</v>
          </cell>
          <cell r="Q615" t="str">
            <v>4KM</v>
          </cell>
          <cell r="R615">
            <v>2</v>
          </cell>
          <cell r="S615" t="e">
            <v>#N/A</v>
          </cell>
          <cell r="T615">
            <v>8544700000</v>
          </cell>
          <cell r="U615">
            <v>0</v>
          </cell>
          <cell r="V615">
            <v>30</v>
          </cell>
          <cell r="W615">
            <v>45</v>
          </cell>
          <cell r="X615">
            <v>55</v>
          </cell>
          <cell r="Y615" t="str">
            <v>T/T against copy of document</v>
          </cell>
          <cell r="Z615">
            <v>3748.0281690140841</v>
          </cell>
          <cell r="AA615">
            <v>3486.8493150684935</v>
          </cell>
          <cell r="AB615">
            <v>7.0000000000000007E-2</v>
          </cell>
          <cell r="AC615">
            <v>7.0000000000000007E-2</v>
          </cell>
          <cell r="AD615">
            <v>0.27</v>
          </cell>
          <cell r="AE615" t="str">
            <v>C</v>
          </cell>
          <cell r="AF615">
            <v>3486.8493150684935</v>
          </cell>
          <cell r="AG615">
            <v>0.27</v>
          </cell>
          <cell r="AH615"/>
          <cell r="AI615">
            <v>2861.3978494623657</v>
          </cell>
          <cell r="AJ615">
            <v>2736.9892473118284</v>
          </cell>
          <cell r="AK615">
            <v>0.23655913978494614</v>
          </cell>
          <cell r="AL615">
            <v>0.21505376344086014</v>
          </cell>
          <cell r="AM615"/>
          <cell r="AN615" t="str">
            <v>INFOKS</v>
          </cell>
          <cell r="AO615"/>
          <cell r="AP615"/>
          <cell r="AQ615"/>
          <cell r="AR615"/>
          <cell r="AS615"/>
          <cell r="AT615"/>
          <cell r="AU615">
            <v>2314</v>
          </cell>
          <cell r="AV615">
            <v>2545.4</v>
          </cell>
          <cell r="AW615"/>
          <cell r="AX615"/>
          <cell r="AZ615">
            <v>11622.831050228313</v>
          </cell>
          <cell r="BA615">
            <v>6973.698630136988</v>
          </cell>
          <cell r="BB615">
            <v>5811.4155251141565</v>
          </cell>
          <cell r="BC615">
            <v>4649.132420091325</v>
          </cell>
        </row>
        <row r="616">
          <cell r="I616" t="str">
            <v>KFO48OM4MTZHAZHB2</v>
          </cell>
          <cell r="J616" t="str">
            <v/>
          </cell>
          <cell r="K616" t="str">
            <v>48FO OM4 MULTI LOOSE TUBE ARMORDED DOUBLE JACKET LSZH B2ca OUTDOOR ERIKA VIOLET RAL4003</v>
          </cell>
          <cell r="L616" t="str">
            <v>48FO OM4 MULTITUBE STRUCTURE LIBRE ARME DOUBLE GAINE LSZH B2ca EXTÉRIEUR VIOLET ERIKA RAL4003</v>
          </cell>
          <cell r="M616" t="str">
            <v>B2ca</v>
          </cell>
          <cell r="N616" t="str">
            <v>Turkey</v>
          </cell>
          <cell r="O616"/>
          <cell r="P616" t="str">
            <v>2000m drum</v>
          </cell>
          <cell r="Q616" t="str">
            <v>4KM</v>
          </cell>
          <cell r="R616">
            <v>2</v>
          </cell>
          <cell r="S616" t="e">
            <v>#N/A</v>
          </cell>
          <cell r="T616">
            <v>8544700000</v>
          </cell>
          <cell r="U616">
            <v>0</v>
          </cell>
          <cell r="V616">
            <v>30</v>
          </cell>
          <cell r="W616">
            <v>45</v>
          </cell>
          <cell r="X616">
            <v>55</v>
          </cell>
          <cell r="Y616" t="str">
            <v>T/T against copy of document</v>
          </cell>
          <cell r="Z616">
            <v>6187.3239436619715</v>
          </cell>
          <cell r="AA616">
            <v>5756.1643835616442</v>
          </cell>
          <cell r="AB616">
            <v>7.0000000000000007E-2</v>
          </cell>
          <cell r="AC616">
            <v>7.0000000000000007E-2</v>
          </cell>
          <cell r="AD616">
            <v>0.27</v>
          </cell>
          <cell r="AE616" t="str">
            <v>C</v>
          </cell>
          <cell r="AF616">
            <v>5756.1643835616442</v>
          </cell>
          <cell r="AG616">
            <v>0.27</v>
          </cell>
          <cell r="AH616"/>
          <cell r="AI616">
            <v>4723.6559139784949</v>
          </cell>
          <cell r="AJ616">
            <v>4518.2795698924738</v>
          </cell>
          <cell r="AK616">
            <v>0.23655913978494614</v>
          </cell>
          <cell r="AL616">
            <v>0.21505376344086014</v>
          </cell>
          <cell r="AM616"/>
          <cell r="AN616" t="str">
            <v>INFOKS</v>
          </cell>
          <cell r="AO616"/>
          <cell r="AP616"/>
          <cell r="AQ616"/>
          <cell r="AR616"/>
          <cell r="AS616"/>
          <cell r="AT616"/>
          <cell r="AU616">
            <v>3820</v>
          </cell>
          <cell r="AV616">
            <v>4202</v>
          </cell>
          <cell r="AW616"/>
          <cell r="AX616"/>
          <cell r="AZ616">
            <v>19187.214611872147</v>
          </cell>
          <cell r="BA616">
            <v>11512.328767123288</v>
          </cell>
          <cell r="BB616">
            <v>9593.6073059360733</v>
          </cell>
          <cell r="BC616">
            <v>7674.8858447488592</v>
          </cell>
        </row>
        <row r="617">
          <cell r="I617" t="str">
            <v>KFO6OM5CTZHD</v>
          </cell>
          <cell r="J617" t="str">
            <v>U0803012</v>
          </cell>
          <cell r="K617" t="str">
            <v>6FO OM5 CENTRAL LOOSE TUBE LSZH UNIVERSAL Dca LIME GREEN RAL 6039</v>
          </cell>
          <cell r="L617" t="str">
            <v>6FO OM5 TUBE CENTRAL STRUCTURE LIBRE LSZH UNIVERSEL Dca VERT LIME RAL 6039</v>
          </cell>
          <cell r="M617" t="str">
            <v>Dca</v>
          </cell>
          <cell r="N617" t="str">
            <v>Turkey</v>
          </cell>
          <cell r="O617"/>
          <cell r="P617" t="str">
            <v>2000m drum</v>
          </cell>
          <cell r="Q617" t="str">
            <v>4KM</v>
          </cell>
          <cell r="R617">
            <v>2</v>
          </cell>
          <cell r="S617" t="e">
            <v>#N/A</v>
          </cell>
          <cell r="T617">
            <v>8544700000</v>
          </cell>
          <cell r="U617">
            <v>0</v>
          </cell>
          <cell r="V617">
            <v>30</v>
          </cell>
          <cell r="W617">
            <v>45</v>
          </cell>
          <cell r="X617">
            <v>55</v>
          </cell>
          <cell r="Y617" t="str">
            <v>T/T against copy of document</v>
          </cell>
          <cell r="Z617">
            <v>1556.0937500000002</v>
          </cell>
          <cell r="AA617">
            <v>1443.3333333333335</v>
          </cell>
          <cell r="AB617">
            <v>7.0000000000000007E-2</v>
          </cell>
          <cell r="AC617">
            <v>7.0000000000000007E-2</v>
          </cell>
          <cell r="AD617">
            <v>0.34</v>
          </cell>
          <cell r="AE617" t="str">
            <v>C</v>
          </cell>
          <cell r="AF617">
            <v>1443.3333333333335</v>
          </cell>
          <cell r="AG617">
            <v>0.34000000000000008</v>
          </cell>
          <cell r="AH617"/>
          <cell r="AI617">
            <v>1070.8602150537633</v>
          </cell>
          <cell r="AJ617">
            <v>1024.3010752688174</v>
          </cell>
          <cell r="AK617">
            <v>0.31182795698924748</v>
          </cell>
          <cell r="AL617">
            <v>0.29032258064516125</v>
          </cell>
          <cell r="AM617"/>
          <cell r="AN617" t="str">
            <v>INFOKS</v>
          </cell>
          <cell r="AO617"/>
          <cell r="AP617"/>
          <cell r="AQ617"/>
          <cell r="AR617"/>
          <cell r="AS617"/>
          <cell r="AT617"/>
          <cell r="AU617">
            <v>866</v>
          </cell>
          <cell r="AV617">
            <v>952.6</v>
          </cell>
          <cell r="AW617"/>
          <cell r="AX617"/>
          <cell r="AZ617">
            <v>4811.1111111111122</v>
          </cell>
          <cell r="BA617">
            <v>2886.6666666666674</v>
          </cell>
          <cell r="BB617">
            <v>2405.5555555555561</v>
          </cell>
          <cell r="BC617">
            <v>1924.444444444445</v>
          </cell>
          <cell r="BE617">
            <v>1443.3333333333335</v>
          </cell>
        </row>
        <row r="618">
          <cell r="I618" t="str">
            <v>KFO8OM5CTZHD</v>
          </cell>
          <cell r="J618" t="str">
            <v>U0803017</v>
          </cell>
          <cell r="K618" t="str">
            <v>8FO OM5 CENTRAL LOOSE TUBE LSZH UNIVERSAL Dca LIME GREEN RAL 6039</v>
          </cell>
          <cell r="L618" t="str">
            <v>8FO OM5 TUBE CENTRAL STRUCTURE LIBRE LSZH UNIVERSEL Dca VERT LIME RAL 6039</v>
          </cell>
          <cell r="M618" t="str">
            <v>Dca</v>
          </cell>
          <cell r="N618" t="str">
            <v>Turkey</v>
          </cell>
          <cell r="O618"/>
          <cell r="P618" t="str">
            <v>2000m drum</v>
          </cell>
          <cell r="Q618" t="str">
            <v>4KM</v>
          </cell>
          <cell r="R618">
            <v>2</v>
          </cell>
          <cell r="S618" t="e">
            <v>#N/A</v>
          </cell>
          <cell r="T618">
            <v>8544700000</v>
          </cell>
          <cell r="U618">
            <v>0</v>
          </cell>
          <cell r="V618">
            <v>30</v>
          </cell>
          <cell r="W618">
            <v>45</v>
          </cell>
          <cell r="X618">
            <v>55</v>
          </cell>
          <cell r="Y618" t="str">
            <v>T/T against copy of document</v>
          </cell>
          <cell r="Z618">
            <v>2037.65625</v>
          </cell>
          <cell r="AA618">
            <v>1890.0000000000005</v>
          </cell>
          <cell r="AB618">
            <v>7.0000000000000007E-2</v>
          </cell>
          <cell r="AC618">
            <v>7.0000000000000007E-2</v>
          </cell>
          <cell r="AD618">
            <v>0.34</v>
          </cell>
          <cell r="AE618" t="str">
            <v>C</v>
          </cell>
          <cell r="AF618">
            <v>1890.0000000000005</v>
          </cell>
          <cell r="AG618">
            <v>0.34000000000000008</v>
          </cell>
          <cell r="AH618"/>
          <cell r="AI618">
            <v>1402.258064516129</v>
          </cell>
          <cell r="AJ618">
            <v>1341.2903225806454</v>
          </cell>
          <cell r="AK618">
            <v>0.31182795698924737</v>
          </cell>
          <cell r="AL618">
            <v>0.29032258064516137</v>
          </cell>
          <cell r="AM618"/>
          <cell r="AN618" t="str">
            <v>INFOKS</v>
          </cell>
          <cell r="AO618"/>
          <cell r="AP618"/>
          <cell r="AQ618"/>
          <cell r="AR618"/>
          <cell r="AS618"/>
          <cell r="AT618"/>
          <cell r="AU618">
            <v>1134</v>
          </cell>
          <cell r="AV618">
            <v>1247.4000000000001</v>
          </cell>
          <cell r="AW618"/>
          <cell r="AX618"/>
          <cell r="AZ618">
            <v>6300.0000000000018</v>
          </cell>
          <cell r="BA618">
            <v>3780.0000000000009</v>
          </cell>
          <cell r="BB618">
            <v>3150.0000000000009</v>
          </cell>
          <cell r="BC618">
            <v>2520.0000000000009</v>
          </cell>
          <cell r="BE618">
            <v>1890.0000000000005</v>
          </cell>
        </row>
        <row r="619">
          <cell r="I619" t="str">
            <v>KFO12OM5CTZHD</v>
          </cell>
          <cell r="J619" t="str">
            <v>U0803003</v>
          </cell>
          <cell r="K619" t="str">
            <v>12FO OM5 CENTRAL LOOSE TUBE LSZH UNIVERSAL Dca LIME GREEN RAL 6039</v>
          </cell>
          <cell r="L619" t="str">
            <v>12FO OM5 TUBE CENTRAL STRUCTURE LIBRE LSZH UNIVERSEL Dca VERT LIME RAL 6039</v>
          </cell>
          <cell r="M619" t="str">
            <v>Dca</v>
          </cell>
          <cell r="N619" t="str">
            <v>Turkey</v>
          </cell>
          <cell r="O619"/>
          <cell r="P619" t="str">
            <v>2000m drum</v>
          </cell>
          <cell r="Q619" t="str">
            <v>4KM</v>
          </cell>
          <cell r="R619">
            <v>2</v>
          </cell>
          <cell r="S619" t="e">
            <v>#N/A</v>
          </cell>
          <cell r="T619">
            <v>8544700000</v>
          </cell>
          <cell r="U619">
            <v>0</v>
          </cell>
          <cell r="V619">
            <v>30</v>
          </cell>
          <cell r="W619">
            <v>45</v>
          </cell>
          <cell r="X619">
            <v>55</v>
          </cell>
          <cell r="Y619" t="str">
            <v>T/T against copy of document</v>
          </cell>
          <cell r="Z619">
            <v>2982.8125000000005</v>
          </cell>
          <cell r="AA619">
            <v>2766.6666666666674</v>
          </cell>
          <cell r="AB619">
            <v>7.0000000000000007E-2</v>
          </cell>
          <cell r="AC619">
            <v>7.0000000000000007E-2</v>
          </cell>
          <cell r="AD619">
            <v>0.34</v>
          </cell>
          <cell r="AE619" t="str">
            <v>C</v>
          </cell>
          <cell r="AF619">
            <v>2766.6666666666674</v>
          </cell>
          <cell r="AG619">
            <v>0.34000000000000008</v>
          </cell>
          <cell r="AH619"/>
          <cell r="AI619">
            <v>2052.6881720430106</v>
          </cell>
          <cell r="AJ619">
            <v>1963.440860215054</v>
          </cell>
          <cell r="AK619">
            <v>0.31182795698924748</v>
          </cell>
          <cell r="AL619">
            <v>0.29032258064516137</v>
          </cell>
          <cell r="AM619"/>
          <cell r="AN619" t="str">
            <v>INFOKS</v>
          </cell>
          <cell r="AO619"/>
          <cell r="AP619"/>
          <cell r="AQ619"/>
          <cell r="AR619"/>
          <cell r="AS619"/>
          <cell r="AT619"/>
          <cell r="AU619">
            <v>1660</v>
          </cell>
          <cell r="AV619">
            <v>1826.0000000000002</v>
          </cell>
          <cell r="AW619"/>
          <cell r="AX619"/>
          <cell r="AZ619">
            <v>9222.2222222222244</v>
          </cell>
          <cell r="BA619">
            <v>5533.3333333333348</v>
          </cell>
          <cell r="BB619">
            <v>4611.1111111111122</v>
          </cell>
          <cell r="BC619">
            <v>3688.8888888888901</v>
          </cell>
          <cell r="BE619">
            <v>2766.6666666666674</v>
          </cell>
        </row>
        <row r="620">
          <cell r="I620" t="str">
            <v>KFO24OM5CTZHD</v>
          </cell>
          <cell r="J620" t="str">
            <v>U0803007</v>
          </cell>
          <cell r="K620" t="str">
            <v>24FO OM5 CENTRAL LOOSE TUBE LSZH UNIVERSAL Dca LIME GREEN RAL 6039</v>
          </cell>
          <cell r="L620" t="str">
            <v>24FO OM5 TUBE CENTRAL STRUCTURE LIBRE LSZH UNIVERSEL Dca VERT LIME RAL 6039</v>
          </cell>
          <cell r="M620" t="str">
            <v>Dca</v>
          </cell>
          <cell r="N620" t="str">
            <v>Turkey</v>
          </cell>
          <cell r="O620"/>
          <cell r="P620" t="str">
            <v>2000m drum</v>
          </cell>
          <cell r="Q620" t="str">
            <v>4KM</v>
          </cell>
          <cell r="R620">
            <v>2</v>
          </cell>
          <cell r="S620" t="e">
            <v>#N/A</v>
          </cell>
          <cell r="T620">
            <v>8544700000</v>
          </cell>
          <cell r="U620">
            <v>0</v>
          </cell>
          <cell r="V620">
            <v>30</v>
          </cell>
          <cell r="W620">
            <v>45</v>
          </cell>
          <cell r="X620">
            <v>55</v>
          </cell>
          <cell r="Y620" t="str">
            <v>T/T against copy of document</v>
          </cell>
          <cell r="Z620">
            <v>5624.2187500000009</v>
          </cell>
          <cell r="AA620">
            <v>5216.6666666666679</v>
          </cell>
          <cell r="AB620">
            <v>7.0000000000000007E-2</v>
          </cell>
          <cell r="AC620">
            <v>7.0000000000000007E-2</v>
          </cell>
          <cell r="AD620">
            <v>0.34</v>
          </cell>
          <cell r="AE620" t="str">
            <v>C</v>
          </cell>
          <cell r="AF620">
            <v>5216.6666666666679</v>
          </cell>
          <cell r="AG620">
            <v>0.34000000000000008</v>
          </cell>
          <cell r="AH620"/>
          <cell r="AI620">
            <v>3870.4301075268818</v>
          </cell>
          <cell r="AJ620">
            <v>3702.1505376344094</v>
          </cell>
          <cell r="AK620">
            <v>0.31182795698924737</v>
          </cell>
          <cell r="AL620">
            <v>0.29032258064516125</v>
          </cell>
          <cell r="AM620"/>
          <cell r="AN620" t="str">
            <v>INFOKS</v>
          </cell>
          <cell r="AO620"/>
          <cell r="AP620"/>
          <cell r="AQ620"/>
          <cell r="AR620"/>
          <cell r="AS620"/>
          <cell r="AT620"/>
          <cell r="AU620">
            <v>3130</v>
          </cell>
          <cell r="AV620">
            <v>3443.0000000000005</v>
          </cell>
          <cell r="AW620"/>
          <cell r="AX620"/>
          <cell r="AZ620">
            <v>17388.888888888894</v>
          </cell>
          <cell r="BA620">
            <v>10433.333333333336</v>
          </cell>
          <cell r="BB620">
            <v>8694.4444444444471</v>
          </cell>
          <cell r="BC620">
            <v>6955.5555555555584</v>
          </cell>
          <cell r="BE620">
            <v>5216.6666666666679</v>
          </cell>
        </row>
        <row r="621">
          <cell r="I621" t="str">
            <v>KFO12OM5MTZHD</v>
          </cell>
          <cell r="J621" t="str">
            <v/>
          </cell>
          <cell r="K621" t="str">
            <v>12FO OM5 MULTI LOOSE TUBE LSZH UNIVERSAL Dca LIME GREEN RAL 6039</v>
          </cell>
          <cell r="L621" t="str">
            <v>12FO OM5 MULTI TUBE STRUCTURE LIBRE LSZH UNIVERSEL Dca VERT LIME RAL 6039</v>
          </cell>
          <cell r="M621" t="str">
            <v>Dca</v>
          </cell>
          <cell r="N621" t="str">
            <v>Turkey</v>
          </cell>
          <cell r="O621"/>
          <cell r="P621" t="str">
            <v>2000m drum</v>
          </cell>
          <cell r="Q621" t="str">
            <v>4KM</v>
          </cell>
          <cell r="R621">
            <v>2</v>
          </cell>
          <cell r="S621" t="e">
            <v>#N/A</v>
          </cell>
          <cell r="T621">
            <v>8544700000</v>
          </cell>
          <cell r="U621">
            <v>0</v>
          </cell>
          <cell r="V621">
            <v>30</v>
          </cell>
          <cell r="W621">
            <v>45</v>
          </cell>
          <cell r="X621">
            <v>55</v>
          </cell>
          <cell r="Y621" t="str">
            <v>T/T against copy of document</v>
          </cell>
          <cell r="Z621">
            <v>3566.7968750000005</v>
          </cell>
          <cell r="AA621">
            <v>3308.3333333333339</v>
          </cell>
          <cell r="AB621">
            <v>7.0000000000000007E-2</v>
          </cell>
          <cell r="AC621">
            <v>7.0000000000000007E-2</v>
          </cell>
          <cell r="AD621">
            <v>0.34</v>
          </cell>
          <cell r="AE621" t="str">
            <v>C</v>
          </cell>
          <cell r="AF621">
            <v>3308.3333333333339</v>
          </cell>
          <cell r="AG621">
            <v>0.34000000000000008</v>
          </cell>
          <cell r="AH621"/>
          <cell r="AI621">
            <v>2454.5698924731182</v>
          </cell>
          <cell r="AJ621">
            <v>2347.8494623655915</v>
          </cell>
          <cell r="AK621">
            <v>0.31182795698924737</v>
          </cell>
          <cell r="AL621">
            <v>0.29032258064516137</v>
          </cell>
          <cell r="AM621"/>
          <cell r="AN621" t="str">
            <v>INFOKS</v>
          </cell>
          <cell r="AO621"/>
          <cell r="AP621"/>
          <cell r="AQ621"/>
          <cell r="AR621"/>
          <cell r="AS621"/>
          <cell r="AT621"/>
          <cell r="AU621">
            <v>1985</v>
          </cell>
          <cell r="AV621">
            <v>2183.5</v>
          </cell>
          <cell r="AW621"/>
          <cell r="AX621"/>
          <cell r="AZ621">
            <v>11027.777777777781</v>
          </cell>
          <cell r="BA621">
            <v>6616.6666666666688</v>
          </cell>
          <cell r="BB621">
            <v>5513.8888888888905</v>
          </cell>
          <cell r="BC621">
            <v>4411.1111111111122</v>
          </cell>
          <cell r="BE621">
            <v>3308.3333333333339</v>
          </cell>
        </row>
        <row r="622">
          <cell r="I622" t="str">
            <v>KFO24OM5MTZHD</v>
          </cell>
          <cell r="J622" t="str">
            <v/>
          </cell>
          <cell r="K622" t="str">
            <v>24FO OM5 MULTI LOOSE TUBE LSZH UNIVERSAL Dca LIME GREEN RAL 6039</v>
          </cell>
          <cell r="L622" t="str">
            <v>24FO OM5 MULTI TUBE STRUCTURE LIBRE LSZH UNIVERSEL Dca VERT LIME RAL 6039</v>
          </cell>
          <cell r="M622" t="str">
            <v>Dca</v>
          </cell>
          <cell r="N622" t="str">
            <v>Turkey</v>
          </cell>
          <cell r="O622"/>
          <cell r="P622" t="str">
            <v>2000m drum</v>
          </cell>
          <cell r="Q622" t="str">
            <v>4KM</v>
          </cell>
          <cell r="R622">
            <v>2</v>
          </cell>
          <cell r="S622" t="e">
            <v>#N/A</v>
          </cell>
          <cell r="T622">
            <v>8544700000</v>
          </cell>
          <cell r="U622">
            <v>0</v>
          </cell>
          <cell r="V622">
            <v>30</v>
          </cell>
          <cell r="W622">
            <v>45</v>
          </cell>
          <cell r="X622">
            <v>55</v>
          </cell>
          <cell r="Y622" t="str">
            <v>T/T against copy of document</v>
          </cell>
          <cell r="Z622">
            <v>6378.9062500000009</v>
          </cell>
          <cell r="AA622">
            <v>5916.6666666666679</v>
          </cell>
          <cell r="AB622">
            <v>7.0000000000000007E-2</v>
          </cell>
          <cell r="AC622">
            <v>7.0000000000000007E-2</v>
          </cell>
          <cell r="AD622">
            <v>0.34</v>
          </cell>
          <cell r="AE622" t="str">
            <v>C</v>
          </cell>
          <cell r="AF622">
            <v>5916.6666666666679</v>
          </cell>
          <cell r="AG622">
            <v>0.34000000000000008</v>
          </cell>
          <cell r="AH622"/>
          <cell r="AI622">
            <v>4389.7849462365593</v>
          </cell>
          <cell r="AJ622">
            <v>4198.9247311827967</v>
          </cell>
          <cell r="AK622">
            <v>0.31182795698924737</v>
          </cell>
          <cell r="AL622">
            <v>0.29032258064516125</v>
          </cell>
          <cell r="AM622"/>
          <cell r="AN622" t="str">
            <v>INFOKS</v>
          </cell>
          <cell r="AO622"/>
          <cell r="AP622"/>
          <cell r="AQ622"/>
          <cell r="AR622"/>
          <cell r="AS622"/>
          <cell r="AT622"/>
          <cell r="AU622">
            <v>3550</v>
          </cell>
          <cell r="AV622">
            <v>3905.0000000000005</v>
          </cell>
          <cell r="AW622"/>
          <cell r="AX622"/>
          <cell r="AZ622">
            <v>19722.222222222226</v>
          </cell>
          <cell r="BA622">
            <v>11833.333333333336</v>
          </cell>
          <cell r="BB622">
            <v>9861.1111111111131</v>
          </cell>
          <cell r="BC622">
            <v>7888.8888888888905</v>
          </cell>
          <cell r="BE622">
            <v>5916.6666666666679</v>
          </cell>
        </row>
        <row r="623">
          <cell r="I623" t="str">
            <v>KFO48OM5MTZHD</v>
          </cell>
          <cell r="J623" t="str">
            <v>U0806003</v>
          </cell>
          <cell r="K623" t="str">
            <v>48FO OM5 MULTI LOOSE TUBE LSZH UNIVERSAL Dca LIME GREEN RAL 6039</v>
          </cell>
          <cell r="L623" t="str">
            <v>48FO OM5 MULTI TUBE STRUCTURE LIBRE LSZH UNIVERSEL Dca VERT LIME RAL 6039</v>
          </cell>
          <cell r="M623" t="str">
            <v>Dca</v>
          </cell>
          <cell r="N623" t="str">
            <v>Turkey</v>
          </cell>
          <cell r="O623"/>
          <cell r="P623" t="str">
            <v>2000m drum</v>
          </cell>
          <cell r="Q623" t="str">
            <v>4KM</v>
          </cell>
          <cell r="R623">
            <v>2</v>
          </cell>
          <cell r="S623" t="e">
            <v>#N/A</v>
          </cell>
          <cell r="T623">
            <v>8544700000</v>
          </cell>
          <cell r="U623">
            <v>0</v>
          </cell>
          <cell r="V623">
            <v>30</v>
          </cell>
          <cell r="W623">
            <v>45</v>
          </cell>
          <cell r="X623">
            <v>55</v>
          </cell>
          <cell r="Y623" t="str">
            <v>T/T against copy of document</v>
          </cell>
          <cell r="Z623">
            <v>10747.109375000002</v>
          </cell>
          <cell r="AA623">
            <v>9968.3333333333358</v>
          </cell>
          <cell r="AB623">
            <v>7.0000000000000007E-2</v>
          </cell>
          <cell r="AC623">
            <v>7.0000000000000007E-2</v>
          </cell>
          <cell r="AD623">
            <v>0.34</v>
          </cell>
          <cell r="AE623" t="str">
            <v>C</v>
          </cell>
          <cell r="AF623">
            <v>9968.3333333333358</v>
          </cell>
          <cell r="AG623">
            <v>0.34000000000000008</v>
          </cell>
          <cell r="AH623"/>
          <cell r="AI623">
            <v>7395.8602150537636</v>
          </cell>
          <cell r="AJ623">
            <v>7074.3010752688178</v>
          </cell>
          <cell r="AK623">
            <v>0.31182795698924737</v>
          </cell>
          <cell r="AL623">
            <v>0.29032258064516137</v>
          </cell>
          <cell r="AM623"/>
          <cell r="AN623" t="str">
            <v>INFOKS</v>
          </cell>
          <cell r="AO623"/>
          <cell r="AP623"/>
          <cell r="AQ623"/>
          <cell r="AR623"/>
          <cell r="AS623"/>
          <cell r="AT623"/>
          <cell r="AU623">
            <v>5981</v>
          </cell>
          <cell r="AV623">
            <v>6579.1</v>
          </cell>
          <cell r="AW623"/>
          <cell r="AX623"/>
          <cell r="AZ623">
            <v>33227.777777777788</v>
          </cell>
          <cell r="BA623">
            <v>19936.666666666672</v>
          </cell>
          <cell r="BB623">
            <v>16613.888888888894</v>
          </cell>
          <cell r="BC623">
            <v>13291.111111111117</v>
          </cell>
          <cell r="BE623">
            <v>9968.3333333333358</v>
          </cell>
        </row>
        <row r="624">
          <cell r="I624" t="str">
            <v>KFO72OM5MTZHD</v>
          </cell>
          <cell r="J624" t="str">
            <v/>
          </cell>
          <cell r="K624" t="str">
            <v>72FO OM5 MULTI LOOSE TUBE LSZH UNIVERSAL Dca LIME GREEN RAL 6039</v>
          </cell>
          <cell r="L624" t="str">
            <v>72FO OM5 MULTI TUBE STRUCTURE LIBRE LSZH UNIVERSEL Dca VERT LIME RAL 6039</v>
          </cell>
          <cell r="M624" t="str">
            <v>Dca</v>
          </cell>
          <cell r="N624" t="str">
            <v>Turkey</v>
          </cell>
          <cell r="O624"/>
          <cell r="P624" t="str">
            <v>2000m drum</v>
          </cell>
          <cell r="Q624" t="str">
            <v>4KM</v>
          </cell>
          <cell r="R624">
            <v>2</v>
          </cell>
          <cell r="S624" t="e">
            <v>#N/A</v>
          </cell>
          <cell r="T624">
            <v>8544700000</v>
          </cell>
          <cell r="U624">
            <v>0</v>
          </cell>
          <cell r="V624">
            <v>30</v>
          </cell>
          <cell r="W624">
            <v>45</v>
          </cell>
          <cell r="X624">
            <v>55</v>
          </cell>
          <cell r="Y624" t="str">
            <v>T/T against copy of document</v>
          </cell>
          <cell r="Z624">
            <v>17609.375</v>
          </cell>
          <cell r="AA624">
            <v>16333.333333333336</v>
          </cell>
          <cell r="AB624">
            <v>7.0000000000000007E-2</v>
          </cell>
          <cell r="AC624">
            <v>7.0000000000000007E-2</v>
          </cell>
          <cell r="AD624">
            <v>0.34</v>
          </cell>
          <cell r="AE624" t="str">
            <v>C</v>
          </cell>
          <cell r="AF624">
            <v>16333.333333333336</v>
          </cell>
          <cell r="AG624">
            <v>0.34000000000000008</v>
          </cell>
          <cell r="AH624"/>
          <cell r="AI624">
            <v>12118.279569892473</v>
          </cell>
          <cell r="AJ624">
            <v>11591.397849462366</v>
          </cell>
          <cell r="AK624">
            <v>0.31182795698924737</v>
          </cell>
          <cell r="AL624">
            <v>0.29032258064516137</v>
          </cell>
          <cell r="AM624"/>
          <cell r="AN624" t="str">
            <v>INFOKS</v>
          </cell>
          <cell r="AO624"/>
          <cell r="AP624"/>
          <cell r="AQ624"/>
          <cell r="AR624"/>
          <cell r="AS624"/>
          <cell r="AT624"/>
          <cell r="AU624">
            <v>9800</v>
          </cell>
          <cell r="AV624">
            <v>10780</v>
          </cell>
          <cell r="AW624"/>
          <cell r="AX624"/>
          <cell r="AZ624">
            <v>54444.444444444453</v>
          </cell>
          <cell r="BA624">
            <v>32666.666666666672</v>
          </cell>
          <cell r="BB624">
            <v>27222.222222222226</v>
          </cell>
          <cell r="BC624">
            <v>21777.777777777781</v>
          </cell>
          <cell r="BE624">
            <v>16333.333333333336</v>
          </cell>
        </row>
        <row r="625">
          <cell r="I625" t="str">
            <v>KFO96OM5MTZHD</v>
          </cell>
          <cell r="J625" t="str">
            <v>U0806007</v>
          </cell>
          <cell r="K625" t="str">
            <v>96FO OM5 MULTI LOOSE TUBE LSZH UNIVERSAL Dca LIME GREEN RAL 6039</v>
          </cell>
          <cell r="L625" t="str">
            <v>96FO OM5 MULTI TUBE STRUCTURE LIBRE LSZH UNIVERSEL Dca VERT LIME RAL 6039</v>
          </cell>
          <cell r="M625" t="str">
            <v>Dca</v>
          </cell>
          <cell r="N625" t="str">
            <v>Turkey</v>
          </cell>
          <cell r="O625"/>
          <cell r="P625" t="str">
            <v>2000m drum</v>
          </cell>
          <cell r="Q625" t="str">
            <v>4KM</v>
          </cell>
          <cell r="R625">
            <v>2</v>
          </cell>
          <cell r="S625" t="e">
            <v>#N/A</v>
          </cell>
          <cell r="T625">
            <v>8544700000</v>
          </cell>
          <cell r="U625">
            <v>0</v>
          </cell>
          <cell r="V625">
            <v>30</v>
          </cell>
          <cell r="W625">
            <v>45</v>
          </cell>
          <cell r="X625">
            <v>55</v>
          </cell>
          <cell r="Y625" t="str">
            <v>T/T against copy of document</v>
          </cell>
          <cell r="Z625">
            <v>21131.250000000004</v>
          </cell>
          <cell r="AA625">
            <v>19600.000000000004</v>
          </cell>
          <cell r="AB625">
            <v>7.0000000000000007E-2</v>
          </cell>
          <cell r="AC625">
            <v>7.0000000000000007E-2</v>
          </cell>
          <cell r="AD625">
            <v>0.34</v>
          </cell>
          <cell r="AE625" t="str">
            <v>C</v>
          </cell>
          <cell r="AF625">
            <v>19600.000000000004</v>
          </cell>
          <cell r="AG625">
            <v>0.34000000000000008</v>
          </cell>
          <cell r="AH625"/>
          <cell r="AI625">
            <v>14541.935483870968</v>
          </cell>
          <cell r="AJ625">
            <v>13909.677419354841</v>
          </cell>
          <cell r="AK625">
            <v>0.31182795698924748</v>
          </cell>
          <cell r="AL625">
            <v>0.29032258064516137</v>
          </cell>
          <cell r="AM625"/>
          <cell r="AN625" t="str">
            <v>INFOKS</v>
          </cell>
          <cell r="AO625"/>
          <cell r="AP625"/>
          <cell r="AQ625"/>
          <cell r="AR625"/>
          <cell r="AS625"/>
          <cell r="AT625"/>
          <cell r="AU625">
            <v>11760</v>
          </cell>
          <cell r="AV625">
            <v>12936.000000000002</v>
          </cell>
          <cell r="AW625"/>
          <cell r="AX625"/>
          <cell r="AZ625">
            <v>65333.33333333335</v>
          </cell>
          <cell r="BA625">
            <v>39200.000000000007</v>
          </cell>
          <cell r="BB625">
            <v>32666.666666666675</v>
          </cell>
          <cell r="BC625">
            <v>26133.333333333343</v>
          </cell>
          <cell r="BE625">
            <v>19600.000000000004</v>
          </cell>
        </row>
        <row r="626">
          <cell r="I626" t="str">
            <v>KFO144OM5MTZHD</v>
          </cell>
          <cell r="J626" t="str">
            <v/>
          </cell>
          <cell r="K626" t="str">
            <v>144FO OM5 MULTI LOOSE TUBE LSZH UNIVERSAL Dca LIME GREEN RAL 6039</v>
          </cell>
          <cell r="L626" t="str">
            <v>144FO OM5 MULTI TUBE STRUCTURE LIBRE LSZH UNIVERSEL Dca VERT LIME RAL 6039</v>
          </cell>
          <cell r="M626" t="str">
            <v>Dca</v>
          </cell>
          <cell r="N626" t="str">
            <v>Turkey</v>
          </cell>
          <cell r="O626"/>
          <cell r="P626" t="str">
            <v>2000m drum</v>
          </cell>
          <cell r="Q626" t="str">
            <v>4KM</v>
          </cell>
          <cell r="R626">
            <v>2</v>
          </cell>
          <cell r="S626" t="e">
            <v>#N/A</v>
          </cell>
          <cell r="T626">
            <v>8544700000</v>
          </cell>
          <cell r="U626">
            <v>0</v>
          </cell>
          <cell r="V626">
            <v>30</v>
          </cell>
          <cell r="W626">
            <v>45</v>
          </cell>
          <cell r="X626">
            <v>55</v>
          </cell>
          <cell r="Y626" t="str">
            <v>T/T against copy of document</v>
          </cell>
          <cell r="Z626">
            <v>34776.71875</v>
          </cell>
          <cell r="AA626">
            <v>32256.666666666672</v>
          </cell>
          <cell r="AB626">
            <v>7.0000000000000007E-2</v>
          </cell>
          <cell r="AC626">
            <v>7.0000000000000007E-2</v>
          </cell>
          <cell r="AD626">
            <v>0.34</v>
          </cell>
          <cell r="AE626" t="str">
            <v>C</v>
          </cell>
          <cell r="AF626">
            <v>32256.666666666672</v>
          </cell>
          <cell r="AG626">
            <v>0.34000000000000008</v>
          </cell>
          <cell r="AH626"/>
          <cell r="AI626">
            <v>23932.365591397847</v>
          </cell>
          <cell r="AJ626">
            <v>22891.827956989251</v>
          </cell>
          <cell r="AK626">
            <v>0.31182795698924737</v>
          </cell>
          <cell r="AL626">
            <v>0.29032258064516125</v>
          </cell>
          <cell r="AM626"/>
          <cell r="AN626" t="str">
            <v>INFOKS</v>
          </cell>
          <cell r="AO626"/>
          <cell r="AP626"/>
          <cell r="AQ626"/>
          <cell r="AR626"/>
          <cell r="AS626"/>
          <cell r="AT626"/>
          <cell r="AU626">
            <v>19354</v>
          </cell>
          <cell r="AV626">
            <v>21289.4</v>
          </cell>
          <cell r="AW626"/>
          <cell r="AX626"/>
          <cell r="AZ626">
            <v>107522.22222222225</v>
          </cell>
          <cell r="BA626">
            <v>64513.333333333343</v>
          </cell>
          <cell r="BB626">
            <v>53761.111111111124</v>
          </cell>
          <cell r="BC626">
            <v>43008.888888888905</v>
          </cell>
          <cell r="BE626">
            <v>32256.666666666672</v>
          </cell>
        </row>
        <row r="627">
          <cell r="I627" t="str">
            <v>KFO288OM5MTZHD</v>
          </cell>
          <cell r="J627" t="str">
            <v/>
          </cell>
          <cell r="K627" t="str">
            <v>288FO OM5 MULTI LOOSE TUBE LSZH UNIVERSAL Dca LIME GREEN RAL 6039</v>
          </cell>
          <cell r="L627" t="str">
            <v>288FO OM5 MULTI TUBE STRUCTURE LIBRE LSZH UNIVERSEL Dca VERT LIME RAL 6039</v>
          </cell>
          <cell r="M627" t="str">
            <v>Dca</v>
          </cell>
          <cell r="N627" t="str">
            <v>Turkey</v>
          </cell>
          <cell r="O627"/>
          <cell r="P627" t="str">
            <v>2000m drum</v>
          </cell>
          <cell r="Q627" t="str">
            <v>4KM</v>
          </cell>
          <cell r="R627">
            <v>2</v>
          </cell>
          <cell r="S627" t="e">
            <v>#N/A</v>
          </cell>
          <cell r="T627">
            <v>8544700000</v>
          </cell>
          <cell r="U627">
            <v>0</v>
          </cell>
          <cell r="V627">
            <v>30</v>
          </cell>
          <cell r="W627">
            <v>45</v>
          </cell>
          <cell r="X627">
            <v>55</v>
          </cell>
          <cell r="Y627" t="str">
            <v>T/T against copy of document</v>
          </cell>
          <cell r="Z627">
            <v>68886.796875</v>
          </cell>
          <cell r="AA627">
            <v>63895.000000000015</v>
          </cell>
          <cell r="AB627">
            <v>7.0000000000000007E-2</v>
          </cell>
          <cell r="AC627">
            <v>7.0000000000000007E-2</v>
          </cell>
          <cell r="AD627">
            <v>0.34</v>
          </cell>
          <cell r="AE627" t="str">
            <v>C</v>
          </cell>
          <cell r="AF627">
            <v>63895.000000000015</v>
          </cell>
          <cell r="AG627">
            <v>0.34000000000000008</v>
          </cell>
          <cell r="AH627"/>
          <cell r="AI627">
            <v>47405.967741935485</v>
          </cell>
          <cell r="AJ627">
            <v>45344.838709677424</v>
          </cell>
          <cell r="AK627">
            <v>0.31182795698924726</v>
          </cell>
          <cell r="AL627">
            <v>0.29032258064516137</v>
          </cell>
          <cell r="AM627"/>
          <cell r="AN627" t="str">
            <v>INFOKS</v>
          </cell>
          <cell r="AO627"/>
          <cell r="AP627"/>
          <cell r="AQ627"/>
          <cell r="AR627"/>
          <cell r="AS627"/>
          <cell r="AT627"/>
          <cell r="AU627">
            <v>38337</v>
          </cell>
          <cell r="AV627">
            <v>42170.700000000004</v>
          </cell>
          <cell r="AW627"/>
          <cell r="AX627"/>
          <cell r="AZ627">
            <v>212983.3333333334</v>
          </cell>
          <cell r="BA627">
            <v>127790.00000000003</v>
          </cell>
          <cell r="BB627">
            <v>106491.6666666667</v>
          </cell>
          <cell r="BC627">
            <v>85193.333333333372</v>
          </cell>
          <cell r="BE627">
            <v>63895.000000000015</v>
          </cell>
        </row>
        <row r="628">
          <cell r="I628" t="str">
            <v>KFO6OS2CTZHD20</v>
          </cell>
          <cell r="J628" t="str">
            <v>U0803014</v>
          </cell>
          <cell r="K628" t="str">
            <v>6FO OS2 CENTRAL LOOSE TUBE LSZH UNIVERSAL Dca YELLOW RAL1021</v>
          </cell>
          <cell r="L628" t="str">
            <v>6FO OS2 TUBE CENTRAL STRUCTURE LIBRE LSZH UNIVERSEL Dca JAUNE RAL1021</v>
          </cell>
          <cell r="M628" t="str">
            <v>Dca</v>
          </cell>
          <cell r="N628" t="str">
            <v>Turkey</v>
          </cell>
          <cell r="O628"/>
          <cell r="P628" t="str">
            <v>2000m drum</v>
          </cell>
          <cell r="Q628" t="str">
            <v>4KM</v>
          </cell>
          <cell r="R628">
            <v>2</v>
          </cell>
          <cell r="S628" t="e">
            <v>#N/A</v>
          </cell>
          <cell r="T628">
            <v>8544700000</v>
          </cell>
          <cell r="U628">
            <v>0</v>
          </cell>
          <cell r="V628">
            <v>30</v>
          </cell>
          <cell r="W628">
            <v>45</v>
          </cell>
          <cell r="X628">
            <v>55</v>
          </cell>
          <cell r="Y628" t="str">
            <v>T/T against copy of document</v>
          </cell>
          <cell r="Z628">
            <v>296.21212121212125</v>
          </cell>
          <cell r="AA628">
            <v>275.00000000000006</v>
          </cell>
          <cell r="AB628">
            <v>7.0000000000000007E-2</v>
          </cell>
          <cell r="AC628">
            <v>7.0000000000000007E-2</v>
          </cell>
          <cell r="AD628">
            <v>0.32</v>
          </cell>
          <cell r="AE628" t="str">
            <v>C</v>
          </cell>
          <cell r="AF628">
            <v>275.00000000000006</v>
          </cell>
          <cell r="AG628">
            <v>0.32000000000000006</v>
          </cell>
          <cell r="AH628"/>
          <cell r="AI628">
            <v>210.21505376344086</v>
          </cell>
          <cell r="AJ628">
            <v>201.07526881720435</v>
          </cell>
          <cell r="AK628">
            <v>0.29032258064516137</v>
          </cell>
          <cell r="AL628">
            <v>0.26881720430107525</v>
          </cell>
          <cell r="AM628"/>
          <cell r="AN628" t="str">
            <v>INFOKS</v>
          </cell>
          <cell r="AO628"/>
          <cell r="AP628"/>
          <cell r="AQ628"/>
          <cell r="AR628"/>
          <cell r="AS628"/>
          <cell r="AT628"/>
          <cell r="AU628">
            <v>170</v>
          </cell>
          <cell r="AV628">
            <v>187.00000000000003</v>
          </cell>
          <cell r="AW628"/>
          <cell r="AX628"/>
          <cell r="AZ628">
            <v>916.66666666666686</v>
          </cell>
          <cell r="BA628">
            <v>550.00000000000011</v>
          </cell>
          <cell r="BB628">
            <v>458.33333333333343</v>
          </cell>
          <cell r="BC628">
            <v>366.66666666666674</v>
          </cell>
          <cell r="BE628">
            <v>275.00000000000006</v>
          </cell>
        </row>
        <row r="629">
          <cell r="I629" t="str">
            <v>KFO8OS2CTZHD20</v>
          </cell>
          <cell r="J629" t="str">
            <v>U0803018</v>
          </cell>
          <cell r="K629" t="str">
            <v>8FO OS2 CENTRAL LOOSE TUBE LSZH UNIVERSAL Dca YELLOW RAL1021</v>
          </cell>
          <cell r="L629" t="str">
            <v>8FO OS2 TUBE CENTRAL STRUCTURE LIBRE LSZH UNIVERSEL Dca JAUNE RAL1021</v>
          </cell>
          <cell r="M629" t="str">
            <v>Dca</v>
          </cell>
          <cell r="N629" t="str">
            <v>Turkey</v>
          </cell>
          <cell r="O629"/>
          <cell r="P629" t="str">
            <v>2000m drum</v>
          </cell>
          <cell r="Q629" t="str">
            <v>4KM</v>
          </cell>
          <cell r="R629">
            <v>2</v>
          </cell>
          <cell r="S629" t="e">
            <v>#N/A</v>
          </cell>
          <cell r="T629">
            <v>8544700000</v>
          </cell>
          <cell r="U629">
            <v>0</v>
          </cell>
          <cell r="V629">
            <v>30</v>
          </cell>
          <cell r="W629">
            <v>45</v>
          </cell>
          <cell r="X629">
            <v>55</v>
          </cell>
          <cell r="Y629" t="str">
            <v>T/T against copy of document</v>
          </cell>
          <cell r="Z629">
            <v>310.15151515151518</v>
          </cell>
          <cell r="AA629">
            <v>287.94117647058829</v>
          </cell>
          <cell r="AB629">
            <v>7.0000000000000007E-2</v>
          </cell>
          <cell r="AC629">
            <v>7.0000000000000007E-2</v>
          </cell>
          <cell r="AD629">
            <v>0.32</v>
          </cell>
          <cell r="AE629" t="str">
            <v>C</v>
          </cell>
          <cell r="AF629">
            <v>287.94117647058829</v>
          </cell>
          <cell r="AG629">
            <v>0.32000000000000006</v>
          </cell>
          <cell r="AH629"/>
          <cell r="AI629">
            <v>220.10752688172042</v>
          </cell>
          <cell r="AJ629">
            <v>210.53763440860217</v>
          </cell>
          <cell r="AK629">
            <v>0.29032258064516137</v>
          </cell>
          <cell r="AL629">
            <v>0.26881720430107536</v>
          </cell>
          <cell r="AM629"/>
          <cell r="AN629" t="str">
            <v>INFOKS</v>
          </cell>
          <cell r="AO629"/>
          <cell r="AP629"/>
          <cell r="AQ629"/>
          <cell r="AR629"/>
          <cell r="AS629"/>
          <cell r="AT629"/>
          <cell r="AU629">
            <v>178</v>
          </cell>
          <cell r="AV629">
            <v>195.8</v>
          </cell>
          <cell r="AW629"/>
          <cell r="AX629"/>
          <cell r="AZ629">
            <v>959.80392156862763</v>
          </cell>
          <cell r="BA629">
            <v>575.88235294117658</v>
          </cell>
          <cell r="BB629">
            <v>479.90196078431381</v>
          </cell>
          <cell r="BC629">
            <v>383.92156862745105</v>
          </cell>
          <cell r="BE629">
            <v>287.94117647058829</v>
          </cell>
        </row>
        <row r="630">
          <cell r="I630" t="str">
            <v>KFO12OS2CTZHD20</v>
          </cell>
          <cell r="J630" t="str">
            <v>U0803004</v>
          </cell>
          <cell r="K630" t="str">
            <v>12FO OS2 CENTRAL LOOSE TUBE LSZH UNIVERSAL Dca YELLOW RAL1021</v>
          </cell>
          <cell r="L630" t="str">
            <v>12FO OS2 TUBE CENTRAL STRUCTURE LIBRE LSZH UNIVERSEL Dca JAUNE RAL1021</v>
          </cell>
          <cell r="M630" t="str">
            <v>Dca</v>
          </cell>
          <cell r="N630" t="str">
            <v>Turkey</v>
          </cell>
          <cell r="O630"/>
          <cell r="P630" t="str">
            <v>2000m drum</v>
          </cell>
          <cell r="Q630" t="str">
            <v>4KM</v>
          </cell>
          <cell r="R630">
            <v>2</v>
          </cell>
          <cell r="S630" t="e">
            <v>#N/A</v>
          </cell>
          <cell r="T630">
            <v>8544700000</v>
          </cell>
          <cell r="U630">
            <v>0</v>
          </cell>
          <cell r="V630">
            <v>30</v>
          </cell>
          <cell r="W630">
            <v>45</v>
          </cell>
          <cell r="X630">
            <v>55</v>
          </cell>
          <cell r="Y630" t="str">
            <v>T/T against copy of document</v>
          </cell>
          <cell r="Z630">
            <v>331.06060606060612</v>
          </cell>
          <cell r="AA630">
            <v>307.35294117647067</v>
          </cell>
          <cell r="AB630">
            <v>7.0000000000000007E-2</v>
          </cell>
          <cell r="AC630">
            <v>7.0000000000000007E-2</v>
          </cell>
          <cell r="AD630">
            <v>0.32</v>
          </cell>
          <cell r="AE630" t="str">
            <v>C</v>
          </cell>
          <cell r="AF630">
            <v>307.35294117647067</v>
          </cell>
          <cell r="AG630">
            <v>0.32000000000000006</v>
          </cell>
          <cell r="AH630"/>
          <cell r="AI630">
            <v>234.94623655913978</v>
          </cell>
          <cell r="AJ630">
            <v>224.73118279569897</v>
          </cell>
          <cell r="AK630">
            <v>0.29032258064516148</v>
          </cell>
          <cell r="AL630">
            <v>0.26881720430107525</v>
          </cell>
          <cell r="AM630"/>
          <cell r="AN630" t="str">
            <v>INFOKS</v>
          </cell>
          <cell r="AO630"/>
          <cell r="AP630"/>
          <cell r="AQ630"/>
          <cell r="AR630"/>
          <cell r="AS630"/>
          <cell r="AT630"/>
          <cell r="AU630">
            <v>190</v>
          </cell>
          <cell r="AV630">
            <v>209.00000000000003</v>
          </cell>
          <cell r="AW630"/>
          <cell r="AX630"/>
          <cell r="AZ630">
            <v>1024.5098039215688</v>
          </cell>
          <cell r="BA630">
            <v>614.70588235294133</v>
          </cell>
          <cell r="BB630">
            <v>512.25490196078442</v>
          </cell>
          <cell r="BC630">
            <v>409.80392156862757</v>
          </cell>
          <cell r="BE630">
            <v>307.35294117647067</v>
          </cell>
        </row>
        <row r="631">
          <cell r="I631" t="str">
            <v>KFO24OS2CTZHD20</v>
          </cell>
          <cell r="J631" t="str">
            <v>U0803008</v>
          </cell>
          <cell r="K631" t="str">
            <v>24FO OS2 CENTRAL LOOSE TUBE LSZH UNIVERSAL Dca YELLOW RAL1021</v>
          </cell>
          <cell r="L631" t="str">
            <v>24FO OS2 TUBE CENTRAL STRUCTURE LIBRE LSZH UNIVERSEL Dca JAUNE RAL1021</v>
          </cell>
          <cell r="M631" t="str">
            <v>Dca</v>
          </cell>
          <cell r="N631" t="str">
            <v>Turkey</v>
          </cell>
          <cell r="O631"/>
          <cell r="P631" t="str">
            <v>2000m drum</v>
          </cell>
          <cell r="Q631" t="str">
            <v>4KM</v>
          </cell>
          <cell r="R631">
            <v>2</v>
          </cell>
          <cell r="S631" t="e">
            <v>#N/A</v>
          </cell>
          <cell r="T631">
            <v>8544700000</v>
          </cell>
          <cell r="U631">
            <v>0</v>
          </cell>
          <cell r="V631">
            <v>30</v>
          </cell>
          <cell r="W631">
            <v>45</v>
          </cell>
          <cell r="X631">
            <v>55</v>
          </cell>
          <cell r="Y631" t="str">
            <v>T/T against copy of document</v>
          </cell>
          <cell r="Z631">
            <v>426.89393939393938</v>
          </cell>
          <cell r="AA631">
            <v>396.32352941176475</v>
          </cell>
          <cell r="AB631">
            <v>7.0000000000000007E-2</v>
          </cell>
          <cell r="AC631">
            <v>7.0000000000000007E-2</v>
          </cell>
          <cell r="AD631">
            <v>0.32</v>
          </cell>
          <cell r="AE631" t="str">
            <v>C</v>
          </cell>
          <cell r="AF631">
            <v>396.32352941176475</v>
          </cell>
          <cell r="AG631">
            <v>0.32000000000000006</v>
          </cell>
          <cell r="AH631"/>
          <cell r="AI631">
            <v>302.95698924731181</v>
          </cell>
          <cell r="AJ631">
            <v>289.78494623655916</v>
          </cell>
          <cell r="AK631">
            <v>0.29032258064516125</v>
          </cell>
          <cell r="AL631">
            <v>0.26881720430107525</v>
          </cell>
          <cell r="AM631"/>
          <cell r="AN631" t="str">
            <v>INFOKS</v>
          </cell>
          <cell r="AO631"/>
          <cell r="AP631"/>
          <cell r="AQ631"/>
          <cell r="AR631"/>
          <cell r="AS631"/>
          <cell r="AT631"/>
          <cell r="AU631">
            <v>245</v>
          </cell>
          <cell r="AV631">
            <v>269.5</v>
          </cell>
          <cell r="AW631"/>
          <cell r="AX631"/>
          <cell r="AZ631">
            <v>1321.0784313725492</v>
          </cell>
          <cell r="BA631">
            <v>792.64705882352951</v>
          </cell>
          <cell r="BB631">
            <v>660.53921568627459</v>
          </cell>
          <cell r="BC631">
            <v>528.43137254901967</v>
          </cell>
          <cell r="BE631">
            <v>396.32352941176475</v>
          </cell>
        </row>
        <row r="632">
          <cell r="I632" t="str">
            <v>KFO6OS2CTZHC</v>
          </cell>
          <cell r="J632" t="str">
            <v>U0803023</v>
          </cell>
          <cell r="K632" t="str">
            <v>6FO OS2 CENTRAL LOOSE TUBE LSZH UNIVERSAL Cca YELLOW RAL1021</v>
          </cell>
          <cell r="L632" t="str">
            <v>6FO OS2 TUBE CENTRAL STRUCTURE LIBRE LSZH UNIVERSEL Cca JAUNE RAL1021</v>
          </cell>
          <cell r="M632" t="str">
            <v>Cca/B2ca</v>
          </cell>
          <cell r="N632" t="str">
            <v>Turkey</v>
          </cell>
          <cell r="O632"/>
          <cell r="P632" t="str">
            <v>2000m drum</v>
          </cell>
          <cell r="Q632" t="str">
            <v>4KM</v>
          </cell>
          <cell r="R632">
            <v>2</v>
          </cell>
          <cell r="S632" t="e">
            <v>#N/A</v>
          </cell>
          <cell r="T632">
            <v>8544700000</v>
          </cell>
          <cell r="U632">
            <v>0</v>
          </cell>
          <cell r="V632">
            <v>30</v>
          </cell>
          <cell r="W632">
            <v>45</v>
          </cell>
          <cell r="X632">
            <v>55</v>
          </cell>
          <cell r="Y632" t="str">
            <v>T/T against copy of document</v>
          </cell>
          <cell r="Z632">
            <v>310.15151515151518</v>
          </cell>
          <cell r="AA632">
            <v>287.94117647058829</v>
          </cell>
          <cell r="AB632">
            <v>7.0000000000000007E-2</v>
          </cell>
          <cell r="AC632">
            <v>7.0000000000000007E-2</v>
          </cell>
          <cell r="AD632">
            <v>0.32</v>
          </cell>
          <cell r="AE632" t="str">
            <v>C</v>
          </cell>
          <cell r="AF632">
            <v>287.94117647058829</v>
          </cell>
          <cell r="AG632">
            <v>0.32000000000000006</v>
          </cell>
          <cell r="AH632"/>
          <cell r="AI632">
            <v>220.10752688172042</v>
          </cell>
          <cell r="AJ632">
            <v>210.53763440860217</v>
          </cell>
          <cell r="AK632">
            <v>0.29032258064516137</v>
          </cell>
          <cell r="AL632">
            <v>0.26881720430107536</v>
          </cell>
          <cell r="AM632"/>
          <cell r="AN632" t="str">
            <v>INFOKS</v>
          </cell>
          <cell r="AO632"/>
          <cell r="AP632"/>
          <cell r="AQ632"/>
          <cell r="AR632"/>
          <cell r="AS632"/>
          <cell r="AT632"/>
          <cell r="AU632">
            <v>178</v>
          </cell>
          <cell r="AV632">
            <v>195.8</v>
          </cell>
          <cell r="AW632"/>
          <cell r="AX632">
            <v>8544700000</v>
          </cell>
          <cell r="AZ632">
            <v>959.80392156862763</v>
          </cell>
          <cell r="BA632">
            <v>575.88235294117658</v>
          </cell>
          <cell r="BB632">
            <v>479.90196078431381</v>
          </cell>
          <cell r="BC632">
            <v>383.92156862745105</v>
          </cell>
        </row>
        <row r="633">
          <cell r="I633" t="str">
            <v>KFO8OS2CTZHC</v>
          </cell>
          <cell r="J633" t="str">
            <v/>
          </cell>
          <cell r="K633" t="str">
            <v>8FO OS2 CENTRAL LOOSE TUBE LSZH UNIVERSAL Cca YELLOW RAL1021</v>
          </cell>
          <cell r="L633" t="str">
            <v>8FO OS2 TUBE CENTRAL STRUCTURE LIBRE LSZH UNIVERSEL Cca JAUNE RAL1021</v>
          </cell>
          <cell r="M633" t="str">
            <v>Cca/B2ca</v>
          </cell>
          <cell r="N633" t="str">
            <v>Turkey</v>
          </cell>
          <cell r="O633"/>
          <cell r="P633" t="str">
            <v>2000m drum</v>
          </cell>
          <cell r="Q633" t="str">
            <v>4KM</v>
          </cell>
          <cell r="R633">
            <v>2</v>
          </cell>
          <cell r="S633" t="e">
            <v>#N/A</v>
          </cell>
          <cell r="T633">
            <v>8544700000</v>
          </cell>
          <cell r="U633">
            <v>0</v>
          </cell>
          <cell r="V633">
            <v>30</v>
          </cell>
          <cell r="W633">
            <v>45</v>
          </cell>
          <cell r="X633">
            <v>55</v>
          </cell>
          <cell r="Y633" t="str">
            <v>T/T against copy of document</v>
          </cell>
          <cell r="Z633">
            <v>322.34848484848482</v>
          </cell>
          <cell r="AA633">
            <v>299.26470588235298</v>
          </cell>
          <cell r="AB633">
            <v>7.0000000000000007E-2</v>
          </cell>
          <cell r="AC633">
            <v>7.0000000000000007E-2</v>
          </cell>
          <cell r="AD633">
            <v>0.32</v>
          </cell>
          <cell r="AE633" t="str">
            <v>C</v>
          </cell>
          <cell r="AF633">
            <v>299.26470588235298</v>
          </cell>
          <cell r="AG633">
            <v>0.31999999999999995</v>
          </cell>
          <cell r="AH633"/>
          <cell r="AI633">
            <v>228.76344086021504</v>
          </cell>
          <cell r="AJ633">
            <v>218.81720430107532</v>
          </cell>
          <cell r="AK633">
            <v>0.29032258064516125</v>
          </cell>
          <cell r="AL633">
            <v>0.26881720430107525</v>
          </cell>
          <cell r="AM633"/>
          <cell r="AN633" t="str">
            <v>INFOKS</v>
          </cell>
          <cell r="AO633"/>
          <cell r="AP633"/>
          <cell r="AQ633"/>
          <cell r="AR633"/>
          <cell r="AS633"/>
          <cell r="AT633"/>
          <cell r="AU633">
            <v>185</v>
          </cell>
          <cell r="AV633">
            <v>203.50000000000003</v>
          </cell>
          <cell r="AW633"/>
          <cell r="AX633">
            <v>8544700000</v>
          </cell>
          <cell r="AZ633">
            <v>997.54901960784332</v>
          </cell>
          <cell r="BA633">
            <v>598.52941176470597</v>
          </cell>
          <cell r="BB633">
            <v>498.77450980392166</v>
          </cell>
          <cell r="BC633">
            <v>399.01960784313735</v>
          </cell>
        </row>
        <row r="634">
          <cell r="I634" t="str">
            <v>KFO12OS2CTZHC</v>
          </cell>
          <cell r="J634" t="str">
            <v>U0803020</v>
          </cell>
          <cell r="K634" t="str">
            <v>12FO OS2 CENTRAL LOOSE TUBE LSZH UNIVERSAL Cca YELLOW RAL1021</v>
          </cell>
          <cell r="L634" t="str">
            <v>12FO OS2 TUBE CENTRAL STRUCTURE LIBRE LSZH UNIVERSEL Cca JAUNE RAL1021</v>
          </cell>
          <cell r="M634" t="str">
            <v>Cca/B2ca</v>
          </cell>
          <cell r="N634" t="str">
            <v>Turkey</v>
          </cell>
          <cell r="O634"/>
          <cell r="P634" t="str">
            <v>2000m drum</v>
          </cell>
          <cell r="Q634" t="str">
            <v>4KM</v>
          </cell>
          <cell r="R634">
            <v>2</v>
          </cell>
          <cell r="S634" t="e">
            <v>#N/A</v>
          </cell>
          <cell r="T634">
            <v>8544700000</v>
          </cell>
          <cell r="U634">
            <v>0</v>
          </cell>
          <cell r="V634">
            <v>30</v>
          </cell>
          <cell r="W634">
            <v>45</v>
          </cell>
          <cell r="X634">
            <v>55</v>
          </cell>
          <cell r="Y634" t="str">
            <v>T/T against copy of document</v>
          </cell>
          <cell r="Z634">
            <v>345.00000000000006</v>
          </cell>
          <cell r="AA634">
            <v>320.2941176470589</v>
          </cell>
          <cell r="AB634">
            <v>7.0000000000000007E-2</v>
          </cell>
          <cell r="AC634">
            <v>7.0000000000000007E-2</v>
          </cell>
          <cell r="AD634">
            <v>0.32</v>
          </cell>
          <cell r="AE634" t="str">
            <v>C</v>
          </cell>
          <cell r="AF634">
            <v>320.2941176470589</v>
          </cell>
          <cell r="AG634">
            <v>0.32000000000000017</v>
          </cell>
          <cell r="AH634"/>
          <cell r="AI634">
            <v>244.83870967741933</v>
          </cell>
          <cell r="AJ634">
            <v>234.1935483870968</v>
          </cell>
          <cell r="AK634">
            <v>0.29032258064516148</v>
          </cell>
          <cell r="AL634">
            <v>0.26881720430107536</v>
          </cell>
          <cell r="AM634"/>
          <cell r="AN634" t="str">
            <v>INFOKS</v>
          </cell>
          <cell r="AO634"/>
          <cell r="AP634"/>
          <cell r="AQ634"/>
          <cell r="AR634"/>
          <cell r="AS634"/>
          <cell r="AT634"/>
          <cell r="AU634">
            <v>198</v>
          </cell>
          <cell r="AV634">
            <v>217.8</v>
          </cell>
          <cell r="AW634"/>
          <cell r="AX634">
            <v>8544700000</v>
          </cell>
          <cell r="AZ634">
            <v>1067.6470588235297</v>
          </cell>
          <cell r="BA634">
            <v>640.58823529411779</v>
          </cell>
          <cell r="BB634">
            <v>533.82352941176487</v>
          </cell>
          <cell r="BC634">
            <v>427.05882352941194</v>
          </cell>
        </row>
        <row r="635">
          <cell r="I635" t="str">
            <v>KFO24OS2CTZHC</v>
          </cell>
          <cell r="J635" t="str">
            <v>U0803022</v>
          </cell>
          <cell r="K635" t="str">
            <v>24FO OS2 CENTRAL LOOSE TUBE LSZH UNIVERSAL Cca YELLOW RAL1021</v>
          </cell>
          <cell r="L635" t="str">
            <v>24FO OS2 TUBE CENTRAL STRUCTURE LIBRE LSZH UNIVERSEL Cca JAUNE RAL1021</v>
          </cell>
          <cell r="M635" t="str">
            <v>Cca/B2ca</v>
          </cell>
          <cell r="N635" t="str">
            <v>Turkey</v>
          </cell>
          <cell r="O635"/>
          <cell r="P635" t="str">
            <v>2000m drum</v>
          </cell>
          <cell r="Q635" t="str">
            <v>4KM</v>
          </cell>
          <cell r="R635">
            <v>2</v>
          </cell>
          <cell r="S635" t="e">
            <v>#N/A</v>
          </cell>
          <cell r="T635">
            <v>8544700000</v>
          </cell>
          <cell r="U635">
            <v>0</v>
          </cell>
          <cell r="V635">
            <v>30</v>
          </cell>
          <cell r="W635">
            <v>45</v>
          </cell>
          <cell r="X635">
            <v>55</v>
          </cell>
          <cell r="Y635" t="str">
            <v>T/T against copy of document</v>
          </cell>
          <cell r="Z635">
            <v>437.34848484848487</v>
          </cell>
          <cell r="AA635">
            <v>406.02941176470597</v>
          </cell>
          <cell r="AB635">
            <v>7.0000000000000007E-2</v>
          </cell>
          <cell r="AC635">
            <v>7.0000000000000007E-2</v>
          </cell>
          <cell r="AD635">
            <v>0.32</v>
          </cell>
          <cell r="AE635" t="str">
            <v>C</v>
          </cell>
          <cell r="AF635">
            <v>406.02941176470597</v>
          </cell>
          <cell r="AG635">
            <v>0.32000000000000006</v>
          </cell>
          <cell r="AH635"/>
          <cell r="AI635">
            <v>310.3763440860215</v>
          </cell>
          <cell r="AJ635">
            <v>296.88172043010758</v>
          </cell>
          <cell r="AK635">
            <v>0.29032258064516137</v>
          </cell>
          <cell r="AL635">
            <v>0.26881720430107525</v>
          </cell>
          <cell r="AM635"/>
          <cell r="AN635" t="str">
            <v>INFOKS</v>
          </cell>
          <cell r="AO635"/>
          <cell r="AP635"/>
          <cell r="AQ635"/>
          <cell r="AR635"/>
          <cell r="AS635"/>
          <cell r="AT635"/>
          <cell r="AU635">
            <v>251</v>
          </cell>
          <cell r="AV635">
            <v>276.10000000000002</v>
          </cell>
          <cell r="AW635"/>
          <cell r="AX635">
            <v>8544700000</v>
          </cell>
          <cell r="AZ635">
            <v>1353.4313725490199</v>
          </cell>
          <cell r="BA635">
            <v>812.05882352941194</v>
          </cell>
          <cell r="BB635">
            <v>676.71568627450995</v>
          </cell>
          <cell r="BC635">
            <v>541.37254901960796</v>
          </cell>
        </row>
        <row r="636">
          <cell r="I636" t="str">
            <v>KFO6OS2TBZHC</v>
          </cell>
          <cell r="J636" t="str">
            <v>U0807012</v>
          </cell>
          <cell r="K636" t="str">
            <v>6FO OS2 TIGHT BUFFERED LSZH UNIVERSAL Cca YELLOW RAL1021</v>
          </cell>
          <cell r="L636" t="str">
            <v>6FO OS2 STRUCTURE SERRÉE  LSZH UNIVERSEL Cca JAUNE RAL1021</v>
          </cell>
          <cell r="M636" t="str">
            <v>Cca</v>
          </cell>
          <cell r="N636" t="str">
            <v>Turkey</v>
          </cell>
          <cell r="O636"/>
          <cell r="P636" t="str">
            <v>2000m drum</v>
          </cell>
          <cell r="Q636" t="str">
            <v>4KM</v>
          </cell>
          <cell r="R636">
            <v>2</v>
          </cell>
          <cell r="S636" t="e">
            <v>#N/A</v>
          </cell>
          <cell r="T636">
            <v>8544700000</v>
          </cell>
          <cell r="U636">
            <v>0</v>
          </cell>
          <cell r="V636">
            <v>30</v>
          </cell>
          <cell r="W636">
            <v>45</v>
          </cell>
          <cell r="X636">
            <v>55</v>
          </cell>
          <cell r="Y636" t="str">
            <v>T/T against copy of document</v>
          </cell>
          <cell r="Z636">
            <v>283.20895522388059</v>
          </cell>
          <cell r="AA636">
            <v>263.04347826086962</v>
          </cell>
          <cell r="AB636">
            <v>7.0000000000000007E-2</v>
          </cell>
          <cell r="AC636">
            <v>7.0000000000000007E-2</v>
          </cell>
          <cell r="AD636">
            <v>0.31</v>
          </cell>
          <cell r="AE636" t="str">
            <v>C</v>
          </cell>
          <cell r="AF636">
            <v>263.04347826086962</v>
          </cell>
          <cell r="AG636">
            <v>0.31000000000000005</v>
          </cell>
          <cell r="AH636"/>
          <cell r="AI636">
            <v>204.03225806451613</v>
          </cell>
          <cell r="AJ636">
            <v>195.1612903225807</v>
          </cell>
          <cell r="AK636">
            <v>0.27956989247311825</v>
          </cell>
          <cell r="AL636">
            <v>0.25806451612903225</v>
          </cell>
          <cell r="AM636"/>
          <cell r="AN636" t="str">
            <v>INFOKS</v>
          </cell>
          <cell r="AO636"/>
          <cell r="AP636"/>
          <cell r="AQ636"/>
          <cell r="AR636"/>
          <cell r="AS636"/>
          <cell r="AT636"/>
          <cell r="AU636">
            <v>165</v>
          </cell>
          <cell r="AV636">
            <v>181.50000000000003</v>
          </cell>
          <cell r="AW636"/>
          <cell r="AX636"/>
          <cell r="AZ636">
            <v>876.81159420289873</v>
          </cell>
          <cell r="BA636">
            <v>526.08695652173924</v>
          </cell>
          <cell r="BB636">
            <v>438.40579710144937</v>
          </cell>
          <cell r="BC636">
            <v>350.72463768115949</v>
          </cell>
          <cell r="BE636">
            <v>263.04347826086962</v>
          </cell>
        </row>
        <row r="637">
          <cell r="I637" t="str">
            <v>KFO8OS2TBZHC</v>
          </cell>
          <cell r="J637" t="str">
            <v>U0807016</v>
          </cell>
          <cell r="K637" t="str">
            <v>8FO OS2 TIGHT BUFFERED LSZH UNIVERSAL Cca YELLOW RAL1021</v>
          </cell>
          <cell r="L637" t="str">
            <v>8FO OS2 STRUCTURE SERRÉE  LSZH UNIVERSEL Cca JAUNE RAL1021</v>
          </cell>
          <cell r="M637" t="str">
            <v>Cca</v>
          </cell>
          <cell r="N637" t="str">
            <v>Turkey</v>
          </cell>
          <cell r="O637"/>
          <cell r="P637" t="str">
            <v>2000m drum</v>
          </cell>
          <cell r="Q637" t="str">
            <v>4KM</v>
          </cell>
          <cell r="R637">
            <v>2</v>
          </cell>
          <cell r="S637" t="e">
            <v>#N/A</v>
          </cell>
          <cell r="T637">
            <v>8544700000</v>
          </cell>
          <cell r="U637">
            <v>0</v>
          </cell>
          <cell r="V637">
            <v>30</v>
          </cell>
          <cell r="W637">
            <v>45</v>
          </cell>
          <cell r="X637">
            <v>55</v>
          </cell>
          <cell r="Y637" t="str">
            <v>T/T against copy of document</v>
          </cell>
          <cell r="Z637">
            <v>304.50704225352109</v>
          </cell>
          <cell r="AA637">
            <v>283.28767123287673</v>
          </cell>
          <cell r="AB637">
            <v>7.0000000000000007E-2</v>
          </cell>
          <cell r="AC637">
            <v>7.0000000000000007E-2</v>
          </cell>
          <cell r="AD637">
            <v>0.27</v>
          </cell>
          <cell r="AE637" t="str">
            <v>C</v>
          </cell>
          <cell r="AF637">
            <v>283.28767123287673</v>
          </cell>
          <cell r="AG637">
            <v>0.27</v>
          </cell>
          <cell r="AH637"/>
          <cell r="AI637">
            <v>232.47311827956989</v>
          </cell>
          <cell r="AJ637">
            <v>222.3655913978495</v>
          </cell>
          <cell r="AK637">
            <v>0.23655913978494614</v>
          </cell>
          <cell r="AL637">
            <v>0.21505376344086014</v>
          </cell>
          <cell r="AM637"/>
          <cell r="AN637" t="str">
            <v>INFOKS</v>
          </cell>
          <cell r="AO637"/>
          <cell r="AP637"/>
          <cell r="AQ637"/>
          <cell r="AR637"/>
          <cell r="AS637"/>
          <cell r="AT637"/>
          <cell r="AU637">
            <v>188</v>
          </cell>
          <cell r="AV637">
            <v>206.8</v>
          </cell>
          <cell r="AW637"/>
          <cell r="AX637"/>
          <cell r="AZ637">
            <v>944.29223744292244</v>
          </cell>
          <cell r="BA637">
            <v>566.57534246575347</v>
          </cell>
          <cell r="BB637">
            <v>472.14611872146122</v>
          </cell>
          <cell r="BC637">
            <v>377.71689497716898</v>
          </cell>
          <cell r="BE637">
            <v>283.28767123287673</v>
          </cell>
        </row>
        <row r="638">
          <cell r="I638" t="str">
            <v>KFO12OS2TBZHC</v>
          </cell>
          <cell r="J638" t="str">
            <v>U0807004</v>
          </cell>
          <cell r="K638" t="str">
            <v>12FO OS2 TIGHT BUFFERED LSZH UNIVERSAL Cca YELLOW RAL1021</v>
          </cell>
          <cell r="L638" t="str">
            <v>12FO OS2 STRUCTURE SERRÉE  LSZH UNIVERSEL Cca JAUNE RAL1021</v>
          </cell>
          <cell r="M638" t="str">
            <v>Cca</v>
          </cell>
          <cell r="N638" t="str">
            <v>Turkey</v>
          </cell>
          <cell r="O638"/>
          <cell r="P638" t="str">
            <v>2000m drum</v>
          </cell>
          <cell r="Q638" t="str">
            <v>4KM</v>
          </cell>
          <cell r="R638">
            <v>2</v>
          </cell>
          <cell r="S638" t="e">
            <v>#N/A</v>
          </cell>
          <cell r="T638">
            <v>8544700000</v>
          </cell>
          <cell r="U638">
            <v>0</v>
          </cell>
          <cell r="V638">
            <v>30</v>
          </cell>
          <cell r="W638">
            <v>45</v>
          </cell>
          <cell r="X638">
            <v>55</v>
          </cell>
          <cell r="Y638" t="str">
            <v>T/T against copy of document</v>
          </cell>
          <cell r="Z638">
            <v>353.09859154929575</v>
          </cell>
          <cell r="AA638">
            <v>328.49315068493155</v>
          </cell>
          <cell r="AB638">
            <v>7.0000000000000007E-2</v>
          </cell>
          <cell r="AC638">
            <v>7.0000000000000007E-2</v>
          </cell>
          <cell r="AD638">
            <v>0.27</v>
          </cell>
          <cell r="AE638" t="str">
            <v>C</v>
          </cell>
          <cell r="AF638">
            <v>328.49315068493155</v>
          </cell>
          <cell r="AG638">
            <v>0.27</v>
          </cell>
          <cell r="AH638"/>
          <cell r="AI638">
            <v>269.56989247311827</v>
          </cell>
          <cell r="AJ638">
            <v>257.84946236559142</v>
          </cell>
          <cell r="AK638">
            <v>0.23655913978494625</v>
          </cell>
          <cell r="AL638">
            <v>0.21505376344086025</v>
          </cell>
          <cell r="AM638"/>
          <cell r="AN638" t="str">
            <v>INFOKS</v>
          </cell>
          <cell r="AO638"/>
          <cell r="AP638"/>
          <cell r="AQ638"/>
          <cell r="AR638"/>
          <cell r="AS638"/>
          <cell r="AT638"/>
          <cell r="AU638">
            <v>218</v>
          </cell>
          <cell r="AV638">
            <v>239.8</v>
          </cell>
          <cell r="AW638"/>
          <cell r="AX638"/>
          <cell r="AZ638">
            <v>1094.9771689497718</v>
          </cell>
          <cell r="BA638">
            <v>656.9863013698631</v>
          </cell>
          <cell r="BB638">
            <v>547.4885844748859</v>
          </cell>
          <cell r="BC638">
            <v>437.99086757990875</v>
          </cell>
          <cell r="BE638">
            <v>328.49315068493155</v>
          </cell>
        </row>
        <row r="639">
          <cell r="I639" t="str">
            <v>KFO24OS2TBZHC</v>
          </cell>
          <cell r="J639" t="str">
            <v>U0807008</v>
          </cell>
          <cell r="K639" t="str">
            <v>24FO OS2 TIGHT BUFFERED LSZH UNIVERSAL Cca YELLOW RAL1021</v>
          </cell>
          <cell r="L639" t="str">
            <v>24FO OS2 STRUCTURE SERRÉE  LSZH UNIVERSEL Cca JAUNE RAL1021</v>
          </cell>
          <cell r="M639" t="str">
            <v>Cca</v>
          </cell>
          <cell r="N639" t="str">
            <v>Turkey</v>
          </cell>
          <cell r="O639"/>
          <cell r="P639" t="str">
            <v>2000m drum</v>
          </cell>
          <cell r="Q639" t="str">
            <v>4KM</v>
          </cell>
          <cell r="R639">
            <v>2</v>
          </cell>
          <cell r="S639" t="e">
            <v>#N/A</v>
          </cell>
          <cell r="T639">
            <v>8544700000</v>
          </cell>
          <cell r="U639">
            <v>0</v>
          </cell>
          <cell r="V639">
            <v>30</v>
          </cell>
          <cell r="W639">
            <v>45</v>
          </cell>
          <cell r="X639">
            <v>55</v>
          </cell>
          <cell r="Y639" t="str">
            <v>T/T against copy of document</v>
          </cell>
          <cell r="Z639">
            <v>495.63380281690138</v>
          </cell>
          <cell r="AA639">
            <v>461.09589041095893</v>
          </cell>
          <cell r="AB639">
            <v>7.0000000000000007E-2</v>
          </cell>
          <cell r="AC639">
            <v>7.0000000000000007E-2</v>
          </cell>
          <cell r="AD639">
            <v>0.27</v>
          </cell>
          <cell r="AE639" t="str">
            <v>C</v>
          </cell>
          <cell r="AF639">
            <v>461.09589041095893</v>
          </cell>
          <cell r="AG639">
            <v>0.27</v>
          </cell>
          <cell r="AH639"/>
          <cell r="AI639">
            <v>378.38709677419354</v>
          </cell>
          <cell r="AJ639">
            <v>361.9354838709678</v>
          </cell>
          <cell r="AK639">
            <v>0.23655913978494625</v>
          </cell>
          <cell r="AL639">
            <v>0.21505376344086014</v>
          </cell>
          <cell r="AM639"/>
          <cell r="AN639" t="str">
            <v>INFOKS</v>
          </cell>
          <cell r="AO639"/>
          <cell r="AP639"/>
          <cell r="AQ639"/>
          <cell r="AR639"/>
          <cell r="AS639"/>
          <cell r="AT639"/>
          <cell r="AU639">
            <v>306</v>
          </cell>
          <cell r="AV639">
            <v>336.6</v>
          </cell>
          <cell r="AW639"/>
          <cell r="AX639"/>
          <cell r="AZ639">
            <v>1536.9863013698632</v>
          </cell>
          <cell r="BA639">
            <v>922.19178082191786</v>
          </cell>
          <cell r="BB639">
            <v>768.49315068493161</v>
          </cell>
          <cell r="BC639">
            <v>614.79452054794535</v>
          </cell>
          <cell r="BE639">
            <v>461.09589041095893</v>
          </cell>
        </row>
        <row r="640">
          <cell r="I640" t="str">
            <v>KFO6OS2CT</v>
          </cell>
          <cell r="J640" t="str">
            <v>U0802006</v>
          </cell>
          <cell r="K640" t="str">
            <v>6FO OS2 CENTRAL LOOSE TUBE PEHD OUTDOOR BLACK RAL9005</v>
          </cell>
          <cell r="L640" t="str">
            <v>6FO OS2 TUBE CENTRAL STRUCTURE LIBRE PEHD EXTÉRIEUR NOIR RAL9005</v>
          </cell>
          <cell r="M640" t="str">
            <v>Fca</v>
          </cell>
          <cell r="N640" t="str">
            <v>Turkey</v>
          </cell>
          <cell r="O640"/>
          <cell r="P640" t="str">
            <v>2000m drum</v>
          </cell>
          <cell r="Q640" t="str">
            <v>4KM</v>
          </cell>
          <cell r="R640">
            <v>2</v>
          </cell>
          <cell r="S640" t="e">
            <v>#N/A</v>
          </cell>
          <cell r="T640">
            <v>8544700000</v>
          </cell>
          <cell r="U640">
            <v>0</v>
          </cell>
          <cell r="V640">
            <v>30</v>
          </cell>
          <cell r="W640">
            <v>45</v>
          </cell>
          <cell r="X640">
            <v>55</v>
          </cell>
          <cell r="Y640" t="str">
            <v>T/T against copy of document</v>
          </cell>
          <cell r="Z640">
            <v>256.953125</v>
          </cell>
          <cell r="AA640">
            <v>238.33333333333337</v>
          </cell>
          <cell r="AB640">
            <v>7.0000000000000007E-2</v>
          </cell>
          <cell r="AC640">
            <v>7.0000000000000007E-2</v>
          </cell>
          <cell r="AD640">
            <v>0.34</v>
          </cell>
          <cell r="AE640" t="str">
            <v>C</v>
          </cell>
          <cell r="AF640">
            <v>238.33333333333337</v>
          </cell>
          <cell r="AG640">
            <v>0.34000000000000008</v>
          </cell>
          <cell r="AH640"/>
          <cell r="AI640">
            <v>176.82795698924733</v>
          </cell>
          <cell r="AJ640">
            <v>169.13978494623657</v>
          </cell>
          <cell r="AK640">
            <v>0.31182795698924726</v>
          </cell>
          <cell r="AL640">
            <v>0.29032258064516137</v>
          </cell>
          <cell r="AM640"/>
          <cell r="AN640" t="str">
            <v>INFOKS</v>
          </cell>
          <cell r="AO640"/>
          <cell r="AP640"/>
          <cell r="AQ640"/>
          <cell r="AR640"/>
          <cell r="AS640"/>
          <cell r="AT640"/>
          <cell r="AU640">
            <v>143</v>
          </cell>
          <cell r="AV640">
            <v>157.30000000000001</v>
          </cell>
          <cell r="AW640"/>
          <cell r="AX640"/>
          <cell r="AZ640">
            <v>794.44444444444457</v>
          </cell>
          <cell r="BA640">
            <v>476.66666666666674</v>
          </cell>
          <cell r="BB640">
            <v>397.22222222222229</v>
          </cell>
          <cell r="BC640">
            <v>317.77777777777783</v>
          </cell>
          <cell r="BE640">
            <v>238.33333333333337</v>
          </cell>
        </row>
        <row r="641">
          <cell r="I641" t="str">
            <v>KFO8OS2CT</v>
          </cell>
          <cell r="J641" t="str">
            <v>U0802008</v>
          </cell>
          <cell r="K641" t="str">
            <v>8FO OS2 CENTRAL LOOSE TUBE PEHD OUTDOOR BLACK RAL9005</v>
          </cell>
          <cell r="L641" t="str">
            <v>8FO OS2 TUBE CENTRAL STRUCTURE LIBRE PEHD EXTÉRIEUR NOIR RAL9005</v>
          </cell>
          <cell r="M641" t="str">
            <v>Fca</v>
          </cell>
          <cell r="N641" t="str">
            <v>Turkey</v>
          </cell>
          <cell r="O641"/>
          <cell r="P641" t="str">
            <v>2000m drum</v>
          </cell>
          <cell r="Q641" t="str">
            <v>4KM</v>
          </cell>
          <cell r="R641">
            <v>2</v>
          </cell>
          <cell r="S641" t="e">
            <v>#N/A</v>
          </cell>
          <cell r="T641">
            <v>8544700000</v>
          </cell>
          <cell r="U641">
            <v>0</v>
          </cell>
          <cell r="V641">
            <v>30</v>
          </cell>
          <cell r="W641">
            <v>45</v>
          </cell>
          <cell r="X641">
            <v>55</v>
          </cell>
          <cell r="Y641" t="str">
            <v>T/T against copy of document</v>
          </cell>
          <cell r="Z641">
            <v>272.46153846153851</v>
          </cell>
          <cell r="AA641">
            <v>252.83582089552243</v>
          </cell>
          <cell r="AB641">
            <v>7.0000000000000007E-2</v>
          </cell>
          <cell r="AC641">
            <v>7.0000000000000007E-2</v>
          </cell>
          <cell r="AD641">
            <v>0.33</v>
          </cell>
          <cell r="AE641" t="str">
            <v>C</v>
          </cell>
          <cell r="AF641">
            <v>252.83582089552243</v>
          </cell>
          <cell r="AG641">
            <v>0.33000000000000007</v>
          </cell>
          <cell r="AH641"/>
          <cell r="AI641">
            <v>190.4301075268817</v>
          </cell>
          <cell r="AJ641">
            <v>182.15053763440861</v>
          </cell>
          <cell r="AK641">
            <v>0.30107526881720448</v>
          </cell>
          <cell r="AL641">
            <v>0.27956989247311836</v>
          </cell>
          <cell r="AM641"/>
          <cell r="AN641" t="str">
            <v>INFOKS</v>
          </cell>
          <cell r="AO641"/>
          <cell r="AP641"/>
          <cell r="AQ641"/>
          <cell r="AR641"/>
          <cell r="AS641"/>
          <cell r="AT641"/>
          <cell r="AU641">
            <v>154</v>
          </cell>
          <cell r="AV641">
            <v>169.4</v>
          </cell>
          <cell r="AW641"/>
          <cell r="AX641"/>
          <cell r="AZ641">
            <v>842.78606965174151</v>
          </cell>
          <cell r="BA641">
            <v>505.67164179104486</v>
          </cell>
          <cell r="BB641">
            <v>421.39303482587076</v>
          </cell>
          <cell r="BC641">
            <v>337.11442786069665</v>
          </cell>
          <cell r="BE641">
            <v>252.83582089552243</v>
          </cell>
        </row>
        <row r="642">
          <cell r="I642" t="str">
            <v>KFO12OS2CT</v>
          </cell>
          <cell r="J642" t="str">
            <v>U0802002</v>
          </cell>
          <cell r="K642" t="str">
            <v>12FO OS2 CENTRAL LOOSE TUBE PEHD OUTDOOR BLACK RAL9005</v>
          </cell>
          <cell r="L642" t="str">
            <v>12FO OS2 TUBE CENTRAL STRUCTURE LIBRE PEHD EXTÉRIEUR NOIR RAL9005</v>
          </cell>
          <cell r="M642" t="str">
            <v>Fca</v>
          </cell>
          <cell r="N642" t="str">
            <v>Turkey</v>
          </cell>
          <cell r="O642"/>
          <cell r="P642" t="str">
            <v>2000m drum</v>
          </cell>
          <cell r="Q642" t="str">
            <v>4KM</v>
          </cell>
          <cell r="R642">
            <v>2</v>
          </cell>
          <cell r="S642" t="e">
            <v>#N/A</v>
          </cell>
          <cell r="T642">
            <v>8544700000</v>
          </cell>
          <cell r="U642">
            <v>0</v>
          </cell>
          <cell r="V642">
            <v>30</v>
          </cell>
          <cell r="W642">
            <v>45</v>
          </cell>
          <cell r="X642">
            <v>55</v>
          </cell>
          <cell r="Y642" t="str">
            <v>T/T against copy of document</v>
          </cell>
          <cell r="Z642">
            <v>291.92307692307691</v>
          </cell>
          <cell r="AA642">
            <v>270.89552238805976</v>
          </cell>
          <cell r="AB642">
            <v>7.0000000000000007E-2</v>
          </cell>
          <cell r="AC642">
            <v>7.0000000000000007E-2</v>
          </cell>
          <cell r="AD642">
            <v>0.33</v>
          </cell>
          <cell r="AE642" t="str">
            <v>C</v>
          </cell>
          <cell r="AF642">
            <v>270.89552238805976</v>
          </cell>
          <cell r="AG642">
            <v>0.33000000000000007</v>
          </cell>
          <cell r="AH642"/>
          <cell r="AI642">
            <v>204.03225806451613</v>
          </cell>
          <cell r="AJ642">
            <v>195.1612903225807</v>
          </cell>
          <cell r="AK642">
            <v>0.30107526881720426</v>
          </cell>
          <cell r="AL642">
            <v>0.27956989247311825</v>
          </cell>
          <cell r="AM642"/>
          <cell r="AN642" t="str">
            <v>INFOKS</v>
          </cell>
          <cell r="AO642"/>
          <cell r="AP642"/>
          <cell r="AQ642"/>
          <cell r="AR642"/>
          <cell r="AS642"/>
          <cell r="AT642"/>
          <cell r="AU642">
            <v>165</v>
          </cell>
          <cell r="AV642">
            <v>181.50000000000003</v>
          </cell>
          <cell r="AW642"/>
          <cell r="AX642"/>
          <cell r="AZ642">
            <v>902.98507462686587</v>
          </cell>
          <cell r="BA642">
            <v>541.79104477611952</v>
          </cell>
          <cell r="BB642">
            <v>451.49253731343293</v>
          </cell>
          <cell r="BC642">
            <v>361.19402985074635</v>
          </cell>
          <cell r="BE642">
            <v>270.89552238805976</v>
          </cell>
        </row>
        <row r="643">
          <cell r="I643" t="str">
            <v>KFO24OS2CT</v>
          </cell>
          <cell r="J643" t="str">
            <v>U0802004</v>
          </cell>
          <cell r="K643" t="str">
            <v>24FO OS2 CENTRAL LOOSE TUBE PEHD OUTDOOR BLACK RAL9005</v>
          </cell>
          <cell r="L643" t="str">
            <v>24FO OS2 TUBE CENTRAL STRUCTURE LIBRE PEHD EXTÉRIEUR NOIR RAL9005</v>
          </cell>
          <cell r="M643" t="str">
            <v>Fca</v>
          </cell>
          <cell r="N643" t="str">
            <v>Turkey</v>
          </cell>
          <cell r="O643"/>
          <cell r="P643" t="str">
            <v>2000m drum</v>
          </cell>
          <cell r="Q643" t="str">
            <v>4KM</v>
          </cell>
          <cell r="R643">
            <v>2</v>
          </cell>
          <cell r="S643" t="e">
            <v>#N/A</v>
          </cell>
          <cell r="T643">
            <v>8544700000</v>
          </cell>
          <cell r="U643">
            <v>0</v>
          </cell>
          <cell r="V643">
            <v>30</v>
          </cell>
          <cell r="W643">
            <v>45</v>
          </cell>
          <cell r="X643">
            <v>55</v>
          </cell>
          <cell r="Y643" t="str">
            <v>T/T against copy of document</v>
          </cell>
          <cell r="Z643">
            <v>390.30303030303031</v>
          </cell>
          <cell r="AA643">
            <v>362.35294117647067</v>
          </cell>
          <cell r="AB643">
            <v>7.0000000000000007E-2</v>
          </cell>
          <cell r="AC643">
            <v>7.0000000000000007E-2</v>
          </cell>
          <cell r="AD643">
            <v>0.32</v>
          </cell>
          <cell r="AE643" t="str">
            <v>C</v>
          </cell>
          <cell r="AF643">
            <v>362.35294117647067</v>
          </cell>
          <cell r="AG643">
            <v>0.32000000000000006</v>
          </cell>
          <cell r="AH643"/>
          <cell r="AI643">
            <v>276.98924731182797</v>
          </cell>
          <cell r="AJ643">
            <v>264.94623655913983</v>
          </cell>
          <cell r="AK643">
            <v>0.29032258064516125</v>
          </cell>
          <cell r="AL643">
            <v>0.26881720430107525</v>
          </cell>
          <cell r="AM643"/>
          <cell r="AN643" t="str">
            <v>INFOKS</v>
          </cell>
          <cell r="AO643"/>
          <cell r="AP643"/>
          <cell r="AQ643"/>
          <cell r="AR643"/>
          <cell r="AS643"/>
          <cell r="AT643"/>
          <cell r="AU643">
            <v>224</v>
          </cell>
          <cell r="AV643">
            <v>246.40000000000003</v>
          </cell>
          <cell r="AW643"/>
          <cell r="AX643"/>
          <cell r="AZ643">
            <v>1207.8431372549023</v>
          </cell>
          <cell r="BA643">
            <v>724.70588235294133</v>
          </cell>
          <cell r="BB643">
            <v>603.92156862745117</v>
          </cell>
          <cell r="BC643">
            <v>483.13725490196094</v>
          </cell>
          <cell r="BE643">
            <v>362.35294117647067</v>
          </cell>
        </row>
        <row r="644">
          <cell r="I644" t="str">
            <v>KFO6OS2CTA</v>
          </cell>
          <cell r="J644" t="str">
            <v>U0801006</v>
          </cell>
          <cell r="K644" t="str">
            <v>6FO OS2 CENTRAL LOOSE TUBE ARMORED PEHD OUTDOOR BLACK RAL9005</v>
          </cell>
          <cell r="L644" t="str">
            <v>6FO OS2 TUBE CENTRAL STRUCTURE LIBRE ARMÉ  PEHD EXTÉRIEUR NOIR RAL9005</v>
          </cell>
          <cell r="M644" t="str">
            <v>Fca</v>
          </cell>
          <cell r="N644" t="str">
            <v>Turkey</v>
          </cell>
          <cell r="O644"/>
          <cell r="P644" t="str">
            <v>2000m drum</v>
          </cell>
          <cell r="Q644" t="str">
            <v>4KM</v>
          </cell>
          <cell r="R644">
            <v>2</v>
          </cell>
          <cell r="S644" t="e">
            <v>#N/A</v>
          </cell>
          <cell r="T644">
            <v>8544700000</v>
          </cell>
          <cell r="U644">
            <v>0</v>
          </cell>
          <cell r="V644">
            <v>30</v>
          </cell>
          <cell r="W644">
            <v>45</v>
          </cell>
          <cell r="X644">
            <v>55</v>
          </cell>
          <cell r="Y644" t="str">
            <v>T/T against copy of document</v>
          </cell>
          <cell r="Z644">
            <v>345.00000000000006</v>
          </cell>
          <cell r="AA644">
            <v>320.2941176470589</v>
          </cell>
          <cell r="AB644">
            <v>7.0000000000000007E-2</v>
          </cell>
          <cell r="AC644">
            <v>7.0000000000000007E-2</v>
          </cell>
          <cell r="AD644">
            <v>0.32</v>
          </cell>
          <cell r="AE644" t="str">
            <v>C</v>
          </cell>
          <cell r="AF644">
            <v>320.2941176470589</v>
          </cell>
          <cell r="AG644">
            <v>0.32000000000000017</v>
          </cell>
          <cell r="AH644"/>
          <cell r="AI644">
            <v>244.83870967741933</v>
          </cell>
          <cell r="AJ644">
            <v>234.1935483870968</v>
          </cell>
          <cell r="AK644">
            <v>0.29032258064516148</v>
          </cell>
          <cell r="AL644">
            <v>0.26881720430107536</v>
          </cell>
          <cell r="AM644"/>
          <cell r="AN644" t="str">
            <v>INFOKS</v>
          </cell>
          <cell r="AO644"/>
          <cell r="AP644"/>
          <cell r="AQ644"/>
          <cell r="AR644"/>
          <cell r="AS644"/>
          <cell r="AT644"/>
          <cell r="AU644">
            <v>198</v>
          </cell>
          <cell r="AV644">
            <v>217.8</v>
          </cell>
          <cell r="AW644"/>
          <cell r="AX644"/>
          <cell r="AZ644">
            <v>1067.6470588235297</v>
          </cell>
          <cell r="BA644">
            <v>640.58823529411779</v>
          </cell>
          <cell r="BB644">
            <v>533.82352941176487</v>
          </cell>
          <cell r="BC644">
            <v>427.05882352941194</v>
          </cell>
          <cell r="BE644">
            <v>320.2941176470589</v>
          </cell>
        </row>
        <row r="645">
          <cell r="I645" t="str">
            <v>KFO8OS2CTA</v>
          </cell>
          <cell r="J645" t="str">
            <v>U0801008</v>
          </cell>
          <cell r="K645" t="str">
            <v>8FO OS2 CENTRAL LOOSE TUBE ARMORED PEHD OUTDOOR BLACK RAL9005</v>
          </cell>
          <cell r="L645" t="str">
            <v>8FO OS2 TUBE CENTRAL STRUCTURE LIBRE ARMÉ  PEHD EXTÉRIEUR NOIR RAL9005</v>
          </cell>
          <cell r="M645" t="str">
            <v>Fca</v>
          </cell>
          <cell r="N645" t="str">
            <v>Turkey</v>
          </cell>
          <cell r="O645"/>
          <cell r="P645" t="str">
            <v>2000m drum</v>
          </cell>
          <cell r="Q645" t="str">
            <v>4KM</v>
          </cell>
          <cell r="R645">
            <v>2</v>
          </cell>
          <cell r="S645" t="e">
            <v>#N/A</v>
          </cell>
          <cell r="T645">
            <v>8544700000</v>
          </cell>
          <cell r="U645">
            <v>0</v>
          </cell>
          <cell r="V645">
            <v>30</v>
          </cell>
          <cell r="W645">
            <v>45</v>
          </cell>
          <cell r="X645">
            <v>55</v>
          </cell>
          <cell r="Y645" t="str">
            <v>T/T against copy of document</v>
          </cell>
          <cell r="Z645">
            <v>360.68181818181819</v>
          </cell>
          <cell r="AA645">
            <v>334.85294117647067</v>
          </cell>
          <cell r="AB645">
            <v>7.0000000000000007E-2</v>
          </cell>
          <cell r="AC645">
            <v>7.0000000000000007E-2</v>
          </cell>
          <cell r="AD645">
            <v>0.32</v>
          </cell>
          <cell r="AE645" t="str">
            <v>C</v>
          </cell>
          <cell r="AF645">
            <v>334.85294117647067</v>
          </cell>
          <cell r="AG645">
            <v>0.32000000000000006</v>
          </cell>
          <cell r="AH645"/>
          <cell r="AI645">
            <v>255.96774193548387</v>
          </cell>
          <cell r="AJ645">
            <v>244.83870967741939</v>
          </cell>
          <cell r="AK645">
            <v>0.29032258064516125</v>
          </cell>
          <cell r="AL645">
            <v>0.26881720430107536</v>
          </cell>
          <cell r="AM645"/>
          <cell r="AN645" t="str">
            <v>INFOKS</v>
          </cell>
          <cell r="AO645"/>
          <cell r="AP645"/>
          <cell r="AQ645"/>
          <cell r="AR645"/>
          <cell r="AS645"/>
          <cell r="AT645"/>
          <cell r="AU645">
            <v>207</v>
          </cell>
          <cell r="AV645">
            <v>227.70000000000002</v>
          </cell>
          <cell r="AW645"/>
          <cell r="AX645"/>
          <cell r="AZ645">
            <v>1116.1764705882356</v>
          </cell>
          <cell r="BA645">
            <v>669.70588235294133</v>
          </cell>
          <cell r="BB645">
            <v>558.08823529411779</v>
          </cell>
          <cell r="BC645">
            <v>446.47058823529426</v>
          </cell>
          <cell r="BE645">
            <v>334.85294117647067</v>
          </cell>
        </row>
        <row r="646">
          <cell r="I646" t="str">
            <v>KFO12OS2CTA20</v>
          </cell>
          <cell r="J646" t="str">
            <v>U0801002</v>
          </cell>
          <cell r="K646" t="str">
            <v>12FO OS2 CENTRAL LOOSE TUBE ARMORED PEHD OUTDOOR BLACK RAL9005</v>
          </cell>
          <cell r="L646" t="str">
            <v>12FO OS2 TUBE CENTRAL STRUCTURE LIBRE ARMÉ  PEHD EXTÉRIEUR NOIR RAL9005</v>
          </cell>
          <cell r="M646" t="str">
            <v>Fca</v>
          </cell>
          <cell r="N646" t="str">
            <v>Turkey</v>
          </cell>
          <cell r="O646"/>
          <cell r="P646" t="str">
            <v>2000m drum</v>
          </cell>
          <cell r="Q646" t="str">
            <v>4KM</v>
          </cell>
          <cell r="R646">
            <v>2</v>
          </cell>
          <cell r="S646" t="e">
            <v>#N/A</v>
          </cell>
          <cell r="T646">
            <v>8544700000</v>
          </cell>
          <cell r="U646">
            <v>0</v>
          </cell>
          <cell r="V646">
            <v>30</v>
          </cell>
          <cell r="W646">
            <v>45</v>
          </cell>
          <cell r="X646">
            <v>55</v>
          </cell>
          <cell r="Y646" t="str">
            <v>T/T against copy of document</v>
          </cell>
          <cell r="Z646">
            <v>379.84848484848487</v>
          </cell>
          <cell r="AA646">
            <v>352.64705882352945</v>
          </cell>
          <cell r="AB646">
            <v>7.0000000000000007E-2</v>
          </cell>
          <cell r="AC646">
            <v>7.0000000000000007E-2</v>
          </cell>
          <cell r="AD646">
            <v>0.32</v>
          </cell>
          <cell r="AE646" t="str">
            <v>C</v>
          </cell>
          <cell r="AF646">
            <v>352.64705882352945</v>
          </cell>
          <cell r="AG646">
            <v>0.32000000000000006</v>
          </cell>
          <cell r="AH646"/>
          <cell r="AI646">
            <v>269.56989247311827</v>
          </cell>
          <cell r="AJ646">
            <v>257.84946236559142</v>
          </cell>
          <cell r="AK646">
            <v>0.29032258064516137</v>
          </cell>
          <cell r="AL646">
            <v>0.26881720430107525</v>
          </cell>
          <cell r="AM646"/>
          <cell r="AN646" t="str">
            <v>INFOKS</v>
          </cell>
          <cell r="AO646"/>
          <cell r="AP646"/>
          <cell r="AQ646"/>
          <cell r="AR646"/>
          <cell r="AS646"/>
          <cell r="AT646"/>
          <cell r="AU646">
            <v>218</v>
          </cell>
          <cell r="AV646">
            <v>239.8</v>
          </cell>
          <cell r="AW646"/>
          <cell r="AX646"/>
          <cell r="AZ646">
            <v>1175.4901960784316</v>
          </cell>
          <cell r="BA646">
            <v>705.2941176470589</v>
          </cell>
          <cell r="BB646">
            <v>587.7450980392158</v>
          </cell>
          <cell r="BC646">
            <v>470.19607843137265</v>
          </cell>
          <cell r="BE646">
            <v>352.64705882352945</v>
          </cell>
        </row>
        <row r="647">
          <cell r="I647" t="str">
            <v>KFO24OS2CTA20</v>
          </cell>
          <cell r="J647" t="str">
            <v>U0801004</v>
          </cell>
          <cell r="K647" t="str">
            <v>24FO OS2 CENTRAL LOOSE TUBE ARMORED PEHD OUTDOOR BLACK RAL9005</v>
          </cell>
          <cell r="L647" t="str">
            <v>24FO OS2TUBE CENTRAL STRUCTURE LIBRE ARMÉ  PEHD EXTÉRIEUR NOIR RAL9005</v>
          </cell>
          <cell r="M647" t="str">
            <v>Fca</v>
          </cell>
          <cell r="N647" t="str">
            <v>Turkey</v>
          </cell>
          <cell r="O647"/>
          <cell r="P647" t="str">
            <v>2000m drum</v>
          </cell>
          <cell r="Q647" t="str">
            <v>4KM</v>
          </cell>
          <cell r="R647">
            <v>2</v>
          </cell>
          <cell r="S647" t="e">
            <v>#N/A</v>
          </cell>
          <cell r="T647">
            <v>8544700000</v>
          </cell>
          <cell r="U647">
            <v>0</v>
          </cell>
          <cell r="V647">
            <v>30</v>
          </cell>
          <cell r="W647">
            <v>45</v>
          </cell>
          <cell r="X647">
            <v>55</v>
          </cell>
          <cell r="Y647" t="str">
            <v>T/T against copy of document</v>
          </cell>
          <cell r="Z647">
            <v>477.42424242424244</v>
          </cell>
          <cell r="AA647">
            <v>443.23529411764713</v>
          </cell>
          <cell r="AB647">
            <v>7.0000000000000007E-2</v>
          </cell>
          <cell r="AC647">
            <v>7.0000000000000007E-2</v>
          </cell>
          <cell r="AD647">
            <v>0.32</v>
          </cell>
          <cell r="AE647" t="str">
            <v>C</v>
          </cell>
          <cell r="AF647">
            <v>443.23529411764713</v>
          </cell>
          <cell r="AG647">
            <v>0.32000000000000006</v>
          </cell>
          <cell r="AH647"/>
          <cell r="AI647">
            <v>338.81720430107526</v>
          </cell>
          <cell r="AJ647">
            <v>324.08602150537638</v>
          </cell>
          <cell r="AK647">
            <v>0.29032258064516137</v>
          </cell>
          <cell r="AL647">
            <v>0.26881720430107525</v>
          </cell>
          <cell r="AM647"/>
          <cell r="AN647" t="str">
            <v>INFOKS</v>
          </cell>
          <cell r="AO647"/>
          <cell r="AP647"/>
          <cell r="AQ647"/>
          <cell r="AR647"/>
          <cell r="AS647"/>
          <cell r="AT647"/>
          <cell r="AU647">
            <v>274</v>
          </cell>
          <cell r="AV647">
            <v>301.40000000000003</v>
          </cell>
          <cell r="AW647"/>
          <cell r="AX647"/>
          <cell r="AZ647">
            <v>1477.4509803921571</v>
          </cell>
          <cell r="BA647">
            <v>886.47058823529426</v>
          </cell>
          <cell r="BB647">
            <v>738.72549019607857</v>
          </cell>
          <cell r="BC647">
            <v>590.98039215686288</v>
          </cell>
          <cell r="BE647">
            <v>443.23529411764713</v>
          </cell>
        </row>
        <row r="648">
          <cell r="I648" t="str">
            <v>KFO12OS2CTAZHB2</v>
          </cell>
          <cell r="J648" t="str">
            <v/>
          </cell>
          <cell r="K648" t="str">
            <v>12FO OS2 CENTRAL LOOSE TUBE ARMORED LSZH B2ca OUTDOOR YELLOW RAL 1021</v>
          </cell>
          <cell r="L648" t="str">
            <v>12FO OS2 TUBE CENTRAL STRUCTURE LIBRE ARMÉ LSZH B2ca EXTÉRIEUR JAUNE RAL1021</v>
          </cell>
          <cell r="M648" t="str">
            <v>B2ca</v>
          </cell>
          <cell r="N648" t="str">
            <v>Turkey</v>
          </cell>
          <cell r="O648"/>
          <cell r="P648" t="str">
            <v>2000m drum</v>
          </cell>
          <cell r="Q648" t="str">
            <v>4KM</v>
          </cell>
          <cell r="R648">
            <v>2</v>
          </cell>
          <cell r="S648" t="e">
            <v>#N/A</v>
          </cell>
          <cell r="T648">
            <v>8544700000</v>
          </cell>
          <cell r="U648">
            <v>0</v>
          </cell>
          <cell r="V648">
            <v>30</v>
          </cell>
          <cell r="W648">
            <v>45</v>
          </cell>
          <cell r="X648">
            <v>55</v>
          </cell>
          <cell r="Y648" t="str">
            <v>T/T against copy of document</v>
          </cell>
          <cell r="Z648">
            <v>552.34848484848487</v>
          </cell>
          <cell r="AA648">
            <v>512.7941176470589</v>
          </cell>
          <cell r="AB648">
            <v>7.0000000000000007E-2</v>
          </cell>
          <cell r="AC648">
            <v>7.0000000000000007E-2</v>
          </cell>
          <cell r="AD648">
            <v>0.32</v>
          </cell>
          <cell r="AE648" t="str">
            <v>C</v>
          </cell>
          <cell r="AF648">
            <v>512.7941176470589</v>
          </cell>
          <cell r="AG648">
            <v>0.32000000000000006</v>
          </cell>
          <cell r="AH648"/>
          <cell r="AI648">
            <v>391.98924731182797</v>
          </cell>
          <cell r="AJ648">
            <v>374.94623655913983</v>
          </cell>
          <cell r="AK648">
            <v>0.29032258064516125</v>
          </cell>
          <cell r="AL648">
            <v>0.26881720430107525</v>
          </cell>
          <cell r="AM648"/>
          <cell r="AN648" t="str">
            <v>INFOKS</v>
          </cell>
          <cell r="AO648"/>
          <cell r="AP648"/>
          <cell r="AQ648"/>
          <cell r="AR648"/>
          <cell r="AS648"/>
          <cell r="AT648"/>
          <cell r="AU648">
            <v>317</v>
          </cell>
          <cell r="AV648">
            <v>348.70000000000005</v>
          </cell>
          <cell r="AW648"/>
          <cell r="AX648"/>
          <cell r="AZ648">
            <v>1709.3137254901965</v>
          </cell>
          <cell r="BA648">
            <v>1025.5882352941178</v>
          </cell>
          <cell r="BB648">
            <v>854.65686274509824</v>
          </cell>
          <cell r="BC648">
            <v>683.72549019607868</v>
          </cell>
        </row>
        <row r="649">
          <cell r="I649" t="str">
            <v>KFO24OS2CTAZHB2</v>
          </cell>
          <cell r="J649" t="str">
            <v/>
          </cell>
          <cell r="K649" t="str">
            <v>24FO OS2 CENTRAL LOOSE TUBE ARMORED LSZH B2ca OUTDOOR YELLOW RAL 1021</v>
          </cell>
          <cell r="L649" t="str">
            <v>24FO OS2 TUBE CENTRAL STRUCTURE LIBRE ARMÉ LSZH B2ca EXTÉRIEUR JAUNE RAL1021</v>
          </cell>
          <cell r="M649" t="str">
            <v>B2ca</v>
          </cell>
          <cell r="N649" t="str">
            <v>Turkey</v>
          </cell>
          <cell r="O649"/>
          <cell r="P649" t="str">
            <v>2000m drum</v>
          </cell>
          <cell r="Q649" t="str">
            <v>4KM</v>
          </cell>
          <cell r="R649">
            <v>2</v>
          </cell>
          <cell r="S649" t="e">
            <v>#N/A</v>
          </cell>
          <cell r="T649">
            <v>8544700000</v>
          </cell>
          <cell r="U649">
            <v>0</v>
          </cell>
          <cell r="V649">
            <v>30</v>
          </cell>
          <cell r="W649">
            <v>45</v>
          </cell>
          <cell r="X649">
            <v>55</v>
          </cell>
          <cell r="Y649" t="str">
            <v>T/T against copy of document</v>
          </cell>
          <cell r="Z649">
            <v>710.90909090909088</v>
          </cell>
          <cell r="AA649">
            <v>660.00000000000011</v>
          </cell>
          <cell r="AB649">
            <v>7.0000000000000007E-2</v>
          </cell>
          <cell r="AC649">
            <v>7.0000000000000007E-2</v>
          </cell>
          <cell r="AD649">
            <v>0.32</v>
          </cell>
          <cell r="AE649" t="str">
            <v>C</v>
          </cell>
          <cell r="AF649">
            <v>660.00000000000011</v>
          </cell>
          <cell r="AG649">
            <v>0.32000000000000006</v>
          </cell>
          <cell r="AH649"/>
          <cell r="AI649">
            <v>504.51612903225805</v>
          </cell>
          <cell r="AJ649">
            <v>482.58064516129036</v>
          </cell>
          <cell r="AK649">
            <v>0.29032258064516125</v>
          </cell>
          <cell r="AL649">
            <v>0.26881720430107536</v>
          </cell>
          <cell r="AM649"/>
          <cell r="AN649" t="str">
            <v>INFOKS</v>
          </cell>
          <cell r="AO649"/>
          <cell r="AP649"/>
          <cell r="AQ649"/>
          <cell r="AR649"/>
          <cell r="AS649"/>
          <cell r="AT649"/>
          <cell r="AU649">
            <v>408</v>
          </cell>
          <cell r="AV649">
            <v>448.8</v>
          </cell>
          <cell r="AW649"/>
          <cell r="AX649"/>
          <cell r="AZ649">
            <v>2200.0000000000005</v>
          </cell>
          <cell r="BA649">
            <v>1320.0000000000002</v>
          </cell>
          <cell r="BB649">
            <v>1100.0000000000002</v>
          </cell>
          <cell r="BC649">
            <v>880.00000000000023</v>
          </cell>
        </row>
        <row r="650">
          <cell r="I650" t="str">
            <v>KFO4OS2CTAZHB2FR</v>
          </cell>
          <cell r="J650" t="str">
            <v/>
          </cell>
          <cell r="K650" t="str">
            <v>4FO OS2 CENTRAL LOOSE TUBE ARMORED LSZH FR B2ca OUTDOOR YELLOW RAL 1021</v>
          </cell>
          <cell r="L650" t="str">
            <v>4FO OS2 TUBE CENTRAL STRUCTURE LIBRE ARMÉ LSZH FR B2ca EXTÉRIEUR JAUNE RAL1021</v>
          </cell>
          <cell r="M650" t="str">
            <v>B2ca</v>
          </cell>
          <cell r="N650" t="str">
            <v>Turkey</v>
          </cell>
          <cell r="O650"/>
          <cell r="P650" t="str">
            <v>2000m drum</v>
          </cell>
          <cell r="Q650" t="str">
            <v>4KM</v>
          </cell>
          <cell r="R650">
            <v>2</v>
          </cell>
          <cell r="S650" t="e">
            <v>#N/A</v>
          </cell>
          <cell r="T650">
            <v>8544700000</v>
          </cell>
          <cell r="U650">
            <v>0</v>
          </cell>
          <cell r="V650">
            <v>30</v>
          </cell>
          <cell r="W650">
            <v>45</v>
          </cell>
          <cell r="X650">
            <v>55</v>
          </cell>
          <cell r="Y650" t="str">
            <v>T/T against copy of document</v>
          </cell>
          <cell r="Z650">
            <v>533.18181818181824</v>
          </cell>
          <cell r="AA650">
            <v>495.00000000000006</v>
          </cell>
          <cell r="AB650">
            <v>7.0000000000000007E-2</v>
          </cell>
          <cell r="AC650">
            <v>7.0000000000000007E-2</v>
          </cell>
          <cell r="AD650">
            <v>0.32</v>
          </cell>
          <cell r="AE650" t="str">
            <v>C</v>
          </cell>
          <cell r="AF650">
            <v>495.00000000000006</v>
          </cell>
          <cell r="AG650">
            <v>0.32000000000000006</v>
          </cell>
          <cell r="AH650"/>
          <cell r="AI650">
            <v>378.38709677419354</v>
          </cell>
          <cell r="AJ650">
            <v>361.9354838709678</v>
          </cell>
          <cell r="AK650">
            <v>0.29032258064516137</v>
          </cell>
          <cell r="AL650">
            <v>0.26881720430107525</v>
          </cell>
          <cell r="AM650"/>
          <cell r="AN650" t="str">
            <v>INFOKS</v>
          </cell>
          <cell r="AO650"/>
          <cell r="AP650"/>
          <cell r="AQ650"/>
          <cell r="AR650"/>
          <cell r="AS650"/>
          <cell r="AT650"/>
          <cell r="AU650">
            <v>306</v>
          </cell>
          <cell r="AV650">
            <v>336.6</v>
          </cell>
          <cell r="AW650"/>
          <cell r="AX650"/>
          <cell r="AZ650">
            <v>1650.0000000000002</v>
          </cell>
          <cell r="BA650">
            <v>990.00000000000011</v>
          </cell>
          <cell r="BB650">
            <v>825.00000000000011</v>
          </cell>
          <cell r="BC650">
            <v>660.00000000000011</v>
          </cell>
        </row>
        <row r="651">
          <cell r="I651" t="str">
            <v>KFO6OS2CTAZHB2FR</v>
          </cell>
          <cell r="J651" t="str">
            <v/>
          </cell>
          <cell r="K651" t="str">
            <v>6FO OS2 CENTRAL LOOSE TUBE ARMORED LSZH FR B2ca OUTDOOR YELLOW RAL 1021</v>
          </cell>
          <cell r="L651" t="str">
            <v>6FO OS2 TUBE CENTRAL STRUCTURE LIBRE ARMÉ LSZH FR B2ca EXTÉRIEUR JAUNE RAL1021</v>
          </cell>
          <cell r="M651" t="str">
            <v>B2ca</v>
          </cell>
          <cell r="N651" t="str">
            <v>Turkey</v>
          </cell>
          <cell r="O651"/>
          <cell r="P651" t="str">
            <v>2000m drum</v>
          </cell>
          <cell r="Q651" t="str">
            <v>4KM</v>
          </cell>
          <cell r="R651">
            <v>2</v>
          </cell>
          <cell r="S651" t="e">
            <v>#N/A</v>
          </cell>
          <cell r="T651">
            <v>8544700000</v>
          </cell>
          <cell r="U651">
            <v>0</v>
          </cell>
          <cell r="V651">
            <v>30</v>
          </cell>
          <cell r="W651">
            <v>45</v>
          </cell>
          <cell r="X651">
            <v>55</v>
          </cell>
          <cell r="Y651" t="str">
            <v>T/T against copy of document</v>
          </cell>
          <cell r="Z651">
            <v>545.37878787878788</v>
          </cell>
          <cell r="AA651">
            <v>506.32352941176475</v>
          </cell>
          <cell r="AB651">
            <v>7.0000000000000007E-2</v>
          </cell>
          <cell r="AC651">
            <v>7.0000000000000007E-2</v>
          </cell>
          <cell r="AD651">
            <v>0.32</v>
          </cell>
          <cell r="AE651" t="str">
            <v>C</v>
          </cell>
          <cell r="AF651">
            <v>506.32352941176475</v>
          </cell>
          <cell r="AG651">
            <v>0.32000000000000006</v>
          </cell>
          <cell r="AH651"/>
          <cell r="AI651">
            <v>387.04301075268813</v>
          </cell>
          <cell r="AJ651">
            <v>370.21505376344089</v>
          </cell>
          <cell r="AK651">
            <v>0.29032258064516137</v>
          </cell>
          <cell r="AL651">
            <v>0.26881720430107525</v>
          </cell>
          <cell r="AM651"/>
          <cell r="AN651" t="str">
            <v>INFOKS</v>
          </cell>
          <cell r="AO651"/>
          <cell r="AP651"/>
          <cell r="AQ651"/>
          <cell r="AR651"/>
          <cell r="AS651"/>
          <cell r="AT651"/>
          <cell r="AU651">
            <v>313</v>
          </cell>
          <cell r="AV651">
            <v>344.3</v>
          </cell>
          <cell r="AW651"/>
          <cell r="AX651"/>
          <cell r="AZ651">
            <v>1687.7450980392159</v>
          </cell>
          <cell r="BA651">
            <v>1012.6470588235295</v>
          </cell>
          <cell r="BB651">
            <v>843.87254901960796</v>
          </cell>
          <cell r="BC651">
            <v>675.09803921568641</v>
          </cell>
        </row>
        <row r="652">
          <cell r="I652" t="str">
            <v>KFO8OS2CTAZHB2FR</v>
          </cell>
          <cell r="J652" t="str">
            <v/>
          </cell>
          <cell r="K652" t="str">
            <v>8FO OS2 CENTRAL LOOSE TUBE ARMORED LSZH FR B2ca OUTDOOR YELLOW RAL 1021</v>
          </cell>
          <cell r="L652" t="str">
            <v>8FO OS2 TUBE CENTRAL STRUCTURE LIBRE ARMÉ LSZH FR B2ca EXTÉRIEUR JAUNE RAL1021</v>
          </cell>
          <cell r="M652" t="str">
            <v>B2ca</v>
          </cell>
          <cell r="N652" t="str">
            <v>Turkey</v>
          </cell>
          <cell r="O652"/>
          <cell r="P652" t="str">
            <v>2000m drum</v>
          </cell>
          <cell r="Q652" t="str">
            <v>4KM</v>
          </cell>
          <cell r="R652">
            <v>2</v>
          </cell>
          <cell r="S652" t="e">
            <v>#N/A</v>
          </cell>
          <cell r="T652">
            <v>8544700000</v>
          </cell>
          <cell r="U652">
            <v>0</v>
          </cell>
          <cell r="V652">
            <v>30</v>
          </cell>
          <cell r="W652">
            <v>45</v>
          </cell>
          <cell r="X652">
            <v>55</v>
          </cell>
          <cell r="Y652" t="str">
            <v>T/T against copy of document</v>
          </cell>
          <cell r="Z652">
            <v>559.31818181818187</v>
          </cell>
          <cell r="AA652">
            <v>519.26470588235304</v>
          </cell>
          <cell r="AB652">
            <v>7.0000000000000007E-2</v>
          </cell>
          <cell r="AC652">
            <v>7.0000000000000007E-2</v>
          </cell>
          <cell r="AD652">
            <v>0.32</v>
          </cell>
          <cell r="AE652" t="str">
            <v>C</v>
          </cell>
          <cell r="AF652">
            <v>519.26470588235304</v>
          </cell>
          <cell r="AG652">
            <v>0.32000000000000006</v>
          </cell>
          <cell r="AH652"/>
          <cell r="AI652">
            <v>396.93548387096774</v>
          </cell>
          <cell r="AJ652">
            <v>379.67741935483878</v>
          </cell>
          <cell r="AK652">
            <v>0.29032258064516137</v>
          </cell>
          <cell r="AL652">
            <v>0.26881720430107525</v>
          </cell>
          <cell r="AM652"/>
          <cell r="AN652" t="str">
            <v>INFOKS</v>
          </cell>
          <cell r="AO652"/>
          <cell r="AP652"/>
          <cell r="AQ652"/>
          <cell r="AR652"/>
          <cell r="AS652"/>
          <cell r="AT652"/>
          <cell r="AU652">
            <v>321</v>
          </cell>
          <cell r="AV652">
            <v>353.1</v>
          </cell>
          <cell r="AW652"/>
          <cell r="AX652"/>
          <cell r="AZ652">
            <v>1730.8823529411768</v>
          </cell>
          <cell r="BA652">
            <v>1038.5294117647061</v>
          </cell>
          <cell r="BB652">
            <v>865.4411764705884</v>
          </cell>
          <cell r="BC652">
            <v>692.35294117647072</v>
          </cell>
        </row>
        <row r="653">
          <cell r="I653" t="str">
            <v>KFO12OS2CTAZHB2FR</v>
          </cell>
          <cell r="J653" t="str">
            <v/>
          </cell>
          <cell r="K653" t="str">
            <v>12FO OS2 CENTRAL LOOSE TUBE ARMORED LSZH FR B2ca OUTDOOR YELLOW RAL 1021</v>
          </cell>
          <cell r="L653" t="str">
            <v>12FO OS2 TUBE CENTRAL STRUCTURE LIBRE ARMÉ LSZH FR B2ca EXTÉRIEUR JAUNE RAL1021</v>
          </cell>
          <cell r="M653" t="str">
            <v>B2ca</v>
          </cell>
          <cell r="N653" t="str">
            <v>Turkey</v>
          </cell>
          <cell r="O653"/>
          <cell r="P653" t="str">
            <v>2000m drum</v>
          </cell>
          <cell r="Q653" t="str">
            <v>4KM</v>
          </cell>
          <cell r="R653">
            <v>2</v>
          </cell>
          <cell r="S653" t="e">
            <v>#N/A</v>
          </cell>
          <cell r="T653">
            <v>8544700000</v>
          </cell>
          <cell r="U653">
            <v>0</v>
          </cell>
          <cell r="V653">
            <v>30</v>
          </cell>
          <cell r="W653">
            <v>45</v>
          </cell>
          <cell r="X653">
            <v>55</v>
          </cell>
          <cell r="Y653" t="str">
            <v>T/T against copy of document</v>
          </cell>
          <cell r="Z653">
            <v>585.4545454545455</v>
          </cell>
          <cell r="AA653">
            <v>543.52941176470597</v>
          </cell>
          <cell r="AB653">
            <v>7.0000000000000007E-2</v>
          </cell>
          <cell r="AC653">
            <v>7.0000000000000007E-2</v>
          </cell>
          <cell r="AD653">
            <v>0.32</v>
          </cell>
          <cell r="AE653" t="str">
            <v>C</v>
          </cell>
          <cell r="AF653">
            <v>543.52941176470597</v>
          </cell>
          <cell r="AG653">
            <v>0.32000000000000006</v>
          </cell>
          <cell r="AH653"/>
          <cell r="AI653">
            <v>415.48387096774195</v>
          </cell>
          <cell r="AJ653">
            <v>397.41935483870975</v>
          </cell>
          <cell r="AK653">
            <v>0.29032258064516137</v>
          </cell>
          <cell r="AL653">
            <v>0.26881720430107525</v>
          </cell>
          <cell r="AM653"/>
          <cell r="AN653" t="str">
            <v>INFOKS</v>
          </cell>
          <cell r="AO653"/>
          <cell r="AP653"/>
          <cell r="AQ653"/>
          <cell r="AR653"/>
          <cell r="AS653"/>
          <cell r="AT653"/>
          <cell r="AU653">
            <v>336</v>
          </cell>
          <cell r="AV653">
            <v>369.6</v>
          </cell>
          <cell r="AW653"/>
          <cell r="AX653"/>
          <cell r="AZ653">
            <v>1811.7647058823534</v>
          </cell>
          <cell r="BA653">
            <v>1087.0588235294119</v>
          </cell>
          <cell r="BB653">
            <v>905.88235294117669</v>
          </cell>
          <cell r="BC653">
            <v>724.70588235294144</v>
          </cell>
        </row>
        <row r="654">
          <cell r="I654" t="str">
            <v>KFO24OS2CTAZHB2FR</v>
          </cell>
          <cell r="J654" t="str">
            <v/>
          </cell>
          <cell r="K654" t="str">
            <v>24FO OS2 CENTRAL LOOSE TUBE ARMORED LSZH FR B2ca OUTDOOR YELLOW RAL 1021</v>
          </cell>
          <cell r="L654" t="str">
            <v>24FO OS2 TUBE CENTRAL STRUCTURE LIBRE ARMÉ LSZH FR B2ca EXTÉRIEUR JAUNE RAL1021</v>
          </cell>
          <cell r="M654" t="str">
            <v>B2ca</v>
          </cell>
          <cell r="N654" t="str">
            <v>Turkey</v>
          </cell>
          <cell r="O654"/>
          <cell r="P654" t="str">
            <v>2000m drum</v>
          </cell>
          <cell r="Q654" t="str">
            <v>4KM</v>
          </cell>
          <cell r="R654">
            <v>2</v>
          </cell>
          <cell r="S654" t="e">
            <v>#N/A</v>
          </cell>
          <cell r="T654">
            <v>8544700000</v>
          </cell>
          <cell r="U654">
            <v>0</v>
          </cell>
          <cell r="V654">
            <v>30</v>
          </cell>
          <cell r="W654">
            <v>45</v>
          </cell>
          <cell r="X654">
            <v>55</v>
          </cell>
          <cell r="Y654" t="str">
            <v>T/T against copy of document</v>
          </cell>
          <cell r="Z654">
            <v>744.0151515151515</v>
          </cell>
          <cell r="AA654">
            <v>690.73529411764719</v>
          </cell>
          <cell r="AB654">
            <v>7.0000000000000007E-2</v>
          </cell>
          <cell r="AC654">
            <v>7.0000000000000007E-2</v>
          </cell>
          <cell r="AD654">
            <v>0.32</v>
          </cell>
          <cell r="AE654" t="str">
            <v>C</v>
          </cell>
          <cell r="AF654">
            <v>690.73529411764719</v>
          </cell>
          <cell r="AG654">
            <v>0.32000000000000006</v>
          </cell>
          <cell r="AH654"/>
          <cell r="AI654">
            <v>528.01075268817203</v>
          </cell>
          <cell r="AJ654">
            <v>505.05376344086028</v>
          </cell>
          <cell r="AK654">
            <v>0.29032258064516125</v>
          </cell>
          <cell r="AL654">
            <v>0.26881720430107536</v>
          </cell>
          <cell r="AM654"/>
          <cell r="AN654" t="str">
            <v>INFOKS</v>
          </cell>
          <cell r="AO654"/>
          <cell r="AP654"/>
          <cell r="AQ654"/>
          <cell r="AR654"/>
          <cell r="AS654"/>
          <cell r="AT654"/>
          <cell r="AU654">
            <v>427</v>
          </cell>
          <cell r="AV654">
            <v>469.70000000000005</v>
          </cell>
          <cell r="AW654"/>
          <cell r="AX654"/>
          <cell r="AZ654">
            <v>2302.4509803921574</v>
          </cell>
          <cell r="BA654">
            <v>1381.4705882352944</v>
          </cell>
          <cell r="BB654">
            <v>1151.2254901960787</v>
          </cell>
          <cell r="BC654">
            <v>920.98039215686299</v>
          </cell>
        </row>
        <row r="655">
          <cell r="I655" t="str">
            <v>KFO12OS2MTZHD</v>
          </cell>
          <cell r="J655" t="str">
            <v/>
          </cell>
          <cell r="K655" t="str">
            <v>12FO OS2 MULTI LOOSE TUBE LSZH UNIVERSAL Dca YELLOW RAL1021</v>
          </cell>
          <cell r="L655" t="str">
            <v>12FO OS2 MULTI TUBE STRUCTURE LIBRE LSZH UNIVERSEL Dca JAUNE RAL1021</v>
          </cell>
          <cell r="M655" t="str">
            <v>Dca</v>
          </cell>
          <cell r="N655" t="str">
            <v>Turkey</v>
          </cell>
          <cell r="O655"/>
          <cell r="P655" t="str">
            <v>2000m drum</v>
          </cell>
          <cell r="Q655" t="str">
            <v>4KM</v>
          </cell>
          <cell r="R655">
            <v>2</v>
          </cell>
          <cell r="S655" t="e">
            <v>#N/A</v>
          </cell>
          <cell r="T655">
            <v>8544700000</v>
          </cell>
          <cell r="U655">
            <v>0</v>
          </cell>
          <cell r="V655">
            <v>30</v>
          </cell>
          <cell r="W655">
            <v>45</v>
          </cell>
          <cell r="X655">
            <v>55</v>
          </cell>
          <cell r="Y655" t="str">
            <v>T/T against copy of document</v>
          </cell>
          <cell r="Z655">
            <v>759.64788732394368</v>
          </cell>
          <cell r="AA655">
            <v>706.71232876712338</v>
          </cell>
          <cell r="AB655">
            <v>7.0000000000000007E-2</v>
          </cell>
          <cell r="AC655">
            <v>7.0000000000000007E-2</v>
          </cell>
          <cell r="AD655">
            <v>0.27</v>
          </cell>
          <cell r="AE655" t="str">
            <v>C</v>
          </cell>
          <cell r="AF655">
            <v>706.71232876712338</v>
          </cell>
          <cell r="AG655">
            <v>0.27</v>
          </cell>
          <cell r="AH655"/>
          <cell r="AI655">
            <v>579.94623655913972</v>
          </cell>
          <cell r="AJ655">
            <v>554.73118279569906</v>
          </cell>
          <cell r="AK655">
            <v>0.23655913978494636</v>
          </cell>
          <cell r="AL655">
            <v>0.21505376344086014</v>
          </cell>
          <cell r="AM655"/>
          <cell r="AN655" t="str">
            <v>INFOKS</v>
          </cell>
          <cell r="AO655"/>
          <cell r="AP655"/>
          <cell r="AQ655"/>
          <cell r="AR655"/>
          <cell r="AS655"/>
          <cell r="AT655"/>
          <cell r="AU655">
            <v>469</v>
          </cell>
          <cell r="AV655">
            <v>515.90000000000009</v>
          </cell>
          <cell r="AW655"/>
          <cell r="AX655"/>
          <cell r="AZ655">
            <v>2355.7077625570782</v>
          </cell>
          <cell r="BA655">
            <v>1413.424657534247</v>
          </cell>
          <cell r="BB655">
            <v>1177.8538812785391</v>
          </cell>
          <cell r="BC655">
            <v>942.28310502283136</v>
          </cell>
          <cell r="BE655">
            <v>706.71232876712338</v>
          </cell>
        </row>
        <row r="656">
          <cell r="I656" t="str">
            <v>KFO24OS2MTZHD</v>
          </cell>
          <cell r="J656" t="str">
            <v/>
          </cell>
          <cell r="K656" t="str">
            <v>24FO OS2 MULTI LOOSE TUBE LSZH UNIVERSAL Dca YELLOW RAL1021</v>
          </cell>
          <cell r="L656" t="str">
            <v>24FO OS2 MULTI TUBE STRUCTURE LIBRE LSZH UNIVERSEL Dca JAUNE RAL1021</v>
          </cell>
          <cell r="M656" t="str">
            <v>Dca</v>
          </cell>
          <cell r="N656" t="str">
            <v>Turkey</v>
          </cell>
          <cell r="O656"/>
          <cell r="P656" t="str">
            <v>2000m drum</v>
          </cell>
          <cell r="Q656" t="str">
            <v>4KM</v>
          </cell>
          <cell r="R656">
            <v>2</v>
          </cell>
          <cell r="S656" t="e">
            <v>#N/A</v>
          </cell>
          <cell r="T656">
            <v>8544700000</v>
          </cell>
          <cell r="U656">
            <v>0</v>
          </cell>
          <cell r="V656">
            <v>30</v>
          </cell>
          <cell r="W656">
            <v>45</v>
          </cell>
          <cell r="X656">
            <v>55</v>
          </cell>
          <cell r="Y656" t="str">
            <v>T/T against copy of document</v>
          </cell>
          <cell r="Z656">
            <v>829.29577464788736</v>
          </cell>
          <cell r="AA656">
            <v>771.50684931506862</v>
          </cell>
          <cell r="AB656">
            <v>7.0000000000000007E-2</v>
          </cell>
          <cell r="AC656">
            <v>7.0000000000000007E-2</v>
          </cell>
          <cell r="AD656">
            <v>0.27</v>
          </cell>
          <cell r="AE656" t="str">
            <v>C</v>
          </cell>
          <cell r="AF656">
            <v>771.50684931506862</v>
          </cell>
          <cell r="AG656">
            <v>0.27</v>
          </cell>
          <cell r="AH656"/>
          <cell r="AI656">
            <v>633.11827956989248</v>
          </cell>
          <cell r="AJ656">
            <v>605.59139784946251</v>
          </cell>
          <cell r="AK656">
            <v>0.23655913978494625</v>
          </cell>
          <cell r="AL656">
            <v>0.21505376344086014</v>
          </cell>
          <cell r="AM656"/>
          <cell r="AN656" t="str">
            <v>INFOKS</v>
          </cell>
          <cell r="AO656"/>
          <cell r="AP656"/>
          <cell r="AQ656"/>
          <cell r="AR656"/>
          <cell r="AS656"/>
          <cell r="AT656"/>
          <cell r="AU656">
            <v>512</v>
          </cell>
          <cell r="AV656">
            <v>563.20000000000005</v>
          </cell>
          <cell r="AW656"/>
          <cell r="AX656"/>
          <cell r="AZ656">
            <v>2571.6894977168954</v>
          </cell>
          <cell r="BA656">
            <v>1543.0136986301372</v>
          </cell>
          <cell r="BB656">
            <v>1285.8447488584477</v>
          </cell>
          <cell r="BC656">
            <v>1028.6757990867582</v>
          </cell>
          <cell r="BE656">
            <v>771.50684931506862</v>
          </cell>
        </row>
        <row r="657">
          <cell r="I657" t="str">
            <v>KFO48OS2MTZHD</v>
          </cell>
          <cell r="J657" t="str">
            <v>U0806004</v>
          </cell>
          <cell r="K657" t="str">
            <v>48FO OS2 MULTI LOOSE TUBE LSZH UNIVERSAL Dca YELLOW RAL1021</v>
          </cell>
          <cell r="L657" t="str">
            <v>48FO OS2 MULTI TUBE STRUCTURE LIBRE LSZH UNIVERSEL Dca JAUNE RAL1021</v>
          </cell>
          <cell r="M657" t="str">
            <v>Dca</v>
          </cell>
          <cell r="N657" t="str">
            <v>Turkey</v>
          </cell>
          <cell r="O657"/>
          <cell r="P657" t="str">
            <v>2000m drum</v>
          </cell>
          <cell r="Q657" t="str">
            <v>4KM</v>
          </cell>
          <cell r="R657">
            <v>2</v>
          </cell>
          <cell r="S657" t="e">
            <v>#N/A</v>
          </cell>
          <cell r="T657">
            <v>8544700000</v>
          </cell>
          <cell r="U657">
            <v>0</v>
          </cell>
          <cell r="V657">
            <v>30</v>
          </cell>
          <cell r="W657">
            <v>45</v>
          </cell>
          <cell r="X657">
            <v>55</v>
          </cell>
          <cell r="Y657" t="str">
            <v>T/T against copy of document</v>
          </cell>
          <cell r="Z657">
            <v>882.74647887323931</v>
          </cell>
          <cell r="AA657">
            <v>821.23287671232879</v>
          </cell>
          <cell r="AB657">
            <v>7.0000000000000007E-2</v>
          </cell>
          <cell r="AC657">
            <v>7.0000000000000007E-2</v>
          </cell>
          <cell r="AD657">
            <v>0.27</v>
          </cell>
          <cell r="AE657" t="str">
            <v>C</v>
          </cell>
          <cell r="AF657">
            <v>821.23287671232879</v>
          </cell>
          <cell r="AG657">
            <v>0.27</v>
          </cell>
          <cell r="AH657"/>
          <cell r="AI657">
            <v>673.92473118279577</v>
          </cell>
          <cell r="AJ657">
            <v>644.6236559139785</v>
          </cell>
          <cell r="AK657">
            <v>0.23655913978494603</v>
          </cell>
          <cell r="AL657">
            <v>0.21505376344086025</v>
          </cell>
          <cell r="AM657"/>
          <cell r="AN657" t="str">
            <v>INFOKS</v>
          </cell>
          <cell r="AO657"/>
          <cell r="AP657"/>
          <cell r="AQ657"/>
          <cell r="AR657"/>
          <cell r="AS657"/>
          <cell r="AT657"/>
          <cell r="AU657">
            <v>545</v>
          </cell>
          <cell r="AV657">
            <v>599.5</v>
          </cell>
          <cell r="AW657"/>
          <cell r="AX657"/>
          <cell r="AZ657">
            <v>2737.4429223744296</v>
          </cell>
          <cell r="BA657">
            <v>1642.4657534246578</v>
          </cell>
          <cell r="BB657">
            <v>1368.7214611872148</v>
          </cell>
          <cell r="BC657">
            <v>1094.9771689497718</v>
          </cell>
          <cell r="BE657">
            <v>821.23287671232879</v>
          </cell>
        </row>
        <row r="658">
          <cell r="I658" t="str">
            <v>KFO72OS2MTZHD</v>
          </cell>
          <cell r="J658" t="str">
            <v/>
          </cell>
          <cell r="K658" t="str">
            <v>72FO OS2 MULTI LOOSE TUBE LSZH UNIVERSAL Dca YELLOW RAL1021</v>
          </cell>
          <cell r="L658" t="str">
            <v>72FO OS2 MULTI TUBE STRUCTURE LIBRE LSZH UNIVERSEL Dca JAUNE RAL1021</v>
          </cell>
          <cell r="M658" t="str">
            <v>Dca</v>
          </cell>
          <cell r="N658" t="str">
            <v>Turkey</v>
          </cell>
          <cell r="O658"/>
          <cell r="P658" t="str">
            <v>2000m drum</v>
          </cell>
          <cell r="Q658" t="str">
            <v>4KM</v>
          </cell>
          <cell r="R658">
            <v>2</v>
          </cell>
          <cell r="S658" t="e">
            <v>#N/A</v>
          </cell>
          <cell r="T658">
            <v>8544700000</v>
          </cell>
          <cell r="U658">
            <v>0</v>
          </cell>
          <cell r="V658">
            <v>30</v>
          </cell>
          <cell r="W658">
            <v>45</v>
          </cell>
          <cell r="X658">
            <v>55</v>
          </cell>
          <cell r="Y658" t="str">
            <v>T/T against copy of document</v>
          </cell>
          <cell r="Z658">
            <v>1111.1267605633802</v>
          </cell>
          <cell r="AA658">
            <v>1033.6986301369864</v>
          </cell>
          <cell r="AB658">
            <v>7.0000000000000007E-2</v>
          </cell>
          <cell r="AC658">
            <v>7.0000000000000007E-2</v>
          </cell>
          <cell r="AD658">
            <v>0.27</v>
          </cell>
          <cell r="AE658" t="str">
            <v>C</v>
          </cell>
          <cell r="AF658">
            <v>1033.6986301369864</v>
          </cell>
          <cell r="AG658">
            <v>0.27</v>
          </cell>
          <cell r="AH658"/>
          <cell r="AI658">
            <v>848.27956989247321</v>
          </cell>
          <cell r="AJ658">
            <v>811.39784946236568</v>
          </cell>
          <cell r="AK658">
            <v>0.23655913978494614</v>
          </cell>
          <cell r="AL658">
            <v>0.21505376344086014</v>
          </cell>
          <cell r="AM658"/>
          <cell r="AN658" t="str">
            <v>INFOKS</v>
          </cell>
          <cell r="AO658"/>
          <cell r="AP658"/>
          <cell r="AQ658"/>
          <cell r="AR658"/>
          <cell r="AS658"/>
          <cell r="AT658"/>
          <cell r="AU658">
            <v>686</v>
          </cell>
          <cell r="AV658">
            <v>754.6</v>
          </cell>
          <cell r="AW658"/>
          <cell r="AX658"/>
          <cell r="AZ658">
            <v>3445.6621004566214</v>
          </cell>
          <cell r="BA658">
            <v>2067.3972602739727</v>
          </cell>
          <cell r="BB658">
            <v>1722.8310502283107</v>
          </cell>
          <cell r="BC658">
            <v>1378.2648401826486</v>
          </cell>
          <cell r="BE658">
            <v>1033.6986301369864</v>
          </cell>
        </row>
        <row r="659">
          <cell r="I659" t="str">
            <v>KFO96OS2MTZHD</v>
          </cell>
          <cell r="J659" t="str">
            <v>U0806008</v>
          </cell>
          <cell r="K659" t="str">
            <v>96FO OS2 MULTI LOOSE TUBE LSZH UNIVERSAL Dca YELLOW RAL1021</v>
          </cell>
          <cell r="L659" t="str">
            <v>96FO OS2 MULTI TUBE STRUCTURE LIBRE LSZH UNIVERSEL Dca JAUNE RAL1021</v>
          </cell>
          <cell r="M659" t="str">
            <v>Dca</v>
          </cell>
          <cell r="N659" t="str">
            <v>Turkey</v>
          </cell>
          <cell r="O659"/>
          <cell r="P659" t="str">
            <v>2000m drum</v>
          </cell>
          <cell r="Q659" t="str">
            <v>4KM</v>
          </cell>
          <cell r="R659">
            <v>2</v>
          </cell>
          <cell r="S659" t="e">
            <v>#N/A</v>
          </cell>
          <cell r="T659">
            <v>8544700000</v>
          </cell>
          <cell r="U659">
            <v>0</v>
          </cell>
          <cell r="V659">
            <v>30</v>
          </cell>
          <cell r="W659">
            <v>45</v>
          </cell>
          <cell r="X659">
            <v>55</v>
          </cell>
          <cell r="Y659" t="str">
            <v>T/T against copy of document</v>
          </cell>
          <cell r="Z659">
            <v>1271.4788732394366</v>
          </cell>
          <cell r="AA659">
            <v>1182.8767123287673</v>
          </cell>
          <cell r="AB659">
            <v>7.0000000000000007E-2</v>
          </cell>
          <cell r="AC659">
            <v>7.0000000000000007E-2</v>
          </cell>
          <cell r="AD659">
            <v>0.27</v>
          </cell>
          <cell r="AE659" t="str">
            <v>C</v>
          </cell>
          <cell r="AF659">
            <v>1182.8767123287673</v>
          </cell>
          <cell r="AG659">
            <v>0.27</v>
          </cell>
          <cell r="AH659"/>
          <cell r="AI659">
            <v>970.69892473118273</v>
          </cell>
          <cell r="AJ659">
            <v>928.49462365591421</v>
          </cell>
          <cell r="AK659">
            <v>0.23655913978494625</v>
          </cell>
          <cell r="AL659">
            <v>0.21505376344086014</v>
          </cell>
          <cell r="AM659"/>
          <cell r="AN659" t="str">
            <v>INFOKS</v>
          </cell>
          <cell r="AO659"/>
          <cell r="AP659"/>
          <cell r="AQ659"/>
          <cell r="AR659"/>
          <cell r="AS659"/>
          <cell r="AT659"/>
          <cell r="AU659">
            <v>785</v>
          </cell>
          <cell r="AV659">
            <v>863.50000000000011</v>
          </cell>
          <cell r="AW659"/>
          <cell r="AX659"/>
          <cell r="AZ659">
            <v>3942.9223744292244</v>
          </cell>
          <cell r="BA659">
            <v>2365.7534246575347</v>
          </cell>
          <cell r="BB659">
            <v>1971.4611872146122</v>
          </cell>
          <cell r="BC659">
            <v>1577.1689497716898</v>
          </cell>
          <cell r="BE659">
            <v>1182.8767123287673</v>
          </cell>
        </row>
        <row r="660">
          <cell r="I660" t="str">
            <v>KFO144OS2MTZHD</v>
          </cell>
          <cell r="J660" t="str">
            <v/>
          </cell>
          <cell r="K660" t="str">
            <v>144FO OS2 MULTI LOOSE TUBE LSZH UNIVERSAL Dca YELLOW RAL1021</v>
          </cell>
          <cell r="L660" t="str">
            <v>144FO OS2 MULTI TUBE STRUCTURE LIBRE LSZH UNIVERSEL Dca JAUNE RAL1021</v>
          </cell>
          <cell r="M660" t="str">
            <v>Dca</v>
          </cell>
          <cell r="N660" t="str">
            <v>Turkey</v>
          </cell>
          <cell r="O660"/>
          <cell r="P660" t="str">
            <v>2000m drum</v>
          </cell>
          <cell r="Q660" t="str">
            <v>4KM</v>
          </cell>
          <cell r="R660">
            <v>2</v>
          </cell>
          <cell r="S660" t="e">
            <v>#N/A</v>
          </cell>
          <cell r="T660">
            <v>8544700000</v>
          </cell>
          <cell r="U660">
            <v>0</v>
          </cell>
          <cell r="V660">
            <v>30</v>
          </cell>
          <cell r="W660">
            <v>45</v>
          </cell>
          <cell r="X660">
            <v>55</v>
          </cell>
          <cell r="Y660" t="str">
            <v>T/T against copy of document</v>
          </cell>
          <cell r="Z660">
            <v>1862.676056338028</v>
          </cell>
          <cell r="AA660">
            <v>1732.8767123287671</v>
          </cell>
          <cell r="AB660">
            <v>7.0000000000000007E-2</v>
          </cell>
          <cell r="AC660">
            <v>7.0000000000000007E-2</v>
          </cell>
          <cell r="AD660">
            <v>0.27</v>
          </cell>
          <cell r="AE660" t="str">
            <v>C</v>
          </cell>
          <cell r="AF660">
            <v>1732.8767123287671</v>
          </cell>
          <cell r="AG660">
            <v>0.27</v>
          </cell>
          <cell r="AH660"/>
          <cell r="AI660">
            <v>1422.0430107526884</v>
          </cell>
          <cell r="AJ660">
            <v>1360.2150537634409</v>
          </cell>
          <cell r="AK660">
            <v>0.23655913978494614</v>
          </cell>
          <cell r="AL660">
            <v>0.21505376344086014</v>
          </cell>
          <cell r="AM660"/>
          <cell r="AN660" t="str">
            <v>INFOKS</v>
          </cell>
          <cell r="AO660"/>
          <cell r="AP660"/>
          <cell r="AQ660"/>
          <cell r="AR660"/>
          <cell r="AS660"/>
          <cell r="AT660"/>
          <cell r="AU660">
            <v>1150</v>
          </cell>
          <cell r="AV660">
            <v>1265</v>
          </cell>
          <cell r="AW660"/>
          <cell r="AX660"/>
          <cell r="AZ660">
            <v>5776.255707762557</v>
          </cell>
          <cell r="BA660">
            <v>3465.7534246575342</v>
          </cell>
          <cell r="BB660">
            <v>2888.1278538812785</v>
          </cell>
          <cell r="BC660">
            <v>2310.5022831050228</v>
          </cell>
          <cell r="BE660">
            <v>1732.8767123287671</v>
          </cell>
        </row>
        <row r="661">
          <cell r="I661" t="str">
            <v>KFO288OS2MTZHD</v>
          </cell>
          <cell r="J661" t="str">
            <v/>
          </cell>
          <cell r="K661" t="str">
            <v>288FO OS2 MULTI LOOSE TUBE LSZH UNIVERSAL Dca YELLOW RAL1021</v>
          </cell>
          <cell r="L661" t="str">
            <v>288FO OS2 MULTI TUBE STRUCTURE LIBRE LSZH UNIVERSEL Dca JAUNE RAL1021</v>
          </cell>
          <cell r="M661" t="str">
            <v>Dca</v>
          </cell>
          <cell r="N661" t="str">
            <v>Turkey</v>
          </cell>
          <cell r="O661"/>
          <cell r="P661" t="str">
            <v>2000m drum</v>
          </cell>
          <cell r="Q661" t="str">
            <v>4KM</v>
          </cell>
          <cell r="R661">
            <v>2</v>
          </cell>
          <cell r="S661" t="e">
            <v>#N/A</v>
          </cell>
          <cell r="T661">
            <v>8544700000</v>
          </cell>
          <cell r="U661">
            <v>0</v>
          </cell>
          <cell r="V661">
            <v>30</v>
          </cell>
          <cell r="W661">
            <v>45</v>
          </cell>
          <cell r="X661">
            <v>55</v>
          </cell>
          <cell r="Y661" t="str">
            <v>T/T against copy of document</v>
          </cell>
          <cell r="Z661">
            <v>3088.8028169014083</v>
          </cell>
          <cell r="AA661">
            <v>2873.5616438356169</v>
          </cell>
          <cell r="AB661">
            <v>7.0000000000000007E-2</v>
          </cell>
          <cell r="AC661">
            <v>7.0000000000000007E-2</v>
          </cell>
          <cell r="AD661">
            <v>0.27</v>
          </cell>
          <cell r="AE661" t="str">
            <v>C</v>
          </cell>
          <cell r="AF661">
            <v>2873.5616438356169</v>
          </cell>
          <cell r="AG661">
            <v>0.27</v>
          </cell>
          <cell r="AH661"/>
          <cell r="AI661">
            <v>2358.1182795698924</v>
          </cell>
          <cell r="AJ661">
            <v>2255.5913978494627</v>
          </cell>
          <cell r="AK661">
            <v>0.23655913978494625</v>
          </cell>
          <cell r="AL661">
            <v>0.21505376344086025</v>
          </cell>
          <cell r="AM661"/>
          <cell r="AN661" t="str">
            <v>INFOKS</v>
          </cell>
          <cell r="AO661"/>
          <cell r="AP661"/>
          <cell r="AQ661"/>
          <cell r="AR661"/>
          <cell r="AS661"/>
          <cell r="AT661"/>
          <cell r="AU661">
            <v>1907</v>
          </cell>
          <cell r="AV661">
            <v>2097.7000000000003</v>
          </cell>
          <cell r="AW661"/>
          <cell r="AX661"/>
          <cell r="AZ661">
            <v>9578.5388127853894</v>
          </cell>
          <cell r="BA661">
            <v>5747.1232876712338</v>
          </cell>
          <cell r="BB661">
            <v>4789.2694063926947</v>
          </cell>
          <cell r="BC661">
            <v>3831.415525114156</v>
          </cell>
          <cell r="BE661">
            <v>2873.5616438356169</v>
          </cell>
        </row>
        <row r="662">
          <cell r="I662" t="str">
            <v>KFO12OS2MTZHC</v>
          </cell>
          <cell r="J662" t="str">
            <v/>
          </cell>
          <cell r="K662" t="str">
            <v>12FO OS2 MULTI LOOSE TUBE LSZH UNIVERSAL Cca YELLOW RAL1021</v>
          </cell>
          <cell r="L662" t="str">
            <v>12FO OS2 MULTI TUBE STRUCTURE LIBRE LSZH UNIVERSEL Cca JAUNE RAL1021</v>
          </cell>
          <cell r="M662" t="str">
            <v>Cca/B2ca</v>
          </cell>
          <cell r="N662" t="str">
            <v>Turkey</v>
          </cell>
          <cell r="O662"/>
          <cell r="P662" t="str">
            <v>2000m drum</v>
          </cell>
          <cell r="Q662" t="str">
            <v>4KM</v>
          </cell>
          <cell r="R662">
            <v>2</v>
          </cell>
          <cell r="S662" t="e">
            <v>#N/A</v>
          </cell>
          <cell r="T662">
            <v>8544700000</v>
          </cell>
          <cell r="U662">
            <v>0</v>
          </cell>
          <cell r="V662">
            <v>30</v>
          </cell>
          <cell r="W662">
            <v>45</v>
          </cell>
          <cell r="X662">
            <v>55</v>
          </cell>
          <cell r="Y662" t="str">
            <v>T/T against copy of document</v>
          </cell>
          <cell r="Z662">
            <v>860.07042253521115</v>
          </cell>
          <cell r="AA662">
            <v>800.13698630136992</v>
          </cell>
          <cell r="AB662">
            <v>7.0000000000000007E-2</v>
          </cell>
          <cell r="AC662">
            <v>7.0000000000000007E-2</v>
          </cell>
          <cell r="AD662">
            <v>0.27</v>
          </cell>
          <cell r="AE662" t="str">
            <v>C</v>
          </cell>
          <cell r="AF662">
            <v>800.13698630136992</v>
          </cell>
          <cell r="AG662">
            <v>0.27</v>
          </cell>
          <cell r="AH662"/>
          <cell r="AI662">
            <v>656.61290322580646</v>
          </cell>
          <cell r="AJ662">
            <v>628.06451612903231</v>
          </cell>
          <cell r="AK662">
            <v>0.23655913978494614</v>
          </cell>
          <cell r="AL662">
            <v>0.21505376344086025</v>
          </cell>
          <cell r="AM662"/>
          <cell r="AN662" t="str">
            <v>INFOKS</v>
          </cell>
          <cell r="AO662"/>
          <cell r="AP662"/>
          <cell r="AQ662"/>
          <cell r="AR662"/>
          <cell r="AS662"/>
          <cell r="AT662"/>
          <cell r="AU662">
            <v>531</v>
          </cell>
          <cell r="AV662">
            <v>584.1</v>
          </cell>
          <cell r="AW662"/>
          <cell r="AX662"/>
          <cell r="AZ662">
            <v>2667.1232876712334</v>
          </cell>
          <cell r="BA662">
            <v>1600.2739726027401</v>
          </cell>
          <cell r="BB662">
            <v>1333.5616438356167</v>
          </cell>
          <cell r="BC662">
            <v>1066.8493150684933</v>
          </cell>
        </row>
        <row r="663">
          <cell r="I663" t="str">
            <v>KFO24OS2MTZHC</v>
          </cell>
          <cell r="J663" t="str">
            <v/>
          </cell>
          <cell r="K663" t="str">
            <v>24FO OS2 MULTI LOOSE TUBE LSZH UNIVERSAL Cca YELLOW RAL1021</v>
          </cell>
          <cell r="L663" t="str">
            <v>24FO OS2 MULTI TUBE STRUCTURE LIBRE LSZH UNIVERSEL Cca JAUNE RAL1021</v>
          </cell>
          <cell r="M663" t="str">
            <v>Cca/B2ca</v>
          </cell>
          <cell r="N663" t="str">
            <v>Turkey</v>
          </cell>
          <cell r="O663"/>
          <cell r="P663" t="str">
            <v>2000m drum</v>
          </cell>
          <cell r="Q663" t="str">
            <v>4KM</v>
          </cell>
          <cell r="R663">
            <v>2</v>
          </cell>
          <cell r="S663" t="e">
            <v>#N/A</v>
          </cell>
          <cell r="T663">
            <v>8544700000</v>
          </cell>
          <cell r="U663">
            <v>0</v>
          </cell>
          <cell r="V663">
            <v>30</v>
          </cell>
          <cell r="W663">
            <v>45</v>
          </cell>
          <cell r="X663">
            <v>55</v>
          </cell>
          <cell r="Y663" t="str">
            <v>T/T against copy of document</v>
          </cell>
          <cell r="Z663">
            <v>931.33802816901402</v>
          </cell>
          <cell r="AA663">
            <v>866.43835616438355</v>
          </cell>
          <cell r="AB663">
            <v>7.0000000000000007E-2</v>
          </cell>
          <cell r="AC663">
            <v>7.0000000000000007E-2</v>
          </cell>
          <cell r="AD663">
            <v>0.27</v>
          </cell>
          <cell r="AE663" t="str">
            <v>C</v>
          </cell>
          <cell r="AF663">
            <v>866.43835616438355</v>
          </cell>
          <cell r="AG663">
            <v>0.27</v>
          </cell>
          <cell r="AH663"/>
          <cell r="AI663">
            <v>711.02150537634418</v>
          </cell>
          <cell r="AJ663">
            <v>680.10752688172045</v>
          </cell>
          <cell r="AK663">
            <v>0.23655913978494614</v>
          </cell>
          <cell r="AL663">
            <v>0.21505376344086014</v>
          </cell>
          <cell r="AM663"/>
          <cell r="AN663" t="str">
            <v>INFOKS</v>
          </cell>
          <cell r="AO663"/>
          <cell r="AP663"/>
          <cell r="AQ663"/>
          <cell r="AR663"/>
          <cell r="AS663"/>
          <cell r="AT663"/>
          <cell r="AU663">
            <v>575</v>
          </cell>
          <cell r="AV663">
            <v>632.5</v>
          </cell>
          <cell r="AW663"/>
          <cell r="AX663"/>
          <cell r="AZ663">
            <v>2888.1278538812785</v>
          </cell>
          <cell r="BA663">
            <v>1732.8767123287671</v>
          </cell>
          <cell r="BB663">
            <v>1444.0639269406392</v>
          </cell>
          <cell r="BC663">
            <v>1155.2511415525114</v>
          </cell>
        </row>
        <row r="664">
          <cell r="I664" t="str">
            <v>KFO48OS2MTZHC</v>
          </cell>
          <cell r="J664" t="str">
            <v/>
          </cell>
          <cell r="K664" t="str">
            <v>48FO OS2 MULTI LOOSE TUBE LSZH UNIVERSAL Cca YELLOW RAL1021</v>
          </cell>
          <cell r="L664" t="str">
            <v>48FO OS2 MULTI TUBE STRUCTURE LIBRE LSZH UNIVERSEL Cca JAUNE RAL1021</v>
          </cell>
          <cell r="M664" t="str">
            <v>Cca/B2ca</v>
          </cell>
          <cell r="N664" t="str">
            <v>Turkey</v>
          </cell>
          <cell r="O664"/>
          <cell r="P664" t="str">
            <v>2000m drum</v>
          </cell>
          <cell r="Q664" t="str">
            <v>4KM</v>
          </cell>
          <cell r="R664">
            <v>2</v>
          </cell>
          <cell r="S664" t="e">
            <v>#N/A</v>
          </cell>
          <cell r="T664">
            <v>8544700000</v>
          </cell>
          <cell r="U664">
            <v>0</v>
          </cell>
          <cell r="V664">
            <v>30</v>
          </cell>
          <cell r="W664">
            <v>45</v>
          </cell>
          <cell r="X664">
            <v>55</v>
          </cell>
          <cell r="Y664" t="str">
            <v>T/T against copy of document</v>
          </cell>
          <cell r="Z664">
            <v>881.12676056338023</v>
          </cell>
          <cell r="AA664">
            <v>819.7260273972604</v>
          </cell>
          <cell r="AB664">
            <v>7.0000000000000007E-2</v>
          </cell>
          <cell r="AC664">
            <v>7.0000000000000007E-2</v>
          </cell>
          <cell r="AD664">
            <v>0.27</v>
          </cell>
          <cell r="AE664" t="str">
            <v>C</v>
          </cell>
          <cell r="AF664">
            <v>819.7260273972604</v>
          </cell>
          <cell r="AG664">
            <v>0.27</v>
          </cell>
          <cell r="AH664"/>
          <cell r="AI664">
            <v>672.68817204301081</v>
          </cell>
          <cell r="AJ664">
            <v>643.44086021505393</v>
          </cell>
          <cell r="AK664">
            <v>0.23655913978494614</v>
          </cell>
          <cell r="AL664">
            <v>0.21505376344086014</v>
          </cell>
          <cell r="AM664"/>
          <cell r="AN664" t="str">
            <v>INFOKS</v>
          </cell>
          <cell r="AO664"/>
          <cell r="AP664"/>
          <cell r="AQ664"/>
          <cell r="AR664"/>
          <cell r="AS664"/>
          <cell r="AT664"/>
          <cell r="AU664">
            <v>544</v>
          </cell>
          <cell r="AV664">
            <v>598.40000000000009</v>
          </cell>
          <cell r="AW664"/>
          <cell r="AX664"/>
          <cell r="AZ664">
            <v>2732.4200913242016</v>
          </cell>
          <cell r="BA664">
            <v>1639.452054794521</v>
          </cell>
          <cell r="BB664">
            <v>1366.2100456621008</v>
          </cell>
          <cell r="BC664">
            <v>1092.9680365296806</v>
          </cell>
        </row>
        <row r="665">
          <cell r="I665" t="str">
            <v>KFO72OS2MTZHC</v>
          </cell>
          <cell r="J665" t="str">
            <v/>
          </cell>
          <cell r="K665" t="str">
            <v>72FO OS2 MULTI LOOSE TUBE LSZH UNIVERSAL Cca YELLOW RAL1021</v>
          </cell>
          <cell r="L665" t="str">
            <v>72FO OS2 MULTI TUBE STRUCTURE LIBRE LSZH UNIVERSEL Cca JAUNE RAL1021</v>
          </cell>
          <cell r="M665" t="str">
            <v>Cca/B2ca</v>
          </cell>
          <cell r="N665" t="str">
            <v>Turkey</v>
          </cell>
          <cell r="O665"/>
          <cell r="P665" t="str">
            <v>2000m drum</v>
          </cell>
          <cell r="Q665" t="str">
            <v>4KM</v>
          </cell>
          <cell r="R665">
            <v>2</v>
          </cell>
          <cell r="S665" t="e">
            <v>#N/A</v>
          </cell>
          <cell r="T665">
            <v>8544700000</v>
          </cell>
          <cell r="U665">
            <v>0</v>
          </cell>
          <cell r="V665">
            <v>30</v>
          </cell>
          <cell r="W665">
            <v>45</v>
          </cell>
          <cell r="X665">
            <v>55</v>
          </cell>
          <cell r="Y665" t="str">
            <v>T/T against copy of document</v>
          </cell>
          <cell r="Z665">
            <v>1224.5070422535211</v>
          </cell>
          <cell r="AA665">
            <v>1139.178082191781</v>
          </cell>
          <cell r="AB665">
            <v>7.0000000000000007E-2</v>
          </cell>
          <cell r="AC665">
            <v>7.0000000000000007E-2</v>
          </cell>
          <cell r="AD665">
            <v>0.27</v>
          </cell>
          <cell r="AE665" t="str">
            <v>C</v>
          </cell>
          <cell r="AF665">
            <v>1139.178082191781</v>
          </cell>
          <cell r="AG665">
            <v>0.27</v>
          </cell>
          <cell r="AH665"/>
          <cell r="AI665">
            <v>934.83870967741939</v>
          </cell>
          <cell r="AJ665">
            <v>894.19354838709683</v>
          </cell>
          <cell r="AK665">
            <v>0.23655913978494625</v>
          </cell>
          <cell r="AL665">
            <v>0.21505376344086025</v>
          </cell>
          <cell r="AM665"/>
          <cell r="AN665" t="str">
            <v>INFOKS</v>
          </cell>
          <cell r="AO665"/>
          <cell r="AP665"/>
          <cell r="AQ665"/>
          <cell r="AR665"/>
          <cell r="AS665"/>
          <cell r="AT665"/>
          <cell r="AU665">
            <v>756</v>
          </cell>
          <cell r="AV665">
            <v>831.6</v>
          </cell>
          <cell r="AW665"/>
          <cell r="AX665"/>
          <cell r="AZ665">
            <v>3797.2602739726035</v>
          </cell>
          <cell r="BA665">
            <v>2278.3561643835619</v>
          </cell>
          <cell r="BB665">
            <v>1898.6301369863017</v>
          </cell>
          <cell r="BC665">
            <v>1518.9041095890416</v>
          </cell>
        </row>
        <row r="666">
          <cell r="I666" t="str">
            <v>KFO96OS2MTZHC</v>
          </cell>
          <cell r="J666" t="str">
            <v/>
          </cell>
          <cell r="K666" t="str">
            <v>96FO OS2 MULTI LOOSE TUBE LSZH UNIVERSAL Cca YELLOW RAL1021</v>
          </cell>
          <cell r="L666" t="str">
            <v>96FO OS2 MULTI TUBE STRUCTURE LIBRE LSZH UNIVERSEL Cca JAUNE RAL1021</v>
          </cell>
          <cell r="M666" t="str">
            <v>Cca/B2ca</v>
          </cell>
          <cell r="N666" t="str">
            <v>Turkey</v>
          </cell>
          <cell r="O666"/>
          <cell r="P666" t="str">
            <v>2000m drum</v>
          </cell>
          <cell r="Q666" t="str">
            <v>4KM</v>
          </cell>
          <cell r="R666">
            <v>2</v>
          </cell>
          <cell r="S666" t="e">
            <v>#N/A</v>
          </cell>
          <cell r="T666">
            <v>8544700000</v>
          </cell>
          <cell r="U666">
            <v>0</v>
          </cell>
          <cell r="V666">
            <v>30</v>
          </cell>
          <cell r="W666">
            <v>45</v>
          </cell>
          <cell r="X666">
            <v>55</v>
          </cell>
          <cell r="Y666" t="str">
            <v>T/T against copy of document</v>
          </cell>
          <cell r="Z666">
            <v>1579.2253521126761</v>
          </cell>
          <cell r="AA666">
            <v>1469.178082191781</v>
          </cell>
          <cell r="AB666">
            <v>7.0000000000000007E-2</v>
          </cell>
          <cell r="AC666">
            <v>7.0000000000000007E-2</v>
          </cell>
          <cell r="AD666">
            <v>0.27</v>
          </cell>
          <cell r="AE666" t="str">
            <v>C</v>
          </cell>
          <cell r="AF666">
            <v>1469.178082191781</v>
          </cell>
          <cell r="AG666">
            <v>0.27</v>
          </cell>
          <cell r="AH666"/>
          <cell r="AI666">
            <v>1205.6451612903227</v>
          </cell>
          <cell r="AJ666">
            <v>1153.2258064516129</v>
          </cell>
          <cell r="AK666">
            <v>0.23655913978494625</v>
          </cell>
          <cell r="AL666">
            <v>0.21505376344086025</v>
          </cell>
          <cell r="AM666"/>
          <cell r="AN666" t="str">
            <v>INFOKS</v>
          </cell>
          <cell r="AO666"/>
          <cell r="AP666"/>
          <cell r="AQ666"/>
          <cell r="AR666"/>
          <cell r="AS666"/>
          <cell r="AT666"/>
          <cell r="AU666">
            <v>975</v>
          </cell>
          <cell r="AV666">
            <v>1072.5</v>
          </cell>
          <cell r="AW666"/>
          <cell r="AX666"/>
          <cell r="AZ666">
            <v>4897.2602739726035</v>
          </cell>
          <cell r="BA666">
            <v>2938.3561643835619</v>
          </cell>
          <cell r="BB666">
            <v>2448.6301369863017</v>
          </cell>
          <cell r="BC666">
            <v>1958.9041095890416</v>
          </cell>
        </row>
        <row r="667">
          <cell r="I667" t="str">
            <v>KFO144OS2MTZHC</v>
          </cell>
          <cell r="J667" t="str">
            <v/>
          </cell>
          <cell r="K667" t="str">
            <v>144FO OS2 MULTI LOOSE TUBE LSZH UNIVERSAL Cca YELLOW RAL1021</v>
          </cell>
          <cell r="L667" t="str">
            <v>144FO OS2 MULTI TUBE STRUCTURE LIBRE LSZH UNIVERSEL Cca JAUNE RAL1021</v>
          </cell>
          <cell r="M667" t="str">
            <v>Cca/B2ca</v>
          </cell>
          <cell r="N667" t="str">
            <v>Turkey</v>
          </cell>
          <cell r="O667"/>
          <cell r="P667" t="str">
            <v>2000m drum</v>
          </cell>
          <cell r="Q667" t="str">
            <v>4KM</v>
          </cell>
          <cell r="R667">
            <v>2</v>
          </cell>
          <cell r="S667" t="e">
            <v>#N/A</v>
          </cell>
          <cell r="T667">
            <v>8544700000</v>
          </cell>
          <cell r="U667">
            <v>0</v>
          </cell>
          <cell r="V667">
            <v>30</v>
          </cell>
          <cell r="W667">
            <v>45</v>
          </cell>
          <cell r="X667">
            <v>55</v>
          </cell>
          <cell r="Y667" t="str">
            <v>T/T against copy of document</v>
          </cell>
          <cell r="Z667">
            <v>2040.8450704225352</v>
          </cell>
          <cell r="AA667">
            <v>1898.6301369863015</v>
          </cell>
          <cell r="AB667">
            <v>7.0000000000000007E-2</v>
          </cell>
          <cell r="AC667">
            <v>7.0000000000000007E-2</v>
          </cell>
          <cell r="AD667">
            <v>0.27</v>
          </cell>
          <cell r="AE667" t="str">
            <v>C</v>
          </cell>
          <cell r="AF667">
            <v>1898.6301369863015</v>
          </cell>
          <cell r="AG667">
            <v>0.27</v>
          </cell>
          <cell r="AH667"/>
          <cell r="AI667">
            <v>1558.0645161290322</v>
          </cell>
          <cell r="AJ667">
            <v>1490.3225806451615</v>
          </cell>
          <cell r="AK667">
            <v>0.23655913978494625</v>
          </cell>
          <cell r="AL667">
            <v>0.21505376344086025</v>
          </cell>
          <cell r="AM667"/>
          <cell r="AN667" t="str">
            <v>INFOKS</v>
          </cell>
          <cell r="AO667"/>
          <cell r="AP667"/>
          <cell r="AQ667"/>
          <cell r="AR667"/>
          <cell r="AS667"/>
          <cell r="AT667"/>
          <cell r="AU667">
            <v>1260</v>
          </cell>
          <cell r="AV667">
            <v>1386</v>
          </cell>
          <cell r="AW667"/>
          <cell r="AX667"/>
          <cell r="AZ667">
            <v>6328.7671232876719</v>
          </cell>
          <cell r="BA667">
            <v>3797.260273972603</v>
          </cell>
          <cell r="BB667">
            <v>3164.3835616438359</v>
          </cell>
          <cell r="BC667">
            <v>2531.5068493150688</v>
          </cell>
        </row>
        <row r="668">
          <cell r="I668" t="str">
            <v>KFO288OS2MTZHC</v>
          </cell>
          <cell r="J668" t="str">
            <v/>
          </cell>
          <cell r="K668" t="str">
            <v>288FO OS2 MULTI LOOSE TUBE LSZH UNIVERSAL Cca YELLOW RAL1021</v>
          </cell>
          <cell r="L668" t="str">
            <v>288FO OS2 MULTI TUBE STRUCTURE LIBRE LSZH UNIVERSEL Cca JAUNE RAL1021</v>
          </cell>
          <cell r="M668" t="str">
            <v>Cca/B2ca</v>
          </cell>
          <cell r="N668" t="str">
            <v>Turkey</v>
          </cell>
          <cell r="O668"/>
          <cell r="P668" t="str">
            <v>2000m drum</v>
          </cell>
          <cell r="Q668" t="str">
            <v>4KM</v>
          </cell>
          <cell r="R668">
            <v>2</v>
          </cell>
          <cell r="S668" t="e">
            <v>#N/A</v>
          </cell>
          <cell r="T668">
            <v>8544700000</v>
          </cell>
          <cell r="U668">
            <v>0</v>
          </cell>
          <cell r="V668">
            <v>30</v>
          </cell>
          <cell r="W668">
            <v>45</v>
          </cell>
          <cell r="X668">
            <v>55</v>
          </cell>
          <cell r="Y668" t="str">
            <v>T/T against copy of document</v>
          </cell>
          <cell r="Z668">
            <v>3336.6197183098589</v>
          </cell>
          <cell r="AA668">
            <v>3104.1095890410961</v>
          </cell>
          <cell r="AB668">
            <v>7.0000000000000007E-2</v>
          </cell>
          <cell r="AC668">
            <v>7.0000000000000007E-2</v>
          </cell>
          <cell r="AD668">
            <v>0.27</v>
          </cell>
          <cell r="AE668" t="str">
            <v>C</v>
          </cell>
          <cell r="AF668">
            <v>3104.1095890410961</v>
          </cell>
          <cell r="AG668">
            <v>0.27</v>
          </cell>
          <cell r="AH668"/>
          <cell r="AI668">
            <v>2547.311827956989</v>
          </cell>
          <cell r="AJ668">
            <v>2436.5591397849462</v>
          </cell>
          <cell r="AK668">
            <v>0.23655913978494625</v>
          </cell>
          <cell r="AL668">
            <v>0.21505376344086025</v>
          </cell>
          <cell r="AM668"/>
          <cell r="AN668" t="str">
            <v>INFOKS</v>
          </cell>
          <cell r="AO668"/>
          <cell r="AP668"/>
          <cell r="AQ668"/>
          <cell r="AR668"/>
          <cell r="AS668"/>
          <cell r="AT668"/>
          <cell r="AU668">
            <v>2060</v>
          </cell>
          <cell r="AV668">
            <v>2266</v>
          </cell>
          <cell r="AW668"/>
          <cell r="AX668"/>
          <cell r="AZ668">
            <v>10347.031963470321</v>
          </cell>
          <cell r="BA668">
            <v>6208.2191780821922</v>
          </cell>
          <cell r="BB668">
            <v>5173.5159817351605</v>
          </cell>
          <cell r="BC668">
            <v>4138.8127853881288</v>
          </cell>
        </row>
        <row r="669">
          <cell r="I669" t="str">
            <v>KFO96OS2MT</v>
          </cell>
          <cell r="J669" t="str">
            <v>U0805006</v>
          </cell>
          <cell r="K669" t="str">
            <v>96FO OS2 MULTI LOOSE TUBE PEHD OUTDOOR BLACK RAL 9005</v>
          </cell>
          <cell r="L669" t="str">
            <v xml:space="preserve">96FO OS2 MULTI TUBE STRUCTURE LIBRE PEHD EXTÉRIEUR NOIR RAL9005 </v>
          </cell>
          <cell r="M669" t="str">
            <v>Fca</v>
          </cell>
          <cell r="N669" t="str">
            <v>Turkey</v>
          </cell>
          <cell r="O669"/>
          <cell r="P669" t="str">
            <v>2000m drum</v>
          </cell>
          <cell r="Q669" t="str">
            <v>4KM</v>
          </cell>
          <cell r="R669">
            <v>2</v>
          </cell>
          <cell r="S669" t="e">
            <v>#N/A</v>
          </cell>
          <cell r="T669">
            <v>8544700000</v>
          </cell>
          <cell r="U669">
            <v>0</v>
          </cell>
          <cell r="V669">
            <v>30</v>
          </cell>
          <cell r="W669">
            <v>45</v>
          </cell>
          <cell r="X669">
            <v>55</v>
          </cell>
          <cell r="Y669" t="str">
            <v>T/T against copy of document</v>
          </cell>
          <cell r="Z669">
            <v>1133.8028169014085</v>
          </cell>
          <cell r="AA669">
            <v>1054.7945205479455</v>
          </cell>
          <cell r="AB669">
            <v>7.0000000000000007E-2</v>
          </cell>
          <cell r="AC669">
            <v>7.0000000000000007E-2</v>
          </cell>
          <cell r="AD669">
            <v>0.27</v>
          </cell>
          <cell r="AE669" t="str">
            <v>C</v>
          </cell>
          <cell r="AF669">
            <v>1054.7945205479455</v>
          </cell>
          <cell r="AG669">
            <v>0.27</v>
          </cell>
          <cell r="AH669"/>
          <cell r="AI669">
            <v>865.5913978494624</v>
          </cell>
          <cell r="AJ669">
            <v>827.95698924731198</v>
          </cell>
          <cell r="AK669">
            <v>0.23655913978494625</v>
          </cell>
          <cell r="AL669">
            <v>0.21505376344086025</v>
          </cell>
          <cell r="AM669"/>
          <cell r="AN669" t="str">
            <v>INFOKS</v>
          </cell>
          <cell r="AO669"/>
          <cell r="AP669"/>
          <cell r="AQ669"/>
          <cell r="AR669"/>
          <cell r="AS669"/>
          <cell r="AT669"/>
          <cell r="AU669">
            <v>700</v>
          </cell>
          <cell r="AV669">
            <v>770.00000000000011</v>
          </cell>
          <cell r="AW669"/>
          <cell r="AX669"/>
          <cell r="AZ669">
            <v>3515.9817351598185</v>
          </cell>
          <cell r="BA669">
            <v>2109.5890410958909</v>
          </cell>
          <cell r="BB669">
            <v>1757.9908675799093</v>
          </cell>
          <cell r="BC669">
            <v>1406.3926940639276</v>
          </cell>
          <cell r="BE669">
            <v>1054.7945205479455</v>
          </cell>
        </row>
        <row r="670">
          <cell r="I670" t="str">
            <v>KFO48OS2MT</v>
          </cell>
          <cell r="J670" t="str">
            <v>U0805003</v>
          </cell>
          <cell r="K670" t="str">
            <v>48FO OS2 MULTI LOOSE TUBE PEHD OUTDOOR BLACK RAL 9005</v>
          </cell>
          <cell r="L670" t="str">
            <v xml:space="preserve">48FO OS2 MULTI TUBE STRUCTURE LIBRE PEHD EXTÉRIEUR NOIR RAL9005 </v>
          </cell>
          <cell r="M670" t="str">
            <v>Fca</v>
          </cell>
          <cell r="N670" t="str">
            <v>Turkey</v>
          </cell>
          <cell r="O670"/>
          <cell r="P670" t="str">
            <v>2000m drum</v>
          </cell>
          <cell r="Q670" t="str">
            <v>4KM</v>
          </cell>
          <cell r="R670">
            <v>2</v>
          </cell>
          <cell r="S670" t="e">
            <v>#N/A</v>
          </cell>
          <cell r="T670">
            <v>8544700000</v>
          </cell>
          <cell r="U670">
            <v>0</v>
          </cell>
          <cell r="V670">
            <v>30</v>
          </cell>
          <cell r="W670">
            <v>45</v>
          </cell>
          <cell r="X670">
            <v>55</v>
          </cell>
          <cell r="Y670" t="str">
            <v>T/T against copy of document</v>
          </cell>
          <cell r="Z670">
            <v>800.14084507042253</v>
          </cell>
          <cell r="AA670">
            <v>744.38356164383572</v>
          </cell>
          <cell r="AB670">
            <v>7.0000000000000007E-2</v>
          </cell>
          <cell r="AC670">
            <v>7.0000000000000007E-2</v>
          </cell>
          <cell r="AD670">
            <v>0.27</v>
          </cell>
          <cell r="AE670" t="str">
            <v>C</v>
          </cell>
          <cell r="AF670">
            <v>744.38356164383572</v>
          </cell>
          <cell r="AG670">
            <v>0.27</v>
          </cell>
          <cell r="AH670"/>
          <cell r="AI670">
            <v>610.86021505376345</v>
          </cell>
          <cell r="AJ670">
            <v>584.30107526881739</v>
          </cell>
          <cell r="AK670">
            <v>0.23655913978494625</v>
          </cell>
          <cell r="AL670">
            <v>0.21505376344086014</v>
          </cell>
          <cell r="AM670"/>
          <cell r="AN670" t="str">
            <v>INFOKS</v>
          </cell>
          <cell r="AO670"/>
          <cell r="AP670"/>
          <cell r="AQ670"/>
          <cell r="AR670"/>
          <cell r="AS670"/>
          <cell r="AT670"/>
          <cell r="AU670">
            <v>494</v>
          </cell>
          <cell r="AV670">
            <v>543.40000000000009</v>
          </cell>
          <cell r="AW670"/>
          <cell r="AX670"/>
          <cell r="AZ670">
            <v>2481.2785388127859</v>
          </cell>
          <cell r="BA670">
            <v>1488.7671232876714</v>
          </cell>
          <cell r="BB670">
            <v>1240.6392694063929</v>
          </cell>
          <cell r="BC670">
            <v>992.51141552511444</v>
          </cell>
          <cell r="BE670">
            <v>744.38356164383572</v>
          </cell>
        </row>
        <row r="671">
          <cell r="I671" t="str">
            <v>KFO24OS2MT</v>
          </cell>
          <cell r="J671" t="str">
            <v/>
          </cell>
          <cell r="K671" t="str">
            <v>24FO OS2 MULTI LOOSE TUBE PEHD OUTDOOR BLACK RAL 9005</v>
          </cell>
          <cell r="L671" t="str">
            <v xml:space="preserve">24FO OS2 MULTI TUBE STRUCTURE LIBRE PEHD EXTÉRIEUR NOIR RAL9005 </v>
          </cell>
          <cell r="M671" t="str">
            <v>Fca</v>
          </cell>
          <cell r="N671" t="str">
            <v>Turkey</v>
          </cell>
          <cell r="O671"/>
          <cell r="P671" t="str">
            <v>2000m drum</v>
          </cell>
          <cell r="Q671" t="str">
            <v>4KM</v>
          </cell>
          <cell r="R671">
            <v>2</v>
          </cell>
          <cell r="S671" t="e">
            <v>#N/A</v>
          </cell>
          <cell r="T671">
            <v>8544700000</v>
          </cell>
          <cell r="U671">
            <v>0</v>
          </cell>
          <cell r="V671">
            <v>30</v>
          </cell>
          <cell r="W671">
            <v>45</v>
          </cell>
          <cell r="X671">
            <v>55</v>
          </cell>
          <cell r="Y671" t="str">
            <v>T/T against copy of document</v>
          </cell>
          <cell r="Z671">
            <v>612.25352112676057</v>
          </cell>
          <cell r="AA671">
            <v>569.58904109589048</v>
          </cell>
          <cell r="AB671">
            <v>7.0000000000000007E-2</v>
          </cell>
          <cell r="AC671">
            <v>7.0000000000000007E-2</v>
          </cell>
          <cell r="AD671">
            <v>0.27</v>
          </cell>
          <cell r="AE671" t="str">
            <v>C</v>
          </cell>
          <cell r="AF671">
            <v>569.58904109589048</v>
          </cell>
          <cell r="AG671">
            <v>0.27</v>
          </cell>
          <cell r="AH671"/>
          <cell r="AI671">
            <v>467.41935483870969</v>
          </cell>
          <cell r="AJ671">
            <v>447.09677419354841</v>
          </cell>
          <cell r="AK671">
            <v>0.23655913978494625</v>
          </cell>
          <cell r="AL671">
            <v>0.21505376344086025</v>
          </cell>
          <cell r="AM671"/>
          <cell r="AN671" t="str">
            <v>INFOKS</v>
          </cell>
          <cell r="AO671"/>
          <cell r="AP671"/>
          <cell r="AQ671"/>
          <cell r="AR671"/>
          <cell r="AS671"/>
          <cell r="AT671"/>
          <cell r="AU671">
            <v>378</v>
          </cell>
          <cell r="AV671">
            <v>415.8</v>
          </cell>
          <cell r="AW671"/>
          <cell r="AX671"/>
          <cell r="AZ671">
            <v>1898.6301369863017</v>
          </cell>
          <cell r="BA671">
            <v>1139.178082191781</v>
          </cell>
          <cell r="BB671">
            <v>949.31506849315087</v>
          </cell>
          <cell r="BC671">
            <v>759.45205479452079</v>
          </cell>
          <cell r="BE671">
            <v>569.58904109589048</v>
          </cell>
        </row>
        <row r="672">
          <cell r="I672" t="str">
            <v>KFO48OS2MTA</v>
          </cell>
          <cell r="J672" t="str">
            <v>U0804003</v>
          </cell>
          <cell r="K672" t="str">
            <v>48FO OS2 MULTI LOOSE TUBE ARMORDED PEHD OUTDOOR BLACK RAL 9005</v>
          </cell>
          <cell r="L672" t="str">
            <v xml:space="preserve">48FO OS2 MULTI TUBE STRUCTURE LIBRE ARMÉ PEHD EXTÉRIEUR NOIR RAL9005 </v>
          </cell>
          <cell r="M672" t="str">
            <v>Fca</v>
          </cell>
          <cell r="N672" t="str">
            <v>Turkey</v>
          </cell>
          <cell r="O672"/>
          <cell r="P672" t="str">
            <v>2000m drum</v>
          </cell>
          <cell r="Q672" t="str">
            <v>4KM</v>
          </cell>
          <cell r="R672">
            <v>2</v>
          </cell>
          <cell r="S672" t="e">
            <v>#N/A</v>
          </cell>
          <cell r="T672">
            <v>8544700000</v>
          </cell>
          <cell r="U672">
            <v>0</v>
          </cell>
          <cell r="V672">
            <v>30</v>
          </cell>
          <cell r="W672">
            <v>45</v>
          </cell>
          <cell r="X672">
            <v>55</v>
          </cell>
          <cell r="Y672" t="str">
            <v>T/T against copy of document</v>
          </cell>
          <cell r="Z672">
            <v>932.95774647887322</v>
          </cell>
          <cell r="AA672">
            <v>867.94520547945206</v>
          </cell>
          <cell r="AB672">
            <v>7.0000000000000007E-2</v>
          </cell>
          <cell r="AC672">
            <v>7.0000000000000007E-2</v>
          </cell>
          <cell r="AD672">
            <v>0.27</v>
          </cell>
          <cell r="AE672" t="str">
            <v>C</v>
          </cell>
          <cell r="AF672">
            <v>867.94520547945206</v>
          </cell>
          <cell r="AG672">
            <v>0.27</v>
          </cell>
          <cell r="AH672"/>
          <cell r="AI672">
            <v>712.25806451612902</v>
          </cell>
          <cell r="AJ672">
            <v>681.29032258064524</v>
          </cell>
          <cell r="AK672">
            <v>0.23655913978494625</v>
          </cell>
          <cell r="AL672">
            <v>0.21505376344086014</v>
          </cell>
          <cell r="AM672"/>
          <cell r="AN672" t="str">
            <v>INFOKS</v>
          </cell>
          <cell r="AO672"/>
          <cell r="AP672"/>
          <cell r="AQ672"/>
          <cell r="AR672"/>
          <cell r="AS672"/>
          <cell r="AT672"/>
          <cell r="AU672">
            <v>576</v>
          </cell>
          <cell r="AV672">
            <v>633.6</v>
          </cell>
          <cell r="AW672"/>
          <cell r="AX672"/>
          <cell r="AZ672">
            <v>2893.1506849315069</v>
          </cell>
          <cell r="BA672">
            <v>1735.8904109589041</v>
          </cell>
          <cell r="BB672">
            <v>1446.5753424657535</v>
          </cell>
          <cell r="BC672">
            <v>1157.2602739726028</v>
          </cell>
          <cell r="BE672">
            <v>867.94520547945206</v>
          </cell>
        </row>
        <row r="673">
          <cell r="I673" t="str">
            <v>KFO96OS2MTA</v>
          </cell>
          <cell r="J673" t="str">
            <v>U0804006</v>
          </cell>
          <cell r="K673" t="str">
            <v>96FO OS2 MULTI LOOSE TUBE ARMORDED PEHD OUTDOOR BLACK RAL 9005</v>
          </cell>
          <cell r="L673" t="str">
            <v xml:space="preserve">96FO OS2 MULTI TUBE STRUCTURE LIBRE ARMÉ PEHD EXTÉRIEUR NOIR RAL9005 </v>
          </cell>
          <cell r="M673" t="str">
            <v>Fca</v>
          </cell>
          <cell r="N673" t="str">
            <v>Turkey</v>
          </cell>
          <cell r="O673"/>
          <cell r="P673" t="str">
            <v>2000m drum</v>
          </cell>
          <cell r="Q673" t="str">
            <v>4KM</v>
          </cell>
          <cell r="R673">
            <v>2</v>
          </cell>
          <cell r="S673" t="e">
            <v>#N/A</v>
          </cell>
          <cell r="T673">
            <v>8544700000</v>
          </cell>
          <cell r="U673">
            <v>0</v>
          </cell>
          <cell r="V673">
            <v>30</v>
          </cell>
          <cell r="W673">
            <v>45</v>
          </cell>
          <cell r="X673">
            <v>55</v>
          </cell>
          <cell r="Y673" t="str">
            <v>T/T against copy of document</v>
          </cell>
          <cell r="Z673">
            <v>1318.4507042253522</v>
          </cell>
          <cell r="AA673">
            <v>1226.5753424657537</v>
          </cell>
          <cell r="AB673">
            <v>7.0000000000000007E-2</v>
          </cell>
          <cell r="AC673">
            <v>7.0000000000000007E-2</v>
          </cell>
          <cell r="AD673">
            <v>0.27</v>
          </cell>
          <cell r="AE673" t="str">
            <v>C</v>
          </cell>
          <cell r="AF673">
            <v>1226.5753424657537</v>
          </cell>
          <cell r="AG673">
            <v>0.27000000000000013</v>
          </cell>
          <cell r="AH673"/>
          <cell r="AI673">
            <v>1006.5591397849463</v>
          </cell>
          <cell r="AJ673">
            <v>962.79569892473137</v>
          </cell>
          <cell r="AK673">
            <v>0.23655913978494625</v>
          </cell>
          <cell r="AL673">
            <v>0.21505376344086025</v>
          </cell>
          <cell r="AM673"/>
          <cell r="AN673" t="str">
            <v>INFOKS</v>
          </cell>
          <cell r="AO673"/>
          <cell r="AP673"/>
          <cell r="AQ673"/>
          <cell r="AR673"/>
          <cell r="AS673"/>
          <cell r="AT673"/>
          <cell r="AU673">
            <v>814</v>
          </cell>
          <cell r="AV673">
            <v>895.40000000000009</v>
          </cell>
          <cell r="AW673"/>
          <cell r="AX673"/>
          <cell r="AZ673">
            <v>4088.5844748858458</v>
          </cell>
          <cell r="BA673">
            <v>2453.1506849315074</v>
          </cell>
          <cell r="BB673">
            <v>2044.2922374429229</v>
          </cell>
          <cell r="BC673">
            <v>1635.4337899543384</v>
          </cell>
          <cell r="BE673">
            <v>1226.5753424657537</v>
          </cell>
        </row>
        <row r="674">
          <cell r="I674" t="str">
            <v>KFO12OS2MTAZHB2</v>
          </cell>
          <cell r="J674" t="str">
            <v/>
          </cell>
          <cell r="K674" t="str">
            <v>12FO OS2 MULTI LOOSE TUBE ARMORDED SIMPLE JACKET LSZH B2ca OUTDOOR YELLOW RAL 1021</v>
          </cell>
          <cell r="L674" t="str">
            <v>12FO OS2 MULTITUBE STRUCTURE LIBRE ARME SIMPLE GAINE LSZH B2ca EXTÉRIEUR JAUNE RAL1021</v>
          </cell>
          <cell r="M674" t="str">
            <v>B2ca</v>
          </cell>
          <cell r="N674" t="str">
            <v>Turkey</v>
          </cell>
          <cell r="O674"/>
          <cell r="P674" t="str">
            <v>2000m drum</v>
          </cell>
          <cell r="Q674" t="str">
            <v>4KM</v>
          </cell>
          <cell r="R674">
            <v>2</v>
          </cell>
          <cell r="S674" t="e">
            <v>#N/A</v>
          </cell>
          <cell r="T674">
            <v>8544700000</v>
          </cell>
          <cell r="U674">
            <v>0</v>
          </cell>
          <cell r="V674">
            <v>30</v>
          </cell>
          <cell r="W674">
            <v>45</v>
          </cell>
          <cell r="X674">
            <v>55</v>
          </cell>
          <cell r="Y674" t="str">
            <v>T/T against copy of document</v>
          </cell>
          <cell r="Z674">
            <v>1041.4788732394366</v>
          </cell>
          <cell r="AA674">
            <v>968.90410958904124</v>
          </cell>
          <cell r="AB674">
            <v>7.0000000000000007E-2</v>
          </cell>
          <cell r="AC674">
            <v>7.0000000000000007E-2</v>
          </cell>
          <cell r="AD674">
            <v>0.27</v>
          </cell>
          <cell r="AE674" t="str">
            <v>C</v>
          </cell>
          <cell r="AF674">
            <v>968.90410958904124</v>
          </cell>
          <cell r="AG674">
            <v>0.27</v>
          </cell>
          <cell r="AH674"/>
          <cell r="AI674">
            <v>795.10752688172045</v>
          </cell>
          <cell r="AJ674">
            <v>760.53763440860223</v>
          </cell>
          <cell r="AK674">
            <v>0.23655913978494614</v>
          </cell>
          <cell r="AL674">
            <v>0.21505376344086025</v>
          </cell>
          <cell r="AM674"/>
          <cell r="AN674" t="str">
            <v>INFOKS</v>
          </cell>
          <cell r="AO674"/>
          <cell r="AP674"/>
          <cell r="AQ674"/>
          <cell r="AR674"/>
          <cell r="AS674"/>
          <cell r="AT674"/>
          <cell r="AU674">
            <v>643</v>
          </cell>
          <cell r="AV674">
            <v>707.30000000000007</v>
          </cell>
          <cell r="AW674"/>
          <cell r="AX674"/>
          <cell r="AZ674">
            <v>3229.6803652968042</v>
          </cell>
          <cell r="BA674">
            <v>1937.8082191780825</v>
          </cell>
          <cell r="BB674">
            <v>1614.8401826484021</v>
          </cell>
          <cell r="BC674">
            <v>1291.8721461187217</v>
          </cell>
        </row>
        <row r="675">
          <cell r="I675" t="str">
            <v>KFO24OS2MTAZHB2</v>
          </cell>
          <cell r="J675" t="str">
            <v/>
          </cell>
          <cell r="K675" t="str">
            <v>24FO OS2 MULTI LOOSE TUBE ARMORDED SIMPLE JACKET LSZH B2ca OUTDOOR YELLOW RAL 1021</v>
          </cell>
          <cell r="L675" t="str">
            <v>24FO OS2 MULTITUBE STRUCTURE LIBRE ARME SIMPLE GAINE LSZH B2ca EXTÉRIEUR JAUNE RAL1021</v>
          </cell>
          <cell r="M675" t="str">
            <v>B2ca</v>
          </cell>
          <cell r="N675" t="str">
            <v>Turkey</v>
          </cell>
          <cell r="O675"/>
          <cell r="P675" t="str">
            <v>2000m drum</v>
          </cell>
          <cell r="Q675" t="str">
            <v>4KM</v>
          </cell>
          <cell r="R675">
            <v>2</v>
          </cell>
          <cell r="S675" t="e">
            <v>#N/A</v>
          </cell>
          <cell r="T675">
            <v>8544700000</v>
          </cell>
          <cell r="U675">
            <v>0</v>
          </cell>
          <cell r="V675">
            <v>30</v>
          </cell>
          <cell r="W675">
            <v>45</v>
          </cell>
          <cell r="X675">
            <v>55</v>
          </cell>
          <cell r="Y675" t="str">
            <v>T/T against copy of document</v>
          </cell>
          <cell r="Z675">
            <v>1111.1267605633802</v>
          </cell>
          <cell r="AA675">
            <v>1033.6986301369864</v>
          </cell>
          <cell r="AB675">
            <v>7.0000000000000007E-2</v>
          </cell>
          <cell r="AC675">
            <v>7.0000000000000007E-2</v>
          </cell>
          <cell r="AD675">
            <v>0.27</v>
          </cell>
          <cell r="AE675" t="str">
            <v>C</v>
          </cell>
          <cell r="AF675">
            <v>1033.6986301369864</v>
          </cell>
          <cell r="AG675">
            <v>0.27</v>
          </cell>
          <cell r="AH675"/>
          <cell r="AI675">
            <v>848.27956989247321</v>
          </cell>
          <cell r="AJ675">
            <v>811.39784946236568</v>
          </cell>
          <cell r="AK675">
            <v>0.23655913978494614</v>
          </cell>
          <cell r="AL675">
            <v>0.21505376344086014</v>
          </cell>
          <cell r="AM675"/>
          <cell r="AN675" t="str">
            <v>INFOKS</v>
          </cell>
          <cell r="AO675"/>
          <cell r="AP675"/>
          <cell r="AQ675"/>
          <cell r="AR675"/>
          <cell r="AS675"/>
          <cell r="AT675"/>
          <cell r="AU675">
            <v>686</v>
          </cell>
          <cell r="AV675">
            <v>754.6</v>
          </cell>
          <cell r="AW675"/>
          <cell r="AX675"/>
          <cell r="AZ675">
            <v>3445.6621004566214</v>
          </cell>
          <cell r="BA675">
            <v>2067.3972602739727</v>
          </cell>
          <cell r="BB675">
            <v>1722.8310502283107</v>
          </cell>
          <cell r="BC675">
            <v>1378.2648401826486</v>
          </cell>
        </row>
        <row r="676">
          <cell r="I676" t="str">
            <v>KFO48OS2MTAZHB2</v>
          </cell>
          <cell r="J676" t="str">
            <v/>
          </cell>
          <cell r="K676" t="str">
            <v>48FO OS2 MULTI LOOSE TUBE ARMORDED SIMPLE JACKET LSZH B2ca OUTDOOR YELLOW RAL 1021</v>
          </cell>
          <cell r="L676" t="str">
            <v>48FO OS2 MULTITUBE STRUCTURE LIBRE ARME SIMPLE GAINE LSZH B2ca EXTÉRIEUR JAUNE RAL1021</v>
          </cell>
          <cell r="M676" t="str">
            <v>B2ca</v>
          </cell>
          <cell r="N676" t="str">
            <v>Turkey</v>
          </cell>
          <cell r="O676"/>
          <cell r="P676" t="str">
            <v>2000m drum</v>
          </cell>
          <cell r="Q676" t="str">
            <v>4KM</v>
          </cell>
          <cell r="R676">
            <v>2</v>
          </cell>
          <cell r="S676" t="e">
            <v>#N/A</v>
          </cell>
          <cell r="T676">
            <v>8544700000</v>
          </cell>
          <cell r="U676">
            <v>0</v>
          </cell>
          <cell r="V676">
            <v>30</v>
          </cell>
          <cell r="W676">
            <v>45</v>
          </cell>
          <cell r="X676">
            <v>55</v>
          </cell>
          <cell r="Y676" t="str">
            <v>T/T against copy of document</v>
          </cell>
          <cell r="Z676">
            <v>1284.4366197183099</v>
          </cell>
          <cell r="AA676">
            <v>1194.9315068493152</v>
          </cell>
          <cell r="AB676">
            <v>7.0000000000000007E-2</v>
          </cell>
          <cell r="AC676">
            <v>7.0000000000000007E-2</v>
          </cell>
          <cell r="AD676">
            <v>0.27</v>
          </cell>
          <cell r="AE676" t="str">
            <v>C</v>
          </cell>
          <cell r="AF676">
            <v>1194.9315068493152</v>
          </cell>
          <cell r="AG676">
            <v>0.27</v>
          </cell>
          <cell r="AH676"/>
          <cell r="AI676">
            <v>980.5913978494624</v>
          </cell>
          <cell r="AJ676">
            <v>937.95698924731198</v>
          </cell>
          <cell r="AK676">
            <v>0.23655913978494625</v>
          </cell>
          <cell r="AL676">
            <v>0.21505376344086014</v>
          </cell>
          <cell r="AM676"/>
          <cell r="AN676" t="str">
            <v>INFOKS</v>
          </cell>
          <cell r="AO676"/>
          <cell r="AP676"/>
          <cell r="AQ676"/>
          <cell r="AR676"/>
          <cell r="AS676"/>
          <cell r="AT676"/>
          <cell r="AU676">
            <v>793</v>
          </cell>
          <cell r="AV676">
            <v>872.30000000000007</v>
          </cell>
          <cell r="AW676"/>
          <cell r="AX676"/>
          <cell r="AZ676">
            <v>3983.1050228310505</v>
          </cell>
          <cell r="BA676">
            <v>2389.8630136986303</v>
          </cell>
          <cell r="BB676">
            <v>1991.5525114155253</v>
          </cell>
          <cell r="BC676">
            <v>1593.2420091324202</v>
          </cell>
        </row>
        <row r="677">
          <cell r="I677" t="str">
            <v>KFO144OS2MTAZHB2</v>
          </cell>
          <cell r="J677" t="str">
            <v/>
          </cell>
          <cell r="K677" t="str">
            <v>144FO OS2 MULTI LOOSE TUBE ARMORDED SIMPLE JACKET LSZH B2ca OUTDOOR YELLOW RAL 1021</v>
          </cell>
          <cell r="L677" t="str">
            <v>144FO OS2 MULTITUBE STRUCTURE LIBRE ARME SIMPLE GAINE LSZH B2ca EXTÉRIEUR JAUNE RAL1021</v>
          </cell>
          <cell r="M677" t="str">
            <v>B2ca</v>
          </cell>
          <cell r="N677" t="str">
            <v>Turkey</v>
          </cell>
          <cell r="O677"/>
          <cell r="P677" t="str">
            <v>2000m drum</v>
          </cell>
          <cell r="Q677" t="str">
            <v>4KM</v>
          </cell>
          <cell r="R677">
            <v>2</v>
          </cell>
          <cell r="S677" t="e">
            <v>#N/A</v>
          </cell>
          <cell r="T677">
            <v>8544700000</v>
          </cell>
          <cell r="U677">
            <v>0</v>
          </cell>
          <cell r="V677">
            <v>30</v>
          </cell>
          <cell r="W677">
            <v>45</v>
          </cell>
          <cell r="X677">
            <v>55</v>
          </cell>
          <cell r="Y677" t="str">
            <v>T/T against copy of document</v>
          </cell>
          <cell r="Z677">
            <v>2178.5211267605632</v>
          </cell>
          <cell r="AA677">
            <v>2026.7123287671236</v>
          </cell>
          <cell r="AB677">
            <v>7.0000000000000007E-2</v>
          </cell>
          <cell r="AC677">
            <v>7.0000000000000007E-2</v>
          </cell>
          <cell r="AD677">
            <v>0.27</v>
          </cell>
          <cell r="AE677" t="str">
            <v>C</v>
          </cell>
          <cell r="AF677">
            <v>2026.7123287671236</v>
          </cell>
          <cell r="AG677">
            <v>0.27</v>
          </cell>
          <cell r="AH677"/>
          <cell r="AI677">
            <v>1663.1720430107525</v>
          </cell>
          <cell r="AJ677">
            <v>1590.8602150537638</v>
          </cell>
          <cell r="AK677">
            <v>0.23655913978494625</v>
          </cell>
          <cell r="AL677">
            <v>0.21505376344086014</v>
          </cell>
          <cell r="AM677"/>
          <cell r="AN677" t="str">
            <v>INFOKS</v>
          </cell>
          <cell r="AO677"/>
          <cell r="AP677"/>
          <cell r="AQ677"/>
          <cell r="AR677"/>
          <cell r="AS677"/>
          <cell r="AT677"/>
          <cell r="AU677">
            <v>1345</v>
          </cell>
          <cell r="AV677">
            <v>1479.5000000000002</v>
          </cell>
          <cell r="AW677"/>
          <cell r="AX677"/>
          <cell r="AZ677">
            <v>6755.7077625570791</v>
          </cell>
          <cell r="BA677">
            <v>4053.4246575342472</v>
          </cell>
          <cell r="BB677">
            <v>3377.8538812785396</v>
          </cell>
          <cell r="BC677">
            <v>2702.2831050228319</v>
          </cell>
        </row>
        <row r="678">
          <cell r="I678" t="str">
            <v>KFO288OS2MTAZHB2</v>
          </cell>
          <cell r="J678" t="str">
            <v/>
          </cell>
          <cell r="K678" t="str">
            <v>288FO OS2 MULTI LOOSE TUBE ARMORDED SIMPLE JACKET LSZH B2ca OUTDOOR YELLOW RAL 1021</v>
          </cell>
          <cell r="L678" t="str">
            <v>288FO OS2 MULTITUBE STRUCTURE LIBRE ARME SIMPLE GAINE LSZH B2ca EXTÉRIEUR JAUNE RAL1021</v>
          </cell>
          <cell r="M678" t="str">
            <v>B2ca</v>
          </cell>
          <cell r="N678" t="str">
            <v>Turkey</v>
          </cell>
          <cell r="O678"/>
          <cell r="P678" t="str">
            <v>2000m drum</v>
          </cell>
          <cell r="Q678" t="str">
            <v>4KM</v>
          </cell>
          <cell r="R678">
            <v>2</v>
          </cell>
          <cell r="S678" t="e">
            <v>#N/A</v>
          </cell>
          <cell r="T678">
            <v>8544700000</v>
          </cell>
          <cell r="U678">
            <v>0</v>
          </cell>
          <cell r="V678">
            <v>30</v>
          </cell>
          <cell r="W678">
            <v>45</v>
          </cell>
          <cell r="X678">
            <v>55</v>
          </cell>
          <cell r="Y678" t="str">
            <v>T/T against copy of document</v>
          </cell>
          <cell r="Z678">
            <v>3419.2253521126763</v>
          </cell>
          <cell r="AA678">
            <v>3180.9589041095896</v>
          </cell>
          <cell r="AB678">
            <v>7.0000000000000007E-2</v>
          </cell>
          <cell r="AC678">
            <v>7.0000000000000007E-2</v>
          </cell>
          <cell r="AD678">
            <v>0.27</v>
          </cell>
          <cell r="AE678" t="str">
            <v>C</v>
          </cell>
          <cell r="AF678">
            <v>3180.9589041095896</v>
          </cell>
          <cell r="AG678">
            <v>0.27</v>
          </cell>
          <cell r="AH678"/>
          <cell r="AI678">
            <v>2610.3763440860216</v>
          </cell>
          <cell r="AJ678">
            <v>2496.8817204301081</v>
          </cell>
          <cell r="AK678">
            <v>0.23655913978494625</v>
          </cell>
          <cell r="AL678">
            <v>0.21505376344086014</v>
          </cell>
          <cell r="AM678"/>
          <cell r="AN678" t="str">
            <v>INFOKS</v>
          </cell>
          <cell r="AO678"/>
          <cell r="AP678"/>
          <cell r="AQ678"/>
          <cell r="AR678"/>
          <cell r="AS678"/>
          <cell r="AT678"/>
          <cell r="AU678">
            <v>2111</v>
          </cell>
          <cell r="AV678">
            <v>2322.1000000000004</v>
          </cell>
          <cell r="AW678"/>
          <cell r="AX678"/>
          <cell r="AZ678">
            <v>10603.196347031966</v>
          </cell>
          <cell r="BA678">
            <v>6361.9178082191793</v>
          </cell>
          <cell r="BB678">
            <v>5301.598173515983</v>
          </cell>
          <cell r="BC678">
            <v>4241.2785388127868</v>
          </cell>
        </row>
        <row r="679">
          <cell r="I679" t="str">
            <v>KFO48OS2MTZHAZHB2FR</v>
          </cell>
          <cell r="J679" t="str">
            <v/>
          </cell>
          <cell r="K679" t="str">
            <v>48FO OS2 MULTI LOOSE TUBE ARMORDED DOUBLE JACKET LSZH FR B2ca OUTDOOR YELLOW RAL 1021</v>
          </cell>
          <cell r="L679" t="str">
            <v>48FO OS2 MULTITUBE STRUCTURE LIBRE ARME DOUBLE GAINE LSZH FR B2ca EXTÉRIEUR JAUNE RAL1021</v>
          </cell>
          <cell r="M679" t="str">
            <v>B2ca</v>
          </cell>
          <cell r="N679" t="str">
            <v>Turkey</v>
          </cell>
          <cell r="O679"/>
          <cell r="P679" t="str">
            <v>2000m drum</v>
          </cell>
          <cell r="Q679" t="str">
            <v>4KM</v>
          </cell>
          <cell r="R679">
            <v>2</v>
          </cell>
          <cell r="S679" t="e">
            <v>#N/A</v>
          </cell>
          <cell r="T679">
            <v>8544700000</v>
          </cell>
          <cell r="U679">
            <v>0</v>
          </cell>
          <cell r="V679">
            <v>30</v>
          </cell>
          <cell r="W679">
            <v>45</v>
          </cell>
          <cell r="X679">
            <v>55</v>
          </cell>
          <cell r="Y679" t="str">
            <v>T/T against copy of document</v>
          </cell>
          <cell r="Z679">
            <v>1527.394366197183</v>
          </cell>
          <cell r="AA679">
            <v>1420.9589041095894</v>
          </cell>
          <cell r="AB679">
            <v>7.0000000000000007E-2</v>
          </cell>
          <cell r="AC679">
            <v>7.0000000000000007E-2</v>
          </cell>
          <cell r="AD679">
            <v>0.27</v>
          </cell>
          <cell r="AE679" t="str">
            <v>C</v>
          </cell>
          <cell r="AF679">
            <v>1420.9589041095894</v>
          </cell>
          <cell r="AG679">
            <v>0.27</v>
          </cell>
          <cell r="AH679"/>
          <cell r="AI679">
            <v>1166.0752688172042</v>
          </cell>
          <cell r="AJ679">
            <v>1115.3763440860218</v>
          </cell>
          <cell r="AK679">
            <v>0.23655913978494625</v>
          </cell>
          <cell r="AL679">
            <v>0.21505376344086014</v>
          </cell>
          <cell r="AM679"/>
          <cell r="AN679" t="str">
            <v>INFOKS</v>
          </cell>
          <cell r="AO679"/>
          <cell r="AP679"/>
          <cell r="AQ679"/>
          <cell r="AR679"/>
          <cell r="AS679"/>
          <cell r="AT679"/>
          <cell r="AU679">
            <v>943</v>
          </cell>
          <cell r="AV679">
            <v>1037.3000000000002</v>
          </cell>
          <cell r="AW679"/>
          <cell r="AX679"/>
          <cell r="AZ679">
            <v>4736.5296803652982</v>
          </cell>
          <cell r="BA679">
            <v>2841.9178082191788</v>
          </cell>
          <cell r="BB679">
            <v>2368.2648401826491</v>
          </cell>
          <cell r="BC679">
            <v>1894.6118721461194</v>
          </cell>
        </row>
        <row r="680">
          <cell r="I680" t="str">
            <v>KFO12OS2MTZHAZHB2</v>
          </cell>
          <cell r="J680" t="str">
            <v/>
          </cell>
          <cell r="K680" t="str">
            <v>12FO OS2 MULTI LOOSE TUBE ARMORDED DOUBLE JACKET LSZH B2ca OUTDOOR YELLOW RAL 1021</v>
          </cell>
          <cell r="L680" t="str">
            <v>12FO OS2 MULTITUBE STRUCTURE LIBRE ARME DOUBLE GAINE LSZH B2ca EXTÉRIEUR JAUNE RAL1021</v>
          </cell>
          <cell r="M680" t="str">
            <v>B2ca</v>
          </cell>
          <cell r="N680" t="str">
            <v>Turkey</v>
          </cell>
          <cell r="O680"/>
          <cell r="P680" t="str">
            <v>2000m drum</v>
          </cell>
          <cell r="Q680" t="str">
            <v>4KM</v>
          </cell>
          <cell r="R680">
            <v>2</v>
          </cell>
          <cell r="S680" t="e">
            <v>#N/A</v>
          </cell>
          <cell r="T680">
            <v>8544700000</v>
          </cell>
          <cell r="U680">
            <v>0</v>
          </cell>
          <cell r="V680">
            <v>30</v>
          </cell>
          <cell r="W680">
            <v>45</v>
          </cell>
          <cell r="X680">
            <v>55</v>
          </cell>
          <cell r="Y680" t="str">
            <v>T/T against copy of document</v>
          </cell>
          <cell r="Z680">
            <v>1276.338028169014</v>
          </cell>
          <cell r="AA680">
            <v>1187.3972602739727</v>
          </cell>
          <cell r="AB680">
            <v>7.0000000000000007E-2</v>
          </cell>
          <cell r="AC680">
            <v>7.0000000000000007E-2</v>
          </cell>
          <cell r="AD680">
            <v>0.27</v>
          </cell>
          <cell r="AE680" t="str">
            <v>C</v>
          </cell>
          <cell r="AF680">
            <v>1187.3972602739727</v>
          </cell>
          <cell r="AG680">
            <v>0.27</v>
          </cell>
          <cell r="AH680"/>
          <cell r="AI680">
            <v>974.4086021505376</v>
          </cell>
          <cell r="AJ680">
            <v>932.04301075268836</v>
          </cell>
          <cell r="AK680">
            <v>0.23655913978494625</v>
          </cell>
          <cell r="AL680">
            <v>0.21505376344086014</v>
          </cell>
          <cell r="AM680"/>
          <cell r="AN680" t="str">
            <v>INFOKS</v>
          </cell>
          <cell r="AO680"/>
          <cell r="AP680"/>
          <cell r="AQ680"/>
          <cell r="AR680"/>
          <cell r="AS680"/>
          <cell r="AT680"/>
          <cell r="AU680">
            <v>788</v>
          </cell>
          <cell r="AV680">
            <v>866.80000000000007</v>
          </cell>
          <cell r="AW680"/>
          <cell r="AX680"/>
          <cell r="AZ680">
            <v>3957.9908675799093</v>
          </cell>
          <cell r="BA680">
            <v>2374.7945205479455</v>
          </cell>
          <cell r="BB680">
            <v>1978.9954337899546</v>
          </cell>
          <cell r="BC680">
            <v>1583.1963470319638</v>
          </cell>
        </row>
        <row r="681">
          <cell r="I681" t="str">
            <v>KFO24OS2MTZHAZHB2</v>
          </cell>
          <cell r="J681" t="str">
            <v/>
          </cell>
          <cell r="K681" t="str">
            <v>24FO OS2 MULTI LOOSE TUBE ARMORDED DOUBLE JACKET LSZH B2ca OUTDOOR YELLOW RAL 1021</v>
          </cell>
          <cell r="L681" t="str">
            <v>24FO OS2 MULTITUBE STRUCTURE LIBRE ARME DOUBLE GAINE LSZH B2ca EXTÉRIEUR JAUNE RAL1021</v>
          </cell>
          <cell r="M681" t="str">
            <v>B2ca</v>
          </cell>
          <cell r="N681" t="str">
            <v>Turkey</v>
          </cell>
          <cell r="O681"/>
          <cell r="P681" t="str">
            <v>2000m drum</v>
          </cell>
          <cell r="Q681" t="str">
            <v>4KM</v>
          </cell>
          <cell r="R681">
            <v>2</v>
          </cell>
          <cell r="S681" t="e">
            <v>#N/A</v>
          </cell>
          <cell r="T681">
            <v>8544700000</v>
          </cell>
          <cell r="U681">
            <v>0</v>
          </cell>
          <cell r="V681">
            <v>30</v>
          </cell>
          <cell r="W681">
            <v>45</v>
          </cell>
          <cell r="X681">
            <v>55</v>
          </cell>
          <cell r="Y681" t="str">
            <v>T/T against copy of document</v>
          </cell>
          <cell r="Z681">
            <v>1347.605633802817</v>
          </cell>
          <cell r="AA681">
            <v>1253.6986301369864</v>
          </cell>
          <cell r="AB681">
            <v>7.0000000000000007E-2</v>
          </cell>
          <cell r="AC681">
            <v>7.0000000000000007E-2</v>
          </cell>
          <cell r="AD681">
            <v>0.27</v>
          </cell>
          <cell r="AE681" t="str">
            <v>C</v>
          </cell>
          <cell r="AF681">
            <v>1253.6986301369864</v>
          </cell>
          <cell r="AG681">
            <v>0.27</v>
          </cell>
          <cell r="AH681"/>
          <cell r="AI681">
            <v>1028.8172043010754</v>
          </cell>
          <cell r="AJ681">
            <v>984.08602150537649</v>
          </cell>
          <cell r="AK681">
            <v>0.23655913978494614</v>
          </cell>
          <cell r="AL681">
            <v>0.21505376344086014</v>
          </cell>
          <cell r="AM681"/>
          <cell r="AN681" t="str">
            <v>INFOKS</v>
          </cell>
          <cell r="AO681"/>
          <cell r="AP681"/>
          <cell r="AQ681"/>
          <cell r="AR681"/>
          <cell r="AS681"/>
          <cell r="AT681"/>
          <cell r="AU681">
            <v>832</v>
          </cell>
          <cell r="AV681">
            <v>915.2</v>
          </cell>
          <cell r="AW681"/>
          <cell r="AX681"/>
          <cell r="AZ681">
            <v>4178.9954337899544</v>
          </cell>
          <cell r="BA681">
            <v>2507.3972602739727</v>
          </cell>
          <cell r="BB681">
            <v>2089.4977168949772</v>
          </cell>
          <cell r="BC681">
            <v>1671.5981735159819</v>
          </cell>
        </row>
        <row r="682">
          <cell r="I682" t="str">
            <v>KFO48OS2MTZHAZHB2</v>
          </cell>
          <cell r="J682" t="str">
            <v/>
          </cell>
          <cell r="K682" t="str">
            <v>48FO OS2 MULTI LOOSE TUBE ARMORDED DOUBLE JACKET LSZH B2ca OUTDOOR YELLOW RAL 1021</v>
          </cell>
          <cell r="L682" t="str">
            <v>48FO OS2 MULTITUBE STRUCTURE LIBRE ARME DOUBLE GAINE LSZH B2ca EXTÉRIEUR JAUNE RAL1021</v>
          </cell>
          <cell r="M682" t="str">
            <v>B2ca</v>
          </cell>
          <cell r="N682" t="str">
            <v>Turkey</v>
          </cell>
          <cell r="O682"/>
          <cell r="P682" t="str">
            <v>2000m drum</v>
          </cell>
          <cell r="Q682" t="str">
            <v>4KM</v>
          </cell>
          <cell r="R682">
            <v>2</v>
          </cell>
          <cell r="S682" t="e">
            <v>#N/A</v>
          </cell>
          <cell r="T682">
            <v>8544700000</v>
          </cell>
          <cell r="U682">
            <v>0</v>
          </cell>
          <cell r="V682">
            <v>30</v>
          </cell>
          <cell r="W682">
            <v>45</v>
          </cell>
          <cell r="X682">
            <v>55</v>
          </cell>
          <cell r="Y682" t="str">
            <v>T/T against copy of document</v>
          </cell>
          <cell r="Z682">
            <v>1478.8028169014083</v>
          </cell>
          <cell r="AA682">
            <v>1375.7534246575344</v>
          </cell>
          <cell r="AB682">
            <v>7.0000000000000007E-2</v>
          </cell>
          <cell r="AC682">
            <v>7.0000000000000007E-2</v>
          </cell>
          <cell r="AD682">
            <v>0.27</v>
          </cell>
          <cell r="AE682" t="str">
            <v>C</v>
          </cell>
          <cell r="AF682">
            <v>1375.7534246575344</v>
          </cell>
          <cell r="AG682">
            <v>0.27</v>
          </cell>
          <cell r="AH682"/>
          <cell r="AI682">
            <v>1128.9784946236559</v>
          </cell>
          <cell r="AJ682">
            <v>1079.8924731182797</v>
          </cell>
          <cell r="AK682">
            <v>0.23655913978494614</v>
          </cell>
          <cell r="AL682">
            <v>0.21505376344086025</v>
          </cell>
          <cell r="AM682"/>
          <cell r="AN682" t="str">
            <v>INFOKS</v>
          </cell>
          <cell r="AO682"/>
          <cell r="AP682"/>
          <cell r="AQ682"/>
          <cell r="AR682"/>
          <cell r="AS682"/>
          <cell r="AT682"/>
          <cell r="AU682">
            <v>913</v>
          </cell>
          <cell r="AV682">
            <v>1004.3000000000001</v>
          </cell>
          <cell r="AW682"/>
          <cell r="AX682"/>
          <cell r="AZ682">
            <v>4585.8447488584479</v>
          </cell>
          <cell r="BA682">
            <v>2751.5068493150688</v>
          </cell>
          <cell r="BB682">
            <v>2292.922374429224</v>
          </cell>
          <cell r="BC682">
            <v>1834.3378995433793</v>
          </cell>
        </row>
        <row r="683">
          <cell r="I683" t="str">
            <v>KFO144OS2MTZHAZHB2</v>
          </cell>
          <cell r="J683" t="str">
            <v/>
          </cell>
          <cell r="K683" t="str">
            <v>144FO OS2 MULTI LOOSE TUBE ARMORDED DOUBLE JACKET LSZH B2ca OUTDOOR YELLOW RAL 1021</v>
          </cell>
          <cell r="L683" t="str">
            <v>144FO OS2 MULTITUBE STRUCTURE LIBRE ARME DOUBLE GAINE LSZH B2ca EXTÉRIEUR JAUNE RAL1021</v>
          </cell>
          <cell r="M683" t="str">
            <v>B2ca</v>
          </cell>
          <cell r="N683" t="str">
            <v>Turkey</v>
          </cell>
          <cell r="O683"/>
          <cell r="P683" t="str">
            <v>2000m drum</v>
          </cell>
          <cell r="Q683" t="str">
            <v>4KM</v>
          </cell>
          <cell r="R683">
            <v>2</v>
          </cell>
          <cell r="S683" t="e">
            <v>#N/A</v>
          </cell>
          <cell r="T683">
            <v>8544700000</v>
          </cell>
          <cell r="U683">
            <v>0</v>
          </cell>
          <cell r="V683">
            <v>30</v>
          </cell>
          <cell r="W683">
            <v>45</v>
          </cell>
          <cell r="X683">
            <v>55</v>
          </cell>
          <cell r="Y683" t="str">
            <v>T/T against copy of document</v>
          </cell>
          <cell r="Z683">
            <v>2612.6056338028166</v>
          </cell>
          <cell r="AA683">
            <v>2430.5479452054797</v>
          </cell>
          <cell r="AB683">
            <v>7.0000000000000007E-2</v>
          </cell>
          <cell r="AC683">
            <v>7.0000000000000007E-2</v>
          </cell>
          <cell r="AD683">
            <v>0.27</v>
          </cell>
          <cell r="AE683" t="str">
            <v>C</v>
          </cell>
          <cell r="AF683">
            <v>2430.5479452054797</v>
          </cell>
          <cell r="AG683">
            <v>0.27</v>
          </cell>
          <cell r="AH683"/>
          <cell r="AI683">
            <v>1994.5698924731182</v>
          </cell>
          <cell r="AJ683">
            <v>1907.8494623655918</v>
          </cell>
          <cell r="AK683">
            <v>0.23655913978494614</v>
          </cell>
          <cell r="AL683">
            <v>0.21505376344086014</v>
          </cell>
          <cell r="AM683"/>
          <cell r="AN683" t="str">
            <v>INFOKS</v>
          </cell>
          <cell r="AO683"/>
          <cell r="AP683"/>
          <cell r="AQ683"/>
          <cell r="AR683"/>
          <cell r="AS683"/>
          <cell r="AT683"/>
          <cell r="AU683">
            <v>1613</v>
          </cell>
          <cell r="AV683">
            <v>1774.3000000000002</v>
          </cell>
          <cell r="AW683"/>
          <cell r="AX683"/>
          <cell r="AZ683">
            <v>8101.8264840182655</v>
          </cell>
          <cell r="BA683">
            <v>4861.0958904109593</v>
          </cell>
          <cell r="BB683">
            <v>4050.9132420091328</v>
          </cell>
          <cell r="BC683">
            <v>3240.7305936073062</v>
          </cell>
        </row>
        <row r="684">
          <cell r="I684" t="str">
            <v>KFO288OS2MTZHAZHB2</v>
          </cell>
          <cell r="J684" t="str">
            <v/>
          </cell>
          <cell r="K684" t="str">
            <v>288FO OS2 MULTI LOOSE TUBE ARMORDED DOUBLE JACKET LSZH B2ca OUTDOOR YELLOW RAL 1021</v>
          </cell>
          <cell r="L684" t="str">
            <v>288FO OS2 MULTITUBE STRUCTURE LIBRE ARME DOUBLE GAINE LSZH B2ca EXTÉRIEUR JAUNE RAL1021</v>
          </cell>
          <cell r="M684" t="str">
            <v>B2ca</v>
          </cell>
          <cell r="N684" t="str">
            <v>Turkey</v>
          </cell>
          <cell r="O684"/>
          <cell r="P684" t="str">
            <v>2000m drum</v>
          </cell>
          <cell r="Q684" t="str">
            <v>4KM</v>
          </cell>
          <cell r="R684">
            <v>2</v>
          </cell>
          <cell r="S684" t="e">
            <v>#N/A</v>
          </cell>
          <cell r="T684">
            <v>8544700000</v>
          </cell>
          <cell r="U684">
            <v>0</v>
          </cell>
          <cell r="V684">
            <v>30</v>
          </cell>
          <cell r="W684">
            <v>45</v>
          </cell>
          <cell r="X684">
            <v>55</v>
          </cell>
          <cell r="Y684" t="str">
            <v>T/T against copy of document</v>
          </cell>
          <cell r="Z684">
            <v>4000.7042253521126</v>
          </cell>
          <cell r="AA684">
            <v>3721.9178082191784</v>
          </cell>
          <cell r="AB684">
            <v>7.0000000000000007E-2</v>
          </cell>
          <cell r="AC684">
            <v>7.0000000000000007E-2</v>
          </cell>
          <cell r="AD684">
            <v>0.27</v>
          </cell>
          <cell r="AE684" t="str">
            <v>C</v>
          </cell>
          <cell r="AF684">
            <v>3721.9178082191784</v>
          </cell>
          <cell r="AG684">
            <v>0.27</v>
          </cell>
          <cell r="AH684"/>
          <cell r="AI684">
            <v>3054.3010752688169</v>
          </cell>
          <cell r="AJ684">
            <v>2921.505376344086</v>
          </cell>
          <cell r="AK684">
            <v>0.23655913978494625</v>
          </cell>
          <cell r="AL684">
            <v>0.21505376344086025</v>
          </cell>
          <cell r="AM684"/>
          <cell r="AN684" t="str">
            <v>INFOKS</v>
          </cell>
          <cell r="AO684"/>
          <cell r="AP684"/>
          <cell r="AQ684"/>
          <cell r="AR684"/>
          <cell r="AS684"/>
          <cell r="AT684"/>
          <cell r="AU684">
            <v>2470</v>
          </cell>
          <cell r="AV684">
            <v>2717</v>
          </cell>
          <cell r="AW684"/>
          <cell r="AX684"/>
          <cell r="AZ684">
            <v>12406.392694063929</v>
          </cell>
          <cell r="BA684">
            <v>7443.8356164383567</v>
          </cell>
          <cell r="BB684">
            <v>6203.1963470319643</v>
          </cell>
          <cell r="BC684">
            <v>4962.5570776255718</v>
          </cell>
        </row>
        <row r="685">
          <cell r="I685" t="str">
            <v>KX310100</v>
          </cell>
          <cell r="J685" t="str">
            <v>Z0603003</v>
          </cell>
          <cell r="K685" t="str">
            <v>CAT6A CABLE F/FTP 4 PAIRS AWG23 TESTED UP TO 650MHz LSZH CPR DCA GREY RAL7035 500M KX SYSTEM</v>
          </cell>
          <cell r="L685" t="str">
            <v>CÂBLE CAT6A F/FTP 4 PAIRES AWG23 TEST A 650MHz LSZH CPR DCA GRIS RAL7035 500M KX SYSTEM</v>
          </cell>
          <cell r="M685" t="str">
            <v>Dca</v>
          </cell>
          <cell r="N685" t="str">
            <v>Turkey</v>
          </cell>
          <cell r="O685">
            <v>19</v>
          </cell>
          <cell r="P685" t="str">
            <v>500m drum</v>
          </cell>
          <cell r="Q685" t="str">
            <v>30 km</v>
          </cell>
          <cell r="R685">
            <v>9</v>
          </cell>
          <cell r="S685"/>
          <cell r="T685" t="str">
            <v>854449 2000</v>
          </cell>
          <cell r="U685">
            <v>0</v>
          </cell>
          <cell r="V685">
            <v>60</v>
          </cell>
          <cell r="W685">
            <v>14</v>
          </cell>
          <cell r="X685">
            <v>14</v>
          </cell>
          <cell r="Y685" t="str">
            <v>T/T 30 days</v>
          </cell>
          <cell r="Z685">
            <v>450.06172839506172</v>
          </cell>
          <cell r="AA685">
            <v>390.65828531517371</v>
          </cell>
          <cell r="AB685">
            <v>7.0000000000000007E-2</v>
          </cell>
          <cell r="AC685">
            <v>7.0000000000000007E-2</v>
          </cell>
          <cell r="AD685">
            <v>0.17</v>
          </cell>
          <cell r="AE685" t="str">
            <v>C</v>
          </cell>
          <cell r="AF685">
            <v>390.65828531517371</v>
          </cell>
          <cell r="AG685">
            <v>0.16999999999999993</v>
          </cell>
          <cell r="AH685" t="e">
            <v>#N/A</v>
          </cell>
          <cell r="AI685">
            <v>391.98924731182797</v>
          </cell>
          <cell r="AJ685">
            <v>348.65201807698304</v>
          </cell>
          <cell r="AK685">
            <v>0.12903225806451613</v>
          </cell>
          <cell r="AL685">
            <v>0.10752688172043001</v>
          </cell>
          <cell r="AM685"/>
          <cell r="AN685" t="str">
            <v>KK</v>
          </cell>
          <cell r="AO685"/>
          <cell r="AP685"/>
          <cell r="AQ685">
            <v>184</v>
          </cell>
          <cell r="AR685"/>
          <cell r="AS685"/>
          <cell r="AT685"/>
          <cell r="AU685">
            <v>317</v>
          </cell>
          <cell r="AV685">
            <v>324.24637681159419</v>
          </cell>
          <cell r="AW685"/>
          <cell r="AX685" t="str">
            <v>854449 1100</v>
          </cell>
          <cell r="AZ685">
            <v>1302.1942843839124</v>
          </cell>
          <cell r="BA685">
            <v>781.31657063034743</v>
          </cell>
          <cell r="BB685">
            <v>651.09714219195621</v>
          </cell>
          <cell r="BC685">
            <v>520.87771375356499</v>
          </cell>
          <cell r="BE685">
            <v>257.65828531517371</v>
          </cell>
          <cell r="BF685">
            <v>390.65828531517371</v>
          </cell>
          <cell r="BG685">
            <v>419.15828531517371</v>
          </cell>
          <cell r="BH685">
            <v>447.65828531517371</v>
          </cell>
          <cell r="BK685">
            <v>292.83672839506175</v>
          </cell>
        </row>
        <row r="686">
          <cell r="I686" t="str">
            <v>KX310200</v>
          </cell>
          <cell r="J686" t="str">
            <v>Z0603004</v>
          </cell>
          <cell r="K686" t="str">
            <v>CAT6A CABLE F/FTP 2x4 PAIRS AWG23 TESTED UP TO 650MHz LSZH CPR DCA GREY RAL7035 500M KX SYSTEM</v>
          </cell>
          <cell r="L686" t="str">
            <v>CÂBLE CAT6A F/FTP 2x4 PAIRES AWG23 TEST A 650MHz LSZH CPR DCA GRIS RAL7035 500M KX SYSTEM</v>
          </cell>
          <cell r="M686" t="str">
            <v>Dca</v>
          </cell>
          <cell r="N686" t="str">
            <v>Turkey</v>
          </cell>
          <cell r="O686">
            <v>37</v>
          </cell>
          <cell r="P686" t="str">
            <v>500m drum</v>
          </cell>
          <cell r="Q686" t="str">
            <v>30 km</v>
          </cell>
          <cell r="R686">
            <v>4</v>
          </cell>
          <cell r="S686"/>
          <cell r="T686" t="str">
            <v>854449 2000</v>
          </cell>
          <cell r="U686">
            <v>0</v>
          </cell>
          <cell r="V686">
            <v>60</v>
          </cell>
          <cell r="W686">
            <v>14</v>
          </cell>
          <cell r="X686">
            <v>14</v>
          </cell>
          <cell r="Y686" t="str">
            <v>T/T 30 days</v>
          </cell>
          <cell r="Z686">
            <v>941.29629629629619</v>
          </cell>
          <cell r="AA686">
            <v>818.43897328444223</v>
          </cell>
          <cell r="AB686">
            <v>7.0000000000000007E-2</v>
          </cell>
          <cell r="AC686">
            <v>7.0000000000000007E-2</v>
          </cell>
          <cell r="AD686">
            <v>0.17</v>
          </cell>
          <cell r="AE686" t="str">
            <v>C</v>
          </cell>
          <cell r="AF686">
            <v>818.43897328444223</v>
          </cell>
          <cell r="AG686">
            <v>0.17000000000000004</v>
          </cell>
          <cell r="AH686"/>
          <cell r="AI686">
            <v>819.83870967741939</v>
          </cell>
          <cell r="AJ686">
            <v>730.43478260869574</v>
          </cell>
          <cell r="AK686">
            <v>0.12903225806451601</v>
          </cell>
          <cell r="AL686">
            <v>0.10752688172043012</v>
          </cell>
          <cell r="AM686"/>
          <cell r="AN686" t="str">
            <v>KK</v>
          </cell>
          <cell r="AO686"/>
          <cell r="AP686"/>
          <cell r="AQ686">
            <v>404</v>
          </cell>
          <cell r="AR686"/>
          <cell r="AS686"/>
          <cell r="AT686"/>
          <cell r="AU686">
            <v>663</v>
          </cell>
          <cell r="AV686">
            <v>679.304347826087</v>
          </cell>
          <cell r="AW686"/>
          <cell r="AX686" t="str">
            <v>854449 1100</v>
          </cell>
          <cell r="AZ686">
            <v>2728.1299109481411</v>
          </cell>
          <cell r="BA686">
            <v>1636.8779465688847</v>
          </cell>
          <cell r="BB686">
            <v>1364.0649554740705</v>
          </cell>
          <cell r="BC686">
            <v>1091.2519643792564</v>
          </cell>
          <cell r="BE686">
            <v>559.43897328444223</v>
          </cell>
          <cell r="BF686">
            <v>818.43897328444223</v>
          </cell>
          <cell r="BG686">
            <v>873.93897328444223</v>
          </cell>
          <cell r="BH686">
            <v>929.43897328444223</v>
          </cell>
          <cell r="BK686">
            <v>635.12129629629612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 &amp; SC March 2024"/>
      <sheetName val="Copper"/>
      <sheetName val="Optical Otrans"/>
      <sheetName val="Racks"/>
    </sheetNames>
    <sheetDataSet>
      <sheetData sheetId="0" refreshError="1">
        <row r="11">
          <cell r="F11" t="str">
            <v>KCU64PLZHDGR5</v>
          </cell>
          <cell r="G11" t="str">
            <v>CAT6 CABLE U/UTP 4 PAIRS AWG24 250MHz LSZH CPR DCA GREY RAL7035 500M</v>
          </cell>
          <cell r="H11" t="str">
            <v>Dca</v>
          </cell>
          <cell r="I11" t="str">
            <v>China</v>
          </cell>
          <cell r="J11">
            <v>16</v>
          </cell>
          <cell r="K11" t="str">
            <v>500m drum</v>
          </cell>
          <cell r="L11" t="str">
            <v>30 km</v>
          </cell>
          <cell r="M11">
            <v>12</v>
          </cell>
          <cell r="N11" t="str">
            <v>4897108882319</v>
          </cell>
          <cell r="O11" t="str">
            <v>854449 1100</v>
          </cell>
          <cell r="P11">
            <v>0</v>
          </cell>
          <cell r="Q11">
            <v>45</v>
          </cell>
          <cell r="R11">
            <v>45</v>
          </cell>
          <cell r="S11">
            <v>55</v>
          </cell>
          <cell r="T11" t="str">
            <v>T/T 60 days</v>
          </cell>
          <cell r="U11">
            <v>290.04145571942178</v>
          </cell>
          <cell r="V11">
            <v>279.14193784362936</v>
          </cell>
          <cell r="W11">
            <v>0.22999999999999998</v>
          </cell>
          <cell r="X11">
            <v>0.21</v>
          </cell>
          <cell r="Y11" t="str">
            <v>C</v>
          </cell>
          <cell r="Z11">
            <v>279.14193784362936</v>
          </cell>
          <cell r="AA11">
            <v>0.21000000000000008</v>
          </cell>
        </row>
        <row r="12">
          <cell r="F12" t="str">
            <v>KCU64PLZHDGRB</v>
          </cell>
          <cell r="G12" t="str">
            <v>CAT6 CABLE U/UTP 4 PAIRS AWG24 250MHz LSZH CPR DCA GREY RAL7035 B305M</v>
          </cell>
          <cell r="H12" t="str">
            <v>Dca</v>
          </cell>
          <cell r="I12" t="str">
            <v>China</v>
          </cell>
          <cell r="J12">
            <v>16</v>
          </cell>
          <cell r="K12" t="str">
            <v>305m Reelex box</v>
          </cell>
          <cell r="L12" t="str">
            <v>30 km</v>
          </cell>
          <cell r="M12">
            <v>6.1</v>
          </cell>
          <cell r="N12" t="str">
            <v>4897108882326</v>
          </cell>
          <cell r="O12" t="str">
            <v>854449 1100</v>
          </cell>
          <cell r="P12">
            <v>0</v>
          </cell>
          <cell r="Q12">
            <v>45</v>
          </cell>
          <cell r="R12">
            <v>45</v>
          </cell>
          <cell r="S12">
            <v>55</v>
          </cell>
          <cell r="T12" t="str">
            <v>T/T 60 days</v>
          </cell>
          <cell r="U12">
            <v>289.12429378531073</v>
          </cell>
          <cell r="V12">
            <v>294.89278477927951</v>
          </cell>
          <cell r="W12">
            <v>0.22999999999999998</v>
          </cell>
          <cell r="X12">
            <v>0.21</v>
          </cell>
          <cell r="Y12" t="str">
            <v>C</v>
          </cell>
          <cell r="Z12">
            <v>294.89278477927951</v>
          </cell>
          <cell r="AA12">
            <v>0.20999999999999996</v>
          </cell>
        </row>
        <row r="13">
          <cell r="F13" t="str">
            <v>KCFU64PZHDGR5</v>
          </cell>
          <cell r="G13" t="str">
            <v>CAT6 CABLE F/UTP 4 PAIRS AWG23 250MHz LSZH CPR DCA GREY RAL7035 500M</v>
          </cell>
          <cell r="H13" t="str">
            <v>Dca</v>
          </cell>
          <cell r="I13" t="str">
            <v>China</v>
          </cell>
          <cell r="J13">
            <v>18</v>
          </cell>
          <cell r="K13" t="str">
            <v>500m drum</v>
          </cell>
          <cell r="L13" t="str">
            <v>30 km</v>
          </cell>
          <cell r="M13">
            <v>9</v>
          </cell>
          <cell r="N13" t="str">
            <v>4897108881749</v>
          </cell>
          <cell r="O13" t="str">
            <v>854449 1100</v>
          </cell>
          <cell r="P13">
            <v>0</v>
          </cell>
          <cell r="Q13">
            <v>45</v>
          </cell>
          <cell r="R13">
            <v>45</v>
          </cell>
          <cell r="S13">
            <v>55</v>
          </cell>
          <cell r="T13" t="str">
            <v>T/T 60 days</v>
          </cell>
          <cell r="U13">
            <v>378.98782008951503</v>
          </cell>
          <cell r="V13">
            <v>365.20285533178981</v>
          </cell>
          <cell r="W13">
            <v>0.22999999999999998</v>
          </cell>
          <cell r="X13">
            <v>0.21</v>
          </cell>
          <cell r="Y13" t="str">
            <v>C</v>
          </cell>
          <cell r="Z13">
            <v>365.20285533178981</v>
          </cell>
          <cell r="AA13">
            <v>0.20999999999999996</v>
          </cell>
        </row>
        <row r="14">
          <cell r="F14" t="str">
            <v>KCFU68PZHDGR5</v>
          </cell>
          <cell r="G14" t="str">
            <v>CAT6 CABLE F/UTP 2x4 PAIRS AWG23 250MHz LSZH CPR DCA GREY RAL7035 500M</v>
          </cell>
          <cell r="H14" t="str">
            <v>Dca</v>
          </cell>
          <cell r="I14" t="str">
            <v>China</v>
          </cell>
          <cell r="J14">
            <v>36</v>
          </cell>
          <cell r="K14" t="str">
            <v>500m drum</v>
          </cell>
          <cell r="L14" t="str">
            <v>30 km</v>
          </cell>
          <cell r="M14">
            <v>4</v>
          </cell>
          <cell r="N14" t="str">
            <v>4897108881756</v>
          </cell>
          <cell r="O14" t="str">
            <v>854449 1100</v>
          </cell>
          <cell r="P14">
            <v>0</v>
          </cell>
          <cell r="Q14">
            <v>45</v>
          </cell>
          <cell r="R14">
            <v>45</v>
          </cell>
          <cell r="S14">
            <v>55</v>
          </cell>
          <cell r="T14" t="str">
            <v>T/T 60 days</v>
          </cell>
          <cell r="U14">
            <v>783.47457627118649</v>
          </cell>
          <cell r="V14">
            <v>759.15322289604012</v>
          </cell>
          <cell r="W14">
            <v>0.22999999999999998</v>
          </cell>
          <cell r="X14">
            <v>0.21</v>
          </cell>
          <cell r="Y14" t="str">
            <v>C</v>
          </cell>
          <cell r="Z14">
            <v>759.15322289604012</v>
          </cell>
          <cell r="AA14">
            <v>0.20999999999999996</v>
          </cell>
        </row>
        <row r="15">
          <cell r="F15" t="str">
            <v>KCFU64PZHDGRB</v>
          </cell>
          <cell r="G15" t="str">
            <v>CAT6 CABLE F/UTP 4 PAIRS AWG23 250MHz LSZH CPR DCA GREY RAL7035 B305M</v>
          </cell>
          <cell r="H15" t="str">
            <v>Dca</v>
          </cell>
          <cell r="I15" t="str">
            <v>China</v>
          </cell>
          <cell r="J15">
            <v>18</v>
          </cell>
          <cell r="K15" t="str">
            <v>305m Reel in box</v>
          </cell>
          <cell r="L15" t="str">
            <v>30 km</v>
          </cell>
          <cell r="M15">
            <v>6.8624999999999998</v>
          </cell>
          <cell r="N15" t="str">
            <v>4897108882333</v>
          </cell>
          <cell r="O15" t="str">
            <v>854449 1100</v>
          </cell>
          <cell r="P15">
            <v>0</v>
          </cell>
          <cell r="Q15">
            <v>45</v>
          </cell>
          <cell r="R15">
            <v>45</v>
          </cell>
          <cell r="S15">
            <v>55</v>
          </cell>
          <cell r="T15" t="str">
            <v>T/T 60 days</v>
          </cell>
          <cell r="U15">
            <v>389.8103309120259</v>
          </cell>
          <cell r="V15">
            <v>382.09787059858655</v>
          </cell>
          <cell r="W15">
            <v>0.22999999999999998</v>
          </cell>
          <cell r="X15">
            <v>0.21</v>
          </cell>
          <cell r="Y15" t="str">
            <v>C</v>
          </cell>
          <cell r="Z15">
            <v>382.09787059858655</v>
          </cell>
          <cell r="AA15">
            <v>0.20999999999999996</v>
          </cell>
        </row>
        <row r="16">
          <cell r="F16" t="str">
            <v>KCU6A4PLZHDBL5</v>
          </cell>
          <cell r="G16" t="str">
            <v>CAT6A CABLE U/UTP 4 PAIRS AWG23 500MHz LSZH CPR DCA BLUE RAL5024 500M</v>
          </cell>
          <cell r="H16" t="str">
            <v>Dca</v>
          </cell>
          <cell r="I16" t="str">
            <v>China</v>
          </cell>
          <cell r="J16">
            <v>16</v>
          </cell>
          <cell r="K16" t="str">
            <v>500m drum</v>
          </cell>
          <cell r="L16" t="str">
            <v>30 km</v>
          </cell>
          <cell r="M16">
            <v>9</v>
          </cell>
          <cell r="O16" t="str">
            <v>854449 1100</v>
          </cell>
          <cell r="P16">
            <v>0</v>
          </cell>
          <cell r="Q16">
            <v>45</v>
          </cell>
          <cell r="R16">
            <v>45</v>
          </cell>
          <cell r="S16">
            <v>55</v>
          </cell>
          <cell r="T16" t="str">
            <v>T/T 60 days</v>
          </cell>
          <cell r="U16">
            <v>359.59497633226448</v>
          </cell>
          <cell r="V16">
            <v>348.25402045061242</v>
          </cell>
          <cell r="W16">
            <v>0.26</v>
          </cell>
          <cell r="X16">
            <v>0.24</v>
          </cell>
          <cell r="Y16" t="str">
            <v>C</v>
          </cell>
          <cell r="Z16">
            <v>348.25402045061242</v>
          </cell>
          <cell r="AA16">
            <v>0.24</v>
          </cell>
        </row>
        <row r="17">
          <cell r="F17" t="str">
            <v>KCU6A4PZHDBL5</v>
          </cell>
          <cell r="G17" t="str">
            <v>CAT6A CABLE U/UTP 4 PAIRS AWG23 500MHz LSZH CPR DCA BLUE RAL5024 500M</v>
          </cell>
          <cell r="H17" t="str">
            <v>Dca</v>
          </cell>
          <cell r="I17" t="str">
            <v>China</v>
          </cell>
          <cell r="J17">
            <v>16.399999999999999</v>
          </cell>
          <cell r="K17" t="str">
            <v>500m drum</v>
          </cell>
          <cell r="L17" t="str">
            <v>30 km</v>
          </cell>
          <cell r="M17">
            <v>9</v>
          </cell>
          <cell r="O17" t="str">
            <v>854449 1100</v>
          </cell>
          <cell r="P17">
            <v>0</v>
          </cell>
          <cell r="Q17">
            <v>45</v>
          </cell>
          <cell r="R17">
            <v>45</v>
          </cell>
          <cell r="S17">
            <v>55</v>
          </cell>
          <cell r="T17" t="str">
            <v>T/T 60 days</v>
          </cell>
          <cell r="U17">
            <v>412.87792029317455</v>
          </cell>
          <cell r="V17">
            <v>396.3362829391171</v>
          </cell>
          <cell r="W17">
            <v>0.26</v>
          </cell>
          <cell r="X17">
            <v>0.24</v>
          </cell>
          <cell r="Y17" t="str">
            <v>C</v>
          </cell>
          <cell r="Z17">
            <v>396.3362829391171</v>
          </cell>
          <cell r="AA17">
            <v>0.24</v>
          </cell>
        </row>
        <row r="18">
          <cell r="F18" t="str">
            <v>KCUF6A4PZHDBL5</v>
          </cell>
          <cell r="G18" t="str">
            <v>CAT6A CABLE U/FTP 4 PAIRS AWG23 500MHz LSZH CPR DCA BLUE RAL5024 500M</v>
          </cell>
          <cell r="H18" t="str">
            <v>Dca</v>
          </cell>
          <cell r="I18" t="str">
            <v>China</v>
          </cell>
          <cell r="J18">
            <v>18</v>
          </cell>
          <cell r="K18" t="str">
            <v>500m drum</v>
          </cell>
          <cell r="L18" t="str">
            <v>30 km</v>
          </cell>
          <cell r="M18">
            <v>9</v>
          </cell>
          <cell r="N18" t="str">
            <v>4897108882340</v>
          </cell>
          <cell r="O18" t="str">
            <v>854449 1100</v>
          </cell>
          <cell r="P18">
            <v>0</v>
          </cell>
          <cell r="Q18">
            <v>45</v>
          </cell>
          <cell r="R18">
            <v>45</v>
          </cell>
          <cell r="S18">
            <v>55</v>
          </cell>
          <cell r="T18" t="str">
            <v>T/T 60 days</v>
          </cell>
          <cell r="U18">
            <v>393.21662206363362</v>
          </cell>
          <cell r="V18">
            <v>378.23076591906795</v>
          </cell>
          <cell r="W18">
            <v>0.24</v>
          </cell>
          <cell r="X18">
            <v>0.22</v>
          </cell>
          <cell r="Y18" t="str">
            <v>C</v>
          </cell>
          <cell r="Z18">
            <v>378.23076591906795</v>
          </cell>
          <cell r="AA18">
            <v>0.21999999999999997</v>
          </cell>
        </row>
        <row r="19">
          <cell r="F19" t="str">
            <v>KCUF6A8PZHDBL5</v>
          </cell>
          <cell r="G19" t="str">
            <v>CAT6A CABLE U/FTP 2x4 PAIRS AWG23 500MHz LSZH CPR DCA BLUE RAL5024 500M</v>
          </cell>
          <cell r="H19" t="str">
            <v>Dca</v>
          </cell>
          <cell r="I19" t="str">
            <v>China</v>
          </cell>
          <cell r="J19">
            <v>36</v>
          </cell>
          <cell r="K19" t="str">
            <v>500m drum</v>
          </cell>
          <cell r="L19" t="str">
            <v>30 km</v>
          </cell>
          <cell r="M19">
            <v>4</v>
          </cell>
          <cell r="N19" t="str">
            <v>4897108882357</v>
          </cell>
          <cell r="O19" t="str">
            <v>854449 1100</v>
          </cell>
          <cell r="P19">
            <v>0</v>
          </cell>
          <cell r="Q19">
            <v>45</v>
          </cell>
          <cell r="R19">
            <v>45</v>
          </cell>
          <cell r="S19">
            <v>55</v>
          </cell>
          <cell r="T19" t="str">
            <v>T/T 60 days</v>
          </cell>
          <cell r="U19">
            <v>793.63453049212478</v>
          </cell>
          <cell r="V19">
            <v>768.02243161132833</v>
          </cell>
          <cell r="W19">
            <v>0.2225</v>
          </cell>
          <cell r="X19">
            <v>0.20250000000000001</v>
          </cell>
          <cell r="Y19" t="str">
            <v>C</v>
          </cell>
          <cell r="Z19">
            <v>768.02243161132833</v>
          </cell>
          <cell r="AA19">
            <v>0.20250000000000001</v>
          </cell>
        </row>
        <row r="20">
          <cell r="F20" t="str">
            <v>KCUF6A4PZHCBL5</v>
          </cell>
          <cell r="G20" t="str">
            <v>CAT6A CABLE U/FTP 4 PAIRS AWG23 500MHz LSZH CPR CCA BLUE RAL5024 500M</v>
          </cell>
          <cell r="H20" t="str">
            <v>Cca</v>
          </cell>
          <cell r="I20" t="str">
            <v>China</v>
          </cell>
          <cell r="J20">
            <v>18</v>
          </cell>
          <cell r="K20" t="str">
            <v>500m drum</v>
          </cell>
          <cell r="L20" t="str">
            <v>30 km</v>
          </cell>
          <cell r="M20">
            <v>9</v>
          </cell>
          <cell r="N20" t="str">
            <v>4897108882364</v>
          </cell>
          <cell r="O20" t="str">
            <v>854449 1100</v>
          </cell>
          <cell r="P20">
            <v>0</v>
          </cell>
          <cell r="Q20">
            <v>45</v>
          </cell>
          <cell r="R20">
            <v>45</v>
          </cell>
          <cell r="S20">
            <v>55</v>
          </cell>
          <cell r="T20" t="str">
            <v>T/T 60 days</v>
          </cell>
          <cell r="U20">
            <v>416.18185982592763</v>
          </cell>
          <cell r="V20">
            <v>399.31774147069757</v>
          </cell>
          <cell r="W20">
            <v>0.26</v>
          </cell>
          <cell r="X20">
            <v>0.24</v>
          </cell>
          <cell r="Y20" t="str">
            <v>C</v>
          </cell>
          <cell r="Z20">
            <v>399.31774147069757</v>
          </cell>
          <cell r="AA20">
            <v>0.24</v>
          </cell>
        </row>
        <row r="21">
          <cell r="F21" t="str">
            <v>KCUF6A4PZHB2BL5</v>
          </cell>
          <cell r="G21" t="str">
            <v>CAT6A CABLE U/FTP 4 PAIRS AWG23 500MHz LSZH CPR B2CA BLUE RAL5024 500M</v>
          </cell>
          <cell r="H21" t="str">
            <v>B2ca</v>
          </cell>
          <cell r="I21" t="str">
            <v>China</v>
          </cell>
          <cell r="J21">
            <v>18</v>
          </cell>
          <cell r="K21" t="str">
            <v>500m drum</v>
          </cell>
          <cell r="L21" t="str">
            <v>30 km</v>
          </cell>
          <cell r="M21">
            <v>9</v>
          </cell>
          <cell r="N21" t="str">
            <v>4897108882371</v>
          </cell>
          <cell r="O21" t="str">
            <v>854449 1100</v>
          </cell>
          <cell r="P21">
            <v>0</v>
          </cell>
          <cell r="Q21">
            <v>45</v>
          </cell>
          <cell r="R21">
            <v>45</v>
          </cell>
          <cell r="S21">
            <v>55</v>
          </cell>
          <cell r="T21" t="str">
            <v>T/T 60 days</v>
          </cell>
          <cell r="U21">
            <v>434.76124138998534</v>
          </cell>
          <cell r="V21">
            <v>416.25906785187976</v>
          </cell>
          <cell r="W21">
            <v>0.27</v>
          </cell>
          <cell r="X21">
            <v>0.25</v>
          </cell>
          <cell r="Y21" t="str">
            <v>C</v>
          </cell>
          <cell r="Z21">
            <v>416.25906785187976</v>
          </cell>
          <cell r="AA21">
            <v>0.25</v>
          </cell>
        </row>
        <row r="22">
          <cell r="F22" t="str">
            <v>KCFF6A4PZHDBL5</v>
          </cell>
          <cell r="G22" t="str">
            <v>CAT6A CABLE F/FTP 4 PAIRS AWG23 500MHz LSZH CPR DCA BLUE RAL5024 500M</v>
          </cell>
          <cell r="H22" t="str">
            <v>Dca</v>
          </cell>
          <cell r="I22" t="str">
            <v>China</v>
          </cell>
          <cell r="J22">
            <v>18</v>
          </cell>
          <cell r="K22" t="str">
            <v>500m drum</v>
          </cell>
          <cell r="L22" t="str">
            <v>30 km</v>
          </cell>
          <cell r="M22">
            <v>9</v>
          </cell>
          <cell r="N22" t="str">
            <v>4897108881763</v>
          </cell>
          <cell r="O22" t="str">
            <v>854449 1100</v>
          </cell>
          <cell r="P22">
            <v>0</v>
          </cell>
          <cell r="Q22">
            <v>45</v>
          </cell>
          <cell r="R22">
            <v>45</v>
          </cell>
          <cell r="S22">
            <v>55</v>
          </cell>
          <cell r="T22" t="str">
            <v>T/T 60 days</v>
          </cell>
          <cell r="U22">
            <v>399.2900188323917</v>
          </cell>
          <cell r="V22">
            <v>383.8925635433701</v>
          </cell>
          <cell r="W22">
            <v>0.25</v>
          </cell>
          <cell r="X22">
            <v>0.23</v>
          </cell>
          <cell r="Y22" t="str">
            <v>C</v>
          </cell>
          <cell r="Z22">
            <v>383.8925635433701</v>
          </cell>
          <cell r="AA22">
            <v>0.22999999999999998</v>
          </cell>
        </row>
        <row r="23">
          <cell r="F23" t="str">
            <v>KCFF6A8PZHDBL5</v>
          </cell>
          <cell r="G23" t="str">
            <v>CAT6A CABLE F/FTP 2x4 PAIRS AWG23 500MHz LSZH CPR DCA BLUE RAL5024 500M</v>
          </cell>
          <cell r="H23" t="str">
            <v>Dca</v>
          </cell>
          <cell r="I23" t="str">
            <v>China</v>
          </cell>
          <cell r="J23">
            <v>36</v>
          </cell>
          <cell r="K23" t="str">
            <v>500m drum</v>
          </cell>
          <cell r="L23" t="str">
            <v>30 km</v>
          </cell>
          <cell r="M23">
            <v>4</v>
          </cell>
          <cell r="N23" t="str">
            <v>4897108881770</v>
          </cell>
          <cell r="O23" t="str">
            <v>854449 1100</v>
          </cell>
          <cell r="P23">
            <v>0</v>
          </cell>
          <cell r="Q23">
            <v>45</v>
          </cell>
          <cell r="R23">
            <v>45</v>
          </cell>
          <cell r="S23">
            <v>55</v>
          </cell>
          <cell r="T23" t="str">
            <v>T/T 60 days</v>
          </cell>
          <cell r="U23">
            <v>811.91812540520527</v>
          </cell>
          <cell r="V23">
            <v>785.15717798277194</v>
          </cell>
          <cell r="W23">
            <v>0.23749999999999999</v>
          </cell>
          <cell r="X23">
            <v>0.2175</v>
          </cell>
          <cell r="Y23" t="str">
            <v>C</v>
          </cell>
          <cell r="Z23">
            <v>785.15717798277194</v>
          </cell>
          <cell r="AA23">
            <v>0.21750000000000003</v>
          </cell>
        </row>
        <row r="24">
          <cell r="F24" t="str">
            <v>KCFF6A4PZHCBL5</v>
          </cell>
          <cell r="G24" t="str">
            <v>CAT6A CABLE F/FTP 4 PAIRS AWG23 500MHz LSZH CPR CCA BLUE RAL5024 500M</v>
          </cell>
          <cell r="H24" t="str">
            <v>Cca</v>
          </cell>
          <cell r="I24" t="str">
            <v>China</v>
          </cell>
          <cell r="J24">
            <v>18</v>
          </cell>
          <cell r="K24" t="str">
            <v>500m drum</v>
          </cell>
          <cell r="L24" t="str">
            <v>30 km</v>
          </cell>
          <cell r="M24">
            <v>9</v>
          </cell>
          <cell r="N24" t="str">
            <v>4897108882388</v>
          </cell>
          <cell r="O24" t="str">
            <v>854449 1100</v>
          </cell>
          <cell r="P24">
            <v>0</v>
          </cell>
          <cell r="Q24">
            <v>45</v>
          </cell>
          <cell r="R24">
            <v>45</v>
          </cell>
          <cell r="S24">
            <v>55</v>
          </cell>
          <cell r="T24" t="str">
            <v>T/T 60 days</v>
          </cell>
          <cell r="U24">
            <v>427.72012759906221</v>
          </cell>
          <cell r="V24">
            <v>409.8180658197806</v>
          </cell>
          <cell r="W24">
            <v>0.26500000000000001</v>
          </cell>
          <cell r="X24">
            <v>0.245</v>
          </cell>
          <cell r="Y24" t="str">
            <v>C</v>
          </cell>
          <cell r="Z24">
            <v>409.8180658197806</v>
          </cell>
          <cell r="AA24">
            <v>0.245</v>
          </cell>
        </row>
        <row r="25">
          <cell r="F25" t="str">
            <v>KCFF6A4PZHB2BL5</v>
          </cell>
          <cell r="G25" t="str">
            <v>CAT6A CABLE F/FTP 4 PAIRS AWG23 500MHz LSZH CPR B2CA BLUE RAL5024 500M</v>
          </cell>
          <cell r="H25" t="str">
            <v>B2ca</v>
          </cell>
          <cell r="I25" t="str">
            <v>China</v>
          </cell>
          <cell r="J25">
            <v>18</v>
          </cell>
          <cell r="K25" t="str">
            <v>500m drum</v>
          </cell>
          <cell r="L25" t="str">
            <v>30 km</v>
          </cell>
          <cell r="M25">
            <v>9</v>
          </cell>
          <cell r="N25" t="str">
            <v>4897108882395</v>
          </cell>
          <cell r="O25" t="str">
            <v>854449 1100</v>
          </cell>
          <cell r="P25">
            <v>0</v>
          </cell>
          <cell r="Q25">
            <v>45</v>
          </cell>
          <cell r="R25">
            <v>45</v>
          </cell>
          <cell r="S25">
            <v>55</v>
          </cell>
          <cell r="T25" t="str">
            <v>T/T 60 days</v>
          </cell>
          <cell r="U25">
            <v>446.87317358270025</v>
          </cell>
          <cell r="V25">
            <v>427.27232559591238</v>
          </cell>
          <cell r="W25">
            <v>0.27500000000000002</v>
          </cell>
          <cell r="X25">
            <v>0.255</v>
          </cell>
          <cell r="Y25" t="str">
            <v>C</v>
          </cell>
          <cell r="Z25">
            <v>427.27232559591238</v>
          </cell>
          <cell r="AA25">
            <v>0.255</v>
          </cell>
        </row>
        <row r="26">
          <cell r="F26" t="str">
            <v>KCFF6A4PZHCOUT5</v>
          </cell>
          <cell r="G26" t="str">
            <v>CAT6A CABLE F/FTP 4 PAIRS AWG23 500MHz LSZH CPR CCA INDOOR/OUTDOO BLACK RAL9005 500M</v>
          </cell>
          <cell r="H26" t="str">
            <v>Cca</v>
          </cell>
          <cell r="I26" t="str">
            <v>China</v>
          </cell>
          <cell r="K26" t="str">
            <v>500m drum</v>
          </cell>
          <cell r="L26" t="str">
            <v>30 km</v>
          </cell>
          <cell r="M26">
            <v>9</v>
          </cell>
          <cell r="O26" t="str">
            <v>854449 1100</v>
          </cell>
          <cell r="P26">
            <v>0</v>
          </cell>
          <cell r="Q26">
            <v>45</v>
          </cell>
          <cell r="R26">
            <v>45</v>
          </cell>
          <cell r="S26">
            <v>55</v>
          </cell>
          <cell r="T26" t="str">
            <v>T/T 60 days</v>
          </cell>
          <cell r="U26">
            <v>449.17539049518115</v>
          </cell>
          <cell r="V26">
            <v>430.18828277660219</v>
          </cell>
          <cell r="W26">
            <v>0.32</v>
          </cell>
          <cell r="X26">
            <v>0.3</v>
          </cell>
          <cell r="Y26" t="str">
            <v>C</v>
          </cell>
          <cell r="Z26">
            <v>430.18828277660219</v>
          </cell>
          <cell r="AA26">
            <v>0.30000000000000004</v>
          </cell>
        </row>
        <row r="27">
          <cell r="F27" t="str">
            <v>KCSF6A4PZHDBL5</v>
          </cell>
          <cell r="G27" t="str">
            <v>CAT6A CABLE S/FTP 4 PAIRS AWG23 500MHz LSZH CPR DCA BLUE RAL5024 500M</v>
          </cell>
          <cell r="H27" t="str">
            <v>Dca</v>
          </cell>
          <cell r="I27" t="str">
            <v>China</v>
          </cell>
          <cell r="K27" t="str">
            <v>500m drum</v>
          </cell>
          <cell r="L27" t="str">
            <v>30 km</v>
          </cell>
          <cell r="M27">
            <v>9</v>
          </cell>
          <cell r="N27" t="str">
            <v>4897108882715</v>
          </cell>
          <cell r="O27" t="str">
            <v>854449 1100</v>
          </cell>
          <cell r="P27">
            <v>0</v>
          </cell>
          <cell r="Q27">
            <v>45</v>
          </cell>
          <cell r="R27">
            <v>45</v>
          </cell>
          <cell r="S27">
            <v>55</v>
          </cell>
          <cell r="T27" t="str">
            <v>T/T 60 days</v>
          </cell>
          <cell r="U27">
            <v>444.79235453811725</v>
          </cell>
          <cell r="V27">
            <v>424.64548449548312</v>
          </cell>
          <cell r="W27">
            <v>0.22999999999999998</v>
          </cell>
          <cell r="X27">
            <v>0.21</v>
          </cell>
          <cell r="Y27" t="str">
            <v>C</v>
          </cell>
          <cell r="Z27">
            <v>424.64548449548312</v>
          </cell>
          <cell r="AA27">
            <v>0.20999999999999996</v>
          </cell>
        </row>
        <row r="28">
          <cell r="F28" t="str">
            <v>KCSF6A4PZHCBL5</v>
          </cell>
          <cell r="G28" t="str">
            <v>CAT6A CABLE S/FTP 4 PAIRS AWG23 500MHz LSZH CPR CCA BLUE RAL5024 500M</v>
          </cell>
          <cell r="H28" t="str">
            <v>Cca</v>
          </cell>
          <cell r="I28" t="str">
            <v>China</v>
          </cell>
          <cell r="K28" t="str">
            <v>500m drum</v>
          </cell>
          <cell r="L28" t="str">
            <v>30 km</v>
          </cell>
          <cell r="M28">
            <v>9</v>
          </cell>
          <cell r="O28" t="str">
            <v>854449 1100</v>
          </cell>
          <cell r="P28">
            <v>0</v>
          </cell>
          <cell r="Q28">
            <v>45</v>
          </cell>
          <cell r="R28">
            <v>45</v>
          </cell>
          <cell r="S28">
            <v>55</v>
          </cell>
          <cell r="T28" t="str">
            <v>T/T 60 days</v>
          </cell>
          <cell r="U28">
            <v>469.28337793636632</v>
          </cell>
          <cell r="V28">
            <v>446.92059560856779</v>
          </cell>
          <cell r="W28">
            <v>0.24</v>
          </cell>
          <cell r="X28">
            <v>0.22</v>
          </cell>
          <cell r="Y28" t="str">
            <v>C</v>
          </cell>
          <cell r="Z28">
            <v>446.92059560856779</v>
          </cell>
          <cell r="AA28">
            <v>0.21999999999999997</v>
          </cell>
        </row>
        <row r="29">
          <cell r="F29" t="str">
            <v>KCSF74PZHDOR5</v>
          </cell>
          <cell r="G29" t="str">
            <v>CAT7 CABLE S/FTP 4 PAIRS AWG23 600MHz LSZH CPR DCA ORANGE RAL2003 500M</v>
          </cell>
          <cell r="H29" t="str">
            <v>Dca</v>
          </cell>
          <cell r="I29" t="str">
            <v>China</v>
          </cell>
          <cell r="J29">
            <v>21</v>
          </cell>
          <cell r="K29" t="str">
            <v>500m drum</v>
          </cell>
          <cell r="L29" t="str">
            <v>30 km</v>
          </cell>
          <cell r="M29">
            <v>8</v>
          </cell>
          <cell r="N29" t="str">
            <v>4897108881787</v>
          </cell>
          <cell r="O29" t="str">
            <v>854449 1100</v>
          </cell>
          <cell r="P29">
            <v>0</v>
          </cell>
          <cell r="Q29">
            <v>45</v>
          </cell>
          <cell r="R29">
            <v>45</v>
          </cell>
          <cell r="S29">
            <v>55</v>
          </cell>
          <cell r="T29" t="str">
            <v>T/T 60 days</v>
          </cell>
          <cell r="U29">
            <v>466.54613935969866</v>
          </cell>
          <cell r="V29">
            <v>447.53655022059149</v>
          </cell>
          <cell r="W29">
            <v>0.25</v>
          </cell>
          <cell r="X29">
            <v>0.23</v>
          </cell>
          <cell r="Y29" t="str">
            <v>C</v>
          </cell>
          <cell r="Z29">
            <v>447.53655022059149</v>
          </cell>
          <cell r="AA29">
            <v>0.22999999999999998</v>
          </cell>
        </row>
        <row r="30">
          <cell r="F30" t="str">
            <v>KCSF78PZHDOR5</v>
          </cell>
          <cell r="G30" t="str">
            <v>CAT7 CABLE S/FTP 2x4 PAIRS AWG23 600MHz LSZH CPR DCA ORANGE RAL2003 500M</v>
          </cell>
          <cell r="H30" t="str">
            <v>Dca</v>
          </cell>
          <cell r="I30" t="str">
            <v>China</v>
          </cell>
          <cell r="J30">
            <v>42</v>
          </cell>
          <cell r="K30" t="str">
            <v>500m drum</v>
          </cell>
          <cell r="L30" t="str">
            <v>30 km</v>
          </cell>
          <cell r="M30">
            <v>4</v>
          </cell>
          <cell r="N30" t="str">
            <v>4897108881794</v>
          </cell>
          <cell r="O30" t="str">
            <v>854449 1100</v>
          </cell>
          <cell r="P30">
            <v>0</v>
          </cell>
          <cell r="Q30">
            <v>45</v>
          </cell>
          <cell r="R30">
            <v>45</v>
          </cell>
          <cell r="S30">
            <v>55</v>
          </cell>
          <cell r="T30" t="str">
            <v>T/T 60 days</v>
          </cell>
          <cell r="U30">
            <v>949.06548115217186</v>
          </cell>
          <cell r="V30">
            <v>909.01444584357318</v>
          </cell>
          <cell r="W30">
            <v>0.23749999999999999</v>
          </cell>
          <cell r="X30">
            <v>0.2175</v>
          </cell>
          <cell r="Y30" t="str">
            <v>C</v>
          </cell>
          <cell r="Z30">
            <v>909.01444584357318</v>
          </cell>
          <cell r="AA30">
            <v>0.21750000000000003</v>
          </cell>
        </row>
        <row r="31">
          <cell r="F31" t="str">
            <v>KCSF74PZHCOR5</v>
          </cell>
          <cell r="G31" t="str">
            <v>CAT7 CABLE S/FTP 4 PAIRS AWG23 600MHz LSZH CPR CCA ORANGE RAL2003 500M</v>
          </cell>
          <cell r="H31" t="str">
            <v>Cca</v>
          </cell>
          <cell r="I31" t="str">
            <v>China</v>
          </cell>
          <cell r="J31">
            <v>21</v>
          </cell>
          <cell r="K31" t="str">
            <v>500m drum</v>
          </cell>
          <cell r="L31" t="str">
            <v>30 km</v>
          </cell>
          <cell r="M31">
            <v>6</v>
          </cell>
          <cell r="N31" t="str">
            <v>4897108882401</v>
          </cell>
          <cell r="O31" t="str">
            <v>854449 1100</v>
          </cell>
          <cell r="P31">
            <v>0</v>
          </cell>
          <cell r="Q31">
            <v>45</v>
          </cell>
          <cell r="R31">
            <v>45</v>
          </cell>
          <cell r="S31">
            <v>55</v>
          </cell>
          <cell r="T31" t="str">
            <v>T/T 60 days</v>
          </cell>
          <cell r="U31">
            <v>494.25612052730702</v>
          </cell>
          <cell r="V31">
            <v>481.34396574768232</v>
          </cell>
          <cell r="W31">
            <v>0.25</v>
          </cell>
          <cell r="X31">
            <v>0.23</v>
          </cell>
          <cell r="Y31" t="str">
            <v>C</v>
          </cell>
          <cell r="Z31">
            <v>481.34396574768232</v>
          </cell>
          <cell r="AA31">
            <v>0.22999999999999998</v>
          </cell>
        </row>
        <row r="32">
          <cell r="F32" t="str">
            <v>KCSF74PZHB2OR5</v>
          </cell>
          <cell r="G32" t="str">
            <v>CAT7 CABLE S/FTP 4 PAIRS AWG23 600MHz LSZH CPR B2CA ORANGE RAL2003 500M</v>
          </cell>
          <cell r="H32" t="str">
            <v>B2ca</v>
          </cell>
          <cell r="I32" t="str">
            <v>China</v>
          </cell>
          <cell r="J32">
            <v>21</v>
          </cell>
          <cell r="K32" t="str">
            <v>500m drum</v>
          </cell>
          <cell r="L32" t="str">
            <v>30 km</v>
          </cell>
          <cell r="M32">
            <v>6</v>
          </cell>
          <cell r="N32" t="str">
            <v>4897108882418</v>
          </cell>
          <cell r="O32" t="str">
            <v>854449 1100</v>
          </cell>
          <cell r="P32">
            <v>0</v>
          </cell>
          <cell r="Q32">
            <v>45</v>
          </cell>
          <cell r="R32">
            <v>45</v>
          </cell>
          <cell r="S32">
            <v>55</v>
          </cell>
          <cell r="T32" t="str">
            <v>T/T 60 days</v>
          </cell>
          <cell r="U32">
            <v>521.77850011609007</v>
          </cell>
          <cell r="V32">
            <v>506.79174760755313</v>
          </cell>
          <cell r="W32">
            <v>0.27</v>
          </cell>
          <cell r="X32">
            <v>0.25</v>
          </cell>
          <cell r="Y32" t="str">
            <v>C</v>
          </cell>
          <cell r="Z32">
            <v>506.79174760755313</v>
          </cell>
          <cell r="AA32">
            <v>0.25</v>
          </cell>
        </row>
        <row r="33">
          <cell r="F33" t="str">
            <v>KCUF6A4PZHDBL5</v>
          </cell>
          <cell r="G33" t="str">
            <v>CAT6A CABLE U/FTP 4 PAIRS AWG23 500MHz LSZH CPR DCA BLUE RAL5024 500M</v>
          </cell>
          <cell r="H33" t="str">
            <v>Dca</v>
          </cell>
          <cell r="I33" t="str">
            <v>Turkey</v>
          </cell>
          <cell r="J33">
            <v>18</v>
          </cell>
          <cell r="K33" t="str">
            <v>500m drum</v>
          </cell>
          <cell r="L33" t="str">
            <v>30 km</v>
          </cell>
          <cell r="M33">
            <v>9</v>
          </cell>
          <cell r="N33" t="str">
            <v>4897108882340</v>
          </cell>
          <cell r="O33" t="str">
            <v>854449 2000</v>
          </cell>
          <cell r="P33">
            <v>0</v>
          </cell>
          <cell r="Q33">
            <v>60</v>
          </cell>
          <cell r="R33">
            <v>14</v>
          </cell>
          <cell r="S33">
            <v>14</v>
          </cell>
          <cell r="T33" t="str">
            <v>T/T 60 days</v>
          </cell>
          <cell r="V33">
            <v>390.21367224170939</v>
          </cell>
          <cell r="W33">
            <v>0.22999999999999998</v>
          </cell>
          <cell r="X33">
            <v>0.21</v>
          </cell>
          <cell r="Y33" t="str">
            <v>C</v>
          </cell>
          <cell r="Z33">
            <v>390.21367224170939</v>
          </cell>
          <cell r="AA33">
            <v>0.20999999999999996</v>
          </cell>
        </row>
        <row r="34">
          <cell r="F34" t="str">
            <v>KCUF6A8PZHDBL5</v>
          </cell>
          <cell r="G34" t="str">
            <v>CAT6A CABLE U/FTP 2x4 PAIRS AWG23 500MHz LSZH CPR DCA BLUE RAL5024 500M</v>
          </cell>
          <cell r="H34" t="str">
            <v>Dca</v>
          </cell>
          <cell r="I34" t="str">
            <v>Turkey</v>
          </cell>
          <cell r="J34">
            <v>36</v>
          </cell>
          <cell r="K34" t="str">
            <v>500m drum</v>
          </cell>
          <cell r="L34" t="str">
            <v>30 km</v>
          </cell>
          <cell r="M34">
            <v>4</v>
          </cell>
          <cell r="N34" t="str">
            <v>4897108882357</v>
          </cell>
          <cell r="O34" t="str">
            <v>854449 2000</v>
          </cell>
          <cell r="P34">
            <v>0</v>
          </cell>
          <cell r="Q34">
            <v>60</v>
          </cell>
          <cell r="R34">
            <v>14</v>
          </cell>
          <cell r="S34">
            <v>14</v>
          </cell>
          <cell r="T34" t="str">
            <v>T/T 60 days</v>
          </cell>
          <cell r="V34">
            <v>797.64552277108407</v>
          </cell>
          <cell r="W34">
            <v>0.22</v>
          </cell>
          <cell r="X34">
            <v>0.2</v>
          </cell>
          <cell r="Y34" t="str">
            <v>C</v>
          </cell>
          <cell r="Z34">
            <v>797.64552277108407</v>
          </cell>
          <cell r="AA34">
            <v>0.19999999999999996</v>
          </cell>
        </row>
        <row r="35">
          <cell r="F35" t="str">
            <v>KCFF6A4PZHDBL5</v>
          </cell>
          <cell r="G35" t="str">
            <v>CAT6A CABLE F/FTP 4 PAIRS AWG23 500MHz LSZH CPR DCA BLUE RAL5024 500M</v>
          </cell>
          <cell r="H35" t="str">
            <v>Dca</v>
          </cell>
          <cell r="I35" t="str">
            <v>Turkey</v>
          </cell>
          <cell r="J35">
            <v>18</v>
          </cell>
          <cell r="K35" t="str">
            <v>500m drum</v>
          </cell>
          <cell r="L35" t="str">
            <v>30 km</v>
          </cell>
          <cell r="M35">
            <v>9</v>
          </cell>
          <cell r="N35" t="str">
            <v>4897108881763</v>
          </cell>
          <cell r="O35" t="str">
            <v>854449 2000</v>
          </cell>
          <cell r="P35">
            <v>0</v>
          </cell>
          <cell r="Q35">
            <v>60</v>
          </cell>
          <cell r="R35">
            <v>14</v>
          </cell>
          <cell r="S35">
            <v>14</v>
          </cell>
          <cell r="T35" t="str">
            <v>T/T 60 days</v>
          </cell>
          <cell r="V35">
            <v>395.27696338094989</v>
          </cell>
          <cell r="W35">
            <v>0.22999999999999998</v>
          </cell>
          <cell r="X35">
            <v>0.21</v>
          </cell>
          <cell r="Y35" t="str">
            <v>C</v>
          </cell>
          <cell r="Z35">
            <v>395.27696338094989</v>
          </cell>
          <cell r="AA35">
            <v>0.20999999999999996</v>
          </cell>
        </row>
        <row r="36">
          <cell r="F36" t="str">
            <v>KCFF6A8PZHDBL5</v>
          </cell>
          <cell r="G36" t="str">
            <v>CAT6A CABLE F/FTP 2x4 PAIRS AWG23 500MHz LSZH CPR DCA BLUE RAL5024 500M</v>
          </cell>
          <cell r="H36" t="str">
            <v>Dca</v>
          </cell>
          <cell r="I36" t="str">
            <v>Turkey</v>
          </cell>
          <cell r="J36">
            <v>36</v>
          </cell>
          <cell r="K36" t="str">
            <v>500m drum</v>
          </cell>
          <cell r="L36" t="str">
            <v>30 km</v>
          </cell>
          <cell r="M36">
            <v>4</v>
          </cell>
          <cell r="N36" t="str">
            <v>4897108881770</v>
          </cell>
          <cell r="O36" t="str">
            <v>854449 2000</v>
          </cell>
          <cell r="P36">
            <v>0</v>
          </cell>
          <cell r="Q36">
            <v>60</v>
          </cell>
          <cell r="R36">
            <v>14</v>
          </cell>
          <cell r="S36">
            <v>14</v>
          </cell>
          <cell r="T36" t="str">
            <v>T/T 60 days</v>
          </cell>
          <cell r="V36">
            <v>807.9955227710841</v>
          </cell>
          <cell r="W36">
            <v>0.22</v>
          </cell>
          <cell r="X36">
            <v>0.2</v>
          </cell>
          <cell r="Y36" t="str">
            <v>C</v>
          </cell>
          <cell r="Z36">
            <v>807.9955227710841</v>
          </cell>
          <cell r="AA36">
            <v>0.19999999999999996</v>
          </cell>
        </row>
        <row r="37">
          <cell r="F37" t="str">
            <v>KCSF74PZHDOR5</v>
          </cell>
          <cell r="G37" t="str">
            <v>CAT7 CABLE S/FTP 4 PAIRS AWG23 600MHz LSZH CPR DCA ORANGE RAL2003 500M</v>
          </cell>
          <cell r="H37" t="str">
            <v>Dca</v>
          </cell>
          <cell r="I37" t="str">
            <v>Turkey</v>
          </cell>
          <cell r="J37">
            <v>21</v>
          </cell>
          <cell r="K37" t="str">
            <v>500m drum</v>
          </cell>
          <cell r="L37" t="str">
            <v>30 km</v>
          </cell>
          <cell r="M37">
            <v>8</v>
          </cell>
          <cell r="N37" t="str">
            <v>4897108881787</v>
          </cell>
          <cell r="O37" t="str">
            <v>854449 2000</v>
          </cell>
          <cell r="P37">
            <v>0</v>
          </cell>
          <cell r="Q37">
            <v>60</v>
          </cell>
          <cell r="R37">
            <v>14</v>
          </cell>
          <cell r="S37">
            <v>14</v>
          </cell>
          <cell r="T37" t="str">
            <v>T/T 60 days</v>
          </cell>
          <cell r="V37">
            <v>454.48013143483018</v>
          </cell>
          <cell r="W37">
            <v>0.25</v>
          </cell>
          <cell r="X37">
            <v>0.23</v>
          </cell>
          <cell r="Y37" t="str">
            <v>C</v>
          </cell>
          <cell r="Z37">
            <v>454.48013143483018</v>
          </cell>
          <cell r="AA37">
            <v>0.22999999999999998</v>
          </cell>
        </row>
        <row r="38">
          <cell r="F38" t="str">
            <v>KCSF78PZHDOR5</v>
          </cell>
          <cell r="G38" t="str">
            <v>CAT7 CABLE S/FTP 2x4 PAIRS AWG23 600MHz LSZH CPR DCA ORANGE RAL2003 500M</v>
          </cell>
          <cell r="H38" t="str">
            <v>Dca</v>
          </cell>
          <cell r="I38" t="str">
            <v>Turkey</v>
          </cell>
          <cell r="J38">
            <v>42</v>
          </cell>
          <cell r="K38" t="str">
            <v>500m drum</v>
          </cell>
          <cell r="L38" t="str">
            <v>30 km</v>
          </cell>
          <cell r="M38">
            <v>4</v>
          </cell>
          <cell r="N38" t="str">
            <v>4897108881794</v>
          </cell>
          <cell r="O38" t="str">
            <v>854449 2000</v>
          </cell>
          <cell r="P38">
            <v>0</v>
          </cell>
          <cell r="Q38">
            <v>60</v>
          </cell>
          <cell r="R38">
            <v>14</v>
          </cell>
          <cell r="S38">
            <v>14</v>
          </cell>
          <cell r="T38" t="str">
            <v>T/T 60 days</v>
          </cell>
          <cell r="V38">
            <v>925.74553545556</v>
          </cell>
          <cell r="W38">
            <v>0.23749999999999999</v>
          </cell>
          <cell r="X38">
            <v>0.2175</v>
          </cell>
          <cell r="Y38" t="str">
            <v>C</v>
          </cell>
          <cell r="Z38">
            <v>925.74553545556</v>
          </cell>
          <cell r="AA38">
            <v>0.21750000000000003</v>
          </cell>
        </row>
        <row r="39">
          <cell r="F39" t="str">
            <v>KRC3TV4PZHDIV5</v>
          </cell>
          <cell r="G39" t="str">
            <v>G3TV CABLE F/FTP 1x4 PAIRS AWG23 2200MHz LSZH CPR DCA IVORY RAL1013 500M 85dB</v>
          </cell>
          <cell r="H39" t="str">
            <v>Dca</v>
          </cell>
          <cell r="I39" t="str">
            <v>China</v>
          </cell>
          <cell r="J39">
            <v>22</v>
          </cell>
          <cell r="K39" t="str">
            <v>500m drum</v>
          </cell>
          <cell r="L39" t="str">
            <v>50 km</v>
          </cell>
          <cell r="M39">
            <v>9</v>
          </cell>
          <cell r="N39" t="str">
            <v>4897108882425</v>
          </cell>
          <cell r="O39" t="str">
            <v>854449 1100</v>
          </cell>
          <cell r="P39">
            <v>0</v>
          </cell>
          <cell r="Q39">
            <v>45</v>
          </cell>
          <cell r="R39">
            <v>45</v>
          </cell>
          <cell r="S39">
            <v>55</v>
          </cell>
          <cell r="T39" t="str">
            <v>T/T 60 days</v>
          </cell>
          <cell r="U39">
            <v>490.08609093354852</v>
          </cell>
          <cell r="V39">
            <v>464.635925629486</v>
          </cell>
          <cell r="W39">
            <v>0.16</v>
          </cell>
          <cell r="X39">
            <v>0.14000000000000001</v>
          </cell>
          <cell r="Y39" t="str">
            <v>C</v>
          </cell>
          <cell r="Z39">
            <v>464.635925629486</v>
          </cell>
          <cell r="AA39">
            <v>0.14000000000000001</v>
          </cell>
        </row>
        <row r="40">
          <cell r="F40" t="str">
            <v>KRC3TV4PZHDIVGL</v>
          </cell>
          <cell r="G40" t="str">
            <v>G3TV CABLE F/FTP 1x4 PAIRS AWG23 2200MHz LSZH CPR DCA IVORY RAL1013 4000M 85dB</v>
          </cell>
          <cell r="H40" t="str">
            <v>Dca</v>
          </cell>
          <cell r="I40" t="str">
            <v>China</v>
          </cell>
          <cell r="J40">
            <v>22</v>
          </cell>
          <cell r="K40" t="str">
            <v>4000m drum</v>
          </cell>
          <cell r="L40" t="str">
            <v>50 km</v>
          </cell>
          <cell r="M40">
            <v>8</v>
          </cell>
          <cell r="N40" t="str">
            <v>4897108882432</v>
          </cell>
          <cell r="O40" t="str">
            <v>854449 1100</v>
          </cell>
          <cell r="P40">
            <v>0</v>
          </cell>
          <cell r="Q40">
            <v>45</v>
          </cell>
          <cell r="R40">
            <v>45</v>
          </cell>
          <cell r="S40">
            <v>55</v>
          </cell>
          <cell r="T40" t="str">
            <v>T/T 60 days</v>
          </cell>
          <cell r="U40">
            <v>490.08609093354852</v>
          </cell>
          <cell r="V40">
            <v>467.26027963465395</v>
          </cell>
          <cell r="W40">
            <v>0.16</v>
          </cell>
          <cell r="X40">
            <v>0.14000000000000001</v>
          </cell>
          <cell r="Y40" t="str">
            <v>C</v>
          </cell>
          <cell r="Z40">
            <v>467.26027963465395</v>
          </cell>
          <cell r="AA40">
            <v>0.14000000000000001</v>
          </cell>
        </row>
        <row r="41">
          <cell r="F41" t="str">
            <v>KRC3TV4PZHCIV5</v>
          </cell>
          <cell r="G41" t="str">
            <v>G3TV CABLE F/FTP 1x4 PAIRS AWG23 2200MHz LSZH CPR CCA IVORY RAL1013 500M 85dB</v>
          </cell>
          <cell r="H41" t="str">
            <v>Cca</v>
          </cell>
          <cell r="I41" t="str">
            <v>China</v>
          </cell>
          <cell r="J41">
            <v>22</v>
          </cell>
          <cell r="K41" t="str">
            <v>500m drum</v>
          </cell>
          <cell r="L41" t="str">
            <v>50 km</v>
          </cell>
          <cell r="M41">
            <v>9</v>
          </cell>
          <cell r="N41" t="str">
            <v>4897108882449</v>
          </cell>
          <cell r="O41" t="str">
            <v>854449 1100</v>
          </cell>
          <cell r="P41">
            <v>0</v>
          </cell>
          <cell r="Q41">
            <v>45</v>
          </cell>
          <cell r="R41">
            <v>45</v>
          </cell>
          <cell r="S41">
            <v>55</v>
          </cell>
          <cell r="T41" t="str">
            <v>T/T 60 days</v>
          </cell>
          <cell r="U41">
            <v>515.55858218993808</v>
          </cell>
          <cell r="V41">
            <v>487.69441287582441</v>
          </cell>
          <cell r="W41">
            <v>0.16</v>
          </cell>
          <cell r="X41">
            <v>0.14000000000000001</v>
          </cell>
          <cell r="Y41" t="str">
            <v>C</v>
          </cell>
          <cell r="Z41">
            <v>487.69441287582441</v>
          </cell>
          <cell r="AA41">
            <v>0.14000000000000001</v>
          </cell>
        </row>
        <row r="42">
          <cell r="F42" t="str">
            <v>KRC3TV4PZHCIVGL</v>
          </cell>
          <cell r="G42" t="str">
            <v>G3TV CABLE F/FTP 1x4 PAIRS AWG23 2200MHz LSZH CPR CCA IVORY RAL1013 4000M 85dB</v>
          </cell>
          <cell r="H42" t="str">
            <v>Cca</v>
          </cell>
          <cell r="I42" t="str">
            <v>China</v>
          </cell>
          <cell r="J42">
            <v>22</v>
          </cell>
          <cell r="K42" t="str">
            <v>4000m drum</v>
          </cell>
          <cell r="L42" t="str">
            <v>50 km</v>
          </cell>
          <cell r="M42">
            <v>8</v>
          </cell>
          <cell r="N42" t="str">
            <v>4897108882456</v>
          </cell>
          <cell r="O42" t="str">
            <v>854449 1100</v>
          </cell>
          <cell r="P42">
            <v>0</v>
          </cell>
          <cell r="Q42">
            <v>45</v>
          </cell>
          <cell r="R42">
            <v>45</v>
          </cell>
          <cell r="S42">
            <v>55</v>
          </cell>
          <cell r="T42" t="str">
            <v>T/T 60 days</v>
          </cell>
          <cell r="U42">
            <v>515.55858218993808</v>
          </cell>
          <cell r="V42">
            <v>490.31876688099237</v>
          </cell>
          <cell r="W42">
            <v>0.16</v>
          </cell>
          <cell r="X42">
            <v>0.14000000000000001</v>
          </cell>
          <cell r="Y42" t="str">
            <v>C</v>
          </cell>
          <cell r="Z42">
            <v>490.31876688099237</v>
          </cell>
          <cell r="AA42">
            <v>0.14000000000000001</v>
          </cell>
        </row>
        <row r="43">
          <cell r="F43" t="str">
            <v>KJ6U90DEF24</v>
          </cell>
          <cell r="G43" t="str">
            <v xml:space="preserve">CAT6 RJ45 KEYSTONE JACK UNSHIELDED 90° DUAL IDC 24PCS PER ECO FRIENDLY CARTON </v>
          </cell>
          <cell r="I43" t="str">
            <v>China</v>
          </cell>
          <cell r="K43" t="str">
            <v xml:space="preserve">24 pcs eco friendly box </v>
          </cell>
          <cell r="L43" t="str">
            <v>10 000pcs</v>
          </cell>
          <cell r="M43">
            <v>10368</v>
          </cell>
          <cell r="N43" t="str">
            <v>4897108881916</v>
          </cell>
          <cell r="O43" t="str">
            <v>853669 9099</v>
          </cell>
          <cell r="P43">
            <v>2.3E-2</v>
          </cell>
          <cell r="Q43">
            <v>45</v>
          </cell>
          <cell r="R43">
            <v>45</v>
          </cell>
          <cell r="S43">
            <v>55</v>
          </cell>
          <cell r="T43" t="str">
            <v>T/T 35 days</v>
          </cell>
          <cell r="U43">
            <v>0.71043089636562962</v>
          </cell>
          <cell r="V43">
            <v>0.67791261669409064</v>
          </cell>
          <cell r="W43">
            <v>0.33</v>
          </cell>
          <cell r="X43">
            <v>0.31</v>
          </cell>
          <cell r="Y43" t="str">
            <v>B</v>
          </cell>
          <cell r="Z43">
            <v>0.6279126166940906</v>
          </cell>
          <cell r="AA43">
            <v>0.25505604906994905</v>
          </cell>
        </row>
        <row r="44">
          <cell r="F44" t="str">
            <v>KJ6U180DEF24</v>
          </cell>
          <cell r="G44" t="str">
            <v>CAT6 RJ45 KESYTONE JACK UNSHIELDED 180° DUAL IDC 24PCS PER ECO FRIENDLY CARTON</v>
          </cell>
          <cell r="I44" t="str">
            <v>China</v>
          </cell>
          <cell r="K44" t="str">
            <v xml:space="preserve">24 pcs eco friendly box </v>
          </cell>
          <cell r="L44" t="str">
            <v>10 000pcs</v>
          </cell>
          <cell r="M44">
            <v>10368</v>
          </cell>
          <cell r="N44" t="str">
            <v>4897108881923</v>
          </cell>
          <cell r="O44" t="str">
            <v>853669 9099</v>
          </cell>
          <cell r="P44">
            <v>2.3E-2</v>
          </cell>
          <cell r="Q44">
            <v>45</v>
          </cell>
          <cell r="R44">
            <v>45</v>
          </cell>
          <cell r="S44">
            <v>55</v>
          </cell>
          <cell r="T44" t="str">
            <v>T/T 35 days</v>
          </cell>
          <cell r="U44">
            <v>0.71043089636562962</v>
          </cell>
          <cell r="V44">
            <v>0.67791261669409064</v>
          </cell>
          <cell r="W44">
            <v>0.33</v>
          </cell>
          <cell r="X44">
            <v>0.31</v>
          </cell>
          <cell r="Y44" t="str">
            <v>B</v>
          </cell>
          <cell r="Z44">
            <v>0.6279126166940906</v>
          </cell>
          <cell r="AA44">
            <v>0.25505604906994905</v>
          </cell>
        </row>
        <row r="45">
          <cell r="F45" t="str">
            <v>KJ6UEF24</v>
          </cell>
          <cell r="G45" t="str">
            <v>CAT6 RJ45 KEYSTONE JACK UNSHIELDED TOOLESS 24PCS PER ECO FRIENDLY CARTON</v>
          </cell>
          <cell r="I45" t="str">
            <v>China</v>
          </cell>
          <cell r="K45" t="str">
            <v xml:space="preserve">24 pcs eco friendly box </v>
          </cell>
          <cell r="L45" t="str">
            <v>10 000pcs</v>
          </cell>
          <cell r="M45">
            <v>10368</v>
          </cell>
          <cell r="N45" t="str">
            <v>4897108881930</v>
          </cell>
          <cell r="O45" t="str">
            <v>853669 9099</v>
          </cell>
          <cell r="P45">
            <v>2.3E-2</v>
          </cell>
          <cell r="Q45">
            <v>45</v>
          </cell>
          <cell r="R45">
            <v>45</v>
          </cell>
          <cell r="S45">
            <v>55</v>
          </cell>
          <cell r="T45" t="str">
            <v>T/T 35 days</v>
          </cell>
          <cell r="U45">
            <v>0.73229030856149513</v>
          </cell>
          <cell r="V45">
            <v>0.6981488142073472</v>
          </cell>
          <cell r="W45">
            <v>0.35000000000000003</v>
          </cell>
          <cell r="X45">
            <v>0.33</v>
          </cell>
          <cell r="Y45" t="str">
            <v>B</v>
          </cell>
          <cell r="Z45">
            <v>0.64814881420734716</v>
          </cell>
          <cell r="AA45">
            <v>0.27831433882823853</v>
          </cell>
        </row>
        <row r="46">
          <cell r="F46" t="str">
            <v>KJ6UHQEF24</v>
          </cell>
          <cell r="G46" t="str">
            <v>CAT6 RJ45 KEYSTONE JACK UNSHIELDED TOOLESS INTERTEK CERTIFIED 24PCS PER ECO FRIENDLY CARTON</v>
          </cell>
          <cell r="I46" t="str">
            <v>China</v>
          </cell>
          <cell r="K46" t="str">
            <v xml:space="preserve">24 pcs eco friendly box </v>
          </cell>
          <cell r="L46" t="str">
            <v>10 000pcs</v>
          </cell>
          <cell r="M46">
            <v>10368</v>
          </cell>
          <cell r="N46" t="str">
            <v>4897108881947</v>
          </cell>
          <cell r="O46" t="str">
            <v>853669 9099</v>
          </cell>
          <cell r="P46">
            <v>2.3E-2</v>
          </cell>
          <cell r="Q46">
            <v>45</v>
          </cell>
          <cell r="R46">
            <v>45</v>
          </cell>
          <cell r="S46">
            <v>55</v>
          </cell>
          <cell r="T46" t="str">
            <v>T/T 35 days</v>
          </cell>
          <cell r="U46">
            <v>0.9474141677531509</v>
          </cell>
          <cell r="V46">
            <v>0.89637088578189772</v>
          </cell>
          <cell r="W46">
            <v>0.35000000000000003</v>
          </cell>
          <cell r="X46">
            <v>0.33</v>
          </cell>
          <cell r="Y46" t="str">
            <v>B</v>
          </cell>
          <cell r="Z46">
            <v>0.84637088578189767</v>
          </cell>
          <cell r="AA46">
            <v>0.29041924342771797</v>
          </cell>
        </row>
        <row r="47">
          <cell r="F47" t="str">
            <v>KJ6FSEF1</v>
          </cell>
          <cell r="G47" t="str">
            <v>CAT6 RJ45 KEYSTONE JACK SHIELDED TOOLESS 1PCS PER ECO FRIENDLY BAG</v>
          </cell>
          <cell r="I47" t="str">
            <v>China</v>
          </cell>
          <cell r="K47" t="str">
            <v>1 pcs eco friendly bag/24pcs per big bag</v>
          </cell>
          <cell r="L47" t="str">
            <v>10 000pcs</v>
          </cell>
          <cell r="M47">
            <v>6912</v>
          </cell>
          <cell r="N47" t="str">
            <v>4897108881954</v>
          </cell>
          <cell r="O47" t="str">
            <v>853669 9099</v>
          </cell>
          <cell r="P47">
            <v>2.3E-2</v>
          </cell>
          <cell r="Q47">
            <v>45</v>
          </cell>
          <cell r="R47">
            <v>45</v>
          </cell>
          <cell r="S47">
            <v>55</v>
          </cell>
          <cell r="T47" t="str">
            <v>T/T 35 days</v>
          </cell>
          <cell r="U47">
            <v>1.5249449391937182</v>
          </cell>
          <cell r="V47">
            <v>1.4394216242032745</v>
          </cell>
          <cell r="W47">
            <v>0.41000000000000003</v>
          </cell>
          <cell r="X47">
            <v>0.39</v>
          </cell>
          <cell r="Y47" t="str">
            <v>A</v>
          </cell>
          <cell r="Z47">
            <v>1.295479461782947</v>
          </cell>
          <cell r="AA47">
            <v>0.3222222222222223</v>
          </cell>
        </row>
        <row r="48">
          <cell r="F48" t="str">
            <v>KJ6FSEF8</v>
          </cell>
          <cell r="G48" t="str">
            <v>CAT6 RJ45 KEYSTONE JACK SHIELDED TOOLESS 8PCS PER ECO FRIENDLY CARTON</v>
          </cell>
          <cell r="I48" t="str">
            <v>China</v>
          </cell>
          <cell r="K48" t="str">
            <v>8 pcs eco friendly box</v>
          </cell>
          <cell r="L48" t="str">
            <v>10 000pcs</v>
          </cell>
          <cell r="M48">
            <v>8064</v>
          </cell>
          <cell r="N48" t="str">
            <v>4897108881961</v>
          </cell>
          <cell r="O48" t="str">
            <v>853669 9099</v>
          </cell>
          <cell r="P48">
            <v>2.3E-2</v>
          </cell>
          <cell r="Q48">
            <v>45</v>
          </cell>
          <cell r="R48">
            <v>45</v>
          </cell>
          <cell r="S48">
            <v>55</v>
          </cell>
          <cell r="T48" t="str">
            <v>T/T 35 days</v>
          </cell>
          <cell r="U48">
            <v>1.5057933544000766</v>
          </cell>
          <cell r="V48">
            <v>1.4163223265811269</v>
          </cell>
          <cell r="W48">
            <v>0.41000000000000003</v>
          </cell>
          <cell r="X48">
            <v>0.39</v>
          </cell>
          <cell r="Y48" t="str">
            <v>A</v>
          </cell>
          <cell r="Z48">
            <v>1.2746900939230141</v>
          </cell>
          <cell r="AA48">
            <v>0.32222222222222219</v>
          </cell>
        </row>
        <row r="49">
          <cell r="F49" t="str">
            <v>KJ6FSEF24</v>
          </cell>
          <cell r="G49" t="str">
            <v>CAT6 RJ45 KEYSTONE JACK SHIELDED TOOLESS 24PCS PER ECO FRIENDLY CARTON</v>
          </cell>
          <cell r="I49" t="str">
            <v>China</v>
          </cell>
          <cell r="K49" t="str">
            <v>24 pcs eco friendly box</v>
          </cell>
          <cell r="L49" t="str">
            <v>10 000pcs</v>
          </cell>
          <cell r="M49">
            <v>10368</v>
          </cell>
          <cell r="N49" t="str">
            <v>4897108881978</v>
          </cell>
          <cell r="O49" t="str">
            <v>853669 9099</v>
          </cell>
          <cell r="P49">
            <v>2.3E-2</v>
          </cell>
          <cell r="Q49">
            <v>45</v>
          </cell>
          <cell r="R49">
            <v>45</v>
          </cell>
          <cell r="S49">
            <v>55</v>
          </cell>
          <cell r="T49" t="str">
            <v>T/T 35 days</v>
          </cell>
          <cell r="U49">
            <v>1.4818538734080244</v>
          </cell>
          <cell r="V49">
            <v>1.3869893864823466</v>
          </cell>
          <cell r="W49">
            <v>0.41000000000000003</v>
          </cell>
          <cell r="X49">
            <v>0.39</v>
          </cell>
          <cell r="Y49" t="str">
            <v>A</v>
          </cell>
          <cell r="Z49">
            <v>1.2482904478341119</v>
          </cell>
          <cell r="AA49">
            <v>0.3222222222222223</v>
          </cell>
        </row>
        <row r="50">
          <cell r="F50" t="str">
            <v>KJ6FSHQEF8</v>
          </cell>
          <cell r="G50" t="str">
            <v>CAT6 RJ45 KEYSTONE JACK SHIELDED TOOLESS INTERTEK CERTIFIED 8PCS PER ECO FRIENDLY CARTON</v>
          </cell>
          <cell r="I50" t="str">
            <v>China</v>
          </cell>
          <cell r="K50" t="str">
            <v>8 pcs eco friendly box</v>
          </cell>
          <cell r="L50" t="str">
            <v>10 000pcs</v>
          </cell>
          <cell r="M50">
            <v>8064</v>
          </cell>
          <cell r="N50" t="str">
            <v>4897108881985</v>
          </cell>
          <cell r="O50" t="str">
            <v>853669 9099</v>
          </cell>
          <cell r="P50">
            <v>2.3E-2</v>
          </cell>
          <cell r="Q50">
            <v>45</v>
          </cell>
          <cell r="R50">
            <v>45</v>
          </cell>
          <cell r="S50">
            <v>55</v>
          </cell>
          <cell r="T50" t="str">
            <v>T/T 35 days</v>
          </cell>
          <cell r="U50">
            <v>1.6172855479363437</v>
          </cell>
          <cell r="V50">
            <v>1.5204125498658152</v>
          </cell>
          <cell r="W50">
            <v>0.34500000000000003</v>
          </cell>
          <cell r="X50">
            <v>0.32500000000000001</v>
          </cell>
          <cell r="Y50" t="str">
            <v>A</v>
          </cell>
          <cell r="Z50">
            <v>1.3683712948792337</v>
          </cell>
          <cell r="AA50">
            <v>0.25</v>
          </cell>
        </row>
        <row r="51">
          <cell r="F51" t="str">
            <v>KJ6FSHQEF24</v>
          </cell>
          <cell r="G51" t="str">
            <v>CAT6 RJ45 KEYSTONE JACK SHIELDED TOOLESS INTERTEK CERTIFIED 24PCS PER ECO FRIENDLY CARTON</v>
          </cell>
          <cell r="I51" t="str">
            <v>China</v>
          </cell>
          <cell r="K51" t="str">
            <v>24 pcs eco friendly box</v>
          </cell>
          <cell r="L51" t="str">
            <v>10 000pcs</v>
          </cell>
          <cell r="M51">
            <v>10368</v>
          </cell>
          <cell r="N51" t="str">
            <v>4897108881992</v>
          </cell>
          <cell r="O51" t="str">
            <v>853669 9099</v>
          </cell>
          <cell r="P51">
            <v>2.3E-2</v>
          </cell>
          <cell r="Q51">
            <v>45</v>
          </cell>
          <cell r="R51">
            <v>45</v>
          </cell>
          <cell r="S51">
            <v>55</v>
          </cell>
          <cell r="T51" t="str">
            <v>T/T 35 days</v>
          </cell>
          <cell r="U51">
            <v>1.5836329395651432</v>
          </cell>
          <cell r="V51">
            <v>1.4829196730870133</v>
          </cell>
          <cell r="W51">
            <v>0.34</v>
          </cell>
          <cell r="X51">
            <v>0.32</v>
          </cell>
          <cell r="Y51" t="str">
            <v>A</v>
          </cell>
          <cell r="Z51">
            <v>1.334627705778312</v>
          </cell>
          <cell r="AA51">
            <v>0.24444444444444458</v>
          </cell>
        </row>
        <row r="52">
          <cell r="F52" t="str">
            <v>KJ6AUEF24</v>
          </cell>
          <cell r="G52" t="str">
            <v>CAT6A RJ45 KEYSTONE JACK UNSHIELDED TOOLESS 24PCS PER ECO FRIENDLY CARTON</v>
          </cell>
          <cell r="I52" t="str">
            <v>China</v>
          </cell>
          <cell r="K52" t="str">
            <v>24 pcs eco friendly box</v>
          </cell>
          <cell r="L52" t="str">
            <v>10 000pcs</v>
          </cell>
          <cell r="M52">
            <v>10368</v>
          </cell>
          <cell r="N52" t="str">
            <v>4897108882005</v>
          </cell>
          <cell r="O52" t="str">
            <v>853669 9099</v>
          </cell>
          <cell r="P52">
            <v>2.3E-2</v>
          </cell>
          <cell r="Q52">
            <v>45</v>
          </cell>
          <cell r="R52">
            <v>45</v>
          </cell>
          <cell r="S52">
            <v>55</v>
          </cell>
          <cell r="T52" t="str">
            <v>T/T 35 days</v>
          </cell>
          <cell r="U52">
            <v>1.0270222922962378</v>
          </cell>
          <cell r="V52">
            <v>0.96968133753211172</v>
          </cell>
          <cell r="W52">
            <v>0.35500000000000004</v>
          </cell>
          <cell r="X52">
            <v>0.33500000000000002</v>
          </cell>
          <cell r="Y52" t="str">
            <v>A</v>
          </cell>
          <cell r="Z52">
            <v>0.8727132037789006</v>
          </cell>
          <cell r="AA52">
            <v>0.26111111111111107</v>
          </cell>
        </row>
        <row r="53">
          <cell r="F53" t="str">
            <v>KJ6AUHQEF24</v>
          </cell>
          <cell r="G53" t="str">
            <v>CAT6A RJ45 KEYSTONE JACK UNSHIELDED TOOLESS INTERTEK CERTIFIED 24PCS PER ECO FRIENDLY CARTON</v>
          </cell>
          <cell r="I53" t="str">
            <v>China</v>
          </cell>
          <cell r="K53" t="str">
            <v xml:space="preserve">24 pcs eco friendly box </v>
          </cell>
          <cell r="L53" t="str">
            <v>10 000pcs</v>
          </cell>
          <cell r="M53">
            <v>10368</v>
          </cell>
          <cell r="N53" t="str">
            <v>4897108882012</v>
          </cell>
          <cell r="O53" t="str">
            <v>853669 9099</v>
          </cell>
          <cell r="P53">
            <v>2.3E-2</v>
          </cell>
          <cell r="Q53">
            <v>45</v>
          </cell>
          <cell r="R53">
            <v>45</v>
          </cell>
          <cell r="S53">
            <v>55</v>
          </cell>
          <cell r="T53" t="str">
            <v>T/T 35 days</v>
          </cell>
          <cell r="U53">
            <v>1.3450673620165148</v>
          </cell>
          <cell r="V53">
            <v>1.2627813817227336</v>
          </cell>
          <cell r="W53">
            <v>0.35000000000000003</v>
          </cell>
          <cell r="X53">
            <v>0.33</v>
          </cell>
          <cell r="Y53" t="str">
            <v>A</v>
          </cell>
          <cell r="Z53">
            <v>1.1365032435504603</v>
          </cell>
          <cell r="AA53">
            <v>0.25555555555555565</v>
          </cell>
        </row>
        <row r="54">
          <cell r="F54" t="str">
            <v>KJ6AFSEF1</v>
          </cell>
          <cell r="G54" t="str">
            <v>CAT6A RJ45 KEYSTONE JACK SHIELDED TOOLESS 1PC PER ECO FRIENDLY BAG</v>
          </cell>
          <cell r="I54" t="str">
            <v>China</v>
          </cell>
          <cell r="K54" t="str">
            <v>1 pcs eco friendly bag/24pcs per big bag</v>
          </cell>
          <cell r="L54" t="str">
            <v>10 000pcs</v>
          </cell>
          <cell r="M54">
            <v>6912</v>
          </cell>
          <cell r="N54" t="str">
            <v>4897108880285</v>
          </cell>
          <cell r="O54" t="str">
            <v>853669 9099</v>
          </cell>
          <cell r="P54">
            <v>2.3E-2</v>
          </cell>
          <cell r="Q54">
            <v>45</v>
          </cell>
          <cell r="R54">
            <v>45</v>
          </cell>
          <cell r="S54">
            <v>55</v>
          </cell>
          <cell r="T54" t="str">
            <v>T/T 35 days</v>
          </cell>
          <cell r="U54">
            <v>1.6467393684579337</v>
          </cell>
          <cell r="V54">
            <v>1.5523609402362708</v>
          </cell>
          <cell r="W54">
            <v>0.35500000000000004</v>
          </cell>
          <cell r="X54">
            <v>0.33500000000000002</v>
          </cell>
          <cell r="Y54" t="str">
            <v>A</v>
          </cell>
          <cell r="Z54">
            <v>1.3971248462126438</v>
          </cell>
          <cell r="AA54">
            <v>0.26111111111111118</v>
          </cell>
        </row>
        <row r="55">
          <cell r="F55" t="str">
            <v>KJ6AFSEF8</v>
          </cell>
          <cell r="G55" t="str">
            <v>CAT6A RJ45 KEYSTONE JACK SHIELDED TOOLESS 8PCS PER ECO FRIENDLY CARTON</v>
          </cell>
          <cell r="I55" t="str">
            <v>China</v>
          </cell>
          <cell r="K55" t="str">
            <v>8 pcs eco friendly box</v>
          </cell>
          <cell r="L55" t="str">
            <v>10 000pcs</v>
          </cell>
          <cell r="M55">
            <v>8064</v>
          </cell>
          <cell r="N55" t="str">
            <v>4897108882029</v>
          </cell>
          <cell r="O55" t="str">
            <v>853669 9099</v>
          </cell>
          <cell r="P55">
            <v>2.3E-2</v>
          </cell>
          <cell r="Q55">
            <v>45</v>
          </cell>
          <cell r="R55">
            <v>45</v>
          </cell>
          <cell r="S55">
            <v>55</v>
          </cell>
          <cell r="T55" t="str">
            <v>T/T 35 days</v>
          </cell>
          <cell r="U55">
            <v>1.6292208645381683</v>
          </cell>
          <cell r="V55">
            <v>1.5311721108385112</v>
          </cell>
          <cell r="W55">
            <v>0.35500000000000004</v>
          </cell>
          <cell r="X55">
            <v>0.33500000000000002</v>
          </cell>
          <cell r="Y55" t="str">
            <v>A</v>
          </cell>
          <cell r="Z55">
            <v>1.3780548997546602</v>
          </cell>
          <cell r="AA55">
            <v>0.26111111111111118</v>
          </cell>
        </row>
        <row r="56">
          <cell r="F56" t="str">
            <v>KJ6AFSEF24</v>
          </cell>
          <cell r="G56" t="str">
            <v>CAT6A RJ45 KEYSTONE JACK SHIELDED TOOLESS 24PCS PER ECO FRIENDLY CARTON</v>
          </cell>
          <cell r="I56" t="str">
            <v>China</v>
          </cell>
          <cell r="K56" t="str">
            <v xml:space="preserve">24 pcs eco friendly box </v>
          </cell>
          <cell r="L56" t="str">
            <v>10 000pcs</v>
          </cell>
          <cell r="M56">
            <v>10368</v>
          </cell>
          <cell r="N56" t="str">
            <v>4897108882036</v>
          </cell>
          <cell r="O56" t="str">
            <v>853669 9099</v>
          </cell>
          <cell r="P56">
            <v>2.3E-2</v>
          </cell>
          <cell r="Q56">
            <v>45</v>
          </cell>
          <cell r="R56">
            <v>45</v>
          </cell>
          <cell r="S56">
            <v>55</v>
          </cell>
          <cell r="T56" t="str">
            <v>T/T 35 days</v>
          </cell>
          <cell r="U56">
            <v>1.5949587136027816</v>
          </cell>
          <cell r="V56">
            <v>1.4930393436527674</v>
          </cell>
          <cell r="W56">
            <v>0.35000000000000003</v>
          </cell>
          <cell r="X56">
            <v>0.33</v>
          </cell>
          <cell r="Y56" t="str">
            <v>A</v>
          </cell>
          <cell r="Z56">
            <v>1.3437354092874907</v>
          </cell>
          <cell r="AA56">
            <v>0.25555555555555565</v>
          </cell>
        </row>
        <row r="57">
          <cell r="F57" t="str">
            <v>KJ6AFSHQEF1</v>
          </cell>
          <cell r="G57" t="str">
            <v>CAT6A RJ45 KEYSTONE JACK SHIELDED TOOLESS INTERTEK CERTIFIED 1PCS PER ECO FRIENDLY BAG</v>
          </cell>
          <cell r="I57" t="str">
            <v>China</v>
          </cell>
          <cell r="K57" t="str">
            <v>1 pcs eco friendly bag/24pcs per big bag</v>
          </cell>
          <cell r="L57" t="str">
            <v>10 000pcs</v>
          </cell>
          <cell r="M57">
            <v>6912</v>
          </cell>
          <cell r="N57" t="str">
            <v>4897108882043</v>
          </cell>
          <cell r="O57" t="str">
            <v>853669 9099</v>
          </cell>
          <cell r="P57">
            <v>2.3E-2</v>
          </cell>
          <cell r="Q57">
            <v>45</v>
          </cell>
          <cell r="R57">
            <v>45</v>
          </cell>
          <cell r="S57">
            <v>55</v>
          </cell>
          <cell r="T57" t="str">
            <v>T/T 35 days</v>
          </cell>
          <cell r="U57">
            <v>1.8270129658984677</v>
          </cell>
          <cell r="V57">
            <v>1.7196097242329926</v>
          </cell>
          <cell r="W57">
            <v>0.30499999999999999</v>
          </cell>
          <cell r="X57">
            <v>0.28499999999999998</v>
          </cell>
          <cell r="Y57" t="str">
            <v>A</v>
          </cell>
          <cell r="Z57">
            <v>1.5476487518096933</v>
          </cell>
          <cell r="AA57">
            <v>0.20555555555555549</v>
          </cell>
        </row>
        <row r="58">
          <cell r="F58" t="str">
            <v>KJ6AFSHQEF8</v>
          </cell>
          <cell r="G58" t="str">
            <v>CAT6A RJ45 KEYSTONE JACK SHIELDED TOOLESS INTERTEK CERTIFIED 8PCS PER ECO FRIENDLY CARTON</v>
          </cell>
          <cell r="I58" t="str">
            <v>China</v>
          </cell>
          <cell r="K58" t="str">
            <v xml:space="preserve">8 pcs eco friendly box </v>
          </cell>
          <cell r="L58" t="str">
            <v>10 000pcs</v>
          </cell>
          <cell r="M58">
            <v>8064</v>
          </cell>
          <cell r="N58" t="str">
            <v>4897108882050</v>
          </cell>
          <cell r="O58" t="str">
            <v>853669 9099</v>
          </cell>
          <cell r="P58">
            <v>2.3E-2</v>
          </cell>
          <cell r="Q58">
            <v>45</v>
          </cell>
          <cell r="R58">
            <v>45</v>
          </cell>
          <cell r="S58">
            <v>55</v>
          </cell>
          <cell r="T58" t="str">
            <v>T/T 35 days</v>
          </cell>
          <cell r="U58">
            <v>1.8107547860017068</v>
          </cell>
          <cell r="V58">
            <v>1.6999026311567547</v>
          </cell>
          <cell r="W58">
            <v>0.30499999999999999</v>
          </cell>
          <cell r="X58">
            <v>0.28499999999999998</v>
          </cell>
          <cell r="Y58" t="str">
            <v>A</v>
          </cell>
          <cell r="Z58">
            <v>1.5299123680410793</v>
          </cell>
          <cell r="AA58">
            <v>0.2055555555555556</v>
          </cell>
        </row>
        <row r="59">
          <cell r="F59" t="str">
            <v>KJ6AFSHQEF24</v>
          </cell>
          <cell r="G59" t="str">
            <v>CAT6A RJ45 KEYSTONE JACK SHIELDED TOOLESS INTERTEK CERTIFIED 24PCS PER ECO FRIENDLY CARTON</v>
          </cell>
          <cell r="I59" t="str">
            <v>China</v>
          </cell>
          <cell r="K59" t="str">
            <v>24 pcs eco friendly box</v>
          </cell>
          <cell r="L59" t="str">
            <v>10 000pcs</v>
          </cell>
          <cell r="M59">
            <v>10368</v>
          </cell>
          <cell r="N59" t="str">
            <v>4897108881800</v>
          </cell>
          <cell r="O59" t="str">
            <v>853669 9099</v>
          </cell>
          <cell r="P59">
            <v>2.3E-2</v>
          </cell>
          <cell r="Q59">
            <v>45</v>
          </cell>
          <cell r="R59">
            <v>45</v>
          </cell>
          <cell r="S59">
            <v>55</v>
          </cell>
          <cell r="T59" t="str">
            <v>T/T 35 days</v>
          </cell>
          <cell r="U59">
            <v>1.8165697554538331</v>
          </cell>
          <cell r="V59">
            <v>1.6986344508040052</v>
          </cell>
          <cell r="W59">
            <v>0.315</v>
          </cell>
          <cell r="X59">
            <v>0.29499999999999998</v>
          </cell>
          <cell r="Y59" t="str">
            <v>A</v>
          </cell>
          <cell r="Z59">
            <v>1.5287710057236048</v>
          </cell>
          <cell r="AA59">
            <v>0.21666666666666667</v>
          </cell>
        </row>
        <row r="60">
          <cell r="F60" t="str">
            <v>KJ6ADSRD</v>
          </cell>
          <cell r="G60" t="str">
            <v>CAT6A DUST SHUTTER RED RAL3027 100PCS PER ECO FRIENDLY BAG</v>
          </cell>
          <cell r="I60" t="str">
            <v>China</v>
          </cell>
          <cell r="K60" t="str">
            <v>100 pcs polybag</v>
          </cell>
          <cell r="L60" t="str">
            <v>20 000pcs</v>
          </cell>
          <cell r="M60">
            <v>86400</v>
          </cell>
          <cell r="N60" t="str">
            <v>4897108882517</v>
          </cell>
          <cell r="O60" t="str">
            <v>853669 9099</v>
          </cell>
          <cell r="P60">
            <v>2.3E-2</v>
          </cell>
          <cell r="Q60">
            <v>45</v>
          </cell>
          <cell r="R60">
            <v>45</v>
          </cell>
          <cell r="S60">
            <v>55</v>
          </cell>
          <cell r="T60" t="str">
            <v>T/T 35days</v>
          </cell>
          <cell r="U60">
            <v>5.0443906376109758E-2</v>
          </cell>
          <cell r="V60">
            <v>5.0986053744651684E-2</v>
          </cell>
          <cell r="W60">
            <v>0.72</v>
          </cell>
          <cell r="X60">
            <v>0.7</v>
          </cell>
          <cell r="Y60" t="str">
            <v>C</v>
          </cell>
          <cell r="Z60">
            <v>5.0986053744651684E-2</v>
          </cell>
          <cell r="AA60">
            <v>0.7</v>
          </cell>
        </row>
        <row r="61">
          <cell r="F61" t="str">
            <v>KJ6ADSBL</v>
          </cell>
          <cell r="G61" t="str">
            <v>CAT6A DUST SHUTTER BLUE RAL5024 100PCS PER ECO FRIENDLY BAG</v>
          </cell>
          <cell r="I61" t="str">
            <v>China</v>
          </cell>
          <cell r="K61" t="str">
            <v>100 pcs polybag</v>
          </cell>
          <cell r="L61" t="str">
            <v>20 000pcs</v>
          </cell>
          <cell r="M61">
            <v>86400</v>
          </cell>
          <cell r="N61" t="str">
            <v>4897108882524</v>
          </cell>
          <cell r="O61" t="str">
            <v>853669 9099</v>
          </cell>
          <cell r="P61">
            <v>2.3E-2</v>
          </cell>
          <cell r="Q61">
            <v>45</v>
          </cell>
          <cell r="R61">
            <v>45</v>
          </cell>
          <cell r="S61">
            <v>55</v>
          </cell>
          <cell r="T61" t="str">
            <v>T/T 35days</v>
          </cell>
          <cell r="U61">
            <v>5.0443906376109758E-2</v>
          </cell>
          <cell r="V61">
            <v>5.0986053744651684E-2</v>
          </cell>
          <cell r="W61">
            <v>0.72</v>
          </cell>
          <cell r="X61">
            <v>0.7</v>
          </cell>
          <cell r="Y61" t="str">
            <v>C</v>
          </cell>
          <cell r="Z61">
            <v>5.0986053744651684E-2</v>
          </cell>
          <cell r="AA61">
            <v>0.7</v>
          </cell>
        </row>
        <row r="62">
          <cell r="F62" t="str">
            <v>KJ6ADSGE</v>
          </cell>
          <cell r="G62" t="str">
            <v>CAT6A DUST SHUTTER GREEN RAL6018 100PCS PER ECO FRIENDLY BAG</v>
          </cell>
          <cell r="I62" t="str">
            <v>China</v>
          </cell>
          <cell r="K62" t="str">
            <v>100 pcs polybag</v>
          </cell>
          <cell r="L62" t="str">
            <v>20 000pcs</v>
          </cell>
          <cell r="M62">
            <v>86400</v>
          </cell>
          <cell r="N62" t="str">
            <v>4897108882531</v>
          </cell>
          <cell r="O62" t="str">
            <v>853669 9099</v>
          </cell>
          <cell r="P62">
            <v>2.3E-2</v>
          </cell>
          <cell r="Q62">
            <v>45</v>
          </cell>
          <cell r="R62">
            <v>45</v>
          </cell>
          <cell r="S62">
            <v>55</v>
          </cell>
          <cell r="T62" t="str">
            <v>T/T 35days</v>
          </cell>
          <cell r="U62">
            <v>5.0443906376109758E-2</v>
          </cell>
          <cell r="V62">
            <v>5.0986053744651684E-2</v>
          </cell>
          <cell r="W62">
            <v>0.72</v>
          </cell>
          <cell r="X62">
            <v>0.7</v>
          </cell>
          <cell r="Y62" t="str">
            <v>C</v>
          </cell>
          <cell r="Z62">
            <v>5.0986053744651684E-2</v>
          </cell>
          <cell r="AA62">
            <v>0.7</v>
          </cell>
        </row>
        <row r="63">
          <cell r="F63" t="str">
            <v>KJ6ADSOR</v>
          </cell>
          <cell r="G63" t="str">
            <v>CAT6A DUST SHUTTER ORANGE RAL2003 100PCS PER ECO FRIENDLY BAG</v>
          </cell>
          <cell r="I63" t="str">
            <v>China</v>
          </cell>
          <cell r="K63" t="str">
            <v>100 pcs polybag</v>
          </cell>
          <cell r="L63" t="str">
            <v>20 000pcs</v>
          </cell>
          <cell r="M63">
            <v>86400</v>
          </cell>
          <cell r="N63" t="str">
            <v>4897108882548</v>
          </cell>
          <cell r="O63" t="str">
            <v>853669 9099</v>
          </cell>
          <cell r="P63">
            <v>2.3E-2</v>
          </cell>
          <cell r="Q63">
            <v>45</v>
          </cell>
          <cell r="R63">
            <v>45</v>
          </cell>
          <cell r="S63">
            <v>55</v>
          </cell>
          <cell r="T63" t="str">
            <v>T/T 35days</v>
          </cell>
          <cell r="U63">
            <v>5.0443906376109758E-2</v>
          </cell>
          <cell r="V63">
            <v>5.0986053744651684E-2</v>
          </cell>
          <cell r="W63">
            <v>0.72</v>
          </cell>
          <cell r="X63">
            <v>0.7</v>
          </cell>
          <cell r="Y63" t="str">
            <v>C</v>
          </cell>
          <cell r="Z63">
            <v>5.0986053744651684E-2</v>
          </cell>
          <cell r="AA63">
            <v>0.7</v>
          </cell>
        </row>
        <row r="64">
          <cell r="F64" t="str">
            <v>KPL6AFSEF8</v>
          </cell>
          <cell r="G64" t="str">
            <v>CAT6A RJ45 FIELD PLUG SHIELDED TOOLESS 8PCS PER ECO FRIENDLY CARTON</v>
          </cell>
          <cell r="I64" t="str">
            <v>China</v>
          </cell>
          <cell r="K64" t="str">
            <v xml:space="preserve">8 pcs eco friendly box </v>
          </cell>
          <cell r="L64" t="str">
            <v>5000 pcs</v>
          </cell>
          <cell r="M64">
            <v>8064</v>
          </cell>
          <cell r="O64" t="str">
            <v>853669 9099</v>
          </cell>
          <cell r="P64">
            <v>2.3E-2</v>
          </cell>
          <cell r="Q64">
            <v>45</v>
          </cell>
          <cell r="R64">
            <v>45</v>
          </cell>
          <cell r="S64">
            <v>55</v>
          </cell>
          <cell r="T64" t="str">
            <v>T/T 30days</v>
          </cell>
          <cell r="U64">
            <v>1.6446095503444007</v>
          </cell>
          <cell r="V64">
            <v>1.5472383493640132</v>
          </cell>
          <cell r="W64">
            <v>0.27</v>
          </cell>
          <cell r="X64">
            <v>0.25</v>
          </cell>
          <cell r="Y64" t="str">
            <v>B</v>
          </cell>
          <cell r="Z64">
            <v>1.4972383493640131</v>
          </cell>
          <cell r="AA64">
            <v>0.224953887591826</v>
          </cell>
        </row>
        <row r="65">
          <cell r="F65" t="str">
            <v>KPLFF6AFSEF8</v>
          </cell>
          <cell r="G65" t="str">
            <v>CAT6A FIELD EXTENDER FEMALE/FEMALE SHIELDED TOOLESS 8PCS PER ECO FRIENDLY CARTON</v>
          </cell>
          <cell r="I65" t="str">
            <v>China</v>
          </cell>
          <cell r="K65" t="str">
            <v xml:space="preserve">8 pcs eco friendly box </v>
          </cell>
          <cell r="L65" t="str">
            <v>5000 pcs</v>
          </cell>
          <cell r="M65">
            <v>8064</v>
          </cell>
          <cell r="O65" t="str">
            <v>853669 9099</v>
          </cell>
          <cell r="P65">
            <v>2.3E-2</v>
          </cell>
          <cell r="Q65">
            <v>45</v>
          </cell>
          <cell r="R65">
            <v>45</v>
          </cell>
          <cell r="S65">
            <v>55</v>
          </cell>
          <cell r="T65" t="str">
            <v>T/T 30days</v>
          </cell>
          <cell r="U65">
            <v>1.8961380698088384</v>
          </cell>
          <cell r="V65">
            <v>1.7797655201942266</v>
          </cell>
          <cell r="W65">
            <v>0.27</v>
          </cell>
          <cell r="X65">
            <v>0.25</v>
          </cell>
          <cell r="Y65" t="str">
            <v>B</v>
          </cell>
          <cell r="Z65">
            <v>1.7297655201942266</v>
          </cell>
          <cell r="AA65">
            <v>0.22832076107298671</v>
          </cell>
        </row>
        <row r="66">
          <cell r="F66" t="str">
            <v>KPL6AFSHQEF8</v>
          </cell>
          <cell r="G66" t="str">
            <v>CAT6A RJ45 FIELD PLUG SHIELDED TOOLESS DELTA FORCE CERTIFIED 8PCS PER ECO FRIENDLY CARTON</v>
          </cell>
          <cell r="I66" t="str">
            <v>China</v>
          </cell>
          <cell r="K66" t="str">
            <v xml:space="preserve">8 pcs eco friendly box </v>
          </cell>
          <cell r="L66" t="str">
            <v>3000 pcs</v>
          </cell>
          <cell r="M66">
            <v>6000</v>
          </cell>
          <cell r="O66" t="str">
            <v>853669 9099</v>
          </cell>
          <cell r="P66">
            <v>2.3E-2</v>
          </cell>
          <cell r="Q66">
            <v>30</v>
          </cell>
          <cell r="R66">
            <v>45</v>
          </cell>
          <cell r="S66">
            <v>55</v>
          </cell>
          <cell r="T66" t="str">
            <v>T/T against copy of document</v>
          </cell>
          <cell r="U66">
            <v>4.3972500170172211</v>
          </cell>
          <cell r="V66">
            <v>4.1100315873510151</v>
          </cell>
          <cell r="W66">
            <v>0.16999999999999998</v>
          </cell>
          <cell r="X66">
            <v>0.15</v>
          </cell>
          <cell r="Y66" t="str">
            <v>B</v>
          </cell>
          <cell r="Z66">
            <v>4.0600315873510153</v>
          </cell>
          <cell r="AA66">
            <v>0.13953210114610737</v>
          </cell>
        </row>
        <row r="67">
          <cell r="F67" t="str">
            <v>KPL45S6BI</v>
          </cell>
          <cell r="G67" t="str">
            <v>PLUG RJ45 8P8C CAT6 BIG WIRE INSERT 100PCS PER POLYBAG</v>
          </cell>
          <cell r="I67" t="str">
            <v>China</v>
          </cell>
          <cell r="K67" t="str">
            <v>100 pcs polybag</v>
          </cell>
          <cell r="L67" t="str">
            <v>5000 pcs</v>
          </cell>
          <cell r="M67">
            <v>60000</v>
          </cell>
          <cell r="O67">
            <v>8536699099</v>
          </cell>
          <cell r="P67">
            <v>0</v>
          </cell>
          <cell r="Q67">
            <v>30</v>
          </cell>
          <cell r="R67">
            <v>45</v>
          </cell>
          <cell r="S67">
            <v>55</v>
          </cell>
          <cell r="T67" t="str">
            <v>T/T against copy of document</v>
          </cell>
          <cell r="U67">
            <v>0.27591077342684589</v>
          </cell>
          <cell r="V67">
            <v>0.25169993860710116</v>
          </cell>
          <cell r="W67">
            <v>0.42000000000000004</v>
          </cell>
          <cell r="X67">
            <v>0.4</v>
          </cell>
          <cell r="Y67" t="str">
            <v>C</v>
          </cell>
          <cell r="Z67">
            <v>0.25169993860710116</v>
          </cell>
          <cell r="AA67">
            <v>0.4</v>
          </cell>
        </row>
        <row r="68">
          <cell r="F68" t="str">
            <v>KPL45BIBOGR</v>
          </cell>
          <cell r="G68" t="str">
            <v>BOOTS FOR RJ45 PLUG 8P8C BIG WIRE INSERT  GREY DIAM 8.5</v>
          </cell>
          <cell r="I68" t="str">
            <v>China</v>
          </cell>
          <cell r="K68" t="str">
            <v>100 pcs polybag</v>
          </cell>
          <cell r="L68" t="str">
            <v>5000 pcs</v>
          </cell>
          <cell r="M68">
            <v>60000</v>
          </cell>
          <cell r="O68">
            <v>3926909790</v>
          </cell>
          <cell r="P68">
            <v>0</v>
          </cell>
          <cell r="Q68">
            <v>30</v>
          </cell>
          <cell r="R68">
            <v>45</v>
          </cell>
          <cell r="S68">
            <v>55</v>
          </cell>
          <cell r="T68" t="str">
            <v>T/T against copy of document</v>
          </cell>
          <cell r="U68">
            <v>6.9506393101397557E-2</v>
          </cell>
          <cell r="V68">
            <v>6.7967379622793644E-2</v>
          </cell>
          <cell r="W68">
            <v>0.62</v>
          </cell>
          <cell r="X68">
            <v>0.6</v>
          </cell>
          <cell r="Y68" t="str">
            <v>C</v>
          </cell>
          <cell r="Z68">
            <v>6.7967379622793644E-2</v>
          </cell>
          <cell r="AA68">
            <v>0.59999999999999987</v>
          </cell>
        </row>
        <row r="69">
          <cell r="F69" t="str">
            <v>KPL45BITOOL</v>
          </cell>
          <cell r="G69" t="str">
            <v xml:space="preserve">CRIMPING TOOL FOR  RJ45 PLUG  8P8C BIG WIRE INSERT </v>
          </cell>
          <cell r="I69" t="str">
            <v>China</v>
          </cell>
          <cell r="K69" t="str">
            <v>1 pc eco friendly box</v>
          </cell>
          <cell r="L69" t="str">
            <v>200 pcs</v>
          </cell>
          <cell r="M69">
            <v>480</v>
          </cell>
          <cell r="O69">
            <v>8203200000</v>
          </cell>
          <cell r="P69">
            <v>0</v>
          </cell>
          <cell r="Q69">
            <v>30</v>
          </cell>
          <cell r="R69">
            <v>45</v>
          </cell>
          <cell r="S69">
            <v>55</v>
          </cell>
          <cell r="T69" t="str">
            <v>T/T 30 days</v>
          </cell>
          <cell r="U69">
            <v>8.100697906281157</v>
          </cell>
          <cell r="V69">
            <v>7.7767258501317631</v>
          </cell>
          <cell r="W69">
            <v>0.32</v>
          </cell>
          <cell r="X69">
            <v>0.3</v>
          </cell>
          <cell r="Y69" t="str">
            <v>C</v>
          </cell>
          <cell r="Z69">
            <v>7.7767258501317631</v>
          </cell>
          <cell r="AA69">
            <v>0.30000000000000004</v>
          </cell>
        </row>
        <row r="70">
          <cell r="F70" t="str">
            <v>KJPP1UUEF</v>
          </cell>
          <cell r="G70" t="str">
            <v>24 PORTS UNLOADED PATCH PANEL 1U PER ECO FRIENDLY CARTON</v>
          </cell>
          <cell r="I70" t="str">
            <v>China</v>
          </cell>
          <cell r="K70" t="str">
            <v>1 pc eco friendly box</v>
          </cell>
          <cell r="L70" t="str">
            <v>500pcs</v>
          </cell>
          <cell r="M70">
            <v>240</v>
          </cell>
          <cell r="N70" t="str">
            <v>4897108882067</v>
          </cell>
          <cell r="O70" t="str">
            <v>853669 9099</v>
          </cell>
          <cell r="P70">
            <v>1.7000000000000001E-2</v>
          </cell>
          <cell r="Q70">
            <v>45</v>
          </cell>
          <cell r="R70">
            <v>45</v>
          </cell>
          <cell r="S70">
            <v>55</v>
          </cell>
          <cell r="T70" t="str">
            <v>T/T 30 days</v>
          </cell>
          <cell r="U70">
            <v>4.957683842715495</v>
          </cell>
          <cell r="V70">
            <v>5.4397439645286489</v>
          </cell>
          <cell r="W70">
            <v>0.253</v>
          </cell>
          <cell r="X70">
            <v>0.23300000000000001</v>
          </cell>
          <cell r="Y70" t="str">
            <v>B</v>
          </cell>
          <cell r="Z70">
            <v>5.3897439645286491</v>
          </cell>
          <cell r="AA70">
            <v>0.22588463417698657</v>
          </cell>
        </row>
        <row r="71">
          <cell r="F71" t="str">
            <v>KJPP1UBEF</v>
          </cell>
          <cell r="G71" t="str">
            <v>24 PORTS UNLOADED PATCH PANEL 1U DIRECT GROUNDING BLACK PER ECO FRIENDLY CARTON</v>
          </cell>
          <cell r="I71" t="str">
            <v>China</v>
          </cell>
          <cell r="K71" t="str">
            <v>1 pc eco friendly box</v>
          </cell>
          <cell r="L71" t="str">
            <v>500pcs</v>
          </cell>
          <cell r="M71">
            <v>240</v>
          </cell>
          <cell r="N71" t="str">
            <v>4897108882463</v>
          </cell>
          <cell r="O71" t="str">
            <v>853669 9099</v>
          </cell>
          <cell r="P71">
            <v>1.7000000000000001E-2</v>
          </cell>
          <cell r="Q71">
            <v>45</v>
          </cell>
          <cell r="R71">
            <v>45</v>
          </cell>
          <cell r="S71">
            <v>55</v>
          </cell>
          <cell r="T71" t="str">
            <v>T/T 30 days</v>
          </cell>
          <cell r="U71">
            <v>5.6192608159349442</v>
          </cell>
          <cell r="V71">
            <v>6.052733557052246</v>
          </cell>
          <cell r="W71">
            <v>0.25800000000000001</v>
          </cell>
          <cell r="X71">
            <v>0.23799999999999999</v>
          </cell>
          <cell r="Y71" t="str">
            <v>B</v>
          </cell>
          <cell r="Z71">
            <v>6.0027335570522462</v>
          </cell>
          <cell r="AA71">
            <v>0.23165289169711045</v>
          </cell>
        </row>
        <row r="72">
          <cell r="F72" t="str">
            <v>KJPP1UBCEF</v>
          </cell>
          <cell r="G72" t="str">
            <v>24 PORTS UNLOADED PATCH PANEL 1U DIRECT GROUNDING BLACK WITH HOLE CUTTING AND ACCESSORIES PER ECO FRIENDLY CARTON</v>
          </cell>
          <cell r="I72" t="str">
            <v>China</v>
          </cell>
          <cell r="K72" t="str">
            <v>1 pc eco friendly box</v>
          </cell>
          <cell r="L72" t="str">
            <v>500pcs</v>
          </cell>
          <cell r="M72">
            <v>240</v>
          </cell>
          <cell r="N72" t="str">
            <v>4897108881817</v>
          </cell>
          <cell r="O72" t="str">
            <v>853890 9900</v>
          </cell>
          <cell r="P72">
            <v>1.7000000000000001E-2</v>
          </cell>
          <cell r="Q72">
            <v>45</v>
          </cell>
          <cell r="R72">
            <v>45</v>
          </cell>
          <cell r="S72">
            <v>55</v>
          </cell>
          <cell r="T72" t="str">
            <v>T/T 30 days</v>
          </cell>
          <cell r="U72">
            <v>5.7011131923188207</v>
          </cell>
          <cell r="V72">
            <v>6.1279569406371293</v>
          </cell>
          <cell r="W72">
            <v>0.25800000000000001</v>
          </cell>
          <cell r="X72">
            <v>0.23799999999999999</v>
          </cell>
          <cell r="Y72" t="str">
            <v>B</v>
          </cell>
          <cell r="Z72">
            <v>6.0779569406371294</v>
          </cell>
          <cell r="AA72">
            <v>0.23173144621258102</v>
          </cell>
        </row>
        <row r="73">
          <cell r="F73" t="str">
            <v>KJPP1UEF</v>
          </cell>
          <cell r="G73" t="str">
            <v>24 PORTS UNLOADED PATCH PANEL 1U DIRECT GROUNDING PER ECO FRIENDLY CARTON</v>
          </cell>
          <cell r="I73" t="str">
            <v>China</v>
          </cell>
          <cell r="K73" t="str">
            <v>1 pc eco friendly box</v>
          </cell>
          <cell r="L73" t="str">
            <v>500pcs</v>
          </cell>
          <cell r="M73">
            <v>240</v>
          </cell>
          <cell r="N73" t="str">
            <v>4897108882074</v>
          </cell>
          <cell r="O73" t="str">
            <v>853890 9900</v>
          </cell>
          <cell r="P73">
            <v>1.7000000000000001E-2</v>
          </cell>
          <cell r="Q73">
            <v>45</v>
          </cell>
          <cell r="R73">
            <v>45</v>
          </cell>
          <cell r="S73">
            <v>55</v>
          </cell>
          <cell r="T73" t="str">
            <v>T/T 30 days</v>
          </cell>
          <cell r="U73">
            <v>5.8906270642451375</v>
          </cell>
          <cell r="V73">
            <v>6.3170351232436204</v>
          </cell>
          <cell r="W73">
            <v>0.27300000000000002</v>
          </cell>
          <cell r="X73">
            <v>0.253</v>
          </cell>
          <cell r="Y73" t="str">
            <v>B</v>
          </cell>
          <cell r="Z73">
            <v>6.2670351232436206</v>
          </cell>
          <cell r="AA73">
            <v>0.24704024402839653</v>
          </cell>
        </row>
        <row r="74">
          <cell r="F74" t="str">
            <v>KJPP1U246UEF</v>
          </cell>
          <cell r="G74" t="str">
            <v>24 PORTS CAT6 UNSHIELDED PATCH PANEL 1U  WITH HOLE CUTTING AND ACCESSORIES  ECO FRIENDLY CARTON</v>
          </cell>
          <cell r="I74" t="str">
            <v>China</v>
          </cell>
          <cell r="K74" t="str">
            <v>1 pc eco friendly box</v>
          </cell>
          <cell r="L74" t="str">
            <v>500 pcs</v>
          </cell>
          <cell r="M74">
            <v>240</v>
          </cell>
          <cell r="P74">
            <v>1.7000000000000001E-2</v>
          </cell>
          <cell r="Q74">
            <v>45</v>
          </cell>
          <cell r="R74">
            <v>45</v>
          </cell>
          <cell r="S74">
            <v>55</v>
          </cell>
          <cell r="T74" t="str">
            <v>T/T 30 days</v>
          </cell>
          <cell r="U74">
            <v>6.6431261770244818</v>
          </cell>
          <cell r="V74">
            <v>7.1594988504296868</v>
          </cell>
          <cell r="W74">
            <v>0.4</v>
          </cell>
          <cell r="X74">
            <v>0.38</v>
          </cell>
          <cell r="Y74" t="str">
            <v>C</v>
          </cell>
          <cell r="Z74">
            <v>7.1594988504296868</v>
          </cell>
          <cell r="AA74">
            <v>0.38</v>
          </cell>
        </row>
        <row r="75">
          <cell r="F75" t="str">
            <v>KJPP1U246HQEF</v>
          </cell>
          <cell r="G75" t="str">
            <v>24 PORTS CAT6 SHIELDED PATCH PANEL 1U INTERTEK CERTIFIED  ECO FRIENDLY CARTON</v>
          </cell>
          <cell r="I75" t="str">
            <v>China</v>
          </cell>
          <cell r="K75" t="str">
            <v>1 pc eco friendly box</v>
          </cell>
          <cell r="L75" t="str">
            <v>500 pcs</v>
          </cell>
          <cell r="M75">
            <v>256</v>
          </cell>
          <cell r="P75">
            <v>1.7000000000000001E-2</v>
          </cell>
          <cell r="Q75">
            <v>45</v>
          </cell>
          <cell r="R75">
            <v>45</v>
          </cell>
          <cell r="S75">
            <v>55</v>
          </cell>
          <cell r="T75" t="str">
            <v>T/T 35 days</v>
          </cell>
          <cell r="U75">
            <v>8.4745762711864412</v>
          </cell>
          <cell r="V75">
            <v>8.7639800346980312</v>
          </cell>
          <cell r="W75">
            <v>0.4</v>
          </cell>
          <cell r="X75">
            <v>0.38</v>
          </cell>
          <cell r="Y75" t="str">
            <v>C</v>
          </cell>
          <cell r="Z75">
            <v>8.7639800346980312</v>
          </cell>
          <cell r="AA75">
            <v>0.38000000000000012</v>
          </cell>
        </row>
        <row r="76">
          <cell r="F76" t="str">
            <v>KPUU6ZH03EF</v>
          </cell>
          <cell r="G76" t="str">
            <v>CAT6 PATCH CORD U/UTP GREY LSZH 0.3M</v>
          </cell>
          <cell r="I76" t="str">
            <v>China</v>
          </cell>
          <cell r="K76" t="str">
            <v>1 pc eco friendly bag</v>
          </cell>
          <cell r="L76" t="str">
            <v>3km of cable</v>
          </cell>
          <cell r="M76">
            <v>4800</v>
          </cell>
          <cell r="N76" t="str">
            <v>4897108882081</v>
          </cell>
          <cell r="O76" t="str">
            <v>854442 1000</v>
          </cell>
          <cell r="P76">
            <v>0</v>
          </cell>
          <cell r="Q76">
            <v>50</v>
          </cell>
          <cell r="R76">
            <v>45</v>
          </cell>
          <cell r="S76">
            <v>55</v>
          </cell>
          <cell r="T76" t="str">
            <v>T/T 60 days</v>
          </cell>
          <cell r="U76">
            <v>0.46644736842105261</v>
          </cell>
          <cell r="V76">
            <v>0.46461425088915825</v>
          </cell>
          <cell r="W76">
            <v>0.24</v>
          </cell>
          <cell r="X76">
            <v>0.22</v>
          </cell>
          <cell r="Y76" t="str">
            <v>C</v>
          </cell>
          <cell r="Z76">
            <v>0.46461425088915825</v>
          </cell>
          <cell r="AA76">
            <v>0.21999999999999997</v>
          </cell>
        </row>
        <row r="77">
          <cell r="F77" t="str">
            <v>KPUU6ZH05EF</v>
          </cell>
          <cell r="G77" t="str">
            <v>CAT6 PATCH CORD U/UTP GREY LSZH 0.5M</v>
          </cell>
          <cell r="I77" t="str">
            <v>China</v>
          </cell>
          <cell r="K77" t="str">
            <v>1 pc eco friendly bag</v>
          </cell>
          <cell r="M77">
            <v>3840</v>
          </cell>
          <cell r="N77" t="str">
            <v>4897108882098</v>
          </cell>
          <cell r="O77" t="str">
            <v>854442 1000</v>
          </cell>
          <cell r="P77">
            <v>0</v>
          </cell>
          <cell r="Q77">
            <v>50</v>
          </cell>
          <cell r="R77">
            <v>45</v>
          </cell>
          <cell r="S77">
            <v>55</v>
          </cell>
          <cell r="T77" t="str">
            <v>T/T 60 days</v>
          </cell>
          <cell r="U77">
            <v>0.48026315789473684</v>
          </cell>
          <cell r="V77">
            <v>0.48794088459360124</v>
          </cell>
          <cell r="W77">
            <v>0.24</v>
          </cell>
          <cell r="X77">
            <v>0.22</v>
          </cell>
          <cell r="Y77" t="str">
            <v>C</v>
          </cell>
          <cell r="Z77">
            <v>0.48794088459360124</v>
          </cell>
          <cell r="AA77">
            <v>0.21999999999999997</v>
          </cell>
        </row>
        <row r="78">
          <cell r="F78" t="str">
            <v>KPUU6ZH1EF</v>
          </cell>
          <cell r="G78" t="str">
            <v>CAT6 PATCH CORD U/UTP GREY LSZH 1M</v>
          </cell>
          <cell r="I78" t="str">
            <v>China</v>
          </cell>
          <cell r="K78" t="str">
            <v>1 pc eco friendly bag</v>
          </cell>
          <cell r="M78">
            <v>1600</v>
          </cell>
          <cell r="N78" t="str">
            <v>4897108882104</v>
          </cell>
          <cell r="O78" t="str">
            <v>854442 1000</v>
          </cell>
          <cell r="P78">
            <v>0</v>
          </cell>
          <cell r="Q78">
            <v>50</v>
          </cell>
          <cell r="R78">
            <v>45</v>
          </cell>
          <cell r="S78">
            <v>55</v>
          </cell>
          <cell r="T78" t="str">
            <v>T/T 60 days</v>
          </cell>
          <cell r="U78">
            <v>0.64078947368421046</v>
          </cell>
          <cell r="V78">
            <v>0.70885427805898149</v>
          </cell>
          <cell r="W78">
            <v>0.24</v>
          </cell>
          <cell r="X78">
            <v>0.22</v>
          </cell>
          <cell r="Y78" t="str">
            <v>C</v>
          </cell>
          <cell r="Z78">
            <v>0.70885427805898149</v>
          </cell>
          <cell r="AA78">
            <v>0.21999999999999997</v>
          </cell>
        </row>
        <row r="79">
          <cell r="F79" t="str">
            <v>KPUU6ZH2EF</v>
          </cell>
          <cell r="G79" t="str">
            <v>CAT6 PATCH CORD U/UTP GREY LSZH 2M</v>
          </cell>
          <cell r="I79" t="str">
            <v>China</v>
          </cell>
          <cell r="K79" t="str">
            <v>1 pc eco friendly bag</v>
          </cell>
          <cell r="M79">
            <v>1280</v>
          </cell>
          <cell r="N79" t="str">
            <v>4897108882111</v>
          </cell>
          <cell r="O79" t="str">
            <v>854442 1000</v>
          </cell>
          <cell r="P79">
            <v>0</v>
          </cell>
          <cell r="Q79">
            <v>50</v>
          </cell>
          <cell r="R79">
            <v>45</v>
          </cell>
          <cell r="S79">
            <v>55</v>
          </cell>
          <cell r="T79" t="str">
            <v>T/T 60 days</v>
          </cell>
          <cell r="U79">
            <v>0.96381578947368429</v>
          </cell>
          <cell r="V79">
            <v>1.0331057031379958</v>
          </cell>
          <cell r="W79">
            <v>0.24</v>
          </cell>
          <cell r="X79">
            <v>0.22</v>
          </cell>
          <cell r="Y79" t="str">
            <v>C</v>
          </cell>
          <cell r="Z79">
            <v>1.0331057031379958</v>
          </cell>
          <cell r="AA79">
            <v>0.21999999999999997</v>
          </cell>
        </row>
        <row r="80">
          <cell r="F80" t="str">
            <v>KPUU6ZH3EF</v>
          </cell>
          <cell r="G80" t="str">
            <v>CAT6 PATCH CORD U/UTP GREY LSZH 3M</v>
          </cell>
          <cell r="I80" t="str">
            <v>China</v>
          </cell>
          <cell r="K80" t="str">
            <v>1 pc eco friendly bag</v>
          </cell>
          <cell r="M80">
            <v>960</v>
          </cell>
          <cell r="N80" t="str">
            <v>4897108882128</v>
          </cell>
          <cell r="O80" t="str">
            <v>854442 1000</v>
          </cell>
          <cell r="P80">
            <v>0</v>
          </cell>
          <cell r="Q80">
            <v>50</v>
          </cell>
          <cell r="R80">
            <v>45</v>
          </cell>
          <cell r="S80">
            <v>55</v>
          </cell>
          <cell r="T80" t="str">
            <v>T/T 60 days</v>
          </cell>
          <cell r="U80">
            <v>1.2835526315789474</v>
          </cell>
          <cell r="V80">
            <v>1.3760880553773278</v>
          </cell>
          <cell r="W80">
            <v>0.24</v>
          </cell>
          <cell r="X80">
            <v>0.22</v>
          </cell>
          <cell r="Y80" t="str">
            <v>C</v>
          </cell>
          <cell r="Z80">
            <v>1.3760880553773278</v>
          </cell>
          <cell r="AA80">
            <v>0.21999999999999997</v>
          </cell>
        </row>
        <row r="81">
          <cell r="F81" t="str">
            <v>KPUU6ZH5EF</v>
          </cell>
          <cell r="G81" t="str">
            <v>CAT6 PATCH CORD U/UTP GREY LSZH 5M</v>
          </cell>
          <cell r="I81" t="str">
            <v>China</v>
          </cell>
          <cell r="K81" t="str">
            <v>1 pc eco friendly bag</v>
          </cell>
          <cell r="M81">
            <v>640</v>
          </cell>
          <cell r="N81" t="str">
            <v>4897108882135</v>
          </cell>
          <cell r="O81" t="str">
            <v>854442 1000</v>
          </cell>
          <cell r="P81">
            <v>0</v>
          </cell>
          <cell r="Q81">
            <v>50</v>
          </cell>
          <cell r="R81">
            <v>45</v>
          </cell>
          <cell r="S81">
            <v>55</v>
          </cell>
          <cell r="T81" t="str">
            <v>T/T 60 days</v>
          </cell>
          <cell r="U81">
            <v>1.9749999999999999</v>
          </cell>
          <cell r="V81">
            <v>2.1089860551674153</v>
          </cell>
          <cell r="W81">
            <v>0.24</v>
          </cell>
          <cell r="X81">
            <v>0.22</v>
          </cell>
          <cell r="Y81" t="str">
            <v>C</v>
          </cell>
          <cell r="Z81">
            <v>2.1089860551674153</v>
          </cell>
          <cell r="AA81">
            <v>0.22000000000000008</v>
          </cell>
        </row>
        <row r="82">
          <cell r="F82" t="str">
            <v>KPUU6ZH10EF</v>
          </cell>
          <cell r="G82" t="str">
            <v>CAT6 PATCH CORD U/UTP GREY LSZH 10M</v>
          </cell>
          <cell r="I82" t="str">
            <v>China</v>
          </cell>
          <cell r="K82" t="str">
            <v>1 pc eco friendly bag</v>
          </cell>
          <cell r="M82">
            <v>480</v>
          </cell>
          <cell r="N82" t="str">
            <v>4897108882142</v>
          </cell>
          <cell r="O82" t="str">
            <v>854442 1000</v>
          </cell>
          <cell r="P82">
            <v>0</v>
          </cell>
          <cell r="Q82">
            <v>50</v>
          </cell>
          <cell r="R82">
            <v>45</v>
          </cell>
          <cell r="S82">
            <v>55</v>
          </cell>
          <cell r="T82" t="str">
            <v>T/T 60 days</v>
          </cell>
          <cell r="U82">
            <v>3.5848684210526316</v>
          </cell>
          <cell r="V82">
            <v>3.6712369695745508</v>
          </cell>
          <cell r="W82">
            <v>0.24</v>
          </cell>
          <cell r="X82">
            <v>0.22</v>
          </cell>
          <cell r="Y82" t="str">
            <v>C</v>
          </cell>
          <cell r="Z82">
            <v>3.6712369695745508</v>
          </cell>
          <cell r="AA82">
            <v>0.21999999999999997</v>
          </cell>
        </row>
        <row r="83">
          <cell r="F83" t="str">
            <v>KPUU6A03EF</v>
          </cell>
          <cell r="G83" t="str">
            <v>CAT6A PATCH CORD U/UTP GREY LSZH 0.3M</v>
          </cell>
          <cell r="I83" t="str">
            <v>China</v>
          </cell>
          <cell r="K83" t="str">
            <v>1 pc eco friendly bag</v>
          </cell>
          <cell r="L83" t="str">
            <v>3km of cable</v>
          </cell>
          <cell r="M83">
            <v>4800</v>
          </cell>
          <cell r="O83" t="str">
            <v>854442 1000</v>
          </cell>
          <cell r="Q83">
            <v>50</v>
          </cell>
          <cell r="R83">
            <v>45</v>
          </cell>
          <cell r="S83">
            <v>55</v>
          </cell>
          <cell r="T83" t="str">
            <v>T/T 60 days</v>
          </cell>
          <cell r="U83">
            <v>0.55065789473684212</v>
          </cell>
          <cell r="V83">
            <v>0.54065807114057807</v>
          </cell>
          <cell r="W83">
            <v>0.24</v>
          </cell>
          <cell r="X83">
            <v>0.22</v>
          </cell>
          <cell r="Y83" t="str">
            <v>C</v>
          </cell>
          <cell r="Z83">
            <v>0.54065807114057807</v>
          </cell>
          <cell r="AA83">
            <v>0.21999999999999997</v>
          </cell>
        </row>
        <row r="84">
          <cell r="F84" t="str">
            <v>KPUU6A05EF</v>
          </cell>
          <cell r="G84" t="str">
            <v>CAT6A PATCH CORD U/UTP GREY LSZH 0.5M</v>
          </cell>
          <cell r="I84" t="str">
            <v>China</v>
          </cell>
          <cell r="K84" t="str">
            <v>1 pc eco friendly bag</v>
          </cell>
          <cell r="M84">
            <v>3840</v>
          </cell>
          <cell r="O84" t="str">
            <v>854442 1000</v>
          </cell>
          <cell r="Q84">
            <v>50</v>
          </cell>
          <cell r="R84">
            <v>45</v>
          </cell>
          <cell r="S84">
            <v>55</v>
          </cell>
          <cell r="T84" t="str">
            <v>T/T 60 days</v>
          </cell>
          <cell r="U84">
            <v>0.61184210526315796</v>
          </cell>
          <cell r="V84">
            <v>0.60675935373644474</v>
          </cell>
          <cell r="W84">
            <v>0.24</v>
          </cell>
          <cell r="X84">
            <v>0.22</v>
          </cell>
          <cell r="Y84" t="str">
            <v>C</v>
          </cell>
          <cell r="Z84">
            <v>0.60675935373644474</v>
          </cell>
          <cell r="AA84">
            <v>0.21999999999999997</v>
          </cell>
        </row>
        <row r="85">
          <cell r="F85" t="str">
            <v>KPUU6A1EF</v>
          </cell>
          <cell r="G85" t="str">
            <v>CAT6A PATCH CORD U/UTP GREY LSZH 1M</v>
          </cell>
          <cell r="I85" t="str">
            <v>China</v>
          </cell>
          <cell r="K85" t="str">
            <v>1 pc eco friendly bag</v>
          </cell>
          <cell r="M85">
            <v>1600</v>
          </cell>
          <cell r="O85" t="str">
            <v>854442 1000</v>
          </cell>
          <cell r="Q85">
            <v>50</v>
          </cell>
          <cell r="R85">
            <v>45</v>
          </cell>
          <cell r="S85">
            <v>55</v>
          </cell>
          <cell r="T85" t="str">
            <v>T/T 60 days</v>
          </cell>
          <cell r="U85">
            <v>0.65263157894736834</v>
          </cell>
          <cell r="V85">
            <v>0.71954794028183744</v>
          </cell>
          <cell r="W85">
            <v>0.24</v>
          </cell>
          <cell r="X85">
            <v>0.22</v>
          </cell>
          <cell r="Y85" t="str">
            <v>C</v>
          </cell>
          <cell r="Z85">
            <v>0.71954794028183744</v>
          </cell>
          <cell r="AA85">
            <v>0.21999999999999997</v>
          </cell>
        </row>
        <row r="86">
          <cell r="F86" t="str">
            <v>KPUU6A2EF</v>
          </cell>
          <cell r="G86" t="str">
            <v>CAT6A PATCH CORD U/UTP GREY LSZH 2M</v>
          </cell>
          <cell r="I86" t="str">
            <v>China</v>
          </cell>
          <cell r="K86" t="str">
            <v>1 pc eco friendly bag</v>
          </cell>
          <cell r="M86">
            <v>1280</v>
          </cell>
          <cell r="O86" t="str">
            <v>854442 1000</v>
          </cell>
          <cell r="Q86">
            <v>50</v>
          </cell>
          <cell r="R86">
            <v>45</v>
          </cell>
          <cell r="S86">
            <v>55</v>
          </cell>
          <cell r="T86" t="str">
            <v>T/T 60 days</v>
          </cell>
          <cell r="U86">
            <v>0.95328947368421046</v>
          </cell>
          <cell r="V86">
            <v>1.0236002256065682</v>
          </cell>
          <cell r="W86">
            <v>0.24</v>
          </cell>
          <cell r="X86">
            <v>0.22</v>
          </cell>
          <cell r="Y86" t="str">
            <v>C</v>
          </cell>
          <cell r="Z86">
            <v>1.0236002256065682</v>
          </cell>
          <cell r="AA86">
            <v>0.21999999999999997</v>
          </cell>
        </row>
        <row r="87">
          <cell r="F87" t="str">
            <v>KPUU6A3EF</v>
          </cell>
          <cell r="G87" t="str">
            <v>CAT6A PATCH CORD U/UTP GREY LSZH 3M</v>
          </cell>
          <cell r="I87" t="str">
            <v>China</v>
          </cell>
          <cell r="K87" t="str">
            <v>1 pc eco friendly bag</v>
          </cell>
          <cell r="M87">
            <v>960</v>
          </cell>
          <cell r="O87" t="str">
            <v>854442 1000</v>
          </cell>
          <cell r="Q87">
            <v>50</v>
          </cell>
          <cell r="R87">
            <v>45</v>
          </cell>
          <cell r="S87">
            <v>55</v>
          </cell>
          <cell r="T87" t="str">
            <v>T/T 60 days</v>
          </cell>
          <cell r="U87">
            <v>1.2453947368421052</v>
          </cell>
          <cell r="V87">
            <v>1.3416306993259033</v>
          </cell>
          <cell r="W87">
            <v>0.24</v>
          </cell>
          <cell r="X87">
            <v>0.22</v>
          </cell>
          <cell r="Y87" t="str">
            <v>C</v>
          </cell>
          <cell r="Z87">
            <v>1.3416306993259033</v>
          </cell>
          <cell r="AA87">
            <v>0.21999999999999997</v>
          </cell>
        </row>
        <row r="88">
          <cell r="F88" t="str">
            <v>KPUU6A5EF</v>
          </cell>
          <cell r="G88" t="str">
            <v>CAT6A PATCH CORD U/UTP GREY LSZH 5M</v>
          </cell>
          <cell r="I88" t="str">
            <v>China</v>
          </cell>
          <cell r="K88" t="str">
            <v>1 pc eco friendly bag</v>
          </cell>
          <cell r="M88">
            <v>640</v>
          </cell>
          <cell r="O88" t="str">
            <v>854442 1000</v>
          </cell>
          <cell r="Q88">
            <v>50</v>
          </cell>
          <cell r="R88">
            <v>45</v>
          </cell>
          <cell r="S88">
            <v>55</v>
          </cell>
          <cell r="T88" t="str">
            <v>T/T 60 days</v>
          </cell>
          <cell r="U88">
            <v>1.8697368421052629</v>
          </cell>
          <cell r="V88">
            <v>2.0139312798531401</v>
          </cell>
          <cell r="W88">
            <v>0.24</v>
          </cell>
          <cell r="X88">
            <v>0.22</v>
          </cell>
          <cell r="Y88" t="str">
            <v>C</v>
          </cell>
          <cell r="Z88">
            <v>2.0139312798531401</v>
          </cell>
          <cell r="AA88">
            <v>0.21999999999999997</v>
          </cell>
        </row>
        <row r="89">
          <cell r="F89" t="str">
            <v>KPUU6A10EF</v>
          </cell>
          <cell r="G89" t="str">
            <v>CAT6A PATCH CORD U/UTP GREY LSZH 10M</v>
          </cell>
          <cell r="I89" t="str">
            <v>China</v>
          </cell>
          <cell r="K89" t="str">
            <v>1 pc eco friendly bag</v>
          </cell>
          <cell r="M89">
            <v>480</v>
          </cell>
          <cell r="O89" t="str">
            <v>854442 1000</v>
          </cell>
          <cell r="Q89">
            <v>50</v>
          </cell>
          <cell r="R89">
            <v>45</v>
          </cell>
          <cell r="S89">
            <v>55</v>
          </cell>
          <cell r="T89" t="str">
            <v>T/T 60 days</v>
          </cell>
          <cell r="U89">
            <v>3.3585526315789469</v>
          </cell>
          <cell r="V89">
            <v>3.466869202648859</v>
          </cell>
          <cell r="W89">
            <v>0.24</v>
          </cell>
          <cell r="X89">
            <v>0.22</v>
          </cell>
          <cell r="Y89" t="str">
            <v>C</v>
          </cell>
          <cell r="Z89">
            <v>3.466869202648859</v>
          </cell>
          <cell r="AA89">
            <v>0.21999999999999997</v>
          </cell>
        </row>
        <row r="90">
          <cell r="F90" t="str">
            <v>KPFU603EF</v>
          </cell>
          <cell r="G90" t="str">
            <v>CAT6 PATCH CORD F/UTP GREY PVC 0.3M</v>
          </cell>
          <cell r="I90" t="str">
            <v>China</v>
          </cell>
          <cell r="K90" t="str">
            <v>1 pc eco friendly bag</v>
          </cell>
          <cell r="L90" t="str">
            <v>3km of cable</v>
          </cell>
          <cell r="M90">
            <v>3200</v>
          </cell>
          <cell r="N90" t="str">
            <v>4897108882159</v>
          </cell>
          <cell r="O90" t="str">
            <v>854442 1000</v>
          </cell>
          <cell r="P90">
            <v>0</v>
          </cell>
          <cell r="Q90">
            <v>50</v>
          </cell>
          <cell r="R90">
            <v>45</v>
          </cell>
          <cell r="S90">
            <v>55</v>
          </cell>
          <cell r="T90" t="str">
            <v>T/T 60 days</v>
          </cell>
          <cell r="U90">
            <v>0.40562500000000001</v>
          </cell>
          <cell r="V90">
            <v>0.42868619176518452</v>
          </cell>
          <cell r="W90">
            <v>0.19999999999999998</v>
          </cell>
          <cell r="X90">
            <v>0.18</v>
          </cell>
          <cell r="Y90" t="str">
            <v>C</v>
          </cell>
          <cell r="Z90">
            <v>0.42868619176518452</v>
          </cell>
          <cell r="AA90">
            <v>0.17999999999999994</v>
          </cell>
        </row>
        <row r="91">
          <cell r="F91" t="str">
            <v>KPFU605EF</v>
          </cell>
          <cell r="G91" t="str">
            <v>CAT6 PATCH CORD F/UTP GREY PVC 0.5M</v>
          </cell>
          <cell r="I91" t="str">
            <v>China</v>
          </cell>
          <cell r="K91" t="str">
            <v>1 pc eco friendly bag</v>
          </cell>
          <cell r="M91">
            <v>3200</v>
          </cell>
          <cell r="N91" t="str">
            <v>4897108882166</v>
          </cell>
          <cell r="O91" t="str">
            <v>854442 1000</v>
          </cell>
          <cell r="P91">
            <v>0</v>
          </cell>
          <cell r="Q91">
            <v>50</v>
          </cell>
          <cell r="R91">
            <v>45</v>
          </cell>
          <cell r="S91">
            <v>55</v>
          </cell>
          <cell r="T91" t="str">
            <v>T/T 60 days</v>
          </cell>
          <cell r="U91">
            <v>0.43012048192771085</v>
          </cell>
          <cell r="V91">
            <v>0.44899195197077912</v>
          </cell>
          <cell r="W91">
            <v>0.16999999999999998</v>
          </cell>
          <cell r="X91">
            <v>0.15</v>
          </cell>
          <cell r="Y91" t="str">
            <v>C</v>
          </cell>
          <cell r="Z91">
            <v>0.44899195197077912</v>
          </cell>
          <cell r="AA91">
            <v>0.15000000000000002</v>
          </cell>
        </row>
        <row r="92">
          <cell r="F92" t="str">
            <v>KPFU61EF</v>
          </cell>
          <cell r="G92" t="str">
            <v>CAT6 PATCH CORD F/UTP GREY PVC 1M</v>
          </cell>
          <cell r="I92" t="str">
            <v>China</v>
          </cell>
          <cell r="K92" t="str">
            <v>1 pc eco friendly bag</v>
          </cell>
          <cell r="M92">
            <v>1920</v>
          </cell>
          <cell r="N92" t="str">
            <v>4897108882173</v>
          </cell>
          <cell r="O92" t="str">
            <v>854442 1000</v>
          </cell>
          <cell r="P92">
            <v>0</v>
          </cell>
          <cell r="Q92">
            <v>50</v>
          </cell>
          <cell r="R92">
            <v>45</v>
          </cell>
          <cell r="S92">
            <v>55</v>
          </cell>
          <cell r="T92" t="str">
            <v>T/T 60 days</v>
          </cell>
          <cell r="U92">
            <v>0.54277108433734933</v>
          </cell>
          <cell r="V92">
            <v>0.59076662986788786</v>
          </cell>
          <cell r="W92">
            <v>0.16999999999999998</v>
          </cell>
          <cell r="X92">
            <v>0.15</v>
          </cell>
          <cell r="Y92" t="str">
            <v>C</v>
          </cell>
          <cell r="Z92">
            <v>0.59076662986788786</v>
          </cell>
          <cell r="AA92">
            <v>0.15000000000000002</v>
          </cell>
        </row>
        <row r="93">
          <cell r="F93" t="str">
            <v>KPFU62EF</v>
          </cell>
          <cell r="G93" t="str">
            <v>CAT6 PATCH CORD F/UTP GREY PVC 2M</v>
          </cell>
          <cell r="I93" t="str">
            <v>China</v>
          </cell>
          <cell r="K93" t="str">
            <v>1 pc eco friendly bag</v>
          </cell>
          <cell r="M93">
            <v>1280</v>
          </cell>
          <cell r="N93" t="str">
            <v>4897108882180</v>
          </cell>
          <cell r="O93" t="str">
            <v>854442 1000</v>
          </cell>
          <cell r="P93">
            <v>0</v>
          </cell>
          <cell r="Q93">
            <v>50</v>
          </cell>
          <cell r="R93">
            <v>45</v>
          </cell>
          <cell r="S93">
            <v>55</v>
          </cell>
          <cell r="T93" t="str">
            <v>T/T 60 days</v>
          </cell>
          <cell r="U93">
            <v>0.7313253012048192</v>
          </cell>
          <cell r="V93">
            <v>0.81118946941612613</v>
          </cell>
          <cell r="W93">
            <v>0.16999999999999998</v>
          </cell>
          <cell r="X93">
            <v>0.15</v>
          </cell>
          <cell r="Y93" t="str">
            <v>C</v>
          </cell>
          <cell r="Z93">
            <v>0.81118946941612613</v>
          </cell>
          <cell r="AA93">
            <v>0.15000000000000002</v>
          </cell>
        </row>
        <row r="94">
          <cell r="F94" t="str">
            <v>KPFU63EF</v>
          </cell>
          <cell r="G94" t="str">
            <v>CAT6 PATCH CORD F/UTP GREY PVC 3M</v>
          </cell>
          <cell r="I94" t="str">
            <v>China</v>
          </cell>
          <cell r="K94" t="str">
            <v>1 pc eco friendly bag</v>
          </cell>
          <cell r="M94">
            <v>960</v>
          </cell>
          <cell r="N94" t="str">
            <v>4897108882197</v>
          </cell>
          <cell r="O94" t="str">
            <v>854442 1000</v>
          </cell>
          <cell r="P94">
            <v>0</v>
          </cell>
          <cell r="Q94">
            <v>50</v>
          </cell>
          <cell r="R94">
            <v>45</v>
          </cell>
          <cell r="S94">
            <v>55</v>
          </cell>
          <cell r="T94" t="str">
            <v>T/T 60 days</v>
          </cell>
          <cell r="U94">
            <v>0.96686746987951799</v>
          </cell>
          <cell r="V94">
            <v>1.0741353422740738</v>
          </cell>
          <cell r="W94">
            <v>0.16999999999999998</v>
          </cell>
          <cell r="X94">
            <v>0.15</v>
          </cell>
          <cell r="Y94" t="str">
            <v>C</v>
          </cell>
          <cell r="Z94">
            <v>1.0741353422740738</v>
          </cell>
          <cell r="AA94">
            <v>0.15000000000000002</v>
          </cell>
        </row>
        <row r="95">
          <cell r="F95" t="str">
            <v>KPFU65EF</v>
          </cell>
          <cell r="G95" t="str">
            <v>CAT6 PATCH CORD F/UTP GREY PVC 5M</v>
          </cell>
          <cell r="I95" t="str">
            <v>China</v>
          </cell>
          <cell r="K95" t="str">
            <v>1 pc eco friendly bag</v>
          </cell>
          <cell r="M95">
            <v>640</v>
          </cell>
          <cell r="N95" t="str">
            <v>4897108882203</v>
          </cell>
          <cell r="O95" t="str">
            <v>854442 1000</v>
          </cell>
          <cell r="P95">
            <v>0</v>
          </cell>
          <cell r="Q95">
            <v>50</v>
          </cell>
          <cell r="R95">
            <v>45</v>
          </cell>
          <cell r="S95">
            <v>55</v>
          </cell>
          <cell r="T95" t="str">
            <v>T/T 60 days</v>
          </cell>
          <cell r="U95">
            <v>1.4439759036144579</v>
          </cell>
          <cell r="V95">
            <v>1.6054787589271113</v>
          </cell>
          <cell r="W95">
            <v>0.16999999999999998</v>
          </cell>
          <cell r="X95">
            <v>0.15</v>
          </cell>
          <cell r="Y95" t="str">
            <v>C</v>
          </cell>
          <cell r="Z95">
            <v>1.6054787589271113</v>
          </cell>
          <cell r="AA95">
            <v>0.15000000000000002</v>
          </cell>
        </row>
        <row r="96">
          <cell r="F96" t="str">
            <v>KPFU610EF</v>
          </cell>
          <cell r="G96" t="str">
            <v>CAT6 PATCH CORD F/UTP GREY PVC 10M</v>
          </cell>
          <cell r="I96" t="str">
            <v>China</v>
          </cell>
          <cell r="K96" t="str">
            <v>1 pc eco friendly bag</v>
          </cell>
          <cell r="M96">
            <v>480</v>
          </cell>
          <cell r="N96" t="str">
            <v>4897108882210</v>
          </cell>
          <cell r="O96" t="str">
            <v>854442 1000</v>
          </cell>
          <cell r="P96">
            <v>0</v>
          </cell>
          <cell r="Q96">
            <v>50</v>
          </cell>
          <cell r="R96">
            <v>45</v>
          </cell>
          <cell r="S96">
            <v>55</v>
          </cell>
          <cell r="T96" t="str">
            <v>T/T 60 days</v>
          </cell>
          <cell r="U96">
            <v>2.5367469879518065</v>
          </cell>
          <cell r="V96">
            <v>2.6939829453560846</v>
          </cell>
          <cell r="W96">
            <v>0.16999999999999998</v>
          </cell>
          <cell r="X96">
            <v>0.15</v>
          </cell>
          <cell r="Y96" t="str">
            <v>C</v>
          </cell>
          <cell r="Z96">
            <v>2.6939829453560846</v>
          </cell>
          <cell r="AA96">
            <v>0.15000000000000002</v>
          </cell>
        </row>
        <row r="97">
          <cell r="F97" t="str">
            <v>KPSF6AZH03EF</v>
          </cell>
          <cell r="G97" t="str">
            <v>CAT6A PATCH CORD S/FTP GREY LSZH 0.3M</v>
          </cell>
          <cell r="I97" t="str">
            <v>China</v>
          </cell>
          <cell r="K97" t="str">
            <v>1 pc eco friendly bag</v>
          </cell>
          <cell r="L97" t="str">
            <v>3 km of cable</v>
          </cell>
          <cell r="M97">
            <v>3360</v>
          </cell>
          <cell r="N97" t="str">
            <v>4897108882227</v>
          </cell>
          <cell r="O97" t="str">
            <v>854442 1000</v>
          </cell>
          <cell r="P97">
            <v>0</v>
          </cell>
          <cell r="Q97">
            <v>50</v>
          </cell>
          <cell r="R97">
            <v>45</v>
          </cell>
          <cell r="S97">
            <v>55</v>
          </cell>
          <cell r="T97" t="str">
            <v>T/T 60 days</v>
          </cell>
          <cell r="U97">
            <v>0.59702380952380962</v>
          </cell>
          <cell r="V97">
            <v>0.59668058253971679</v>
          </cell>
          <cell r="W97">
            <v>0.16</v>
          </cell>
          <cell r="X97">
            <v>0.14000000000000001</v>
          </cell>
          <cell r="Y97" t="str">
            <v>C</v>
          </cell>
          <cell r="Z97">
            <v>0.59668058253971679</v>
          </cell>
          <cell r="AA97">
            <v>0.14000000000000001</v>
          </cell>
        </row>
        <row r="98">
          <cell r="F98" t="str">
            <v>KPSF6AZH05EF</v>
          </cell>
          <cell r="G98" t="str">
            <v>CAT6A PATCH CORD S/FTP GREY LSZH 0.5M</v>
          </cell>
          <cell r="I98" t="str">
            <v>China</v>
          </cell>
          <cell r="K98" t="str">
            <v>1 pc eco friendly bag</v>
          </cell>
          <cell r="M98">
            <v>3200</v>
          </cell>
          <cell r="N98" t="str">
            <v>4897108882234</v>
          </cell>
          <cell r="O98" t="str">
            <v>854442 1000</v>
          </cell>
          <cell r="P98">
            <v>0</v>
          </cell>
          <cell r="Q98">
            <v>50</v>
          </cell>
          <cell r="R98">
            <v>45</v>
          </cell>
          <cell r="S98">
            <v>55</v>
          </cell>
          <cell r="T98" t="str">
            <v>T/T 60 days</v>
          </cell>
          <cell r="U98">
            <v>0.68571428571428583</v>
          </cell>
          <cell r="V98">
            <v>0.67977775368019488</v>
          </cell>
          <cell r="W98">
            <v>0.16</v>
          </cell>
          <cell r="X98">
            <v>0.14000000000000001</v>
          </cell>
          <cell r="Y98" t="str">
            <v>C</v>
          </cell>
          <cell r="Z98">
            <v>0.67977775368019488</v>
          </cell>
          <cell r="AA98">
            <v>0.14000000000000001</v>
          </cell>
        </row>
        <row r="99">
          <cell r="F99" t="str">
            <v>KPSF6AZH1EF</v>
          </cell>
          <cell r="G99" t="str">
            <v>CAT6A PATCH CORD S/FTP GREY LSZH 1M</v>
          </cell>
          <cell r="I99" t="str">
            <v>China</v>
          </cell>
          <cell r="K99" t="str">
            <v>1 pc eco friendly bag</v>
          </cell>
          <cell r="M99">
            <v>1920</v>
          </cell>
          <cell r="N99" t="str">
            <v>4897108882241</v>
          </cell>
          <cell r="O99" t="str">
            <v>854442 1000</v>
          </cell>
          <cell r="P99">
            <v>0</v>
          </cell>
          <cell r="Q99">
            <v>50</v>
          </cell>
          <cell r="R99">
            <v>45</v>
          </cell>
          <cell r="S99">
            <v>55</v>
          </cell>
          <cell r="T99" t="str">
            <v>T/T 60 days</v>
          </cell>
          <cell r="U99">
            <v>0.87023809523809537</v>
          </cell>
          <cell r="V99">
            <v>0.88617972561085134</v>
          </cell>
          <cell r="W99">
            <v>0.16</v>
          </cell>
          <cell r="X99">
            <v>0.14000000000000001</v>
          </cell>
          <cell r="Y99" t="str">
            <v>C</v>
          </cell>
          <cell r="Z99">
            <v>0.88617972561085134</v>
          </cell>
          <cell r="AA99">
            <v>0.14000000000000001</v>
          </cell>
        </row>
        <row r="100">
          <cell r="F100" t="str">
            <v>KPSF6AZH2EF</v>
          </cell>
          <cell r="G100" t="str">
            <v>CAT6A PATCH CORD S/FTP GREY LSZH 2M</v>
          </cell>
          <cell r="I100" t="str">
            <v>China</v>
          </cell>
          <cell r="K100" t="str">
            <v>1 pc eco friendly bag</v>
          </cell>
          <cell r="M100">
            <v>1280</v>
          </cell>
          <cell r="N100" t="str">
            <v>4897108882258</v>
          </cell>
          <cell r="O100" t="str">
            <v>854442 1000</v>
          </cell>
          <cell r="P100">
            <v>0</v>
          </cell>
          <cell r="Q100">
            <v>50</v>
          </cell>
          <cell r="R100">
            <v>45</v>
          </cell>
          <cell r="S100">
            <v>55</v>
          </cell>
          <cell r="T100" t="str">
            <v>T/T 60 days</v>
          </cell>
          <cell r="U100">
            <v>1.2601190476190474</v>
          </cell>
          <cell r="V100">
            <v>1.288318664865185</v>
          </cell>
          <cell r="W100">
            <v>0.16</v>
          </cell>
          <cell r="X100">
            <v>0.14000000000000001</v>
          </cell>
          <cell r="Y100" t="str">
            <v>C</v>
          </cell>
          <cell r="Z100">
            <v>1.288318664865185</v>
          </cell>
          <cell r="AA100">
            <v>0.1399999999999999</v>
          </cell>
        </row>
        <row r="101">
          <cell r="F101" t="str">
            <v>KPSF6AZH3EF</v>
          </cell>
          <cell r="G101" t="str">
            <v>CAT6A PATCH CORD S/FTP GREY LSZH 3M</v>
          </cell>
          <cell r="I101" t="str">
            <v>China</v>
          </cell>
          <cell r="K101" t="str">
            <v>1 pc eco friendly bag</v>
          </cell>
          <cell r="M101">
            <v>960</v>
          </cell>
          <cell r="N101" t="str">
            <v>4897108882265</v>
          </cell>
          <cell r="O101" t="str">
            <v>854442 1000</v>
          </cell>
          <cell r="P101">
            <v>0</v>
          </cell>
          <cell r="Q101">
            <v>50</v>
          </cell>
          <cell r="R101">
            <v>45</v>
          </cell>
          <cell r="S101">
            <v>55</v>
          </cell>
          <cell r="T101" t="str">
            <v>T/T 60 days</v>
          </cell>
          <cell r="U101">
            <v>1.6422619047619047</v>
          </cell>
          <cell r="V101">
            <v>1.6834528408805167</v>
          </cell>
          <cell r="W101">
            <v>0.16</v>
          </cell>
          <cell r="X101">
            <v>0.14000000000000001</v>
          </cell>
          <cell r="Y101" t="str">
            <v>C</v>
          </cell>
          <cell r="Z101">
            <v>1.6834528408805167</v>
          </cell>
          <cell r="AA101">
            <v>0.14000000000000001</v>
          </cell>
        </row>
        <row r="102">
          <cell r="F102" t="str">
            <v>KPSF6AZH5EF</v>
          </cell>
          <cell r="G102" t="str">
            <v>CAT6A PATCH CORD S/FTP GREY LSZH 5M</v>
          </cell>
          <cell r="I102" t="str">
            <v>China</v>
          </cell>
          <cell r="K102" t="str">
            <v>1 pc eco friendly bag</v>
          </cell>
          <cell r="M102">
            <v>640</v>
          </cell>
          <cell r="N102" t="str">
            <v>4897108882272</v>
          </cell>
          <cell r="O102" t="str">
            <v>854442 1000</v>
          </cell>
          <cell r="P102">
            <v>0</v>
          </cell>
          <cell r="Q102">
            <v>50</v>
          </cell>
          <cell r="R102">
            <v>45</v>
          </cell>
          <cell r="S102">
            <v>55</v>
          </cell>
          <cell r="T102" t="str">
            <v>T/T 60 days</v>
          </cell>
          <cell r="U102">
            <v>2.467857142857143</v>
          </cell>
          <cell r="V102">
            <v>2.5292204708817381</v>
          </cell>
          <cell r="W102">
            <v>0.16</v>
          </cell>
          <cell r="X102">
            <v>0.14000000000000001</v>
          </cell>
          <cell r="Y102" t="str">
            <v>C</v>
          </cell>
          <cell r="Z102">
            <v>2.5292204708817381</v>
          </cell>
          <cell r="AA102">
            <v>0.14000000000000001</v>
          </cell>
        </row>
        <row r="103">
          <cell r="F103" t="str">
            <v>KPSF6AZH10EF</v>
          </cell>
          <cell r="G103" t="str">
            <v>CAT6A PATCH CORD S/FTP GREY LSZH 10M</v>
          </cell>
          <cell r="I103" t="str">
            <v>China</v>
          </cell>
          <cell r="K103" t="str">
            <v>1 pc eco friendly bag</v>
          </cell>
          <cell r="M103">
            <v>480</v>
          </cell>
          <cell r="N103" t="str">
            <v>4897108882289</v>
          </cell>
          <cell r="O103" t="str">
            <v>854442 1000</v>
          </cell>
          <cell r="P103">
            <v>0</v>
          </cell>
          <cell r="Q103">
            <v>50</v>
          </cell>
          <cell r="R103">
            <v>45</v>
          </cell>
          <cell r="S103">
            <v>55</v>
          </cell>
          <cell r="T103" t="str">
            <v>T/T 60 days</v>
          </cell>
          <cell r="U103">
            <v>4.3434523809523808</v>
          </cell>
          <cell r="V103">
            <v>4.3254805896214554</v>
          </cell>
          <cell r="W103">
            <v>0.16</v>
          </cell>
          <cell r="X103">
            <v>0.14000000000000001</v>
          </cell>
          <cell r="Y103" t="str">
            <v>C</v>
          </cell>
          <cell r="Z103">
            <v>4.3254805896214554</v>
          </cell>
          <cell r="AA103">
            <v>0.14000000000000001</v>
          </cell>
        </row>
        <row r="104">
          <cell r="F104" t="str">
            <v>KFP45451PANGEF8</v>
          </cell>
          <cell r="G104" t="str">
            <v>45X45 FACE PLATE 1 PORT ANGLED 45° 8PCS PER ECO FRIENDLY CARTON</v>
          </cell>
          <cell r="I104" t="str">
            <v>China</v>
          </cell>
          <cell r="K104" t="str">
            <v>8 pcs eco friendly box</v>
          </cell>
          <cell r="L104" t="str">
            <v>5000 pcs</v>
          </cell>
          <cell r="M104">
            <v>8640</v>
          </cell>
          <cell r="N104" t="str">
            <v>4897108882296</v>
          </cell>
          <cell r="O104" t="str">
            <v>853669 9000</v>
          </cell>
          <cell r="P104">
            <v>2.3E-2</v>
          </cell>
          <cell r="Q104">
            <v>45</v>
          </cell>
          <cell r="R104">
            <v>45</v>
          </cell>
          <cell r="S104">
            <v>55</v>
          </cell>
          <cell r="T104" t="str">
            <v>T/T 30 days</v>
          </cell>
          <cell r="U104">
            <v>0.47333424213507824</v>
          </cell>
          <cell r="V104">
            <v>0.46238067562576007</v>
          </cell>
          <cell r="W104">
            <v>0.254</v>
          </cell>
          <cell r="X104">
            <v>0.23400000000000001</v>
          </cell>
          <cell r="Y104" t="str">
            <v>A</v>
          </cell>
          <cell r="Z104">
            <v>0.41614260806318409</v>
          </cell>
          <cell r="AA104">
            <v>0.14888888888888896</v>
          </cell>
        </row>
        <row r="105">
          <cell r="F105" t="str">
            <v>KFP45452PANGEF8</v>
          </cell>
          <cell r="G105" t="str">
            <v>45X45 FACE PLATE 2 PORTS ANGLED 45° 8PCS PER ECO FRIENDLY CARTON</v>
          </cell>
          <cell r="I105" t="str">
            <v>China</v>
          </cell>
          <cell r="K105" t="str">
            <v xml:space="preserve">8 pcs eco friendly box </v>
          </cell>
          <cell r="L105" t="str">
            <v>5000 pcs</v>
          </cell>
          <cell r="M105">
            <v>8640</v>
          </cell>
          <cell r="N105" t="str">
            <v>4897108882302</v>
          </cell>
          <cell r="O105" t="str">
            <v>853669 9000</v>
          </cell>
          <cell r="P105">
            <v>2.3E-2</v>
          </cell>
          <cell r="Q105">
            <v>45</v>
          </cell>
          <cell r="R105">
            <v>45</v>
          </cell>
          <cell r="S105">
            <v>55</v>
          </cell>
          <cell r="T105" t="str">
            <v>T/T 30 days</v>
          </cell>
          <cell r="U105">
            <v>0.51188715731998635</v>
          </cell>
          <cell r="V105">
            <v>0.49805706627718843</v>
          </cell>
          <cell r="W105">
            <v>0.255</v>
          </cell>
          <cell r="X105">
            <v>0.23499999999999999</v>
          </cell>
          <cell r="Y105" t="str">
            <v>A</v>
          </cell>
          <cell r="Z105">
            <v>0.44825135964946961</v>
          </cell>
          <cell r="AA105">
            <v>0.15000000000000002</v>
          </cell>
        </row>
        <row r="106">
          <cell r="F106" t="str">
            <v>KFP45451PEF8</v>
          </cell>
          <cell r="G106" t="str">
            <v>45X45 FACE PLATE 1 PORT FLAT 8PCS PER ECO FRIENDLY CARTON</v>
          </cell>
          <cell r="I106" t="str">
            <v>China</v>
          </cell>
          <cell r="K106" t="str">
            <v>8 pcs eco friendly box</v>
          </cell>
          <cell r="L106" t="str">
            <v>5000 pcs</v>
          </cell>
          <cell r="M106">
            <v>11520</v>
          </cell>
          <cell r="N106" t="str">
            <v>4897108881824</v>
          </cell>
          <cell r="O106" t="str">
            <v>853669 9000</v>
          </cell>
          <cell r="P106">
            <v>2.3E-2</v>
          </cell>
          <cell r="Q106">
            <v>45</v>
          </cell>
          <cell r="R106">
            <v>45</v>
          </cell>
          <cell r="S106">
            <v>55</v>
          </cell>
          <cell r="T106" t="str">
            <v>T/T 30 days</v>
          </cell>
          <cell r="U106">
            <v>0.42278087437909984</v>
          </cell>
          <cell r="V106">
            <v>0.40949157046218526</v>
          </cell>
          <cell r="W106">
            <v>0.255</v>
          </cell>
          <cell r="X106">
            <v>0.23499999999999999</v>
          </cell>
          <cell r="Y106" t="str">
            <v>A</v>
          </cell>
          <cell r="Z106">
            <v>0.36854241341596672</v>
          </cell>
          <cell r="AA106">
            <v>0.14999999999999991</v>
          </cell>
        </row>
        <row r="107">
          <cell r="F107" t="str">
            <v>KFP45452PEF8</v>
          </cell>
          <cell r="G107" t="str">
            <v>45X45 FACE PLATE 2 PORTS FLAT 8PCS PER ECO FRIENDLY CARTON</v>
          </cell>
          <cell r="I107" t="str">
            <v>China</v>
          </cell>
          <cell r="K107" t="str">
            <v xml:space="preserve">8 pcs eco friendly box </v>
          </cell>
          <cell r="L107" t="str">
            <v>5000 pcs</v>
          </cell>
          <cell r="M107">
            <v>11520</v>
          </cell>
          <cell r="N107" t="str">
            <v>4897108881831</v>
          </cell>
          <cell r="O107" t="str">
            <v>853669 9000</v>
          </cell>
          <cell r="P107">
            <v>2.3E-2</v>
          </cell>
          <cell r="Q107">
            <v>45</v>
          </cell>
          <cell r="R107">
            <v>45</v>
          </cell>
          <cell r="S107">
            <v>55</v>
          </cell>
          <cell r="T107" t="str">
            <v>T/T 30 days</v>
          </cell>
          <cell r="U107">
            <v>0.44362218508792872</v>
          </cell>
          <cell r="V107">
            <v>0.42912472795009832</v>
          </cell>
          <cell r="W107">
            <v>0.29000000000000004</v>
          </cell>
          <cell r="X107">
            <v>0.27</v>
          </cell>
          <cell r="Y107" t="str">
            <v>A</v>
          </cell>
          <cell r="Z107">
            <v>0.3862122551550885</v>
          </cell>
          <cell r="AA107">
            <v>0.18888888888888899</v>
          </cell>
        </row>
        <row r="108">
          <cell r="F108" t="str">
            <v>KFP45451PABEF8</v>
          </cell>
          <cell r="G108" t="str">
            <v>45X45 FACE PLATE 1 PORT FLAT ANTIBACTERIAL SGS VERIFIED 8PCS PER ECO FRIENDLY CARTON</v>
          </cell>
          <cell r="I108" t="str">
            <v>China</v>
          </cell>
          <cell r="K108" t="str">
            <v xml:space="preserve">8 pcs eco friendly box </v>
          </cell>
          <cell r="L108" t="str">
            <v>5000 pcs</v>
          </cell>
          <cell r="M108">
            <v>11520</v>
          </cell>
          <cell r="O108" t="str">
            <v>853669 9000</v>
          </cell>
          <cell r="P108">
            <v>2.3E-2</v>
          </cell>
          <cell r="Q108">
            <v>45</v>
          </cell>
          <cell r="R108">
            <v>45</v>
          </cell>
          <cell r="S108">
            <v>55</v>
          </cell>
          <cell r="T108" t="str">
            <v>T/T 30 days</v>
          </cell>
          <cell r="U108">
            <v>0.57736148280305277</v>
          </cell>
          <cell r="V108">
            <v>0.5536882720168308</v>
          </cell>
          <cell r="W108">
            <v>0.43</v>
          </cell>
          <cell r="X108">
            <v>0.41</v>
          </cell>
          <cell r="Y108" t="str">
            <v>A</v>
          </cell>
          <cell r="Z108">
            <v>0.49831944481514773</v>
          </cell>
          <cell r="AA108">
            <v>0.34444444444444444</v>
          </cell>
        </row>
        <row r="109">
          <cell r="F109" t="str">
            <v>KFP45452PABEF8</v>
          </cell>
          <cell r="G109" t="str">
            <v>45X45 FACE PLATE 2 PORTS FLAT ANTIBACTERIAL SGS VERIFIED 8PCS PER ECO FRIENDLY CARTON</v>
          </cell>
          <cell r="I109" t="str">
            <v>China</v>
          </cell>
          <cell r="K109" t="str">
            <v xml:space="preserve">8 pcs eco friendly box </v>
          </cell>
          <cell r="L109" t="str">
            <v>5000 pcs</v>
          </cell>
          <cell r="M109">
            <v>11520</v>
          </cell>
          <cell r="O109" t="str">
            <v>853669 9000</v>
          </cell>
          <cell r="P109">
            <v>2.3E-2</v>
          </cell>
          <cell r="Q109">
            <v>45</v>
          </cell>
          <cell r="R109">
            <v>45</v>
          </cell>
          <cell r="S109">
            <v>55</v>
          </cell>
          <cell r="T109" t="str">
            <v>T/T 30 days</v>
          </cell>
          <cell r="U109">
            <v>0.59835644581407288</v>
          </cell>
          <cell r="V109">
            <v>0.57311593068408795</v>
          </cell>
          <cell r="W109">
            <v>0.45</v>
          </cell>
          <cell r="X109">
            <v>0.43</v>
          </cell>
          <cell r="Y109" t="str">
            <v>A</v>
          </cell>
          <cell r="Z109">
            <v>0.51580433761567912</v>
          </cell>
          <cell r="AA109">
            <v>0.36666666666666647</v>
          </cell>
        </row>
        <row r="110">
          <cell r="F110" t="str">
            <v>KWP86861PEF8</v>
          </cell>
          <cell r="G110" t="str">
            <v>86X86 WALL PLATE 1 PORT 8PCS PER ECO FRIENDLY CARTON</v>
          </cell>
          <cell r="I110" t="str">
            <v>China</v>
          </cell>
          <cell r="K110" t="str">
            <v xml:space="preserve">8 pcs eco friendly box </v>
          </cell>
          <cell r="L110" t="str">
            <v>5000 pcs</v>
          </cell>
          <cell r="M110">
            <v>5760</v>
          </cell>
          <cell r="O110" t="str">
            <v>853669 9000</v>
          </cell>
          <cell r="P110">
            <v>2.3E-2</v>
          </cell>
          <cell r="Q110">
            <v>45</v>
          </cell>
          <cell r="R110">
            <v>45</v>
          </cell>
          <cell r="S110">
            <v>55</v>
          </cell>
          <cell r="T110" t="str">
            <v>T/T 30 days</v>
          </cell>
          <cell r="U110">
            <v>0.65806368772470469</v>
          </cell>
          <cell r="V110">
            <v>0.64812345582511555</v>
          </cell>
          <cell r="W110">
            <v>0.34</v>
          </cell>
          <cell r="X110">
            <v>0.32</v>
          </cell>
          <cell r="Y110" t="str">
            <v>C</v>
          </cell>
          <cell r="Z110">
            <v>0.64812345582511555</v>
          </cell>
          <cell r="AA110">
            <v>0.32000000000000006</v>
          </cell>
        </row>
        <row r="111">
          <cell r="F111" t="str">
            <v>KWP86862PEF8</v>
          </cell>
          <cell r="G111" t="str">
            <v>86X86 WALL PLATE 1 PORT 8PCS PER ECO FRIENDLY CARTON</v>
          </cell>
          <cell r="I111" t="str">
            <v>China</v>
          </cell>
          <cell r="K111" t="str">
            <v xml:space="preserve">8 pcs eco friendly box </v>
          </cell>
          <cell r="L111" t="str">
            <v>5000 pcs</v>
          </cell>
          <cell r="M111">
            <v>5760</v>
          </cell>
          <cell r="O111" t="str">
            <v>853669 9000</v>
          </cell>
          <cell r="P111">
            <v>2.3E-2</v>
          </cell>
          <cell r="Q111">
            <v>45</v>
          </cell>
          <cell r="R111">
            <v>45</v>
          </cell>
          <cell r="S111">
            <v>55</v>
          </cell>
          <cell r="T111" t="str">
            <v>T/T 30 days</v>
          </cell>
          <cell r="U111">
            <v>0.71477486731724027</v>
          </cell>
          <cell r="V111">
            <v>0.70040261329401265</v>
          </cell>
          <cell r="W111">
            <v>0.34</v>
          </cell>
          <cell r="X111">
            <v>0.32</v>
          </cell>
          <cell r="Y111" t="str">
            <v>C</v>
          </cell>
          <cell r="Z111">
            <v>0.70040261329401265</v>
          </cell>
          <cell r="AA111">
            <v>0.32000000000000006</v>
          </cell>
        </row>
        <row r="112">
          <cell r="F112" t="str">
            <v>KSB868645PEF</v>
          </cell>
          <cell r="G112" t="str">
            <v>86X86 SURFACE MOUNTING BOX DEPTH 45MM ECO FRIENDLY CARTON</v>
          </cell>
          <cell r="I112" t="str">
            <v>China</v>
          </cell>
          <cell r="K112" t="str">
            <v>1 pc eco friendly box</v>
          </cell>
          <cell r="L112" t="str">
            <v>1000 pcs</v>
          </cell>
          <cell r="M112">
            <v>2000</v>
          </cell>
          <cell r="O112" t="str">
            <v>853669 9000</v>
          </cell>
          <cell r="P112">
            <v>2.3E-2</v>
          </cell>
          <cell r="Q112">
            <v>45</v>
          </cell>
          <cell r="R112">
            <v>45</v>
          </cell>
          <cell r="S112">
            <v>55</v>
          </cell>
          <cell r="T112" t="str">
            <v>T/T 30 days</v>
          </cell>
          <cell r="U112">
            <v>0.69123437767505569</v>
          </cell>
          <cell r="V112">
            <v>0.7566991757196746</v>
          </cell>
          <cell r="W112">
            <v>0.34</v>
          </cell>
          <cell r="X112">
            <v>0.32</v>
          </cell>
          <cell r="Y112" t="str">
            <v>C</v>
          </cell>
          <cell r="Z112">
            <v>0.7566991757196746</v>
          </cell>
          <cell r="AA112">
            <v>0.32000000000000006</v>
          </cell>
        </row>
        <row r="113">
          <cell r="F113" t="str">
            <v>KSB868636PEF</v>
          </cell>
          <cell r="G113" t="str">
            <v>86X86 SURFACE MOUNTING BOX DEPTH 36MM ECO FRIENDLY CARTON</v>
          </cell>
          <cell r="I113" t="str">
            <v>China</v>
          </cell>
          <cell r="K113" t="str">
            <v>1 pc eco friendly box</v>
          </cell>
          <cell r="L113" t="str">
            <v>1000 pcs</v>
          </cell>
          <cell r="M113">
            <v>2000</v>
          </cell>
          <cell r="O113" t="str">
            <v>853669 9000</v>
          </cell>
          <cell r="P113">
            <v>2.3E-2</v>
          </cell>
          <cell r="Q113">
            <v>45</v>
          </cell>
          <cell r="R113">
            <v>45</v>
          </cell>
          <cell r="S113">
            <v>55</v>
          </cell>
          <cell r="T113" t="str">
            <v>T/T 30 days</v>
          </cell>
          <cell r="U113">
            <v>0.5649717514124295</v>
          </cell>
          <cell r="V113">
            <v>0.65413112467252765</v>
          </cell>
          <cell r="W113">
            <v>0.42000000000000004</v>
          </cell>
          <cell r="X113">
            <v>0.4</v>
          </cell>
          <cell r="Y113" t="str">
            <v>C</v>
          </cell>
          <cell r="Z113">
            <v>0.65413112467252765</v>
          </cell>
          <cell r="AA113">
            <v>0.4</v>
          </cell>
        </row>
        <row r="114">
          <cell r="F114" t="str">
            <v>KSFP1U245NPCEF</v>
          </cell>
          <cell r="G114" t="str">
            <v>19" 1U FIBRE OPTIC PATCH PANEL 245 UNLOADED WITHOUT FRONT PLATE WITH HOLE CUTTING AND ACCESSORIES PER FRIENDLY CARTON</v>
          </cell>
          <cell r="I114" t="str">
            <v>China</v>
          </cell>
          <cell r="K114" t="str">
            <v>1 pc eco friendly box</v>
          </cell>
          <cell r="L114" t="str">
            <v>480 pcs</v>
          </cell>
          <cell r="M114">
            <v>120</v>
          </cell>
          <cell r="O114" t="str">
            <v>853890 9900</v>
          </cell>
          <cell r="P114">
            <v>1.7000000000000001E-2</v>
          </cell>
          <cell r="Q114">
            <v>30</v>
          </cell>
          <cell r="R114">
            <v>45</v>
          </cell>
          <cell r="S114">
            <v>55</v>
          </cell>
          <cell r="T114" t="str">
            <v>T/T 60 days</v>
          </cell>
          <cell r="U114">
            <v>16.194233391778688</v>
          </cell>
          <cell r="V114">
            <v>17.031341794819433</v>
          </cell>
          <cell r="W114">
            <v>0.42000000000000004</v>
          </cell>
          <cell r="X114">
            <v>0.4</v>
          </cell>
          <cell r="Y114" t="str">
            <v>A</v>
          </cell>
          <cell r="Z114">
            <v>15.32820761533749</v>
          </cell>
          <cell r="AA114">
            <v>0.33333333333333337</v>
          </cell>
        </row>
        <row r="115">
          <cell r="F115" t="str">
            <v>KSFP1U205NPCEF</v>
          </cell>
          <cell r="G115" t="str">
            <v>19" 1U FIBRE OPTIC PATCH PANEL 205 UNLOADED WITHOUT FRONT PLATE WITH HOLE CUTTING AND ACCESSORIES PER FRIENDLY CARTON</v>
          </cell>
          <cell r="I115" t="str">
            <v>China</v>
          </cell>
          <cell r="K115" t="str">
            <v>1 pc eco friendly box</v>
          </cell>
          <cell r="L115" t="str">
            <v>480 pcs</v>
          </cell>
          <cell r="M115">
            <v>120</v>
          </cell>
          <cell r="N115" t="str">
            <v>4897108882609</v>
          </cell>
          <cell r="O115" t="str">
            <v>853890 9900</v>
          </cell>
          <cell r="P115">
            <v>1.7000000000000001E-2</v>
          </cell>
          <cell r="Q115">
            <v>30</v>
          </cell>
          <cell r="R115">
            <v>45</v>
          </cell>
          <cell r="S115">
            <v>55</v>
          </cell>
          <cell r="T115" t="str">
            <v>T/T 60 days</v>
          </cell>
          <cell r="U115">
            <v>14.489577245275669</v>
          </cell>
          <cell r="V115">
            <v>15.476142073727333</v>
          </cell>
          <cell r="W115">
            <v>0.42000000000000004</v>
          </cell>
          <cell r="X115">
            <v>0.4</v>
          </cell>
          <cell r="Y115" t="str">
            <v>A</v>
          </cell>
          <cell r="Z115">
            <v>13.928527866354599</v>
          </cell>
          <cell r="AA115">
            <v>0.33333333333333337</v>
          </cell>
        </row>
        <row r="116">
          <cell r="F116" t="str">
            <v>KSFP1UFP24SCDEF</v>
          </cell>
          <cell r="G116" t="str">
            <v>19" 1U PANEL FRONT PLATE 24 SC DUPLEX</v>
          </cell>
          <cell r="I116" t="str">
            <v>China</v>
          </cell>
          <cell r="K116" t="str">
            <v>1 pc eco friendly box</v>
          </cell>
          <cell r="L116" t="str">
            <v>500 pcs</v>
          </cell>
          <cell r="M116">
            <v>500</v>
          </cell>
          <cell r="N116" t="str">
            <v>4897108882616</v>
          </cell>
          <cell r="O116" t="str">
            <v>853890 9900</v>
          </cell>
          <cell r="P116">
            <v>1.7000000000000001E-2</v>
          </cell>
          <cell r="Q116">
            <v>30</v>
          </cell>
          <cell r="R116">
            <v>45</v>
          </cell>
          <cell r="S116">
            <v>55</v>
          </cell>
          <cell r="T116" t="str">
            <v>T/T 60 days</v>
          </cell>
          <cell r="U116">
            <v>1.5851725399341541</v>
          </cell>
          <cell r="V116">
            <v>1.9087581807614478</v>
          </cell>
          <cell r="W116">
            <v>0.30499999999999999</v>
          </cell>
          <cell r="X116">
            <v>0.28499999999999998</v>
          </cell>
          <cell r="Y116" t="str">
            <v>A</v>
          </cell>
          <cell r="Z116">
            <v>1.717882362685303</v>
          </cell>
          <cell r="AA116">
            <v>0.20555555555555549</v>
          </cell>
        </row>
        <row r="117">
          <cell r="F117" t="str">
            <v>KSFP1UFP24SCSEF</v>
          </cell>
          <cell r="G117" t="str">
            <v>19" 1U PANEL FRONT PLATE 24 SC SIMPLEX</v>
          </cell>
          <cell r="I117" t="str">
            <v>China</v>
          </cell>
          <cell r="K117" t="str">
            <v>1 pc eco friendly box</v>
          </cell>
          <cell r="L117" t="str">
            <v>500 pcs</v>
          </cell>
          <cell r="M117">
            <v>500</v>
          </cell>
          <cell r="N117" t="str">
            <v>4897108882623</v>
          </cell>
          <cell r="O117" t="str">
            <v>853890 9900</v>
          </cell>
          <cell r="P117">
            <v>1.7000000000000001E-2</v>
          </cell>
          <cell r="Q117">
            <v>30</v>
          </cell>
          <cell r="R117">
            <v>45</v>
          </cell>
          <cell r="S117">
            <v>55</v>
          </cell>
          <cell r="T117" t="str">
            <v>T/T 60 days</v>
          </cell>
          <cell r="U117">
            <v>1.5851725399341541</v>
          </cell>
          <cell r="V117">
            <v>1.9087581807614478</v>
          </cell>
          <cell r="W117">
            <v>0.30499999999999999</v>
          </cell>
          <cell r="X117">
            <v>0.28499999999999998</v>
          </cell>
          <cell r="Y117" t="str">
            <v>A</v>
          </cell>
          <cell r="Z117">
            <v>1.717882362685303</v>
          </cell>
          <cell r="AA117">
            <v>0.20555555555555549</v>
          </cell>
        </row>
        <row r="118">
          <cell r="F118" t="str">
            <v>KSFP1UFP12SCDEF</v>
          </cell>
          <cell r="G118" t="str">
            <v>19" 1U PANEL FRONT PLATE 12 SC DUPLEX</v>
          </cell>
          <cell r="I118" t="str">
            <v>China</v>
          </cell>
          <cell r="K118" t="str">
            <v>1 pc eco friendly box</v>
          </cell>
          <cell r="L118" t="str">
            <v>500 pcs</v>
          </cell>
          <cell r="M118">
            <v>500</v>
          </cell>
          <cell r="N118" t="str">
            <v>4897108882630</v>
          </cell>
          <cell r="O118" t="str">
            <v>853890 9900</v>
          </cell>
          <cell r="P118">
            <v>1.7000000000000001E-2</v>
          </cell>
          <cell r="Q118">
            <v>30</v>
          </cell>
          <cell r="R118">
            <v>45</v>
          </cell>
          <cell r="S118">
            <v>55</v>
          </cell>
          <cell r="T118" t="str">
            <v>T/T 60 days</v>
          </cell>
          <cell r="U118">
            <v>1.5851725399341541</v>
          </cell>
          <cell r="V118">
            <v>1.9087581807614478</v>
          </cell>
          <cell r="W118">
            <v>0.30499999999999999</v>
          </cell>
          <cell r="X118">
            <v>0.28499999999999998</v>
          </cell>
          <cell r="Y118" t="str">
            <v>A</v>
          </cell>
          <cell r="Z118">
            <v>1.717882362685303</v>
          </cell>
          <cell r="AA118">
            <v>0.20555555555555549</v>
          </cell>
        </row>
        <row r="119">
          <cell r="F119" t="str">
            <v>KSFP1UFP12SCSEF</v>
          </cell>
          <cell r="G119" t="str">
            <v>19" 1U PANEL FRONT PLATE 12 SC SIMPLEX</v>
          </cell>
          <cell r="I119" t="str">
            <v>China</v>
          </cell>
          <cell r="K119" t="str">
            <v>1 pc eco friendly box</v>
          </cell>
          <cell r="L119" t="str">
            <v>500 pcs</v>
          </cell>
          <cell r="M119">
            <v>500</v>
          </cell>
          <cell r="N119" t="str">
            <v>4897108882647</v>
          </cell>
          <cell r="O119" t="str">
            <v>853890 9900</v>
          </cell>
          <cell r="P119">
            <v>1.7000000000000001E-2</v>
          </cell>
          <cell r="Q119">
            <v>30</v>
          </cell>
          <cell r="R119">
            <v>45</v>
          </cell>
          <cell r="S119">
            <v>55</v>
          </cell>
          <cell r="T119" t="str">
            <v>T/T 60 days</v>
          </cell>
          <cell r="U119">
            <v>1.5851725399341541</v>
          </cell>
          <cell r="V119">
            <v>1.9087581807614478</v>
          </cell>
          <cell r="W119">
            <v>0.30499999999999999</v>
          </cell>
          <cell r="X119">
            <v>0.28499999999999998</v>
          </cell>
          <cell r="Y119" t="str">
            <v>A</v>
          </cell>
          <cell r="Z119">
            <v>1.717882362685303</v>
          </cell>
          <cell r="AA119">
            <v>0.20555555555555549</v>
          </cell>
        </row>
        <row r="120">
          <cell r="F120" t="str">
            <v>KSFP1UFP24STEF</v>
          </cell>
          <cell r="G120" t="str">
            <v>19" 1U PANEL FRONT PLATE 24ST</v>
          </cell>
          <cell r="I120" t="str">
            <v>China</v>
          </cell>
          <cell r="K120" t="str">
            <v>1 pc eco friendly box</v>
          </cell>
          <cell r="L120" t="str">
            <v>500 pcs</v>
          </cell>
          <cell r="M120">
            <v>500</v>
          </cell>
          <cell r="O120" t="str">
            <v>853890 9900</v>
          </cell>
          <cell r="P120">
            <v>1.7000000000000001E-2</v>
          </cell>
          <cell r="Q120">
            <v>30</v>
          </cell>
          <cell r="R120">
            <v>45</v>
          </cell>
          <cell r="S120">
            <v>55</v>
          </cell>
          <cell r="T120" t="str">
            <v>T/T 60 days</v>
          </cell>
          <cell r="U120">
            <v>1.5851725399341541</v>
          </cell>
          <cell r="V120">
            <v>1.9087581807614478</v>
          </cell>
          <cell r="W120">
            <v>0.30499999999999999</v>
          </cell>
          <cell r="X120">
            <v>0.28499999999999998</v>
          </cell>
          <cell r="Y120" t="str">
            <v>A</v>
          </cell>
          <cell r="Z120">
            <v>1.717882362685303</v>
          </cell>
          <cell r="AA120">
            <v>0.20555555555555549</v>
          </cell>
        </row>
        <row r="121">
          <cell r="F121" t="str">
            <v>KSALCDS40</v>
          </cell>
          <cell r="G121" t="str">
            <v>LC DUPLEX SINGLEMODE BLUE ADAPTOR 40PCS PER ECO FRIENDLY BAG</v>
          </cell>
          <cell r="I121" t="str">
            <v>China</v>
          </cell>
          <cell r="K121" t="str">
            <v>40 pcs friendly bag</v>
          </cell>
          <cell r="L121" t="str">
            <v>1000 pcs</v>
          </cell>
          <cell r="M121">
            <v>36000</v>
          </cell>
          <cell r="N121" t="str">
            <v>4897108882654</v>
          </cell>
          <cell r="O121" t="str">
            <v>392690 9700</v>
          </cell>
          <cell r="P121">
            <v>0</v>
          </cell>
          <cell r="Q121">
            <v>30</v>
          </cell>
          <cell r="R121">
            <v>45</v>
          </cell>
          <cell r="S121">
            <v>55</v>
          </cell>
          <cell r="T121" t="str">
            <v>T/T 60 days</v>
          </cell>
          <cell r="U121">
            <v>0.41542040545031578</v>
          </cell>
          <cell r="V121">
            <v>0.38045327924973626</v>
          </cell>
          <cell r="W121">
            <v>0.32</v>
          </cell>
          <cell r="X121">
            <v>0.3</v>
          </cell>
          <cell r="Y121" t="str">
            <v>C</v>
          </cell>
          <cell r="Z121">
            <v>0.38045327924973626</v>
          </cell>
          <cell r="AA121">
            <v>0.30000000000000004</v>
          </cell>
        </row>
        <row r="122">
          <cell r="F122" t="str">
            <v>KSALCDM40</v>
          </cell>
          <cell r="G122" t="str">
            <v>LC DUPLEX MULTIMODE BEIGE ADAPTOR 40PCS PER ECO FRIENDLY BAG</v>
          </cell>
          <cell r="I122" t="str">
            <v>China</v>
          </cell>
          <cell r="K122" t="str">
            <v>40 pcs friendly bag</v>
          </cell>
          <cell r="L122" t="str">
            <v>1000 pcs</v>
          </cell>
          <cell r="M122">
            <v>36000</v>
          </cell>
          <cell r="N122" t="str">
            <v>4897108882661</v>
          </cell>
          <cell r="O122" t="str">
            <v>392690 9700</v>
          </cell>
          <cell r="P122">
            <v>0</v>
          </cell>
          <cell r="Q122">
            <v>30</v>
          </cell>
          <cell r="R122">
            <v>45</v>
          </cell>
          <cell r="S122">
            <v>55</v>
          </cell>
          <cell r="T122" t="str">
            <v>T/T 60 days</v>
          </cell>
          <cell r="U122">
            <v>0.41542040545031578</v>
          </cell>
          <cell r="V122">
            <v>0.38045327924973626</v>
          </cell>
          <cell r="W122">
            <v>0.32</v>
          </cell>
          <cell r="X122">
            <v>0.3</v>
          </cell>
          <cell r="Y122" t="str">
            <v>C</v>
          </cell>
          <cell r="Z122">
            <v>0.38045327924973626</v>
          </cell>
          <cell r="AA122">
            <v>0.30000000000000004</v>
          </cell>
        </row>
        <row r="123">
          <cell r="F123" t="str">
            <v>KSASCDS20</v>
          </cell>
          <cell r="G123" t="str">
            <v>SC DUPLEX SINGLEMODE  BLUE ADAPTOR 20PCS PER ECO FRIENDLY BAG</v>
          </cell>
          <cell r="I123" t="str">
            <v>China</v>
          </cell>
          <cell r="K123" t="str">
            <v>20 pcs friendly bag</v>
          </cell>
          <cell r="L123" t="str">
            <v>1000 pcs</v>
          </cell>
          <cell r="M123">
            <v>18000</v>
          </cell>
          <cell r="N123" t="str">
            <v>4897108882678</v>
          </cell>
          <cell r="O123" t="str">
            <v>392690 9700</v>
          </cell>
          <cell r="P123">
            <v>0</v>
          </cell>
          <cell r="Q123">
            <v>30</v>
          </cell>
          <cell r="R123">
            <v>45</v>
          </cell>
          <cell r="S123">
            <v>55</v>
          </cell>
          <cell r="T123" t="str">
            <v>T/T 60 days</v>
          </cell>
          <cell r="U123">
            <v>0.31156530408773681</v>
          </cell>
          <cell r="V123">
            <v>0.2934004753103181</v>
          </cell>
          <cell r="W123">
            <v>0.32</v>
          </cell>
          <cell r="X123">
            <v>0.3</v>
          </cell>
          <cell r="Y123" t="str">
            <v>C</v>
          </cell>
          <cell r="Z123">
            <v>0.2934004753103181</v>
          </cell>
          <cell r="AA123">
            <v>0.30000000000000004</v>
          </cell>
        </row>
        <row r="124">
          <cell r="F124" t="str">
            <v>KSASCDM20</v>
          </cell>
          <cell r="G124" t="str">
            <v>SC DUPLEX MULTIMODE  BEIGE ADAPTOR 20PCS PER ECO FRIENDLY BAG</v>
          </cell>
          <cell r="I124" t="str">
            <v>China</v>
          </cell>
          <cell r="K124" t="str">
            <v>20 pcs friendly bag</v>
          </cell>
          <cell r="L124" t="str">
            <v>1000 pcs</v>
          </cell>
          <cell r="M124">
            <v>18000</v>
          </cell>
          <cell r="N124" t="str">
            <v>4897108882685</v>
          </cell>
          <cell r="O124" t="str">
            <v>392690 9700</v>
          </cell>
          <cell r="P124">
            <v>0</v>
          </cell>
          <cell r="Q124">
            <v>30</v>
          </cell>
          <cell r="R124">
            <v>45</v>
          </cell>
          <cell r="S124">
            <v>55</v>
          </cell>
          <cell r="T124" t="str">
            <v>T/T 60 days</v>
          </cell>
          <cell r="U124">
            <v>0.31156530408773681</v>
          </cell>
          <cell r="V124">
            <v>0.2934004753103181</v>
          </cell>
          <cell r="W124">
            <v>0.32</v>
          </cell>
          <cell r="X124">
            <v>0.3</v>
          </cell>
          <cell r="Y124" t="str">
            <v>C</v>
          </cell>
          <cell r="Z124">
            <v>0.2934004753103181</v>
          </cell>
          <cell r="AA124">
            <v>0.30000000000000004</v>
          </cell>
        </row>
        <row r="125">
          <cell r="F125" t="str">
            <v>KPIGOM3SC2MEF</v>
          </cell>
          <cell r="G125" t="str">
            <v>SC OM3 PIGTAIL 2 METERS ECO FRIENDLY BAG</v>
          </cell>
          <cell r="I125" t="str">
            <v>China</v>
          </cell>
          <cell r="K125" t="str">
            <v>1 pc eco friendly bag</v>
          </cell>
          <cell r="L125" t="str">
            <v>500 pcs</v>
          </cell>
          <cell r="M125">
            <v>4800</v>
          </cell>
          <cell r="P125">
            <v>0</v>
          </cell>
          <cell r="Q125">
            <v>30</v>
          </cell>
          <cell r="R125">
            <v>45</v>
          </cell>
          <cell r="S125">
            <v>55</v>
          </cell>
          <cell r="T125" t="str">
            <v>T/T 60 days</v>
          </cell>
          <cell r="U125">
            <v>0.57328015952143574</v>
          </cell>
          <cell r="V125">
            <v>0.56448981107892171</v>
          </cell>
          <cell r="W125">
            <v>0.32</v>
          </cell>
          <cell r="X125">
            <v>0.3</v>
          </cell>
          <cell r="Y125" t="str">
            <v>C</v>
          </cell>
          <cell r="Z125">
            <v>0.56448981107892171</v>
          </cell>
          <cell r="AA125">
            <v>0.29999999999999993</v>
          </cell>
        </row>
        <row r="126">
          <cell r="F126" t="str">
            <v>KPIGOM3LC2MEF</v>
          </cell>
          <cell r="G126" t="str">
            <v>LC OM3 PIGTAIL 2 METERS ECO FRIENDLY BAG</v>
          </cell>
          <cell r="I126" t="str">
            <v>China</v>
          </cell>
          <cell r="K126" t="str">
            <v>1 pc eco friendly bag</v>
          </cell>
          <cell r="L126" t="str">
            <v>500 pcs</v>
          </cell>
          <cell r="M126">
            <v>7200</v>
          </cell>
          <cell r="P126">
            <v>0</v>
          </cell>
          <cell r="Q126">
            <v>30</v>
          </cell>
          <cell r="R126">
            <v>45</v>
          </cell>
          <cell r="S126">
            <v>55</v>
          </cell>
          <cell r="T126" t="str">
            <v>T/T 60 days</v>
          </cell>
          <cell r="U126">
            <v>0.57328015952143574</v>
          </cell>
          <cell r="V126">
            <v>0.54836877933288997</v>
          </cell>
          <cell r="W126">
            <v>0.32</v>
          </cell>
          <cell r="X126">
            <v>0.3</v>
          </cell>
          <cell r="Y126" t="str">
            <v>C</v>
          </cell>
          <cell r="Z126">
            <v>0.54836877933288997</v>
          </cell>
          <cell r="AA126">
            <v>0.30000000000000004</v>
          </cell>
        </row>
        <row r="127">
          <cell r="F127" t="str">
            <v>KPIGOS2SC2MEF</v>
          </cell>
          <cell r="G127" t="str">
            <v>SC OS2 PIGTAIL 2 METERS ECO FRIENDLY BAG</v>
          </cell>
          <cell r="I127" t="str">
            <v>China</v>
          </cell>
          <cell r="K127" t="str">
            <v>1 pc eco friendly bag</v>
          </cell>
          <cell r="L127" t="str">
            <v>500 pcs</v>
          </cell>
          <cell r="M127">
            <v>4800</v>
          </cell>
          <cell r="P127">
            <v>0</v>
          </cell>
          <cell r="Q127">
            <v>30</v>
          </cell>
          <cell r="R127">
            <v>45</v>
          </cell>
          <cell r="S127">
            <v>55</v>
          </cell>
          <cell r="T127" t="str">
            <v>T/T 60 days</v>
          </cell>
          <cell r="U127">
            <v>0.51719840478564316</v>
          </cell>
          <cell r="V127">
            <v>0.51399915409449315</v>
          </cell>
          <cell r="W127">
            <v>0.32</v>
          </cell>
          <cell r="X127">
            <v>0.3</v>
          </cell>
          <cell r="Y127" t="str">
            <v>C</v>
          </cell>
          <cell r="Z127">
            <v>0.51399915409449315</v>
          </cell>
          <cell r="AA127">
            <v>0.30000000000000004</v>
          </cell>
        </row>
        <row r="128">
          <cell r="F128" t="str">
            <v>KPIGOS2LC2MEF</v>
          </cell>
          <cell r="G128" t="str">
            <v>LC OS2 PIGTAIL 2 METERS ECO FRIENDLY BAG</v>
          </cell>
          <cell r="I128" t="str">
            <v>China</v>
          </cell>
          <cell r="K128" t="str">
            <v>1 pc eco friendly bag</v>
          </cell>
          <cell r="L128" t="str">
            <v>500 pcs</v>
          </cell>
          <cell r="M128">
            <v>7200</v>
          </cell>
          <cell r="P128">
            <v>0</v>
          </cell>
          <cell r="Q128">
            <v>30</v>
          </cell>
          <cell r="R128">
            <v>45</v>
          </cell>
          <cell r="S128">
            <v>55</v>
          </cell>
          <cell r="T128" t="str">
            <v>T/T 60 days</v>
          </cell>
          <cell r="U128">
            <v>0.51719840478564316</v>
          </cell>
          <cell r="V128">
            <v>0.49787812234846135</v>
          </cell>
          <cell r="W128">
            <v>0.32</v>
          </cell>
          <cell r="X128">
            <v>0.3</v>
          </cell>
          <cell r="Y128" t="str">
            <v>C</v>
          </cell>
          <cell r="Z128">
            <v>0.49787812234846135</v>
          </cell>
          <cell r="AA128">
            <v>0.30000000000000004</v>
          </cell>
        </row>
        <row r="129">
          <cell r="F129" t="str">
            <v>KCDOM3SCSC1MEF</v>
          </cell>
          <cell r="G129" t="str">
            <v>SC/SC OM3 DUPLEX OPTICAL PATCH CORD 1M ECO FRIENDLY BAG</v>
          </cell>
          <cell r="I129" t="str">
            <v>China</v>
          </cell>
          <cell r="K129" t="str">
            <v>1 pc eco friendly bag</v>
          </cell>
          <cell r="L129" t="str">
            <v>2km per cable</v>
          </cell>
          <cell r="M129">
            <v>1440</v>
          </cell>
          <cell r="P129">
            <v>0</v>
          </cell>
          <cell r="Q129">
            <v>30</v>
          </cell>
          <cell r="R129">
            <v>45</v>
          </cell>
          <cell r="S129">
            <v>55</v>
          </cell>
          <cell r="T129" t="str">
            <v>T/T 60 days</v>
          </cell>
          <cell r="U129">
            <v>2.0672829994863893</v>
          </cell>
          <cell r="V129">
            <v>2.0255259941650698</v>
          </cell>
          <cell r="W129">
            <v>0.34</v>
          </cell>
          <cell r="X129">
            <v>0.32</v>
          </cell>
          <cell r="Y129" t="str">
            <v>C</v>
          </cell>
          <cell r="Z129">
            <v>2.0255259941650698</v>
          </cell>
          <cell r="AA129">
            <v>0.32000000000000017</v>
          </cell>
        </row>
        <row r="130">
          <cell r="F130" t="str">
            <v>KCDOM3SCSC2MEF</v>
          </cell>
          <cell r="G130" t="str">
            <v>SC/SC OM3 DUPLEX OPTICAL PATCH CORD 2M ECO FRIENDLY BAG</v>
          </cell>
          <cell r="I130" t="str">
            <v>China</v>
          </cell>
          <cell r="K130" t="str">
            <v>1 pc eco friendly bag</v>
          </cell>
          <cell r="M130">
            <v>1120</v>
          </cell>
          <cell r="P130">
            <v>0</v>
          </cell>
          <cell r="Q130">
            <v>30</v>
          </cell>
          <cell r="R130">
            <v>45</v>
          </cell>
          <cell r="S130">
            <v>55</v>
          </cell>
          <cell r="T130" t="str">
            <v>T/T 60 days</v>
          </cell>
          <cell r="U130">
            <v>2.274867317240199</v>
          </cell>
          <cell r="V130">
            <v>2.2596682231154199</v>
          </cell>
          <cell r="W130">
            <v>0.34</v>
          </cell>
          <cell r="X130">
            <v>0.32</v>
          </cell>
          <cell r="Y130" t="str">
            <v>C</v>
          </cell>
          <cell r="Z130">
            <v>2.2596682231154199</v>
          </cell>
          <cell r="AA130">
            <v>0.32000000000000006</v>
          </cell>
        </row>
        <row r="131">
          <cell r="F131" t="str">
            <v>KCDOM3SCSC3MEF</v>
          </cell>
          <cell r="G131" t="str">
            <v>SC/SC OM3 DUPLEX OPTICAL PATCH CORD 3M ECO FRIENDLY BAG</v>
          </cell>
          <cell r="I131" t="str">
            <v>China</v>
          </cell>
          <cell r="K131" t="str">
            <v>1 pc eco friendly bag</v>
          </cell>
          <cell r="M131">
            <v>1040</v>
          </cell>
          <cell r="P131">
            <v>0</v>
          </cell>
          <cell r="Q131">
            <v>30</v>
          </cell>
          <cell r="R131">
            <v>45</v>
          </cell>
          <cell r="S131">
            <v>55</v>
          </cell>
          <cell r="T131" t="str">
            <v>T/T 60 days</v>
          </cell>
          <cell r="U131">
            <v>2.4803115904810822</v>
          </cell>
          <cell r="V131">
            <v>2.4608834428903594</v>
          </cell>
          <cell r="W131">
            <v>0.34</v>
          </cell>
          <cell r="X131">
            <v>0.32</v>
          </cell>
          <cell r="Y131" t="str">
            <v>C</v>
          </cell>
          <cell r="Z131">
            <v>2.4608834428903594</v>
          </cell>
          <cell r="AA131">
            <v>0.32000000000000006</v>
          </cell>
        </row>
        <row r="132">
          <cell r="F132" t="str">
            <v>KCDOM3SCSC5MEF</v>
          </cell>
          <cell r="G132" t="str">
            <v>SC/SC OM3 DUPLEX OPTICAL PATCH CORD 5M ECO FRIENDLY BAG</v>
          </cell>
          <cell r="I132" t="str">
            <v>China</v>
          </cell>
          <cell r="K132" t="str">
            <v>1 pc eco friendly bag</v>
          </cell>
          <cell r="M132">
            <v>800</v>
          </cell>
          <cell r="P132">
            <v>0</v>
          </cell>
          <cell r="Q132">
            <v>30</v>
          </cell>
          <cell r="R132">
            <v>45</v>
          </cell>
          <cell r="S132">
            <v>55</v>
          </cell>
          <cell r="T132" t="str">
            <v>T/T 60 days</v>
          </cell>
          <cell r="U132">
            <v>2.8804999143982202</v>
          </cell>
          <cell r="V132">
            <v>2.8897969504754202</v>
          </cell>
          <cell r="W132">
            <v>0.34</v>
          </cell>
          <cell r="X132">
            <v>0.32</v>
          </cell>
          <cell r="Y132" t="str">
            <v>C</v>
          </cell>
          <cell r="Z132">
            <v>2.8897969504754202</v>
          </cell>
          <cell r="AA132">
            <v>0.32000000000000006</v>
          </cell>
        </row>
        <row r="133">
          <cell r="F133" t="str">
            <v>KCDOM3SCLC1MEF</v>
          </cell>
          <cell r="G133" t="str">
            <v>SC/LC OM3 DUPLEX OPTICAL PATCH CORD 1M ECO FRIENDLY BAG</v>
          </cell>
          <cell r="I133" t="str">
            <v>China</v>
          </cell>
          <cell r="K133" t="str">
            <v>1 pc eco friendly bag</v>
          </cell>
          <cell r="M133">
            <v>1600</v>
          </cell>
          <cell r="P133">
            <v>0</v>
          </cell>
          <cell r="Q133">
            <v>30</v>
          </cell>
          <cell r="R133">
            <v>45</v>
          </cell>
          <cell r="S133">
            <v>55</v>
          </cell>
          <cell r="T133" t="str">
            <v>T/T 60 days</v>
          </cell>
          <cell r="U133">
            <v>2.0672829994863893</v>
          </cell>
          <cell r="V133">
            <v>2.0089308144265074</v>
          </cell>
          <cell r="W133">
            <v>0.34</v>
          </cell>
          <cell r="X133">
            <v>0.32</v>
          </cell>
          <cell r="Y133" t="str">
            <v>C</v>
          </cell>
          <cell r="Z133">
            <v>2.0089308144265074</v>
          </cell>
          <cell r="AA133">
            <v>0.32000000000000006</v>
          </cell>
        </row>
        <row r="134">
          <cell r="F134" t="str">
            <v>KCDOM3SCLC2MEF</v>
          </cell>
          <cell r="G134" t="str">
            <v>SC/LC OM3 DUPLEX OPTICAL PATCH CORD 2M ECO FRIENDLY BAG</v>
          </cell>
          <cell r="I134" t="str">
            <v>China</v>
          </cell>
          <cell r="K134" t="str">
            <v>1 pc eco friendly bag</v>
          </cell>
          <cell r="M134">
            <v>1200</v>
          </cell>
          <cell r="P134">
            <v>0</v>
          </cell>
          <cell r="Q134">
            <v>30</v>
          </cell>
          <cell r="R134">
            <v>45</v>
          </cell>
          <cell r="S134">
            <v>55</v>
          </cell>
          <cell r="T134" t="str">
            <v>T/T 60 days</v>
          </cell>
          <cell r="U134">
            <v>2.274867317240199</v>
          </cell>
          <cell r="V134">
            <v>2.2454437833395096</v>
          </cell>
          <cell r="W134">
            <v>0.34</v>
          </cell>
          <cell r="X134">
            <v>0.32</v>
          </cell>
          <cell r="Y134" t="str">
            <v>C</v>
          </cell>
          <cell r="Z134">
            <v>2.2454437833395096</v>
          </cell>
          <cell r="AA134">
            <v>0.32000000000000006</v>
          </cell>
        </row>
        <row r="135">
          <cell r="F135" t="str">
            <v>KCDOM3SCLC3MEF</v>
          </cell>
          <cell r="G135" t="str">
            <v>SC/LC OM3 DUPLEX OPTICAL PATCH CORD 3M ECO FRIENDLY BAG</v>
          </cell>
          <cell r="I135" t="str">
            <v>China</v>
          </cell>
          <cell r="K135" t="str">
            <v>1 pc eco friendly bag</v>
          </cell>
          <cell r="M135">
            <v>1120</v>
          </cell>
          <cell r="P135">
            <v>0</v>
          </cell>
          <cell r="Q135">
            <v>30</v>
          </cell>
          <cell r="R135">
            <v>45</v>
          </cell>
          <cell r="S135">
            <v>55</v>
          </cell>
          <cell r="T135" t="str">
            <v>T/T 60 days</v>
          </cell>
          <cell r="U135">
            <v>2.4803115904810822</v>
          </cell>
          <cell r="V135">
            <v>2.4444706277643089</v>
          </cell>
          <cell r="W135">
            <v>0.34</v>
          </cell>
          <cell r="X135">
            <v>0.32</v>
          </cell>
          <cell r="Y135" t="str">
            <v>C</v>
          </cell>
          <cell r="Z135">
            <v>2.4444706277643089</v>
          </cell>
          <cell r="AA135">
            <v>0.32000000000000006</v>
          </cell>
        </row>
        <row r="136">
          <cell r="F136" t="str">
            <v>KCDOM3SCLC5MEF</v>
          </cell>
          <cell r="G136" t="str">
            <v>SC/LC OM3 DUPLEX OPTICAL PATCH CORD 5M ECO FRIENDLY BAG</v>
          </cell>
          <cell r="I136" t="str">
            <v>China</v>
          </cell>
          <cell r="K136" t="str">
            <v>1 pc eco friendly bag</v>
          </cell>
          <cell r="M136">
            <v>800</v>
          </cell>
          <cell r="P136">
            <v>0</v>
          </cell>
          <cell r="Q136">
            <v>30</v>
          </cell>
          <cell r="R136">
            <v>45</v>
          </cell>
          <cell r="S136">
            <v>55</v>
          </cell>
          <cell r="T136" t="str">
            <v>T/T 60 days</v>
          </cell>
          <cell r="U136">
            <v>2.8804999143982202</v>
          </cell>
          <cell r="V136">
            <v>2.8897969504754202</v>
          </cell>
          <cell r="W136">
            <v>0.34</v>
          </cell>
          <cell r="X136">
            <v>0.32</v>
          </cell>
          <cell r="Y136" t="str">
            <v>C</v>
          </cell>
          <cell r="Z136">
            <v>2.8897969504754202</v>
          </cell>
          <cell r="AA136">
            <v>0.32000000000000006</v>
          </cell>
        </row>
        <row r="137">
          <cell r="F137" t="str">
            <v>KCDOM3LCLC1MEF</v>
          </cell>
          <cell r="G137" t="str">
            <v>LC/LC OM3 DUPLEX OPTICAL PATCH CORD 1M ECO FRIENDLY BAG</v>
          </cell>
          <cell r="I137" t="str">
            <v>China</v>
          </cell>
          <cell r="K137" t="str">
            <v>1 pc eco friendly bag</v>
          </cell>
          <cell r="M137">
            <v>1760</v>
          </cell>
          <cell r="P137">
            <v>0</v>
          </cell>
          <cell r="Q137">
            <v>30</v>
          </cell>
          <cell r="R137">
            <v>45</v>
          </cell>
          <cell r="S137">
            <v>55</v>
          </cell>
          <cell r="T137" t="str">
            <v>T/T 60 days</v>
          </cell>
          <cell r="U137">
            <v>2.0672829994863893</v>
          </cell>
          <cell r="V137">
            <v>1.9953529400949566</v>
          </cell>
          <cell r="W137">
            <v>0.34</v>
          </cell>
          <cell r="X137">
            <v>0.32</v>
          </cell>
          <cell r="Y137" t="str">
            <v>C</v>
          </cell>
          <cell r="Z137">
            <v>1.9953529400949566</v>
          </cell>
          <cell r="AA137">
            <v>0.32000000000000006</v>
          </cell>
        </row>
        <row r="138">
          <cell r="F138" t="str">
            <v>KCDOM3LCLC2MEF</v>
          </cell>
          <cell r="G138" t="str">
            <v>LC/LC OM3 DUPLEX OPTICAL PATCH CORD 2M ECO FRIENDLY BAG</v>
          </cell>
          <cell r="I138" t="str">
            <v>China</v>
          </cell>
          <cell r="K138" t="str">
            <v>1 pc eco friendly bag</v>
          </cell>
          <cell r="M138">
            <v>1280</v>
          </cell>
          <cell r="P138">
            <v>0</v>
          </cell>
          <cell r="Q138">
            <v>30</v>
          </cell>
          <cell r="R138">
            <v>45</v>
          </cell>
          <cell r="S138">
            <v>55</v>
          </cell>
          <cell r="T138" t="str">
            <v>T/T 60 days</v>
          </cell>
          <cell r="U138">
            <v>2.274867317240199</v>
          </cell>
          <cell r="V138">
            <v>2.2329973985355878</v>
          </cell>
          <cell r="W138">
            <v>0.34</v>
          </cell>
          <cell r="X138">
            <v>0.32</v>
          </cell>
          <cell r="Y138" t="str">
            <v>C</v>
          </cell>
          <cell r="Z138">
            <v>2.2329973985355878</v>
          </cell>
          <cell r="AA138">
            <v>0.32000000000000006</v>
          </cell>
        </row>
        <row r="139">
          <cell r="F139" t="str">
            <v>KCDOM3LCLC3MEF</v>
          </cell>
          <cell r="G139" t="str">
            <v>LC/LC OM3 DUPLEX OPTICAL PATCH CORD 3M ECO FRIENDLY BAG</v>
          </cell>
          <cell r="I139" t="str">
            <v>China</v>
          </cell>
          <cell r="K139" t="str">
            <v>1 pc eco friendly bag</v>
          </cell>
          <cell r="M139">
            <v>1120</v>
          </cell>
          <cell r="P139">
            <v>0</v>
          </cell>
          <cell r="Q139">
            <v>30</v>
          </cell>
          <cell r="R139">
            <v>45</v>
          </cell>
          <cell r="S139">
            <v>55</v>
          </cell>
          <cell r="T139" t="str">
            <v>T/T 60 days</v>
          </cell>
          <cell r="U139">
            <v>2.4803115904810822</v>
          </cell>
          <cell r="V139">
            <v>2.4444706277643089</v>
          </cell>
          <cell r="W139">
            <v>0.34</v>
          </cell>
          <cell r="X139">
            <v>0.32</v>
          </cell>
          <cell r="Y139" t="str">
            <v>C</v>
          </cell>
          <cell r="Z139">
            <v>2.4444706277643089</v>
          </cell>
          <cell r="AA139">
            <v>0.32000000000000006</v>
          </cell>
        </row>
        <row r="140">
          <cell r="F140" t="str">
            <v>KCDOM3LCLC5MEF</v>
          </cell>
          <cell r="G140" t="str">
            <v>LC/LC OM3 DUPLEX OPTICAL PATCH CORD 5M ECO FRIENDLY BAG</v>
          </cell>
          <cell r="I140" t="str">
            <v>China</v>
          </cell>
          <cell r="K140" t="str">
            <v>1 pc eco friendly bag</v>
          </cell>
          <cell r="M140">
            <v>800</v>
          </cell>
          <cell r="P140">
            <v>0</v>
          </cell>
          <cell r="Q140">
            <v>30</v>
          </cell>
          <cell r="R140">
            <v>45</v>
          </cell>
          <cell r="S140">
            <v>55</v>
          </cell>
          <cell r="T140" t="str">
            <v>T/T 60 days</v>
          </cell>
          <cell r="U140">
            <v>2.8804999143982202</v>
          </cell>
          <cell r="V140">
            <v>2.8897969504754202</v>
          </cell>
          <cell r="W140">
            <v>0.34</v>
          </cell>
          <cell r="X140">
            <v>0.32</v>
          </cell>
          <cell r="Y140" t="str">
            <v>C</v>
          </cell>
          <cell r="Z140">
            <v>2.8897969504754202</v>
          </cell>
          <cell r="AA140">
            <v>0.32000000000000006</v>
          </cell>
        </row>
        <row r="141">
          <cell r="F141" t="str">
            <v>KCDOS2SCSC1MEF</v>
          </cell>
          <cell r="G141" t="str">
            <v>SC/SC OS2 DUPLEX OPTICAL PATCH CORD 1M ECO FRIENDLY BAG</v>
          </cell>
          <cell r="I141" t="str">
            <v>China</v>
          </cell>
          <cell r="K141" t="str">
            <v>1 pc eco friendly bag</v>
          </cell>
          <cell r="M141">
            <v>1440</v>
          </cell>
          <cell r="P141">
            <v>0</v>
          </cell>
          <cell r="Q141">
            <v>30</v>
          </cell>
          <cell r="R141">
            <v>45</v>
          </cell>
          <cell r="S141">
            <v>55</v>
          </cell>
          <cell r="T141" t="str">
            <v>T/T 60 days</v>
          </cell>
          <cell r="U141">
            <v>2.0972436226673516</v>
          </cell>
          <cell r="V141">
            <v>2.0524763448430328</v>
          </cell>
          <cell r="W141">
            <v>0.34</v>
          </cell>
          <cell r="X141">
            <v>0.32</v>
          </cell>
          <cell r="Y141" t="str">
            <v>C</v>
          </cell>
          <cell r="Z141">
            <v>2.0524763448430328</v>
          </cell>
          <cell r="AA141">
            <v>0.32000000000000006</v>
          </cell>
        </row>
        <row r="142">
          <cell r="F142" t="str">
            <v>KCDOS2SCSC2MEF</v>
          </cell>
          <cell r="G142" t="str">
            <v>SC/SC OS2 DUPLEX OPTICAL PATCH CORD 2M ECO FRIENDLY BAG</v>
          </cell>
          <cell r="I142" t="str">
            <v>China</v>
          </cell>
          <cell r="K142" t="str">
            <v>1 pc eco friendly bag</v>
          </cell>
          <cell r="M142">
            <v>1120</v>
          </cell>
          <cell r="P142">
            <v>0</v>
          </cell>
          <cell r="Q142">
            <v>30</v>
          </cell>
          <cell r="R142">
            <v>45</v>
          </cell>
          <cell r="S142">
            <v>55</v>
          </cell>
          <cell r="T142" t="str">
            <v>T/T 60 days</v>
          </cell>
          <cell r="U142">
            <v>2.2149460708782742</v>
          </cell>
          <cell r="V142">
            <v>2.2057675217594932</v>
          </cell>
          <cell r="W142">
            <v>0.34</v>
          </cell>
          <cell r="X142">
            <v>0.32</v>
          </cell>
          <cell r="Y142" t="str">
            <v>C</v>
          </cell>
          <cell r="Z142">
            <v>2.2057675217594932</v>
          </cell>
          <cell r="AA142">
            <v>0.32000000000000006</v>
          </cell>
        </row>
        <row r="143">
          <cell r="F143" t="str">
            <v>KCDOS2SCSC3MEF</v>
          </cell>
          <cell r="G143" t="str">
            <v>SC/SC OS2 DUPLEX OPTICAL PATCH CORD 3M ECO FRIENDLY BAG</v>
          </cell>
          <cell r="I143" t="str">
            <v>China</v>
          </cell>
          <cell r="K143" t="str">
            <v>1 pc eco friendly bag</v>
          </cell>
          <cell r="M143">
            <v>1040</v>
          </cell>
          <cell r="P143">
            <v>0</v>
          </cell>
          <cell r="Q143">
            <v>30</v>
          </cell>
          <cell r="R143">
            <v>45</v>
          </cell>
          <cell r="S143">
            <v>55</v>
          </cell>
          <cell r="T143" t="str">
            <v>T/T 60 days</v>
          </cell>
          <cell r="U143">
            <v>2.3326485190891972</v>
          </cell>
          <cell r="V143">
            <v>2.3280567145489703</v>
          </cell>
          <cell r="W143">
            <v>0.34</v>
          </cell>
          <cell r="X143">
            <v>0.32</v>
          </cell>
          <cell r="Y143" t="str">
            <v>C</v>
          </cell>
          <cell r="Z143">
            <v>2.3280567145489703</v>
          </cell>
          <cell r="AA143">
            <v>0.32000000000000017</v>
          </cell>
        </row>
        <row r="144">
          <cell r="F144" t="str">
            <v>KCDOS2SCSC5MEF</v>
          </cell>
          <cell r="G144" t="str">
            <v>SC/SC OS2 DUPLEX OPTICAL PATCH CORD 5M ECO FRIENDLY BAG</v>
          </cell>
          <cell r="I144" t="str">
            <v>China</v>
          </cell>
          <cell r="K144" t="str">
            <v>1 pc eco friendly bag</v>
          </cell>
          <cell r="M144">
            <v>800</v>
          </cell>
          <cell r="P144">
            <v>0</v>
          </cell>
          <cell r="Q144">
            <v>30</v>
          </cell>
          <cell r="R144">
            <v>45</v>
          </cell>
          <cell r="S144">
            <v>55</v>
          </cell>
          <cell r="T144" t="str">
            <v>T/T 60 days</v>
          </cell>
          <cell r="U144">
            <v>2.5552131484334875</v>
          </cell>
          <cell r="V144">
            <v>2.5971931431146786</v>
          </cell>
          <cell r="W144">
            <v>0.34</v>
          </cell>
          <cell r="X144">
            <v>0.32</v>
          </cell>
          <cell r="Y144" t="str">
            <v>C</v>
          </cell>
          <cell r="Z144">
            <v>2.5971931431146786</v>
          </cell>
          <cell r="AA144">
            <v>0.32000000000000006</v>
          </cell>
        </row>
        <row r="145">
          <cell r="F145" t="str">
            <v>KCDOS2SCLC1MEF</v>
          </cell>
          <cell r="G145" t="str">
            <v>SC/LC OS2 DUPLEX OPTICAL PATCH CORD 1M ECO FRIENDLY BAG</v>
          </cell>
          <cell r="I145" t="str">
            <v>China</v>
          </cell>
          <cell r="K145" t="str">
            <v>1 pc eco friendly bag</v>
          </cell>
          <cell r="M145">
            <v>1600</v>
          </cell>
          <cell r="P145">
            <v>0</v>
          </cell>
          <cell r="Q145">
            <v>30</v>
          </cell>
          <cell r="R145">
            <v>45</v>
          </cell>
          <cell r="S145">
            <v>55</v>
          </cell>
          <cell r="T145" t="str">
            <v>T/T 60 days</v>
          </cell>
          <cell r="U145">
            <v>2.0972436226673516</v>
          </cell>
          <cell r="V145">
            <v>2.0358811651044708</v>
          </cell>
          <cell r="W145">
            <v>0.34</v>
          </cell>
          <cell r="X145">
            <v>0.32</v>
          </cell>
          <cell r="Y145" t="str">
            <v>C</v>
          </cell>
          <cell r="Z145">
            <v>2.0358811651044708</v>
          </cell>
          <cell r="AA145">
            <v>0.32000000000000017</v>
          </cell>
        </row>
        <row r="146">
          <cell r="F146" t="str">
            <v>KCDOS2SCLC2MEF</v>
          </cell>
          <cell r="G146" t="str">
            <v>SC/LC OS2 DUPLEX OPTICAL PATCH CORD 2M ECO FRIENDLY BAG</v>
          </cell>
          <cell r="I146" t="str">
            <v>China</v>
          </cell>
          <cell r="K146" t="str">
            <v>1 pc eco friendly bag</v>
          </cell>
          <cell r="M146">
            <v>1200</v>
          </cell>
          <cell r="P146">
            <v>0</v>
          </cell>
          <cell r="Q146">
            <v>30</v>
          </cell>
          <cell r="R146">
            <v>45</v>
          </cell>
          <cell r="S146">
            <v>55</v>
          </cell>
          <cell r="T146" t="str">
            <v>T/T 60 days</v>
          </cell>
          <cell r="U146">
            <v>2.2149460708782742</v>
          </cell>
          <cell r="V146">
            <v>2.1915430819835828</v>
          </cell>
          <cell r="W146">
            <v>0.34</v>
          </cell>
          <cell r="X146">
            <v>0.32</v>
          </cell>
          <cell r="Y146" t="str">
            <v>C</v>
          </cell>
          <cell r="Z146">
            <v>2.1915430819835828</v>
          </cell>
          <cell r="AA146">
            <v>0.32000000000000006</v>
          </cell>
        </row>
        <row r="147">
          <cell r="F147" t="str">
            <v>KCDOS2SCLC3MEF</v>
          </cell>
          <cell r="G147" t="str">
            <v>SC/LC OS2 DUPLEX OPTICAL PATCH CORD 3M ECO FRIENDLY BAG</v>
          </cell>
          <cell r="I147" t="str">
            <v>China</v>
          </cell>
          <cell r="K147" t="str">
            <v>1 pc eco friendly bag</v>
          </cell>
          <cell r="M147">
            <v>1120</v>
          </cell>
          <cell r="P147">
            <v>0</v>
          </cell>
          <cell r="Q147">
            <v>30</v>
          </cell>
          <cell r="R147">
            <v>45</v>
          </cell>
          <cell r="S147">
            <v>55</v>
          </cell>
          <cell r="T147" t="str">
            <v>T/T 60 days</v>
          </cell>
          <cell r="U147">
            <v>2.3326485190891972</v>
          </cell>
          <cell r="V147">
            <v>2.3116438994229198</v>
          </cell>
          <cell r="W147">
            <v>0.34</v>
          </cell>
          <cell r="X147">
            <v>0.32</v>
          </cell>
          <cell r="Y147" t="str">
            <v>C</v>
          </cell>
          <cell r="Z147">
            <v>2.3116438994229198</v>
          </cell>
          <cell r="AA147">
            <v>0.32000000000000006</v>
          </cell>
        </row>
        <row r="148">
          <cell r="F148" t="str">
            <v>KCDOS2SCLC5MEF</v>
          </cell>
          <cell r="G148" t="str">
            <v>SC/LC OS2 DUPLEX OPTICAL PATCH CORD 5M ECO FRIENDLY BAG</v>
          </cell>
          <cell r="I148" t="str">
            <v>China</v>
          </cell>
          <cell r="K148" t="str">
            <v>1 pc eco friendly bag</v>
          </cell>
          <cell r="M148">
            <v>800</v>
          </cell>
          <cell r="P148">
            <v>0</v>
          </cell>
          <cell r="Q148">
            <v>30</v>
          </cell>
          <cell r="R148">
            <v>45</v>
          </cell>
          <cell r="S148">
            <v>55</v>
          </cell>
          <cell r="T148" t="str">
            <v>T/T 60 days</v>
          </cell>
          <cell r="U148">
            <v>2.5552131484334875</v>
          </cell>
          <cell r="V148">
            <v>2.5971931431146786</v>
          </cell>
          <cell r="W148">
            <v>0.34</v>
          </cell>
          <cell r="X148">
            <v>0.32</v>
          </cell>
          <cell r="Y148" t="str">
            <v>C</v>
          </cell>
          <cell r="Z148">
            <v>2.5971931431146786</v>
          </cell>
          <cell r="AA148">
            <v>0.32000000000000006</v>
          </cell>
        </row>
        <row r="149">
          <cell r="F149" t="str">
            <v>KCDOS2LCLC1MEF</v>
          </cell>
          <cell r="G149" t="str">
            <v>LC/LC OS2 DUPLEX OPTICAL PATCH CORD 1M ECO FRIENDLY BAG</v>
          </cell>
          <cell r="I149" t="str">
            <v>China</v>
          </cell>
          <cell r="K149" t="str">
            <v>1 pc eco friendly bag</v>
          </cell>
          <cell r="M149">
            <v>1760</v>
          </cell>
          <cell r="P149">
            <v>0</v>
          </cell>
          <cell r="Q149">
            <v>30</v>
          </cell>
          <cell r="R149">
            <v>45</v>
          </cell>
          <cell r="S149">
            <v>55</v>
          </cell>
          <cell r="T149" t="str">
            <v>T/T 60 days</v>
          </cell>
          <cell r="U149">
            <v>2.0972436226673516</v>
          </cell>
          <cell r="V149">
            <v>2.0223032907729199</v>
          </cell>
          <cell r="W149">
            <v>0.34</v>
          </cell>
          <cell r="X149">
            <v>0.32</v>
          </cell>
          <cell r="Y149" t="str">
            <v>C</v>
          </cell>
          <cell r="Z149">
            <v>2.0223032907729199</v>
          </cell>
          <cell r="AA149">
            <v>0.32000000000000006</v>
          </cell>
        </row>
        <row r="150">
          <cell r="F150" t="str">
            <v>KCDOS2LCLC2MEF</v>
          </cell>
          <cell r="G150" t="str">
            <v>LC/LC OS2 DUPLEX OPTICAL PATCH CORD 2M ECO FRIENDLY BAG</v>
          </cell>
          <cell r="I150" t="str">
            <v>China</v>
          </cell>
          <cell r="K150" t="str">
            <v>1 pc eco friendly bag</v>
          </cell>
          <cell r="M150">
            <v>1280</v>
          </cell>
          <cell r="P150">
            <v>0</v>
          </cell>
          <cell r="Q150">
            <v>30</v>
          </cell>
          <cell r="R150">
            <v>45</v>
          </cell>
          <cell r="S150">
            <v>55</v>
          </cell>
          <cell r="T150" t="str">
            <v>T/T 60 days</v>
          </cell>
          <cell r="U150">
            <v>2.2149460708782742</v>
          </cell>
          <cell r="V150">
            <v>2.179096697179661</v>
          </cell>
          <cell r="W150">
            <v>0.34</v>
          </cell>
          <cell r="X150">
            <v>0.32</v>
          </cell>
          <cell r="Y150" t="str">
            <v>C</v>
          </cell>
          <cell r="Z150">
            <v>2.179096697179661</v>
          </cell>
          <cell r="AA150">
            <v>0.31999999999999995</v>
          </cell>
        </row>
        <row r="151">
          <cell r="F151" t="str">
            <v>KCDOS2LCLC3MEF</v>
          </cell>
          <cell r="G151" t="str">
            <v>LC/LC OS2 DUPLEX OPTICAL PATCH CORD 3M ECO FRIENDLY BAG</v>
          </cell>
          <cell r="I151" t="str">
            <v>China</v>
          </cell>
          <cell r="K151" t="str">
            <v>1 pc eco friendly bag</v>
          </cell>
          <cell r="M151">
            <v>1120</v>
          </cell>
          <cell r="P151">
            <v>0</v>
          </cell>
          <cell r="Q151">
            <v>30</v>
          </cell>
          <cell r="R151">
            <v>45</v>
          </cell>
          <cell r="S151">
            <v>55</v>
          </cell>
          <cell r="T151" t="str">
            <v>T/T 60 days</v>
          </cell>
          <cell r="U151">
            <v>2.3326485190891972</v>
          </cell>
          <cell r="V151">
            <v>2.3116438994229198</v>
          </cell>
          <cell r="W151">
            <v>0.34</v>
          </cell>
          <cell r="X151">
            <v>0.32</v>
          </cell>
          <cell r="Y151" t="str">
            <v>C</v>
          </cell>
          <cell r="Z151">
            <v>2.3116438994229198</v>
          </cell>
          <cell r="AA151">
            <v>0.32000000000000006</v>
          </cell>
        </row>
        <row r="152">
          <cell r="F152" t="str">
            <v>KCDOS2LCLC5MEF</v>
          </cell>
          <cell r="G152" t="str">
            <v>LC/LC OS2 DUPLEX OPTICAL PATCH CORD 5M ECO FRIENDLY BAG</v>
          </cell>
          <cell r="I152" t="str">
            <v>China</v>
          </cell>
          <cell r="K152" t="str">
            <v>1 pc eco friendly bag</v>
          </cell>
          <cell r="M152">
            <v>800</v>
          </cell>
          <cell r="P152">
            <v>0</v>
          </cell>
          <cell r="Q152">
            <v>30</v>
          </cell>
          <cell r="R152">
            <v>45</v>
          </cell>
          <cell r="S152">
            <v>55</v>
          </cell>
          <cell r="T152" t="str">
            <v>T/T 60 days</v>
          </cell>
          <cell r="U152">
            <v>2.5552131484334875</v>
          </cell>
          <cell r="V152">
            <v>2.5971931431146786</v>
          </cell>
          <cell r="W152">
            <v>0.34</v>
          </cell>
          <cell r="X152">
            <v>0.32</v>
          </cell>
          <cell r="Y152" t="str">
            <v>C</v>
          </cell>
          <cell r="Z152">
            <v>2.5971931431146786</v>
          </cell>
          <cell r="AA152">
            <v>0.32000000000000006</v>
          </cell>
        </row>
        <row r="153">
          <cell r="F153" t="str">
            <v>KFO6OM3CTZHD</v>
          </cell>
          <cell r="G153" t="str">
            <v>6FO OM3 CENTRAL LOOSE TUBE LSZH UNIVERSAL Dca AQUA RAL6027</v>
          </cell>
          <cell r="I153" t="str">
            <v>China</v>
          </cell>
          <cell r="K153" t="str">
            <v>2000m drum</v>
          </cell>
          <cell r="L153" t="str">
            <v>10 km</v>
          </cell>
          <cell r="M153">
            <v>2</v>
          </cell>
          <cell r="O153">
            <v>85447000</v>
          </cell>
          <cell r="Q153">
            <v>30</v>
          </cell>
          <cell r="R153">
            <v>45</v>
          </cell>
          <cell r="S153">
            <v>55</v>
          </cell>
          <cell r="T153" t="str">
            <v>T/T 30 days</v>
          </cell>
          <cell r="U153">
            <v>497.13797204876596</v>
          </cell>
          <cell r="V153">
            <v>553.09237988291886</v>
          </cell>
          <cell r="W153">
            <v>0.24</v>
          </cell>
          <cell r="X153">
            <v>0.22</v>
          </cell>
          <cell r="Y153" t="str">
            <v>C</v>
          </cell>
          <cell r="Z153">
            <v>553.09237988291886</v>
          </cell>
          <cell r="AA153">
            <v>0.21999999999999997</v>
          </cell>
        </row>
        <row r="154">
          <cell r="F154" t="str">
            <v>KFO8OM3CTZHD</v>
          </cell>
          <cell r="G154" t="str">
            <v>8FO OM3 CENTRAL LOOSE TUBE LSZH UNIVERSAL Dca AQUA RAL6027</v>
          </cell>
          <cell r="I154" t="str">
            <v>China</v>
          </cell>
          <cell r="K154" t="str">
            <v>2000m drum</v>
          </cell>
          <cell r="L154" t="str">
            <v>10 km</v>
          </cell>
          <cell r="M154">
            <v>2</v>
          </cell>
          <cell r="O154">
            <v>85447000</v>
          </cell>
          <cell r="Q154">
            <v>30</v>
          </cell>
          <cell r="R154">
            <v>45</v>
          </cell>
          <cell r="S154">
            <v>55</v>
          </cell>
          <cell r="T154" t="str">
            <v>T/T 30 days</v>
          </cell>
          <cell r="U154">
            <v>596.56556645851913</v>
          </cell>
          <cell r="V154">
            <v>642.87752252616929</v>
          </cell>
          <cell r="W154">
            <v>0.24</v>
          </cell>
          <cell r="X154">
            <v>0.22</v>
          </cell>
          <cell r="Y154" t="str">
            <v>C</v>
          </cell>
          <cell r="Z154">
            <v>642.87752252616929</v>
          </cell>
          <cell r="AA154">
            <v>0.21999999999999997</v>
          </cell>
        </row>
        <row r="155">
          <cell r="F155" t="str">
            <v>KFO12OM3CTZHD</v>
          </cell>
          <cell r="G155" t="str">
            <v>12FO OM3 CENTRAL LOOSE TUBE LSZH UNIVERSAL Dca AQUA RAL6027</v>
          </cell>
          <cell r="I155" t="str">
            <v>China</v>
          </cell>
          <cell r="K155" t="str">
            <v>2000m drum</v>
          </cell>
          <cell r="L155" t="str">
            <v>10 km</v>
          </cell>
          <cell r="M155">
            <v>2</v>
          </cell>
          <cell r="O155">
            <v>85447000</v>
          </cell>
          <cell r="Q155">
            <v>30</v>
          </cell>
          <cell r="R155">
            <v>45</v>
          </cell>
          <cell r="S155">
            <v>55</v>
          </cell>
          <cell r="T155" t="str">
            <v>T/T 30 days</v>
          </cell>
          <cell r="U155">
            <v>793.56229556943197</v>
          </cell>
          <cell r="V155">
            <v>820.76958084737566</v>
          </cell>
          <cell r="W155">
            <v>0.24</v>
          </cell>
          <cell r="X155">
            <v>0.22</v>
          </cell>
          <cell r="Y155" t="str">
            <v>C</v>
          </cell>
          <cell r="Z155">
            <v>820.76958084737566</v>
          </cell>
          <cell r="AA155">
            <v>0.21999999999999997</v>
          </cell>
        </row>
        <row r="156">
          <cell r="F156" t="str">
            <v>KFO24OM3CTZHD</v>
          </cell>
          <cell r="G156" t="str">
            <v>24FO OM3 CENTRAL LOOSE TUBE LSZH UNIVERSAL Dca AQUA RAL6027</v>
          </cell>
          <cell r="I156" t="str">
            <v>China</v>
          </cell>
          <cell r="K156" t="str">
            <v>2000m drum</v>
          </cell>
          <cell r="L156" t="str">
            <v>10 km</v>
          </cell>
          <cell r="M156">
            <v>2</v>
          </cell>
          <cell r="O156">
            <v>85447000</v>
          </cell>
          <cell r="Q156">
            <v>30</v>
          </cell>
          <cell r="R156">
            <v>45</v>
          </cell>
          <cell r="S156">
            <v>55</v>
          </cell>
          <cell r="T156" t="str">
            <v>T/T 30 days</v>
          </cell>
          <cell r="U156">
            <v>1432.8724353256023</v>
          </cell>
          <cell r="V156">
            <v>1398.0796569086497</v>
          </cell>
          <cell r="W156">
            <v>0.24</v>
          </cell>
          <cell r="X156">
            <v>0.22</v>
          </cell>
          <cell r="Y156" t="str">
            <v>C</v>
          </cell>
          <cell r="Z156">
            <v>1398.0796569086497</v>
          </cell>
          <cell r="AA156">
            <v>0.21999999999999997</v>
          </cell>
        </row>
        <row r="157">
          <cell r="F157" t="str">
            <v>KFO6OS2CTZHD</v>
          </cell>
          <cell r="G157" t="str">
            <v>6FO OS2 CENTRAL LOOSE TUBE LSZH UNIVERSAL Dca YELLOW RAL1021</v>
          </cell>
          <cell r="I157" t="str">
            <v>China</v>
          </cell>
          <cell r="K157" t="str">
            <v>2000m drum</v>
          </cell>
          <cell r="L157" t="str">
            <v>10 km</v>
          </cell>
          <cell r="M157">
            <v>2</v>
          </cell>
          <cell r="O157">
            <v>85447000</v>
          </cell>
          <cell r="P157">
            <v>0.45</v>
          </cell>
          <cell r="Q157">
            <v>30</v>
          </cell>
          <cell r="R157">
            <v>45</v>
          </cell>
          <cell r="S157">
            <v>55</v>
          </cell>
          <cell r="T157" t="str">
            <v>T/T 30 days</v>
          </cell>
          <cell r="U157">
            <v>224.54005504852961</v>
          </cell>
          <cell r="V157">
            <v>402.9770892566354</v>
          </cell>
          <cell r="W157">
            <v>0.22</v>
          </cell>
          <cell r="X157">
            <v>0.2</v>
          </cell>
          <cell r="Y157" t="str">
            <v>C</v>
          </cell>
          <cell r="Z157">
            <v>402.9770892566354</v>
          </cell>
          <cell r="AA157">
            <v>0.19999999999999996</v>
          </cell>
        </row>
        <row r="158">
          <cell r="F158" t="str">
            <v>KFO8OS2CTZHD</v>
          </cell>
          <cell r="G158" t="str">
            <v>8FO OS2 CENTRAL LOOSE TUBE LSZH UNIVERSAL Dca YELLOW RAL1021</v>
          </cell>
          <cell r="I158" t="str">
            <v>China</v>
          </cell>
          <cell r="K158" t="str">
            <v>2000m drum</v>
          </cell>
          <cell r="L158" t="str">
            <v>10 km</v>
          </cell>
          <cell r="M158">
            <v>2</v>
          </cell>
          <cell r="O158">
            <v>85447000</v>
          </cell>
          <cell r="P158">
            <v>0.45</v>
          </cell>
          <cell r="Q158">
            <v>30</v>
          </cell>
          <cell r="R158">
            <v>45</v>
          </cell>
          <cell r="S158">
            <v>55</v>
          </cell>
          <cell r="T158" t="str">
            <v>T/T 30 days</v>
          </cell>
          <cell r="U158">
            <v>235.40489642184559</v>
          </cell>
          <cell r="V158">
            <v>417.56166615615007</v>
          </cell>
          <cell r="W158">
            <v>0.22</v>
          </cell>
          <cell r="X158">
            <v>0.2</v>
          </cell>
          <cell r="Y158" t="str">
            <v>C</v>
          </cell>
          <cell r="Z158">
            <v>417.56166615615007</v>
          </cell>
          <cell r="AA158">
            <v>0.19999999999999996</v>
          </cell>
        </row>
        <row r="159">
          <cell r="F159" t="str">
            <v>KFO12OS2CTZHD</v>
          </cell>
          <cell r="G159" t="str">
            <v>12FO OS2 CENTRAL LOOSE TUBE LSZH UNIVERSAL Dca YELLOW RAL1021</v>
          </cell>
          <cell r="I159" t="str">
            <v>China</v>
          </cell>
          <cell r="K159" t="str">
            <v>2000m drum</v>
          </cell>
          <cell r="L159" t="str">
            <v>10 km</v>
          </cell>
          <cell r="M159">
            <v>2</v>
          </cell>
          <cell r="O159">
            <v>85447000</v>
          </cell>
          <cell r="P159">
            <v>0.45</v>
          </cell>
          <cell r="Q159">
            <v>30</v>
          </cell>
          <cell r="R159">
            <v>45</v>
          </cell>
          <cell r="S159">
            <v>55</v>
          </cell>
          <cell r="T159" t="str">
            <v>T/T 30 days</v>
          </cell>
          <cell r="U159">
            <v>257.13457916847744</v>
          </cell>
          <cell r="V159">
            <v>446.73081995517924</v>
          </cell>
          <cell r="W159">
            <v>0.22</v>
          </cell>
          <cell r="X159">
            <v>0.2</v>
          </cell>
          <cell r="Y159" t="str">
            <v>C</v>
          </cell>
          <cell r="Z159">
            <v>446.73081995517924</v>
          </cell>
          <cell r="AA159">
            <v>0.19999999999999996</v>
          </cell>
        </row>
        <row r="160">
          <cell r="F160" t="str">
            <v>KFO24OS2CTZHD</v>
          </cell>
          <cell r="G160" t="str">
            <v>24FO OS2 CENTRAL LOOSE TUBE LSZH UNIVERSAL Dca YELLOW RAL1021</v>
          </cell>
          <cell r="I160" t="str">
            <v>China</v>
          </cell>
          <cell r="K160" t="str">
            <v>2000m drum</v>
          </cell>
          <cell r="L160" t="str">
            <v>10 km</v>
          </cell>
          <cell r="M160">
            <v>2</v>
          </cell>
          <cell r="O160">
            <v>85447000</v>
          </cell>
          <cell r="P160">
            <v>0.45</v>
          </cell>
          <cell r="Q160">
            <v>30</v>
          </cell>
          <cell r="R160">
            <v>45</v>
          </cell>
          <cell r="S160">
            <v>55</v>
          </cell>
          <cell r="T160" t="str">
            <v>T/T 30 days</v>
          </cell>
          <cell r="U160">
            <v>358.53976531942635</v>
          </cell>
          <cell r="V160">
            <v>582.85353768398238</v>
          </cell>
          <cell r="W160">
            <v>0.22</v>
          </cell>
          <cell r="X160">
            <v>0.2</v>
          </cell>
          <cell r="Y160" t="str">
            <v>C</v>
          </cell>
          <cell r="Z160">
            <v>582.85353768398238</v>
          </cell>
          <cell r="AA160">
            <v>0.19999999999999996</v>
          </cell>
        </row>
        <row r="161">
          <cell r="F161" t="str">
            <v>KFO6OM3TBZHD</v>
          </cell>
          <cell r="G161" t="str">
            <v>6FO OM3 TIGHT BUFFERED LSZH UNIVERSAL Dca AQUA RAL6027</v>
          </cell>
          <cell r="I161" t="str">
            <v>China</v>
          </cell>
          <cell r="K161" t="str">
            <v>2000m drum</v>
          </cell>
          <cell r="L161" t="str">
            <v>10 km</v>
          </cell>
          <cell r="M161">
            <v>2</v>
          </cell>
          <cell r="O161">
            <v>85447000</v>
          </cell>
          <cell r="Q161">
            <v>30</v>
          </cell>
          <cell r="R161">
            <v>45</v>
          </cell>
          <cell r="S161">
            <v>55</v>
          </cell>
          <cell r="T161" t="str">
            <v>T/T 30 days</v>
          </cell>
          <cell r="U161">
            <v>516.60088228465293</v>
          </cell>
          <cell r="V161">
            <v>574.34339705628247</v>
          </cell>
          <cell r="W161">
            <v>0.27</v>
          </cell>
          <cell r="X161">
            <v>0.25</v>
          </cell>
          <cell r="Y161" t="str">
            <v>C</v>
          </cell>
          <cell r="Z161">
            <v>574.34339705628247</v>
          </cell>
          <cell r="AA161">
            <v>0.25</v>
          </cell>
        </row>
        <row r="162">
          <cell r="F162" t="str">
            <v>KFO8OM3TBZHD</v>
          </cell>
          <cell r="G162" t="str">
            <v>8FO OM3 TIGHT BUFFERED LSZH UNIVERSAL Dca AQUA RAL6027</v>
          </cell>
          <cell r="I162" t="str">
            <v>China</v>
          </cell>
          <cell r="K162" t="str">
            <v>2000m drum</v>
          </cell>
          <cell r="L162" t="str">
            <v>10 km</v>
          </cell>
          <cell r="M162">
            <v>2</v>
          </cell>
          <cell r="O162">
            <v>85447000</v>
          </cell>
          <cell r="Q162">
            <v>30</v>
          </cell>
          <cell r="R162">
            <v>45</v>
          </cell>
          <cell r="S162">
            <v>55</v>
          </cell>
          <cell r="T162" t="str">
            <v>T/T 30 days</v>
          </cell>
          <cell r="U162">
            <v>642.3651420168718</v>
          </cell>
          <cell r="V162">
            <v>687.79153991018393</v>
          </cell>
          <cell r="W162">
            <v>0.27</v>
          </cell>
          <cell r="X162">
            <v>0.25</v>
          </cell>
          <cell r="Y162" t="str">
            <v>C</v>
          </cell>
          <cell r="Z162">
            <v>687.79153991018393</v>
          </cell>
          <cell r="AA162">
            <v>0.25</v>
          </cell>
        </row>
        <row r="163">
          <cell r="F163" t="str">
            <v>KFO12OM3TBZHD</v>
          </cell>
          <cell r="G163" t="str">
            <v>12FO OM3 TIGHT BUFFERED LSZH UNIVERSAL Dca AQUA RAL6027</v>
          </cell>
          <cell r="I163" t="str">
            <v>China</v>
          </cell>
          <cell r="K163" t="str">
            <v>2000m drum</v>
          </cell>
          <cell r="L163" t="str">
            <v>10 km</v>
          </cell>
          <cell r="M163">
            <v>2</v>
          </cell>
          <cell r="O163">
            <v>85447000</v>
          </cell>
          <cell r="Q163">
            <v>30</v>
          </cell>
          <cell r="R163">
            <v>45</v>
          </cell>
          <cell r="S163">
            <v>55</v>
          </cell>
          <cell r="T163" t="str">
            <v>T/T 30 days</v>
          </cell>
          <cell r="U163">
            <v>890.0239919510874</v>
          </cell>
          <cell r="V163">
            <v>911.19711353017465</v>
          </cell>
          <cell r="W163">
            <v>0.27</v>
          </cell>
          <cell r="X163">
            <v>0.25</v>
          </cell>
          <cell r="Y163" t="str">
            <v>C</v>
          </cell>
          <cell r="Z163">
            <v>911.19711353017465</v>
          </cell>
          <cell r="AA163">
            <v>0.25</v>
          </cell>
        </row>
        <row r="164">
          <cell r="F164" t="str">
            <v>KFO24OM3TBZHD</v>
          </cell>
          <cell r="G164" t="str">
            <v>24FO OM3 TIGHT BUFFERED LSZH UNIVERSAL Dca AQUA RAL6027</v>
          </cell>
          <cell r="I164" t="str">
            <v>China</v>
          </cell>
          <cell r="K164" t="str">
            <v>2000m drum</v>
          </cell>
          <cell r="L164" t="str">
            <v>10 km</v>
          </cell>
          <cell r="M164">
            <v>2</v>
          </cell>
          <cell r="O164">
            <v>85447000</v>
          </cell>
          <cell r="Q164">
            <v>30</v>
          </cell>
          <cell r="R164">
            <v>45</v>
          </cell>
          <cell r="S164">
            <v>55</v>
          </cell>
          <cell r="T164" t="str">
            <v>T/T 30 days</v>
          </cell>
          <cell r="U164">
            <v>1745.2209581301756</v>
          </cell>
          <cell r="V164">
            <v>1682.6444849367047</v>
          </cell>
          <cell r="W164">
            <v>0.27</v>
          </cell>
          <cell r="X164">
            <v>0.25</v>
          </cell>
          <cell r="Y164" t="str">
            <v>C</v>
          </cell>
          <cell r="Z164">
            <v>1682.6444849367047</v>
          </cell>
          <cell r="AA164">
            <v>0.25</v>
          </cell>
        </row>
        <row r="165">
          <cell r="F165" t="str">
            <v>KFO6OS2TBZHD</v>
          </cell>
          <cell r="G165" t="str">
            <v>6FO OS2 TIGHT BUFFERED LSZH UNIVERSAL Dca YELLOW RAL1021</v>
          </cell>
          <cell r="I165" t="str">
            <v>China</v>
          </cell>
          <cell r="K165" t="str">
            <v>2000m drum</v>
          </cell>
          <cell r="L165" t="str">
            <v>10 km</v>
          </cell>
          <cell r="M165">
            <v>2</v>
          </cell>
          <cell r="O165">
            <v>85447000</v>
          </cell>
          <cell r="P165">
            <v>0.45</v>
          </cell>
          <cell r="Q165">
            <v>30</v>
          </cell>
          <cell r="R165">
            <v>45</v>
          </cell>
          <cell r="S165">
            <v>55</v>
          </cell>
          <cell r="T165" t="str">
            <v>T/T 30 days</v>
          </cell>
          <cell r="U165">
            <v>238.22975517890771</v>
          </cell>
          <cell r="V165">
            <v>424.99116498503878</v>
          </cell>
          <cell r="W165">
            <v>0.25</v>
          </cell>
          <cell r="X165">
            <v>0.23</v>
          </cell>
          <cell r="Y165" t="str">
            <v>C</v>
          </cell>
          <cell r="Z165">
            <v>424.99116498503878</v>
          </cell>
          <cell r="AA165">
            <v>0.22999999999999998</v>
          </cell>
        </row>
        <row r="166">
          <cell r="F166" t="str">
            <v>KFO8OS2TBZHD</v>
          </cell>
          <cell r="G166" t="str">
            <v>8FO OS2 TIGHT BUFFERED LSZH UNIVERSAL Dca YELLOW RAL1021</v>
          </cell>
          <cell r="I166" t="str">
            <v>China</v>
          </cell>
          <cell r="K166" t="str">
            <v>2000m drum</v>
          </cell>
          <cell r="L166" t="str">
            <v>10 km</v>
          </cell>
          <cell r="M166">
            <v>2</v>
          </cell>
          <cell r="O166">
            <v>85447000</v>
          </cell>
          <cell r="P166">
            <v>0.45</v>
          </cell>
          <cell r="Q166">
            <v>30</v>
          </cell>
          <cell r="R166">
            <v>45</v>
          </cell>
          <cell r="S166">
            <v>55</v>
          </cell>
          <cell r="T166" t="str">
            <v>T/T 30 days</v>
          </cell>
          <cell r="U166">
            <v>273.06967984934084</v>
          </cell>
          <cell r="V166">
            <v>471.7123204207133</v>
          </cell>
          <cell r="W166">
            <v>0.25</v>
          </cell>
          <cell r="X166">
            <v>0.23</v>
          </cell>
          <cell r="Y166" t="str">
            <v>C</v>
          </cell>
          <cell r="Z166">
            <v>471.7123204207133</v>
          </cell>
          <cell r="AA166">
            <v>0.22999999999999998</v>
          </cell>
        </row>
        <row r="167">
          <cell r="F167" t="str">
            <v>KFO12OS2TBZHD</v>
          </cell>
          <cell r="G167" t="str">
            <v>12FO OS2 TIGHT BUFFERED LSZH UNIVERSAL Dca YELLOW RAL1021</v>
          </cell>
          <cell r="I167" t="str">
            <v>China</v>
          </cell>
          <cell r="K167" t="str">
            <v>2000m drum</v>
          </cell>
          <cell r="L167" t="str">
            <v>10 km</v>
          </cell>
          <cell r="M167">
            <v>2</v>
          </cell>
          <cell r="O167">
            <v>85447000</v>
          </cell>
          <cell r="P167">
            <v>0.45</v>
          </cell>
          <cell r="Q167">
            <v>30</v>
          </cell>
          <cell r="R167">
            <v>45</v>
          </cell>
          <cell r="S167">
            <v>55</v>
          </cell>
          <cell r="T167" t="str">
            <v>T/T 30 days</v>
          </cell>
          <cell r="U167">
            <v>337.09981167608288</v>
          </cell>
          <cell r="V167">
            <v>557.57822770789892</v>
          </cell>
          <cell r="W167">
            <v>0.25</v>
          </cell>
          <cell r="X167">
            <v>0.23</v>
          </cell>
          <cell r="Y167" t="str">
            <v>C</v>
          </cell>
          <cell r="Z167">
            <v>557.57822770789892</v>
          </cell>
          <cell r="AA167">
            <v>0.22999999999999998</v>
          </cell>
        </row>
        <row r="168">
          <cell r="F168" t="str">
            <v>KFO24OS2TBZHD</v>
          </cell>
          <cell r="G168" t="str">
            <v>24FO OS2 TIGHT BUFFERED LSZH UNIVERSAL Dca YELLOW RAL1021</v>
          </cell>
          <cell r="I168" t="str">
            <v>China</v>
          </cell>
          <cell r="K168" t="str">
            <v>2000m drum</v>
          </cell>
          <cell r="L168" t="str">
            <v>10 km</v>
          </cell>
          <cell r="M168">
            <v>2</v>
          </cell>
          <cell r="O168">
            <v>85447000</v>
          </cell>
          <cell r="P168">
            <v>0.45</v>
          </cell>
          <cell r="Q168">
            <v>30</v>
          </cell>
          <cell r="R168">
            <v>45</v>
          </cell>
          <cell r="S168">
            <v>55</v>
          </cell>
          <cell r="T168" t="str">
            <v>T/T 30 days</v>
          </cell>
          <cell r="U168">
            <v>572.50470809792841</v>
          </cell>
          <cell r="V168">
            <v>873.26171038137545</v>
          </cell>
          <cell r="W168">
            <v>0.25</v>
          </cell>
          <cell r="X168">
            <v>0.23</v>
          </cell>
          <cell r="Y168" t="str">
            <v>C</v>
          </cell>
          <cell r="Z168">
            <v>873.26171038137545</v>
          </cell>
          <cell r="AA168">
            <v>0.22999999999999998</v>
          </cell>
        </row>
        <row r="169">
          <cell r="F169" t="str">
            <v>KFO6OM3CT</v>
          </cell>
          <cell r="G169" t="str">
            <v xml:space="preserve">6FO OM3 CENTRAL LOOSE TUBE PEHD OUTDOOR </v>
          </cell>
          <cell r="I169" t="str">
            <v>China</v>
          </cell>
          <cell r="K169" t="str">
            <v>2000m drum</v>
          </cell>
          <cell r="L169" t="str">
            <v>10 km</v>
          </cell>
          <cell r="M169">
            <v>2</v>
          </cell>
          <cell r="O169">
            <v>85447000</v>
          </cell>
          <cell r="Q169">
            <v>30</v>
          </cell>
          <cell r="R169">
            <v>45</v>
          </cell>
          <cell r="S169">
            <v>55</v>
          </cell>
          <cell r="T169" t="str">
            <v>T/T 30 days</v>
          </cell>
          <cell r="U169">
            <v>456.12052730696797</v>
          </cell>
          <cell r="V169">
            <v>517.26483815007407</v>
          </cell>
          <cell r="W169">
            <v>0.25</v>
          </cell>
          <cell r="X169">
            <v>0.23</v>
          </cell>
          <cell r="Y169" t="str">
            <v>C</v>
          </cell>
          <cell r="Z169">
            <v>517.26483815007407</v>
          </cell>
          <cell r="AA169">
            <v>0.22999999999999998</v>
          </cell>
        </row>
        <row r="170">
          <cell r="F170" t="str">
            <v>KFO8OM3CT</v>
          </cell>
          <cell r="G170" t="str">
            <v>8FO OM3 CENTRAL LOOSE TUBE PEHD OUTDOOR BLACK RAL9005</v>
          </cell>
          <cell r="I170" t="str">
            <v>China</v>
          </cell>
          <cell r="K170" t="str">
            <v>2000m drum</v>
          </cell>
          <cell r="L170" t="str">
            <v>10 km</v>
          </cell>
          <cell r="M170">
            <v>2</v>
          </cell>
          <cell r="O170">
            <v>85447000</v>
          </cell>
          <cell r="Q170">
            <v>30</v>
          </cell>
          <cell r="R170">
            <v>45</v>
          </cell>
          <cell r="S170">
            <v>55</v>
          </cell>
          <cell r="T170" t="str">
            <v>T/T 30 days</v>
          </cell>
          <cell r="U170">
            <v>559.32203389830511</v>
          </cell>
          <cell r="V170">
            <v>610.42605036376733</v>
          </cell>
          <cell r="W170">
            <v>0.25</v>
          </cell>
          <cell r="X170">
            <v>0.23</v>
          </cell>
          <cell r="Y170" t="str">
            <v>C</v>
          </cell>
          <cell r="Z170">
            <v>610.42605036376733</v>
          </cell>
          <cell r="AA170">
            <v>0.22999999999999998</v>
          </cell>
        </row>
        <row r="171">
          <cell r="F171" t="str">
            <v>KFO12OM3CT</v>
          </cell>
          <cell r="G171" t="str">
            <v>12FO OM3 CENTRAL LOOSE TUBE PEHD OUTDOOR BLACK RAL9005</v>
          </cell>
          <cell r="I171" t="str">
            <v>China</v>
          </cell>
          <cell r="K171" t="str">
            <v>2000m drum</v>
          </cell>
          <cell r="L171" t="str">
            <v>10 km</v>
          </cell>
          <cell r="M171">
            <v>2</v>
          </cell>
          <cell r="O171">
            <v>85447000</v>
          </cell>
          <cell r="Q171">
            <v>30</v>
          </cell>
          <cell r="R171">
            <v>45</v>
          </cell>
          <cell r="S171">
            <v>55</v>
          </cell>
          <cell r="T171" t="str">
            <v>T/T 30 days</v>
          </cell>
          <cell r="U171">
            <v>764.59510357815441</v>
          </cell>
          <cell r="V171">
            <v>795.72846151874114</v>
          </cell>
          <cell r="W171">
            <v>0.25</v>
          </cell>
          <cell r="X171">
            <v>0.23</v>
          </cell>
          <cell r="Y171" t="str">
            <v>C</v>
          </cell>
          <cell r="Z171">
            <v>795.72846151874114</v>
          </cell>
          <cell r="AA171">
            <v>0.22999999999999998</v>
          </cell>
        </row>
        <row r="172">
          <cell r="F172" t="str">
            <v>KFO24OM3CT</v>
          </cell>
          <cell r="G172" t="str">
            <v>24FO OM3 CENTRAL LOOSE TUBE PEHD OUTDOOR BLACK RAL9005</v>
          </cell>
          <cell r="I172" t="str">
            <v>China</v>
          </cell>
          <cell r="K172" t="str">
            <v>2000m drum</v>
          </cell>
          <cell r="L172" t="str">
            <v>10 km</v>
          </cell>
          <cell r="M172">
            <v>2</v>
          </cell>
          <cell r="O172">
            <v>85447000</v>
          </cell>
          <cell r="Q172">
            <v>30</v>
          </cell>
          <cell r="R172">
            <v>45</v>
          </cell>
          <cell r="S172">
            <v>55</v>
          </cell>
          <cell r="T172" t="str">
            <v>T/T 30 days</v>
          </cell>
          <cell r="U172">
            <v>1386.0640301318269</v>
          </cell>
          <cell r="V172">
            <v>1356.7357613457266</v>
          </cell>
          <cell r="W172">
            <v>0.25</v>
          </cell>
          <cell r="X172">
            <v>0.23</v>
          </cell>
          <cell r="Y172" t="str">
            <v>C</v>
          </cell>
          <cell r="Z172">
            <v>1356.7357613457266</v>
          </cell>
          <cell r="AA172">
            <v>0.22999999999999987</v>
          </cell>
        </row>
        <row r="173">
          <cell r="F173" t="str">
            <v>KFO6OS2CT</v>
          </cell>
          <cell r="G173" t="str">
            <v>6FO OS2 CENTRAL LOOSE TUBE PEHD OUTDOOR BLACK RAL9005</v>
          </cell>
          <cell r="I173" t="str">
            <v>China</v>
          </cell>
          <cell r="K173" t="str">
            <v>2000m drum</v>
          </cell>
          <cell r="L173" t="str">
            <v>10 km</v>
          </cell>
          <cell r="M173">
            <v>2</v>
          </cell>
          <cell r="O173">
            <v>85447000</v>
          </cell>
          <cell r="P173">
            <v>0.45</v>
          </cell>
          <cell r="Q173">
            <v>30</v>
          </cell>
          <cell r="R173">
            <v>45</v>
          </cell>
          <cell r="S173">
            <v>55</v>
          </cell>
          <cell r="T173" t="str">
            <v>T/T 30 days</v>
          </cell>
          <cell r="U173">
            <v>183.61581920903953</v>
          </cell>
          <cell r="V173">
            <v>351.75259700479222</v>
          </cell>
          <cell r="W173">
            <v>0.25</v>
          </cell>
          <cell r="X173">
            <v>0.23</v>
          </cell>
          <cell r="Y173" t="str">
            <v>C</v>
          </cell>
          <cell r="Z173">
            <v>351.75259700479222</v>
          </cell>
          <cell r="AA173">
            <v>0.22999999999999998</v>
          </cell>
        </row>
        <row r="174">
          <cell r="F174" t="str">
            <v>KFO8OS2CT</v>
          </cell>
          <cell r="G174" t="str">
            <v>8FO OS2 CENTRAL LOOSE TUBE PEHD OUTDOOR BLACK RAL9005</v>
          </cell>
          <cell r="I174" t="str">
            <v>China</v>
          </cell>
          <cell r="K174" t="str">
            <v>2000m drum</v>
          </cell>
          <cell r="L174" t="str">
            <v>10 km</v>
          </cell>
          <cell r="M174">
            <v>2</v>
          </cell>
          <cell r="O174">
            <v>85447000</v>
          </cell>
          <cell r="P174">
            <v>0.45</v>
          </cell>
          <cell r="Q174">
            <v>30</v>
          </cell>
          <cell r="R174">
            <v>45</v>
          </cell>
          <cell r="S174">
            <v>55</v>
          </cell>
          <cell r="T174" t="str">
            <v>T/T 30 days</v>
          </cell>
          <cell r="U174">
            <v>195.85687382297553</v>
          </cell>
          <cell r="V174">
            <v>368.16813810381302</v>
          </cell>
          <cell r="W174">
            <v>0.25</v>
          </cell>
          <cell r="X174">
            <v>0.23</v>
          </cell>
          <cell r="Y174" t="str">
            <v>C</v>
          </cell>
          <cell r="Z174">
            <v>368.16813810381302</v>
          </cell>
          <cell r="AA174">
            <v>0.22999999999999998</v>
          </cell>
        </row>
        <row r="175">
          <cell r="F175" t="str">
            <v>KFO12OS2CT</v>
          </cell>
          <cell r="G175" t="str">
            <v>12FO OS2 CENTRAL LOOSE TUBE PEHD OUTDOOR BLACK RAL9005</v>
          </cell>
          <cell r="I175" t="str">
            <v>China</v>
          </cell>
          <cell r="K175" t="str">
            <v>2000m drum</v>
          </cell>
          <cell r="L175" t="str">
            <v>10 km</v>
          </cell>
          <cell r="M175">
            <v>2</v>
          </cell>
          <cell r="O175">
            <v>85447000</v>
          </cell>
          <cell r="P175">
            <v>0.45</v>
          </cell>
          <cell r="Q175">
            <v>30</v>
          </cell>
          <cell r="R175">
            <v>45</v>
          </cell>
          <cell r="S175">
            <v>55</v>
          </cell>
          <cell r="T175" t="str">
            <v>T/T 30 days</v>
          </cell>
          <cell r="U175">
            <v>218.45574387947269</v>
          </cell>
          <cell r="V175">
            <v>398.4737524404668</v>
          </cell>
          <cell r="W175">
            <v>0.25</v>
          </cell>
          <cell r="X175">
            <v>0.23</v>
          </cell>
          <cell r="Y175" t="str">
            <v>C</v>
          </cell>
          <cell r="Z175">
            <v>398.4737524404668</v>
          </cell>
          <cell r="AA175">
            <v>0.22999999999999998</v>
          </cell>
        </row>
        <row r="176">
          <cell r="F176" t="str">
            <v>KFO24OS2CT</v>
          </cell>
          <cell r="G176" t="str">
            <v>24FO OS2 CENTRAL LOOSE TUBE PEHD OUTDOOR BLACK RAL9005</v>
          </cell>
          <cell r="I176" t="str">
            <v>China</v>
          </cell>
          <cell r="K176" t="str">
            <v>2000m drum</v>
          </cell>
          <cell r="L176" t="str">
            <v>10 km</v>
          </cell>
          <cell r="M176">
            <v>2</v>
          </cell>
          <cell r="O176">
            <v>85447000</v>
          </cell>
          <cell r="P176">
            <v>0.45</v>
          </cell>
          <cell r="Q176">
            <v>30</v>
          </cell>
          <cell r="R176">
            <v>45</v>
          </cell>
          <cell r="S176">
            <v>55</v>
          </cell>
          <cell r="T176" t="str">
            <v>T/T 30 days</v>
          </cell>
          <cell r="U176">
            <v>296.61016949152543</v>
          </cell>
          <cell r="V176">
            <v>503.28066868806093</v>
          </cell>
          <cell r="W176">
            <v>0.25</v>
          </cell>
          <cell r="X176">
            <v>0.23</v>
          </cell>
          <cell r="Y176" t="str">
            <v>C</v>
          </cell>
          <cell r="Z176">
            <v>503.28066868806093</v>
          </cell>
          <cell r="AA176">
            <v>0.22999999999999998</v>
          </cell>
        </row>
        <row r="177">
          <cell r="F177" t="str">
            <v>KFO6OM3CTA</v>
          </cell>
          <cell r="G177" t="str">
            <v>6FO OM3 CENTRAL LOOSE TUBE ARMORED PEHD OUTDOOR BLACK RAL9005</v>
          </cell>
          <cell r="I177" t="str">
            <v>China</v>
          </cell>
          <cell r="K177" t="str">
            <v>2000m drum</v>
          </cell>
          <cell r="L177" t="str">
            <v>10 km</v>
          </cell>
          <cell r="M177">
            <v>2</v>
          </cell>
          <cell r="O177">
            <v>85447000</v>
          </cell>
          <cell r="Q177">
            <v>30</v>
          </cell>
          <cell r="R177">
            <v>45</v>
          </cell>
          <cell r="S177">
            <v>55</v>
          </cell>
          <cell r="T177" t="str">
            <v>T/T 30 days</v>
          </cell>
          <cell r="U177">
            <v>516.94915254237287</v>
          </cell>
          <cell r="V177">
            <v>572.17555264829105</v>
          </cell>
          <cell r="W177">
            <v>0.25</v>
          </cell>
          <cell r="X177">
            <v>0.23</v>
          </cell>
          <cell r="Y177" t="str">
            <v>C</v>
          </cell>
          <cell r="Z177">
            <v>572.17555264829105</v>
          </cell>
          <cell r="AA177">
            <v>0.22999999999999987</v>
          </cell>
        </row>
        <row r="178">
          <cell r="F178" t="str">
            <v>KFO8OM3CTA</v>
          </cell>
          <cell r="G178" t="str">
            <v>8FO OM3 CENTRAL LOOSE TUBE ARMORED PEHD OUTDOOR BLACK RAL9005</v>
          </cell>
          <cell r="I178" t="str">
            <v>China</v>
          </cell>
          <cell r="K178" t="str">
            <v>2000m drum</v>
          </cell>
          <cell r="L178" t="str">
            <v>10 km</v>
          </cell>
          <cell r="M178">
            <v>2</v>
          </cell>
          <cell r="O178">
            <v>85447000</v>
          </cell>
          <cell r="Q178">
            <v>30</v>
          </cell>
          <cell r="R178">
            <v>45</v>
          </cell>
          <cell r="S178">
            <v>55</v>
          </cell>
          <cell r="T178" t="str">
            <v>T/T 30 days</v>
          </cell>
          <cell r="U178">
            <v>617.70244821092285</v>
          </cell>
          <cell r="V178">
            <v>663.12673610509023</v>
          </cell>
          <cell r="W178">
            <v>0.25</v>
          </cell>
          <cell r="X178">
            <v>0.23</v>
          </cell>
          <cell r="Y178" t="str">
            <v>C</v>
          </cell>
          <cell r="Z178">
            <v>663.12673610509023</v>
          </cell>
          <cell r="AA178">
            <v>0.22999999999999998</v>
          </cell>
        </row>
        <row r="179">
          <cell r="F179" t="str">
            <v>KFO12OM3CTA</v>
          </cell>
          <cell r="G179" t="str">
            <v>12FO OM3 CENTRAL LOOSE TUBE ARMORED PEHD OUTDOOR BLACK RAL9005</v>
          </cell>
          <cell r="I179" t="str">
            <v>China</v>
          </cell>
          <cell r="K179" t="str">
            <v>2000m drum</v>
          </cell>
          <cell r="L179" t="str">
            <v>10 km</v>
          </cell>
          <cell r="M179">
            <v>2</v>
          </cell>
          <cell r="O179">
            <v>85447000</v>
          </cell>
          <cell r="Q179">
            <v>30</v>
          </cell>
          <cell r="R179">
            <v>45</v>
          </cell>
          <cell r="S179">
            <v>55</v>
          </cell>
          <cell r="T179" t="str">
            <v>T/T 30 days</v>
          </cell>
          <cell r="U179">
            <v>822.97551789077215</v>
          </cell>
          <cell r="V179">
            <v>848.42914726006416</v>
          </cell>
          <cell r="W179">
            <v>0.25</v>
          </cell>
          <cell r="X179">
            <v>0.23</v>
          </cell>
          <cell r="Y179" t="str">
            <v>C</v>
          </cell>
          <cell r="Z179">
            <v>848.42914726006416</v>
          </cell>
          <cell r="AA179">
            <v>0.22999999999999998</v>
          </cell>
        </row>
        <row r="180">
          <cell r="F180" t="str">
            <v>KFO24OM3CTA</v>
          </cell>
          <cell r="G180" t="str">
            <v>24FO OM3 CENTRAL LOOSE TUBE ARMORED PEHD OUTDOOR BLACK RAL9005</v>
          </cell>
          <cell r="I180" t="str">
            <v>China</v>
          </cell>
          <cell r="K180" t="str">
            <v>2000m drum</v>
          </cell>
          <cell r="L180" t="str">
            <v>10 km</v>
          </cell>
          <cell r="M180">
            <v>2</v>
          </cell>
          <cell r="O180">
            <v>85447000</v>
          </cell>
          <cell r="Q180">
            <v>30</v>
          </cell>
          <cell r="R180">
            <v>45</v>
          </cell>
          <cell r="S180">
            <v>55</v>
          </cell>
          <cell r="T180" t="str">
            <v>T/T 30 days</v>
          </cell>
          <cell r="U180">
            <v>1435.0282485875705</v>
          </cell>
          <cell r="V180">
            <v>1400.9363364836101</v>
          </cell>
          <cell r="W180">
            <v>0.25</v>
          </cell>
          <cell r="X180">
            <v>0.23</v>
          </cell>
          <cell r="Y180" t="str">
            <v>C</v>
          </cell>
          <cell r="Z180">
            <v>1400.9363364836101</v>
          </cell>
          <cell r="AA180">
            <v>0.22999999999999998</v>
          </cell>
        </row>
        <row r="181">
          <cell r="F181" t="str">
            <v>KFO6OS2CTA</v>
          </cell>
          <cell r="G181" t="str">
            <v>6FO OS2 CENTRAL LOOSE TUBE ARMORED PEHD OUTDOOR BLACK RAL9005</v>
          </cell>
          <cell r="I181" t="str">
            <v>China</v>
          </cell>
          <cell r="K181" t="str">
            <v>2000m drum</v>
          </cell>
          <cell r="L181" t="str">
            <v>10 km</v>
          </cell>
          <cell r="M181">
            <v>2</v>
          </cell>
          <cell r="O181">
            <v>85447000</v>
          </cell>
          <cell r="P181">
            <v>0.45</v>
          </cell>
          <cell r="Q181">
            <v>30</v>
          </cell>
          <cell r="R181">
            <v>45</v>
          </cell>
          <cell r="S181">
            <v>55</v>
          </cell>
          <cell r="T181" t="str">
            <v>T/T 30 days</v>
          </cell>
          <cell r="U181">
            <v>245.76271186440678</v>
          </cell>
          <cell r="V181">
            <v>435.09303643059002</v>
          </cell>
          <cell r="W181">
            <v>0.25</v>
          </cell>
          <cell r="X181">
            <v>0.23</v>
          </cell>
          <cell r="Y181" t="str">
            <v>C</v>
          </cell>
          <cell r="Z181">
            <v>435.09303643059002</v>
          </cell>
          <cell r="AA181">
            <v>0.22999999999999998</v>
          </cell>
        </row>
        <row r="182">
          <cell r="F182" t="str">
            <v>KFO8OS2CTA</v>
          </cell>
          <cell r="G182" t="str">
            <v>8FO OS2 CENTRAL LOOSE TUBE ARMORED PEHD OUTDOOR BLACK RAL9005</v>
          </cell>
          <cell r="I182" t="str">
            <v>China</v>
          </cell>
          <cell r="K182" t="str">
            <v>2000m drum</v>
          </cell>
          <cell r="L182" t="str">
            <v>10 km</v>
          </cell>
          <cell r="M182">
            <v>2</v>
          </cell>
          <cell r="O182">
            <v>85447000</v>
          </cell>
          <cell r="P182">
            <v>0.45</v>
          </cell>
          <cell r="Q182">
            <v>30</v>
          </cell>
          <cell r="R182">
            <v>45</v>
          </cell>
          <cell r="S182">
            <v>55</v>
          </cell>
          <cell r="T182" t="str">
            <v>T/T 30 days</v>
          </cell>
          <cell r="U182">
            <v>258.00376647834275</v>
          </cell>
          <cell r="V182">
            <v>451.50857752961082</v>
          </cell>
          <cell r="W182">
            <v>0.25</v>
          </cell>
          <cell r="X182">
            <v>0.23</v>
          </cell>
          <cell r="Y182" t="str">
            <v>C</v>
          </cell>
          <cell r="Z182">
            <v>451.50857752961082</v>
          </cell>
          <cell r="AA182">
            <v>0.22999999999999998</v>
          </cell>
        </row>
        <row r="183">
          <cell r="F183" t="str">
            <v>KFO12OS2CTA</v>
          </cell>
          <cell r="G183" t="str">
            <v>12FO OS2 CENTRAL LOOSE TUBE ARMORED PEHD OUTDOOR BLACK RAL9005</v>
          </cell>
          <cell r="I183" t="str">
            <v>China</v>
          </cell>
          <cell r="K183" t="str">
            <v>2000m drum</v>
          </cell>
          <cell r="L183" t="str">
            <v>10 km</v>
          </cell>
          <cell r="M183">
            <v>2</v>
          </cell>
          <cell r="O183">
            <v>85447000</v>
          </cell>
          <cell r="P183">
            <v>0.45</v>
          </cell>
          <cell r="Q183">
            <v>30</v>
          </cell>
          <cell r="R183">
            <v>45</v>
          </cell>
          <cell r="S183">
            <v>55</v>
          </cell>
          <cell r="T183" t="str">
            <v>T/T 30 days</v>
          </cell>
          <cell r="U183">
            <v>282.4858757062147</v>
          </cell>
          <cell r="V183">
            <v>484.33965972765236</v>
          </cell>
          <cell r="W183">
            <v>0.25</v>
          </cell>
          <cell r="X183">
            <v>0.23</v>
          </cell>
          <cell r="Y183" t="str">
            <v>C</v>
          </cell>
          <cell r="Z183">
            <v>484.33965972765236</v>
          </cell>
          <cell r="AA183">
            <v>0.22999999999999998</v>
          </cell>
        </row>
        <row r="184">
          <cell r="F184" t="str">
            <v>KFO24OS2CTA</v>
          </cell>
          <cell r="G184" t="str">
            <v>24FO OS2 CENTRAL LOOSE TUBE ARMORED PEHD OUTDOOR BLACK RAL9005</v>
          </cell>
          <cell r="I184" t="str">
            <v>China</v>
          </cell>
          <cell r="K184" t="str">
            <v>2000m drum</v>
          </cell>
          <cell r="L184" t="str">
            <v>10 km</v>
          </cell>
          <cell r="M184">
            <v>2</v>
          </cell>
          <cell r="O184">
            <v>85447000</v>
          </cell>
          <cell r="P184">
            <v>0.45</v>
          </cell>
          <cell r="Q184">
            <v>30</v>
          </cell>
          <cell r="R184">
            <v>45</v>
          </cell>
          <cell r="S184">
            <v>55</v>
          </cell>
          <cell r="T184" t="str">
            <v>T/T 30 days</v>
          </cell>
          <cell r="U184">
            <v>348.39924670433146</v>
          </cell>
          <cell r="V184">
            <v>572.73103487622586</v>
          </cell>
          <cell r="W184">
            <v>0.25</v>
          </cell>
          <cell r="X184">
            <v>0.23</v>
          </cell>
          <cell r="Y184" t="str">
            <v>C</v>
          </cell>
          <cell r="Z184">
            <v>572.73103487622586</v>
          </cell>
          <cell r="AA184">
            <v>0.22999999999999998</v>
          </cell>
        </row>
        <row r="185">
          <cell r="F185" t="str">
            <v>KSPFK1U4REF</v>
          </cell>
          <cell r="G185" t="str">
            <v>19'' CABLE MANAGEMENT WITH 4 RINGS PER ECO FRIENDLY CARTON</v>
          </cell>
          <cell r="I185" t="str">
            <v>China</v>
          </cell>
          <cell r="K185" t="str">
            <v>1 pc eco friendly box</v>
          </cell>
          <cell r="L185" t="str">
            <v>500 pcs</v>
          </cell>
          <cell r="M185">
            <v>400</v>
          </cell>
          <cell r="O185" t="str">
            <v>940390 1000</v>
          </cell>
          <cell r="P185">
            <v>1.7000000000000001E-2</v>
          </cell>
          <cell r="Q185">
            <v>45</v>
          </cell>
          <cell r="R185">
            <v>45</v>
          </cell>
          <cell r="S185">
            <v>55</v>
          </cell>
          <cell r="T185" t="str">
            <v>T/T 30 days</v>
          </cell>
          <cell r="U185">
            <v>2.4520578693703992</v>
          </cell>
          <cell r="V185">
            <v>2.8381807241072181</v>
          </cell>
          <cell r="W185">
            <v>0.33300000000000002</v>
          </cell>
          <cell r="X185">
            <v>0.313</v>
          </cell>
          <cell r="Y185" t="str">
            <v>C</v>
          </cell>
          <cell r="Z185">
            <v>2.8381807241072181</v>
          </cell>
        </row>
        <row r="186">
          <cell r="F186" t="str">
            <v>KSPFK1U4RCEF</v>
          </cell>
          <cell r="G186" t="str">
            <v>19'' CABLE MANAGEMENT WITH 4 RINGS WITH HOLE CUTTING AND ACCESSORIES PER ECO FRIENDLY CARTON</v>
          </cell>
          <cell r="I186" t="str">
            <v>China</v>
          </cell>
          <cell r="K186" t="str">
            <v>1 pc eco friendly box</v>
          </cell>
          <cell r="L186" t="str">
            <v>500 pcs</v>
          </cell>
          <cell r="M186">
            <v>400</v>
          </cell>
          <cell r="N186" t="str">
            <v>4897108881848</v>
          </cell>
          <cell r="O186" t="str">
            <v>940390 1000</v>
          </cell>
          <cell r="P186">
            <v>1.7000000000000001E-2</v>
          </cell>
          <cell r="Q186">
            <v>45</v>
          </cell>
          <cell r="R186">
            <v>45</v>
          </cell>
          <cell r="S186">
            <v>55</v>
          </cell>
          <cell r="T186" t="str">
            <v>T/T 30 days</v>
          </cell>
          <cell r="U186">
            <v>2.5383083363817418</v>
          </cell>
          <cell r="V186">
            <v>2.8967865554174286</v>
          </cell>
          <cell r="W186">
            <v>0.30499999999999999</v>
          </cell>
          <cell r="X186">
            <v>0.28499999999999998</v>
          </cell>
          <cell r="Y186" t="str">
            <v>C</v>
          </cell>
          <cell r="Z186">
            <v>2.8967865554174286</v>
          </cell>
        </row>
        <row r="187">
          <cell r="F187" t="str">
            <v>KSPFK1U4RCFEF</v>
          </cell>
          <cell r="G187" t="str">
            <v>19'' CABLE MANAGEMENT FULL METAL WITH 4 RINGS WITH HOLE CUTTING AND ACCESSORIES PER ECO FRIENDLY CARTON</v>
          </cell>
          <cell r="I187" t="str">
            <v>China</v>
          </cell>
          <cell r="K187" t="str">
            <v>1 pc eco friendly box</v>
          </cell>
          <cell r="L187" t="str">
            <v>500 pcs</v>
          </cell>
          <cell r="M187">
            <v>400</v>
          </cell>
          <cell r="N187" t="str">
            <v>4897108882593</v>
          </cell>
          <cell r="P187">
            <v>1.7000000000000001E-2</v>
          </cell>
          <cell r="Q187">
            <v>45</v>
          </cell>
          <cell r="R187">
            <v>45</v>
          </cell>
          <cell r="S187">
            <v>55</v>
          </cell>
          <cell r="T187" t="str">
            <v>T/T 30 days</v>
          </cell>
          <cell r="W187" t="e">
            <v>#N/A</v>
          </cell>
          <cell r="X187" t="e">
            <v>#N/A</v>
          </cell>
          <cell r="Y187" t="str">
            <v>C</v>
          </cell>
          <cell r="Z187">
            <v>0</v>
          </cell>
        </row>
        <row r="188">
          <cell r="F188" t="str">
            <v>KSPFK1UHDCEF</v>
          </cell>
          <cell r="G188" t="str">
            <v>19'' CABLE MANAGEMENT HIGH DENSITY WITH HOLE CUTTING AND ACCESSORIES PER ECO FRIENDLY CARTON</v>
          </cell>
          <cell r="I188" t="str">
            <v>China</v>
          </cell>
          <cell r="K188" t="str">
            <v>1 pc eco friendly box</v>
          </cell>
          <cell r="L188" t="str">
            <v>1000 pcs</v>
          </cell>
          <cell r="M188">
            <v>360</v>
          </cell>
          <cell r="P188">
            <v>1.7000000000000001E-2</v>
          </cell>
          <cell r="Q188">
            <v>45</v>
          </cell>
          <cell r="R188">
            <v>45</v>
          </cell>
          <cell r="S188">
            <v>55</v>
          </cell>
          <cell r="T188" t="str">
            <v>T/T 60 days</v>
          </cell>
          <cell r="W188">
            <v>0.02</v>
          </cell>
          <cell r="X188">
            <v>0</v>
          </cell>
          <cell r="Y188" t="str">
            <v>C</v>
          </cell>
          <cell r="Z188">
            <v>0</v>
          </cell>
        </row>
        <row r="189">
          <cell r="F189" t="str">
            <v>KSPFK1UAIHDCEF</v>
          </cell>
          <cell r="G189" t="str">
            <v>19'' CABLE MANAGEMENT HIGH DENSITY ALU WITH HOLE CUTTING AND ACCESSORIES PER ECO FRIENDLY CARTON</v>
          </cell>
          <cell r="I189" t="str">
            <v>China</v>
          </cell>
          <cell r="K189" t="str">
            <v>1 pc eco friendly box</v>
          </cell>
          <cell r="L189" t="str">
            <v>1000 pcs</v>
          </cell>
          <cell r="M189">
            <v>360</v>
          </cell>
          <cell r="P189">
            <v>1.7000000000000001E-2</v>
          </cell>
          <cell r="Q189">
            <v>45</v>
          </cell>
          <cell r="R189">
            <v>45</v>
          </cell>
          <cell r="S189">
            <v>55</v>
          </cell>
          <cell r="T189" t="str">
            <v>T/T 60 days</v>
          </cell>
          <cell r="W189" t="e">
            <v>#N/A</v>
          </cell>
          <cell r="X189" t="e">
            <v>#N/A</v>
          </cell>
          <cell r="Y189" t="str">
            <v>C</v>
          </cell>
          <cell r="Z189">
            <v>0</v>
          </cell>
        </row>
        <row r="190">
          <cell r="F190" t="str">
            <v>KSBRUSHEF</v>
          </cell>
          <cell r="G190" t="str">
            <v>19'' CABLE MANAGEMENT WITH BRUSH PER ECO FRIENDLY CARTON</v>
          </cell>
          <cell r="I190" t="str">
            <v>China</v>
          </cell>
          <cell r="K190" t="str">
            <v>1 pc eco friendly box</v>
          </cell>
          <cell r="L190" t="str">
            <v>500 pcs</v>
          </cell>
          <cell r="M190">
            <v>1200</v>
          </cell>
          <cell r="O190" t="str">
            <v>940390 1000</v>
          </cell>
          <cell r="P190">
            <v>1.7000000000000001E-2</v>
          </cell>
          <cell r="Q190">
            <v>45</v>
          </cell>
          <cell r="R190">
            <v>45</v>
          </cell>
          <cell r="S190">
            <v>55</v>
          </cell>
          <cell r="T190" t="str">
            <v>T/T 30 days</v>
          </cell>
          <cell r="U190">
            <v>3.1912010096646592</v>
          </cell>
          <cell r="V190">
            <v>3.1212377926349499</v>
          </cell>
          <cell r="W190">
            <v>0.33300000000000002</v>
          </cell>
          <cell r="X190">
            <v>0.313</v>
          </cell>
          <cell r="Y190" t="str">
            <v>C</v>
          </cell>
          <cell r="Z190">
            <v>3.1212377926349499</v>
          </cell>
        </row>
        <row r="191">
          <cell r="F191" t="str">
            <v>KSBRUSHCEF</v>
          </cell>
          <cell r="G191" t="str">
            <v>19'' CABLE MANAGEMENT WITH BRUSH WITH HOLE CUTTING AND ACCESSORIES PER ECO FRIENDLY CARTON</v>
          </cell>
          <cell r="I191" t="str">
            <v>China</v>
          </cell>
          <cell r="K191" t="str">
            <v>1 pc eco friendly box</v>
          </cell>
          <cell r="L191" t="str">
            <v>500 pcs</v>
          </cell>
          <cell r="M191">
            <v>1200</v>
          </cell>
          <cell r="N191" t="str">
            <v>4897108881855</v>
          </cell>
          <cell r="O191" t="str">
            <v>940390 1000</v>
          </cell>
          <cell r="P191">
            <v>1.7000000000000001E-2</v>
          </cell>
          <cell r="Q191">
            <v>45</v>
          </cell>
          <cell r="R191">
            <v>45</v>
          </cell>
          <cell r="S191">
            <v>55</v>
          </cell>
          <cell r="T191" t="str">
            <v>T/T 30 days</v>
          </cell>
          <cell r="U191">
            <v>3.247571434377921</v>
          </cell>
          <cell r="V191">
            <v>3.168665652846705</v>
          </cell>
          <cell r="W191">
            <v>0.30499999999999999</v>
          </cell>
          <cell r="X191">
            <v>0.28499999999999998</v>
          </cell>
          <cell r="Y191" t="str">
            <v>C</v>
          </cell>
          <cell r="Z191">
            <v>3.168665652846705</v>
          </cell>
        </row>
        <row r="192">
          <cell r="F192" t="str">
            <v>KSFS1U250</v>
          </cell>
          <cell r="G192" t="str">
            <v>19" FIXED SHELVE 1U DEPTH 250 MM PER BOX</v>
          </cell>
          <cell r="I192" t="str">
            <v>China</v>
          </cell>
          <cell r="K192" t="str">
            <v>1 pc eco friendly box</v>
          </cell>
          <cell r="L192" t="str">
            <v>200 pcs</v>
          </cell>
          <cell r="M192">
            <v>200</v>
          </cell>
          <cell r="O192" t="str">
            <v>853890 9900</v>
          </cell>
          <cell r="P192">
            <v>1.7000000000000001E-2</v>
          </cell>
          <cell r="Q192">
            <v>45</v>
          </cell>
          <cell r="R192">
            <v>45</v>
          </cell>
          <cell r="S192">
            <v>55</v>
          </cell>
          <cell r="T192" t="str">
            <v>T/T against copy of document</v>
          </cell>
          <cell r="U192">
            <v>5.9175287988847298</v>
          </cell>
          <cell r="V192">
            <v>6.4719612660865744</v>
          </cell>
          <cell r="W192">
            <v>0.22999999999999998</v>
          </cell>
          <cell r="X192">
            <v>0.21</v>
          </cell>
          <cell r="Y192" t="str">
            <v>C</v>
          </cell>
          <cell r="Z192">
            <v>6.4719612660865744</v>
          </cell>
        </row>
        <row r="193">
          <cell r="F193" t="str">
            <v>KSFS2U250</v>
          </cell>
          <cell r="G193" t="str">
            <v>19" FIXED SHELVE 2U DEPTH 250 MM PER BOX</v>
          </cell>
          <cell r="I193" t="str">
            <v>China</v>
          </cell>
          <cell r="K193" t="str">
            <v>1 pc eco friendly box</v>
          </cell>
          <cell r="L193" t="str">
            <v>200 pcs</v>
          </cell>
          <cell r="M193">
            <v>200</v>
          </cell>
          <cell r="O193" t="str">
            <v>853890 9900</v>
          </cell>
          <cell r="P193">
            <v>1.7000000000000001E-2</v>
          </cell>
          <cell r="Q193">
            <v>45</v>
          </cell>
          <cell r="R193">
            <v>45</v>
          </cell>
          <cell r="S193">
            <v>55</v>
          </cell>
          <cell r="T193" t="str">
            <v>T/T against copy of document</v>
          </cell>
          <cell r="U193">
            <v>7.080490131337589</v>
          </cell>
          <cell r="V193">
            <v>7.5417586872501143</v>
          </cell>
          <cell r="W193">
            <v>0.22999999999999998</v>
          </cell>
          <cell r="X193">
            <v>0.21</v>
          </cell>
          <cell r="Y193" t="str">
            <v>C</v>
          </cell>
          <cell r="Z193">
            <v>7.5417586872501143</v>
          </cell>
        </row>
        <row r="194">
          <cell r="F194" t="str">
            <v>KSOB1UC</v>
          </cell>
          <cell r="G194" t="str">
            <v>19" BLANK MODULE WITH ONE HOLE CUT AND ACCESSORIES PER BOX</v>
          </cell>
          <cell r="I194" t="str">
            <v>China</v>
          </cell>
          <cell r="K194" t="str">
            <v>1 pc eco friendly box</v>
          </cell>
          <cell r="L194" t="str">
            <v>500 pcs</v>
          </cell>
          <cell r="M194">
            <v>900</v>
          </cell>
          <cell r="O194" t="str">
            <v>853890 9900</v>
          </cell>
          <cell r="P194">
            <v>1.7000000000000001E-2</v>
          </cell>
          <cell r="Q194">
            <v>45</v>
          </cell>
          <cell r="R194">
            <v>45</v>
          </cell>
          <cell r="S194">
            <v>55</v>
          </cell>
          <cell r="T194" t="str">
            <v>T/T 30 days</v>
          </cell>
          <cell r="U194" t="e">
            <v>#N/A</v>
          </cell>
          <cell r="V194" t="e">
            <v>#N/A</v>
          </cell>
          <cell r="W194" t="e">
            <v>#N/A</v>
          </cell>
          <cell r="X194" t="e">
            <v>#N/A</v>
          </cell>
          <cell r="Y194" t="str">
            <v>C</v>
          </cell>
          <cell r="Z194" t="e">
            <v>#N/A</v>
          </cell>
        </row>
        <row r="195">
          <cell r="F195" t="str">
            <v>KPDU8PC90</v>
          </cell>
          <cell r="G195" t="str">
            <v>PDU FRENCH 19" 8 SOCKETS ALU WITH 90° FIXTURES PER BOX</v>
          </cell>
          <cell r="I195" t="str">
            <v>China</v>
          </cell>
          <cell r="K195" t="str">
            <v>1 pc eco friendly box</v>
          </cell>
          <cell r="L195" t="str">
            <v>480 pcs</v>
          </cell>
          <cell r="M195">
            <v>240</v>
          </cell>
          <cell r="N195" t="str">
            <v>4897108882555</v>
          </cell>
          <cell r="O195" t="str">
            <v>853561 9090</v>
          </cell>
          <cell r="P195">
            <v>3.3000000000000002E-2</v>
          </cell>
          <cell r="Q195">
            <v>45</v>
          </cell>
          <cell r="R195">
            <v>45</v>
          </cell>
          <cell r="S195">
            <v>55</v>
          </cell>
          <cell r="T195" t="str">
            <v>T/T against copy of document</v>
          </cell>
          <cell r="U195" t="e">
            <v>#N/A</v>
          </cell>
          <cell r="V195" t="e">
            <v>#N/A</v>
          </cell>
          <cell r="W195" t="e">
            <v>#N/A</v>
          </cell>
          <cell r="X195" t="e">
            <v>#N/A</v>
          </cell>
          <cell r="Y195" t="str">
            <v>C</v>
          </cell>
          <cell r="Z195" t="e">
            <v>#N/A</v>
          </cell>
        </row>
        <row r="196">
          <cell r="F196" t="str">
            <v>KPDU8PCSW90</v>
          </cell>
          <cell r="G196" t="str">
            <v>PDU FRENCH 19" 8 SOCKETS ALU WITH SWITCH WITH 90° FIXTURES PER BOX</v>
          </cell>
          <cell r="I196" t="str">
            <v>China</v>
          </cell>
          <cell r="K196" t="str">
            <v>1 pc eco friendly box</v>
          </cell>
          <cell r="L196" t="str">
            <v>480 pcs</v>
          </cell>
          <cell r="M196">
            <v>240</v>
          </cell>
          <cell r="N196" t="str">
            <v>4897108882562</v>
          </cell>
          <cell r="O196" t="str">
            <v>853561 9090</v>
          </cell>
          <cell r="P196">
            <v>3.3000000000000002E-2</v>
          </cell>
          <cell r="Q196">
            <v>45</v>
          </cell>
          <cell r="R196">
            <v>45</v>
          </cell>
          <cell r="S196">
            <v>55</v>
          </cell>
          <cell r="T196" t="str">
            <v>T/T against copy of document</v>
          </cell>
          <cell r="U196" t="e">
            <v>#N/A</v>
          </cell>
          <cell r="V196" t="e">
            <v>#N/A</v>
          </cell>
          <cell r="W196" t="e">
            <v>#N/A</v>
          </cell>
          <cell r="X196" t="e">
            <v>#N/A</v>
          </cell>
          <cell r="Y196" t="str">
            <v>C</v>
          </cell>
          <cell r="Z196" t="e">
            <v>#N/A</v>
          </cell>
        </row>
        <row r="197">
          <cell r="F197" t="str">
            <v>KPDU6PCCB</v>
          </cell>
          <cell r="G197" t="str">
            <v>PDU FRENCH 19" 6 SOCKETS ALU WITH CIRCUIT BREAKER 16A 30MA WITH PROTECTION COVER PER BOX</v>
          </cell>
          <cell r="I197" t="str">
            <v>China</v>
          </cell>
          <cell r="K197" t="str">
            <v>1 pc eco friendly box</v>
          </cell>
          <cell r="L197" t="str">
            <v>480 pcs</v>
          </cell>
          <cell r="M197">
            <v>240</v>
          </cell>
          <cell r="O197" t="str">
            <v>853561 9090</v>
          </cell>
          <cell r="P197">
            <v>3.3000000000000002E-2</v>
          </cell>
          <cell r="Q197">
            <v>45</v>
          </cell>
          <cell r="R197">
            <v>45</v>
          </cell>
          <cell r="S197">
            <v>55</v>
          </cell>
          <cell r="T197" t="str">
            <v>T/T against copy of document</v>
          </cell>
          <cell r="U197">
            <v>29.011299435028253</v>
          </cell>
          <cell r="V197">
            <v>28.011515624645472</v>
          </cell>
          <cell r="W197">
            <v>0.30000000000000004</v>
          </cell>
          <cell r="X197">
            <v>0.28000000000000003</v>
          </cell>
          <cell r="Y197" t="str">
            <v>C</v>
          </cell>
          <cell r="Z197">
            <v>28.011515624645472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ELLCCFRHP4X15T10</v>
          </cell>
          <cell r="B2" t="str">
            <v>Z0401001</v>
          </cell>
          <cell r="C2" t="str">
            <v>8544499900</v>
          </cell>
        </row>
        <row r="3">
          <cell r="A3" t="str">
            <v>ELLCCFRHSLOZ1225T10</v>
          </cell>
          <cell r="B3" t="str">
            <v>Z0401002</v>
          </cell>
          <cell r="C3" t="str">
            <v>8544499900</v>
          </cell>
        </row>
        <row r="4">
          <cell r="A4" t="str">
            <v>ELLCCFRHSLOZ215T10</v>
          </cell>
          <cell r="B4" t="str">
            <v>Z0401003</v>
          </cell>
          <cell r="C4" t="str">
            <v>8544499900</v>
          </cell>
        </row>
        <row r="5">
          <cell r="A5" t="str">
            <v>ELLCCFRHSLOZ415T10</v>
          </cell>
          <cell r="B5" t="str">
            <v>Z0401004</v>
          </cell>
          <cell r="C5" t="str">
            <v>8544499900</v>
          </cell>
        </row>
        <row r="6">
          <cell r="A6" t="str">
            <v>ELLCCFRHSLOZ46T15</v>
          </cell>
          <cell r="B6" t="str">
            <v>Z0401005</v>
          </cell>
          <cell r="C6" t="str">
            <v>8544499900</v>
          </cell>
        </row>
        <row r="7">
          <cell r="A7" t="str">
            <v>ELLCCFRHSLOZ725T10</v>
          </cell>
          <cell r="B7" t="str">
            <v>Z0401006</v>
          </cell>
          <cell r="C7" t="str">
            <v>8544499900</v>
          </cell>
        </row>
        <row r="8">
          <cell r="A8" t="str">
            <v>ELLEGFA19P2088T500</v>
          </cell>
          <cell r="B8" t="str">
            <v>Z0401007</v>
          </cell>
          <cell r="C8" t="str">
            <v>8544499900</v>
          </cell>
        </row>
        <row r="9">
          <cell r="A9" t="str">
            <v>ELLEGFA1Q4088T500</v>
          </cell>
          <cell r="B9" t="str">
            <v>Z0401008</v>
          </cell>
          <cell r="C9" t="str">
            <v>8544499900</v>
          </cell>
        </row>
        <row r="10">
          <cell r="A10" t="str">
            <v>ELLU1000RVFV12G2.5T1000</v>
          </cell>
          <cell r="B10" t="str">
            <v>Z0402001</v>
          </cell>
          <cell r="C10" t="str">
            <v>8544499900</v>
          </cell>
        </row>
        <row r="11">
          <cell r="A11" t="str">
            <v>ETR10130</v>
          </cell>
          <cell r="B11" t="str">
            <v>Z0603005</v>
          </cell>
          <cell r="C11" t="str">
            <v>8544492000</v>
          </cell>
        </row>
        <row r="12">
          <cell r="A12" t="str">
            <v>ETR10230</v>
          </cell>
          <cell r="B12" t="str">
            <v>Z0603006</v>
          </cell>
          <cell r="C12" t="str">
            <v>8544492000</v>
          </cell>
        </row>
        <row r="13">
          <cell r="A13" t="str">
            <v>K19SK1</v>
          </cell>
          <cell r="B13" t="str">
            <v>U1301004</v>
          </cell>
          <cell r="C13" t="str">
            <v>7318190090</v>
          </cell>
        </row>
        <row r="14">
          <cell r="A14" t="str">
            <v>KCASTOR4</v>
          </cell>
          <cell r="B14" t="str">
            <v>U1201013</v>
          </cell>
          <cell r="C14" t="str">
            <v>8302200000</v>
          </cell>
        </row>
        <row r="15">
          <cell r="A15" t="str">
            <v>KCDOM3LCLC1MEF</v>
          </cell>
          <cell r="B15" t="str">
            <v>U0901001</v>
          </cell>
          <cell r="C15" t="str">
            <v>8544700000</v>
          </cell>
        </row>
        <row r="16">
          <cell r="A16" t="str">
            <v>KCDOM3LCLC2MEF</v>
          </cell>
          <cell r="B16" t="str">
            <v>U0901002</v>
          </cell>
          <cell r="C16" t="str">
            <v>8544700000</v>
          </cell>
        </row>
        <row r="17">
          <cell r="A17" t="str">
            <v>KCDOM3LCLC3MEF</v>
          </cell>
          <cell r="B17" t="str">
            <v>U0901003</v>
          </cell>
          <cell r="C17" t="str">
            <v>8544700000</v>
          </cell>
        </row>
        <row r="18">
          <cell r="A18" t="str">
            <v>KCDOM3LCLC5MEF</v>
          </cell>
          <cell r="B18" t="str">
            <v>U0901004</v>
          </cell>
          <cell r="C18" t="str">
            <v>8544700000</v>
          </cell>
        </row>
        <row r="19">
          <cell r="A19" t="str">
            <v>KCDOM3SCLC1MEF</v>
          </cell>
          <cell r="B19" t="str">
            <v>U0901005</v>
          </cell>
          <cell r="C19" t="str">
            <v>8544700000</v>
          </cell>
        </row>
        <row r="20">
          <cell r="A20" t="str">
            <v>KCDOM3SCLC2MEF</v>
          </cell>
          <cell r="B20" t="str">
            <v>U0901006</v>
          </cell>
          <cell r="C20" t="str">
            <v>8544700000</v>
          </cell>
        </row>
        <row r="21">
          <cell r="A21" t="str">
            <v>KCDOM3SCLC3MEF</v>
          </cell>
          <cell r="B21" t="str">
            <v>U0901007</v>
          </cell>
          <cell r="C21" t="str">
            <v>8544700000</v>
          </cell>
        </row>
        <row r="22">
          <cell r="A22" t="str">
            <v>KCDOM3SCLC5MEF</v>
          </cell>
          <cell r="B22" t="str">
            <v>U0901008</v>
          </cell>
          <cell r="C22" t="str">
            <v>8544700000</v>
          </cell>
        </row>
        <row r="23">
          <cell r="A23" t="str">
            <v>KCDOM3SCSC1MEF</v>
          </cell>
          <cell r="B23" t="str">
            <v>U0901009</v>
          </cell>
          <cell r="C23" t="str">
            <v>8544700000</v>
          </cell>
        </row>
        <row r="24">
          <cell r="A24" t="str">
            <v>KCDOM3SCSC2MEF</v>
          </cell>
          <cell r="B24" t="str">
            <v>U0901010</v>
          </cell>
          <cell r="C24" t="str">
            <v>8544700000</v>
          </cell>
        </row>
        <row r="25">
          <cell r="A25" t="str">
            <v>KCDOM3SCSC3MEF</v>
          </cell>
          <cell r="B25" t="str">
            <v>U0901011</v>
          </cell>
          <cell r="C25" t="str">
            <v>8544700000</v>
          </cell>
        </row>
        <row r="26">
          <cell r="A26" t="str">
            <v>KCDOM3SCSC5MEF</v>
          </cell>
          <cell r="B26" t="str">
            <v>U0901012</v>
          </cell>
          <cell r="C26" t="str">
            <v>8544700000</v>
          </cell>
        </row>
        <row r="27">
          <cell r="A27" t="str">
            <v>KCDOM4LCLC1MEF</v>
          </cell>
          <cell r="B27" t="str">
            <v>U0902001</v>
          </cell>
          <cell r="C27" t="str">
            <v>8544700000</v>
          </cell>
        </row>
        <row r="28">
          <cell r="A28" t="str">
            <v>KCDOM4LCLC2MEF</v>
          </cell>
          <cell r="B28" t="str">
            <v>U0902002</v>
          </cell>
          <cell r="C28" t="str">
            <v>8544700000</v>
          </cell>
        </row>
        <row r="29">
          <cell r="A29" t="str">
            <v>KCDOM4LCLC3MEF</v>
          </cell>
          <cell r="B29" t="str">
            <v>U0902003</v>
          </cell>
          <cell r="C29" t="str">
            <v>8544700000</v>
          </cell>
        </row>
        <row r="30">
          <cell r="A30" t="str">
            <v>KCDOM4LCLC5MEF</v>
          </cell>
          <cell r="B30" t="str">
            <v>U0902004</v>
          </cell>
          <cell r="C30" t="str">
            <v>8544700000</v>
          </cell>
        </row>
        <row r="31">
          <cell r="A31" t="str">
            <v>KCDOM4SCLC1MEF</v>
          </cell>
          <cell r="B31" t="str">
            <v>U0902005</v>
          </cell>
          <cell r="C31" t="str">
            <v>8544700000</v>
          </cell>
        </row>
        <row r="32">
          <cell r="A32" t="str">
            <v>KCDOM4SCLC2MEF</v>
          </cell>
          <cell r="B32" t="str">
            <v>U0902006</v>
          </cell>
          <cell r="C32" t="str">
            <v>8544700000</v>
          </cell>
        </row>
        <row r="33">
          <cell r="A33" t="str">
            <v>KCDOM4SCLC3MEF</v>
          </cell>
          <cell r="B33" t="str">
            <v>U0902007</v>
          </cell>
          <cell r="C33" t="str">
            <v>8544700000</v>
          </cell>
        </row>
        <row r="34">
          <cell r="A34" t="str">
            <v>KCDOM4SCLC5MEF</v>
          </cell>
          <cell r="B34" t="str">
            <v>U0902008</v>
          </cell>
          <cell r="C34" t="str">
            <v>8544700000</v>
          </cell>
        </row>
        <row r="35">
          <cell r="A35" t="str">
            <v>KCDOM4SCSC1MEF</v>
          </cell>
          <cell r="B35" t="str">
            <v>U0902009</v>
          </cell>
          <cell r="C35" t="str">
            <v>8544700000</v>
          </cell>
        </row>
        <row r="36">
          <cell r="A36" t="str">
            <v>KCDOM4SCSC2MEF</v>
          </cell>
          <cell r="B36" t="str">
            <v>U0902010</v>
          </cell>
          <cell r="C36" t="str">
            <v>8544700000</v>
          </cell>
        </row>
        <row r="37">
          <cell r="A37" t="str">
            <v>KCDOM4SCSC3MEF</v>
          </cell>
          <cell r="B37" t="str">
            <v>U0902011</v>
          </cell>
          <cell r="C37" t="str">
            <v>8544700000</v>
          </cell>
        </row>
        <row r="38">
          <cell r="A38" t="str">
            <v>KCDOM4SCSC5MEF</v>
          </cell>
          <cell r="B38" t="str">
            <v>U0902012</v>
          </cell>
          <cell r="C38" t="str">
            <v>8544700000</v>
          </cell>
        </row>
        <row r="39">
          <cell r="A39" t="str">
            <v>KCDOM5LCLC1MEF</v>
          </cell>
          <cell r="B39" t="str">
            <v>U0903001</v>
          </cell>
          <cell r="C39" t="str">
            <v>8544700000</v>
          </cell>
        </row>
        <row r="40">
          <cell r="A40" t="str">
            <v>KCDOM5LCLC2MEF</v>
          </cell>
          <cell r="B40" t="str">
            <v>U0903002</v>
          </cell>
          <cell r="C40" t="str">
            <v>8544700000</v>
          </cell>
        </row>
        <row r="41">
          <cell r="A41" t="str">
            <v>KCDOM5LCLC3MEF</v>
          </cell>
          <cell r="B41" t="str">
            <v>U0903003</v>
          </cell>
          <cell r="C41" t="str">
            <v>8544700000</v>
          </cell>
        </row>
        <row r="42">
          <cell r="A42" t="str">
            <v>KCDOM5LCLC5MEF</v>
          </cell>
          <cell r="B42" t="str">
            <v>U0903004</v>
          </cell>
          <cell r="C42" t="str">
            <v>8544700000</v>
          </cell>
        </row>
        <row r="43">
          <cell r="A43" t="str">
            <v>KCDOM5SCLC1MEF</v>
          </cell>
          <cell r="B43" t="str">
            <v>U0903005</v>
          </cell>
          <cell r="C43" t="str">
            <v>8544700000</v>
          </cell>
        </row>
        <row r="44">
          <cell r="A44" t="str">
            <v>KCDOM5SCLC2MEF</v>
          </cell>
          <cell r="B44" t="str">
            <v>U0903006</v>
          </cell>
          <cell r="C44" t="str">
            <v>8544700000</v>
          </cell>
        </row>
        <row r="45">
          <cell r="A45" t="str">
            <v>KCDOM5SCLC3MEF</v>
          </cell>
          <cell r="B45" t="str">
            <v>U0903007</v>
          </cell>
          <cell r="C45" t="str">
            <v>8544700000</v>
          </cell>
        </row>
        <row r="46">
          <cell r="A46" t="str">
            <v>KCDOM5SCLC5MEF</v>
          </cell>
          <cell r="B46" t="str">
            <v>U0903008</v>
          </cell>
          <cell r="C46" t="str">
            <v>8544700000</v>
          </cell>
        </row>
        <row r="47">
          <cell r="A47" t="str">
            <v>KCDOM5SCSC1MEF</v>
          </cell>
          <cell r="B47" t="str">
            <v>U0903009</v>
          </cell>
          <cell r="C47" t="str">
            <v>8544700000</v>
          </cell>
        </row>
        <row r="48">
          <cell r="A48" t="str">
            <v>KCDOM5SCSC2MEF</v>
          </cell>
          <cell r="B48" t="str">
            <v>U0903010</v>
          </cell>
          <cell r="C48" t="str">
            <v>8544700000</v>
          </cell>
        </row>
        <row r="49">
          <cell r="A49" t="str">
            <v>KCDOM5SCSC3MEF</v>
          </cell>
          <cell r="B49" t="str">
            <v>U0903011</v>
          </cell>
          <cell r="C49" t="str">
            <v>8544700000</v>
          </cell>
        </row>
        <row r="50">
          <cell r="A50" t="str">
            <v>KCDOM5SCSC5MEF</v>
          </cell>
          <cell r="B50" t="str">
            <v>U0903012</v>
          </cell>
          <cell r="C50" t="str">
            <v>8544700000</v>
          </cell>
        </row>
        <row r="51">
          <cell r="A51" t="str">
            <v>KCDOS2A2LCLCB10MEF</v>
          </cell>
          <cell r="B51" t="str">
            <v>U0904013</v>
          </cell>
          <cell r="C51" t="str">
            <v>8544700099</v>
          </cell>
        </row>
        <row r="52">
          <cell r="A52" t="str">
            <v>KCDOS2A2LCLCB1MEF</v>
          </cell>
          <cell r="B52" t="str">
            <v>U0904014</v>
          </cell>
          <cell r="C52" t="str">
            <v>8544700099</v>
          </cell>
        </row>
        <row r="53">
          <cell r="A53" t="str">
            <v>KCDOS2A2LCLCB2MEF</v>
          </cell>
          <cell r="B53" t="str">
            <v>U0904015</v>
          </cell>
          <cell r="C53" t="str">
            <v>8544700099</v>
          </cell>
        </row>
        <row r="54">
          <cell r="A54" t="str">
            <v>KCDOS2A2LCLCB3MEF</v>
          </cell>
          <cell r="B54" t="str">
            <v>U0904016</v>
          </cell>
          <cell r="C54" t="str">
            <v>8544700099</v>
          </cell>
        </row>
        <row r="55">
          <cell r="A55" t="str">
            <v>KCDOS2A2LCLCB5MEF</v>
          </cell>
          <cell r="B55" t="str">
            <v>U0904017</v>
          </cell>
          <cell r="C55" t="str">
            <v>8544700099</v>
          </cell>
        </row>
        <row r="56">
          <cell r="A56" t="str">
            <v>KCDOS2LCLC1MEF</v>
          </cell>
          <cell r="B56" t="str">
            <v>U0904001</v>
          </cell>
          <cell r="C56" t="str">
            <v>8544700000</v>
          </cell>
        </row>
        <row r="57">
          <cell r="A57" t="str">
            <v>KCDOS2LCLC2MEF</v>
          </cell>
          <cell r="B57" t="str">
            <v>U0904002</v>
          </cell>
          <cell r="C57" t="str">
            <v>8544700000</v>
          </cell>
        </row>
        <row r="58">
          <cell r="A58" t="str">
            <v>KCDOS2LCLC3MEF</v>
          </cell>
          <cell r="B58" t="str">
            <v>U0904003</v>
          </cell>
          <cell r="C58" t="str">
            <v>8544700000</v>
          </cell>
        </row>
        <row r="59">
          <cell r="A59" t="str">
            <v>KCDOS2LCLC5MEF</v>
          </cell>
          <cell r="B59" t="str">
            <v>U0904004</v>
          </cell>
          <cell r="C59" t="str">
            <v>8544700000</v>
          </cell>
        </row>
        <row r="60">
          <cell r="A60" t="str">
            <v>KCDOS2SCLC1MEF</v>
          </cell>
          <cell r="B60" t="str">
            <v>U0904005</v>
          </cell>
          <cell r="C60" t="str">
            <v>8544700000</v>
          </cell>
        </row>
        <row r="61">
          <cell r="A61" t="str">
            <v>KCDOS2SCLC2MEF</v>
          </cell>
          <cell r="B61" t="str">
            <v>U0904006</v>
          </cell>
          <cell r="C61" t="str">
            <v>8544700000</v>
          </cell>
        </row>
        <row r="62">
          <cell r="A62" t="str">
            <v>KCDOS2SCLC3MEF</v>
          </cell>
          <cell r="B62" t="str">
            <v>U0904007</v>
          </cell>
          <cell r="C62" t="str">
            <v>8544700000</v>
          </cell>
        </row>
        <row r="63">
          <cell r="A63" t="str">
            <v>KCDOS2SCLC5MEF</v>
          </cell>
          <cell r="B63" t="str">
            <v>U0904008</v>
          </cell>
          <cell r="C63" t="str">
            <v>8544700000</v>
          </cell>
        </row>
        <row r="64">
          <cell r="A64" t="str">
            <v>KCDOS2SCSC1MEF</v>
          </cell>
          <cell r="B64" t="str">
            <v>U0904009</v>
          </cell>
          <cell r="C64" t="str">
            <v>8544700000</v>
          </cell>
        </row>
        <row r="65">
          <cell r="A65" t="str">
            <v>KCDOS2SCSC2MEF</v>
          </cell>
          <cell r="B65" t="str">
            <v>U0904010</v>
          </cell>
          <cell r="C65" t="str">
            <v>8544700000</v>
          </cell>
        </row>
        <row r="66">
          <cell r="A66" t="str">
            <v>KCDOS2SCSC3MEF</v>
          </cell>
          <cell r="B66" t="str">
            <v>U0904011</v>
          </cell>
          <cell r="C66" t="str">
            <v>8544700000</v>
          </cell>
        </row>
        <row r="67">
          <cell r="A67" t="str">
            <v>KCDOS2SCSC5MEF</v>
          </cell>
          <cell r="B67" t="str">
            <v>U0904012</v>
          </cell>
          <cell r="C67" t="str">
            <v>8544700000</v>
          </cell>
        </row>
        <row r="68">
          <cell r="A68" t="str">
            <v>KCFF6A4PZHB2BL5</v>
          </cell>
          <cell r="B68" t="str">
            <v>U0103002</v>
          </cell>
          <cell r="C68" t="str">
            <v>8544492000</v>
          </cell>
        </row>
        <row r="69">
          <cell r="A69" t="str">
            <v>KCFF6A4PZHCBL5</v>
          </cell>
          <cell r="B69" t="str">
            <v>U0103003</v>
          </cell>
          <cell r="C69" t="str">
            <v>8544492000</v>
          </cell>
        </row>
        <row r="70">
          <cell r="A70" t="str">
            <v>KCFF6A4PZHCBLB</v>
          </cell>
          <cell r="B70" t="str">
            <v>U0103019</v>
          </cell>
          <cell r="C70" t="str">
            <v>8544492000</v>
          </cell>
        </row>
        <row r="71">
          <cell r="A71" t="str">
            <v>KCFF6A4PZHCOUT5</v>
          </cell>
          <cell r="B71" t="str">
            <v>U0103004</v>
          </cell>
          <cell r="C71" t="str">
            <v>8544492000</v>
          </cell>
        </row>
        <row r="72">
          <cell r="A72" t="str">
            <v>KCFF6A4PZHDBL5</v>
          </cell>
          <cell r="B72" t="str">
            <v>U0103001</v>
          </cell>
          <cell r="C72" t="str">
            <v>8544492000</v>
          </cell>
        </row>
        <row r="73">
          <cell r="A73" t="str">
            <v>KCFF6A4PZHDBL5ST</v>
          </cell>
          <cell r="B73" t="str">
            <v>U0103005</v>
          </cell>
          <cell r="C73" t="str">
            <v>8544492000</v>
          </cell>
        </row>
        <row r="74">
          <cell r="A74" t="str">
            <v>KCFF6A4PZHDBLB</v>
          </cell>
          <cell r="B74" t="str">
            <v>U0103006</v>
          </cell>
          <cell r="C74" t="str">
            <v>8544492000</v>
          </cell>
        </row>
        <row r="75">
          <cell r="A75" t="str">
            <v>KCFF6A4PZHDGR5</v>
          </cell>
          <cell r="B75" t="str">
            <v>U0103016</v>
          </cell>
          <cell r="C75" t="str">
            <v>8544492000</v>
          </cell>
        </row>
        <row r="76">
          <cell r="A76" t="str">
            <v>KCFF6A8PZHCBL5</v>
          </cell>
          <cell r="B76" t="str">
            <v>U0103020</v>
          </cell>
          <cell r="C76" t="str">
            <v>8544492000</v>
          </cell>
        </row>
        <row r="77">
          <cell r="A77" t="str">
            <v>KCFF6A8PZHDBL5</v>
          </cell>
          <cell r="B77" t="str">
            <v>U0103007</v>
          </cell>
          <cell r="C77" t="str">
            <v>8544492000</v>
          </cell>
        </row>
        <row r="78">
          <cell r="A78" t="str">
            <v>KCFF6A8PZHDGR5</v>
          </cell>
          <cell r="B78" t="str">
            <v>U0103017</v>
          </cell>
          <cell r="C78" t="str">
            <v>8544492000</v>
          </cell>
        </row>
        <row r="79">
          <cell r="A79" t="str">
            <v>KCFU5E4PDGR5</v>
          </cell>
          <cell r="B79" t="str">
            <v>U0101001</v>
          </cell>
          <cell r="C79" t="str">
            <v>8544492000</v>
          </cell>
        </row>
        <row r="80">
          <cell r="A80" t="str">
            <v>KCFU5E4PZHDGR5</v>
          </cell>
          <cell r="B80" t="str">
            <v>U0101002</v>
          </cell>
          <cell r="C80" t="str">
            <v>8544492000</v>
          </cell>
        </row>
        <row r="81">
          <cell r="A81" t="str">
            <v>KCFU64PZHDGR5</v>
          </cell>
          <cell r="B81" t="str">
            <v>U0102001</v>
          </cell>
          <cell r="C81" t="str">
            <v>8544492000</v>
          </cell>
        </row>
        <row r="82">
          <cell r="A82" t="str">
            <v>KCFU64PZHDGRB</v>
          </cell>
          <cell r="B82" t="str">
            <v>U0102002</v>
          </cell>
          <cell r="C82" t="str">
            <v>8544492000</v>
          </cell>
        </row>
        <row r="83">
          <cell r="A83" t="str">
            <v>KCFU64PZHMCB2R5</v>
          </cell>
          <cell r="B83" t="str">
            <v>U0103024</v>
          </cell>
          <cell r="C83" t="str">
            <v>8544492000</v>
          </cell>
        </row>
        <row r="84">
          <cell r="A84" t="str">
            <v>KCFU68PZHDGR5</v>
          </cell>
          <cell r="B84" t="str">
            <v>U0102003</v>
          </cell>
          <cell r="C84" t="str">
            <v>8544492000</v>
          </cell>
        </row>
        <row r="85">
          <cell r="A85" t="str">
            <v>KCFU6A4PZHDWH5</v>
          </cell>
          <cell r="B85" t="str">
            <v>U0103018</v>
          </cell>
          <cell r="C85" t="str">
            <v>8544492000</v>
          </cell>
        </row>
        <row r="86">
          <cell r="A86" t="str">
            <v>KCH661628</v>
          </cell>
          <cell r="B86" t="str">
            <v>U1601006</v>
          </cell>
          <cell r="C86" t="str">
            <v>9403208000</v>
          </cell>
        </row>
        <row r="87">
          <cell r="A87" t="str">
            <v>KCH662852</v>
          </cell>
          <cell r="B87" t="str">
            <v>U1601007</v>
          </cell>
          <cell r="C87" t="str">
            <v>9403208000</v>
          </cell>
        </row>
        <row r="88">
          <cell r="A88" t="str">
            <v>KCH8101628</v>
          </cell>
          <cell r="B88" t="str">
            <v>U1601002</v>
          </cell>
          <cell r="C88" t="str">
            <v>9403208000</v>
          </cell>
        </row>
        <row r="89">
          <cell r="A89" t="str">
            <v>KCH8102852</v>
          </cell>
          <cell r="B89" t="str">
            <v>U1601005</v>
          </cell>
          <cell r="C89" t="str">
            <v>9403208000</v>
          </cell>
        </row>
        <row r="90">
          <cell r="A90" t="str">
            <v>KCH881628</v>
          </cell>
          <cell r="B90" t="str">
            <v>U1601003</v>
          </cell>
          <cell r="C90" t="str">
            <v>9403208000</v>
          </cell>
        </row>
        <row r="91">
          <cell r="A91" t="str">
            <v>KCH882852</v>
          </cell>
          <cell r="B91" t="str">
            <v>U1601004</v>
          </cell>
          <cell r="C91" t="str">
            <v>9403208000</v>
          </cell>
        </row>
        <row r="92">
          <cell r="A92" t="str">
            <v>KCSF6A4PZHCBL5</v>
          </cell>
          <cell r="B92" t="str">
            <v>U0103008</v>
          </cell>
          <cell r="C92" t="str">
            <v>8544492000</v>
          </cell>
        </row>
        <row r="93">
          <cell r="A93" t="str">
            <v>KCSF6A4PZHDBL5</v>
          </cell>
          <cell r="B93" t="str">
            <v>U0103009</v>
          </cell>
          <cell r="C93" t="str">
            <v>8544492000</v>
          </cell>
        </row>
        <row r="94">
          <cell r="A94" t="str">
            <v>KCSF6A4PZHMCB2R</v>
          </cell>
          <cell r="B94" t="str">
            <v>U0103022</v>
          </cell>
          <cell r="C94" t="str">
            <v>8544492000</v>
          </cell>
        </row>
        <row r="95">
          <cell r="A95" t="str">
            <v>KCSF6A8PZHCBL5</v>
          </cell>
          <cell r="B95" t="str">
            <v>U0103021</v>
          </cell>
          <cell r="C95" t="str">
            <v>8544492000</v>
          </cell>
        </row>
        <row r="96">
          <cell r="A96" t="str">
            <v>KCSF6A8PZHDBL5</v>
          </cell>
          <cell r="B96" t="str">
            <v>U0103023</v>
          </cell>
          <cell r="C96" t="str">
            <v>8544492000</v>
          </cell>
        </row>
        <row r="97">
          <cell r="A97" t="str">
            <v>KCSF74PEAOUT5</v>
          </cell>
          <cell r="B97" t="str">
            <v>U0104001</v>
          </cell>
          <cell r="C97" t="str">
            <v>8544492000</v>
          </cell>
        </row>
        <row r="98">
          <cell r="A98" t="str">
            <v>KCSF74PEOUT5</v>
          </cell>
          <cell r="B98" t="str">
            <v>U0104002</v>
          </cell>
          <cell r="C98" t="str">
            <v>8544492000</v>
          </cell>
        </row>
        <row r="99">
          <cell r="A99" t="str">
            <v>KCSF74PZHB2OR5</v>
          </cell>
          <cell r="B99" t="str">
            <v>U0104003</v>
          </cell>
          <cell r="C99" t="str">
            <v>8544492000</v>
          </cell>
        </row>
        <row r="100">
          <cell r="A100" t="str">
            <v>KCSF74PZHCOR5</v>
          </cell>
          <cell r="B100" t="str">
            <v>U0104004</v>
          </cell>
          <cell r="C100" t="str">
            <v>8544492000</v>
          </cell>
        </row>
        <row r="101">
          <cell r="A101" t="str">
            <v>KCSF74PZHDOR5</v>
          </cell>
          <cell r="B101" t="str">
            <v>U0104006</v>
          </cell>
          <cell r="C101" t="str">
            <v>8544492000</v>
          </cell>
        </row>
        <row r="102">
          <cell r="A102" t="str">
            <v>KCSF78PZHCOR5</v>
          </cell>
          <cell r="B102" t="str">
            <v>U0104007</v>
          </cell>
          <cell r="C102" t="str">
            <v>8544492000</v>
          </cell>
        </row>
        <row r="103">
          <cell r="A103" t="str">
            <v>KCSF78PZHDOR5</v>
          </cell>
          <cell r="B103" t="str">
            <v>U0104008</v>
          </cell>
          <cell r="C103" t="str">
            <v>8544492000</v>
          </cell>
        </row>
        <row r="104">
          <cell r="A104" t="str">
            <v>KCSF7A4PBZHCYE5</v>
          </cell>
          <cell r="B104" t="str">
            <v>U0105001</v>
          </cell>
          <cell r="C104" t="str">
            <v>8544492000</v>
          </cell>
        </row>
        <row r="105">
          <cell r="A105" t="str">
            <v>KCSF7A4PZHB2BR5</v>
          </cell>
          <cell r="B105" t="str">
            <v>U0105003</v>
          </cell>
          <cell r="C105" t="str">
            <v>8544492000</v>
          </cell>
        </row>
        <row r="106">
          <cell r="A106" t="str">
            <v>KCSF7A4PZHCYE5</v>
          </cell>
          <cell r="B106" t="str">
            <v>U0105002</v>
          </cell>
          <cell r="C106" t="str">
            <v>8544492000</v>
          </cell>
        </row>
        <row r="107">
          <cell r="A107" t="str">
            <v>KCSF84PZHB2LI5</v>
          </cell>
          <cell r="B107" t="str">
            <v>U0106001</v>
          </cell>
          <cell r="C107" t="str">
            <v>8544492000</v>
          </cell>
        </row>
        <row r="108">
          <cell r="A108" t="str">
            <v>KCSFU5E4PZHDGR5</v>
          </cell>
          <cell r="B108" t="str">
            <v>U0101003</v>
          </cell>
          <cell r="C108" t="str">
            <v>8544492000</v>
          </cell>
        </row>
        <row r="109">
          <cell r="A109" t="str">
            <v>KCU5E4PZHDGR5</v>
          </cell>
          <cell r="B109" t="str">
            <v>U0101004</v>
          </cell>
          <cell r="C109" t="str">
            <v>8544492000</v>
          </cell>
        </row>
        <row r="110">
          <cell r="A110" t="str">
            <v>KCU64PEOUT5</v>
          </cell>
          <cell r="B110" t="str">
            <v>U0102004</v>
          </cell>
          <cell r="C110" t="str">
            <v>8544492000</v>
          </cell>
        </row>
        <row r="111">
          <cell r="A111" t="str">
            <v>KCU64PLGRB</v>
          </cell>
          <cell r="B111" t="str">
            <v>U0102005</v>
          </cell>
          <cell r="C111" t="str">
            <v>8544492000</v>
          </cell>
        </row>
        <row r="112">
          <cell r="A112" t="str">
            <v>KCU64PLZHDGR5</v>
          </cell>
          <cell r="B112" t="str">
            <v>U0102006</v>
          </cell>
          <cell r="C112" t="str">
            <v>8544492000</v>
          </cell>
        </row>
        <row r="113">
          <cell r="A113" t="str">
            <v>KCU64PLZHDGRB</v>
          </cell>
          <cell r="B113" t="str">
            <v>U0102007</v>
          </cell>
          <cell r="C113" t="str">
            <v>8544492000</v>
          </cell>
        </row>
        <row r="114">
          <cell r="A114" t="str">
            <v>KCU64PZHDGR5</v>
          </cell>
          <cell r="B114" t="str">
            <v>U0102008</v>
          </cell>
          <cell r="C114" t="str">
            <v>8544492000</v>
          </cell>
        </row>
        <row r="115">
          <cell r="A115" t="str">
            <v>KCU64PZHDGRB</v>
          </cell>
          <cell r="B115" t="str">
            <v>U0102009</v>
          </cell>
          <cell r="C115" t="str">
            <v>8544492000</v>
          </cell>
        </row>
        <row r="116">
          <cell r="A116" t="str">
            <v>KCU6A4PLZHDBL5</v>
          </cell>
          <cell r="B116" t="str">
            <v>U0103010</v>
          </cell>
          <cell r="C116" t="str">
            <v>8544492000</v>
          </cell>
        </row>
        <row r="117">
          <cell r="A117" t="str">
            <v>KCU6A4PLZHDVI5</v>
          </cell>
          <cell r="B117" t="str">
            <v>U0103025</v>
          </cell>
          <cell r="C117" t="str">
            <v>8544492000</v>
          </cell>
        </row>
        <row r="118">
          <cell r="A118" t="str">
            <v>KCU6A4PZHDBL5</v>
          </cell>
          <cell r="B118" t="str">
            <v>U0103011</v>
          </cell>
          <cell r="C118" t="str">
            <v>8544492000</v>
          </cell>
        </row>
        <row r="119">
          <cell r="A119" t="str">
            <v>KCUF6A4PZHB2BL5</v>
          </cell>
          <cell r="B119" t="str">
            <v>U0103012</v>
          </cell>
          <cell r="C119" t="str">
            <v>8544492000</v>
          </cell>
        </row>
        <row r="120">
          <cell r="A120" t="str">
            <v>KCUF6A4PZHCBL5</v>
          </cell>
          <cell r="B120" t="str">
            <v>U0103013</v>
          </cell>
          <cell r="C120" t="str">
            <v>8544492000</v>
          </cell>
        </row>
        <row r="121">
          <cell r="A121" t="str">
            <v>KCUF6A4PZHCOUT5</v>
          </cell>
          <cell r="B121" t="str">
            <v>U0103026</v>
          </cell>
          <cell r="C121" t="str">
            <v>8544492000</v>
          </cell>
        </row>
        <row r="122">
          <cell r="A122" t="str">
            <v>KCUF6A4PZHDBL5</v>
          </cell>
          <cell r="B122" t="str">
            <v>U0103014</v>
          </cell>
          <cell r="C122" t="str">
            <v>8544492000</v>
          </cell>
        </row>
        <row r="123">
          <cell r="A123" t="str">
            <v>KCUF6A8PZHDBL5</v>
          </cell>
          <cell r="B123" t="str">
            <v>U0103015</v>
          </cell>
          <cell r="C123" t="str">
            <v>8544492000</v>
          </cell>
        </row>
        <row r="124">
          <cell r="A124" t="str">
            <v>KFA4T</v>
          </cell>
          <cell r="B124" t="str">
            <v>U1601001</v>
          </cell>
          <cell r="C124" t="str">
            <v>8414592590</v>
          </cell>
        </row>
        <row r="125">
          <cell r="A125" t="str">
            <v>KFAN2VG</v>
          </cell>
          <cell r="B125" t="str">
            <v>U1504007</v>
          </cell>
          <cell r="C125" t="str">
            <v>8414592590</v>
          </cell>
        </row>
        <row r="126">
          <cell r="A126" t="str">
            <v>KFO12OM3CT</v>
          </cell>
          <cell r="B126" t="str">
            <v>U0802001</v>
          </cell>
          <cell r="C126" t="str">
            <v>8544700000</v>
          </cell>
        </row>
        <row r="127">
          <cell r="A127" t="str">
            <v>KFO12OM3CTA</v>
          </cell>
          <cell r="B127" t="str">
            <v>U0801001</v>
          </cell>
          <cell r="C127" t="str">
            <v>8544700000</v>
          </cell>
        </row>
        <row r="128">
          <cell r="A128" t="str">
            <v>KFO12OM3CTZHC</v>
          </cell>
          <cell r="B128" t="str">
            <v>U0803019</v>
          </cell>
          <cell r="C128" t="str">
            <v>8544700000</v>
          </cell>
        </row>
        <row r="129">
          <cell r="A129" t="str">
            <v>KFO12OM3CTZHD20</v>
          </cell>
          <cell r="B129" t="str">
            <v>U0803001</v>
          </cell>
          <cell r="C129" t="str">
            <v>8544700000</v>
          </cell>
        </row>
        <row r="130">
          <cell r="A130" t="str">
            <v>KFO12OM3TBZHC</v>
          </cell>
          <cell r="B130" t="str">
            <v>U0807001</v>
          </cell>
          <cell r="C130" t="str">
            <v>8544700000</v>
          </cell>
        </row>
        <row r="131">
          <cell r="A131" t="str">
            <v>KFO12OM4CTZHC</v>
          </cell>
          <cell r="B131" t="str">
            <v>U0803025</v>
          </cell>
          <cell r="C131" t="str">
            <v>8544700000</v>
          </cell>
        </row>
        <row r="132">
          <cell r="A132" t="str">
            <v>KFO12OM4CTZHD20</v>
          </cell>
          <cell r="B132" t="str">
            <v>U0803002</v>
          </cell>
          <cell r="C132" t="str">
            <v>8544700000</v>
          </cell>
        </row>
        <row r="133">
          <cell r="A133" t="str">
            <v>KFO12OM4TBZHC</v>
          </cell>
          <cell r="B133" t="str">
            <v>U0807002</v>
          </cell>
          <cell r="C133" t="str">
            <v>8544700000</v>
          </cell>
        </row>
        <row r="134">
          <cell r="A134" t="str">
            <v>KFO12OM5CTZHD</v>
          </cell>
          <cell r="B134" t="str">
            <v>U0803003</v>
          </cell>
          <cell r="C134" t="str">
            <v>8544700000</v>
          </cell>
        </row>
        <row r="135">
          <cell r="A135" t="str">
            <v>KFO12OM5TBZHC</v>
          </cell>
          <cell r="B135" t="str">
            <v>U0807003</v>
          </cell>
          <cell r="C135" t="str">
            <v>8544700000</v>
          </cell>
        </row>
        <row r="136">
          <cell r="A136" t="str">
            <v>KFO12OS2CT</v>
          </cell>
          <cell r="B136" t="str">
            <v>U0802002</v>
          </cell>
          <cell r="C136" t="str">
            <v>8544700000</v>
          </cell>
        </row>
        <row r="137">
          <cell r="A137" t="str">
            <v>KFO12OS2CT30</v>
          </cell>
          <cell r="B137" t="str">
            <v>U0802010</v>
          </cell>
          <cell r="C137" t="str">
            <v>8544700000</v>
          </cell>
        </row>
        <row r="138">
          <cell r="A138" t="str">
            <v>KFO12OS2CT40</v>
          </cell>
          <cell r="B138" t="str">
            <v>U0802009</v>
          </cell>
          <cell r="C138" t="str">
            <v>8544700000</v>
          </cell>
        </row>
        <row r="139">
          <cell r="A139" t="str">
            <v>KFO12OS2CTA20</v>
          </cell>
          <cell r="B139" t="str">
            <v>U0801002</v>
          </cell>
          <cell r="C139" t="str">
            <v>8544700090</v>
          </cell>
        </row>
        <row r="140">
          <cell r="A140" t="str">
            <v>KFO12OS2CTZHC</v>
          </cell>
          <cell r="B140" t="str">
            <v>U0803020</v>
          </cell>
          <cell r="C140" t="str">
            <v>8544700000</v>
          </cell>
        </row>
        <row r="141">
          <cell r="A141" t="str">
            <v>KFO12OS2CTZHD20</v>
          </cell>
          <cell r="B141" t="str">
            <v>U0803004</v>
          </cell>
          <cell r="C141" t="str">
            <v>8544700000</v>
          </cell>
        </row>
        <row r="142">
          <cell r="A142" t="str">
            <v>KFO12OS2MTZHAZHB2</v>
          </cell>
          <cell r="B142" t="str">
            <v>U0809001</v>
          </cell>
          <cell r="C142" t="str">
            <v>8544700000</v>
          </cell>
        </row>
        <row r="143">
          <cell r="A143" t="str">
            <v>KFO12OS2TBZHC</v>
          </cell>
          <cell r="B143" t="str">
            <v>U0807004</v>
          </cell>
          <cell r="C143" t="str">
            <v>8544700000</v>
          </cell>
        </row>
        <row r="144">
          <cell r="A144" t="str">
            <v>KFO24OM3CT</v>
          </cell>
          <cell r="B144" t="str">
            <v>U0802003</v>
          </cell>
          <cell r="C144" t="str">
            <v>8544700000</v>
          </cell>
        </row>
        <row r="145">
          <cell r="A145" t="str">
            <v>KFO24OM3CTA</v>
          </cell>
          <cell r="B145" t="str">
            <v>U0801003</v>
          </cell>
          <cell r="C145" t="str">
            <v>8544700000</v>
          </cell>
        </row>
        <row r="146">
          <cell r="A146" t="str">
            <v>KFO24OM3CTZHC</v>
          </cell>
          <cell r="B146" t="str">
            <v>U0803021</v>
          </cell>
          <cell r="C146" t="str">
            <v>8544700000</v>
          </cell>
        </row>
        <row r="147">
          <cell r="A147" t="str">
            <v>KFO24OM3CTZHD</v>
          </cell>
          <cell r="B147" t="str">
            <v>U0803005</v>
          </cell>
          <cell r="C147" t="str">
            <v>8544700000</v>
          </cell>
        </row>
        <row r="148">
          <cell r="A148" t="str">
            <v>KFO24OM3TBZHC</v>
          </cell>
          <cell r="B148" t="str">
            <v>U0807005</v>
          </cell>
          <cell r="C148" t="str">
            <v>8544700000</v>
          </cell>
        </row>
        <row r="149">
          <cell r="A149" t="str">
            <v>KFO24OM4CTZHC</v>
          </cell>
          <cell r="B149" t="str">
            <v>U0803027</v>
          </cell>
          <cell r="C149" t="str">
            <v>8544700000</v>
          </cell>
        </row>
        <row r="150">
          <cell r="A150" t="str">
            <v>KFO24OM4CTZHD20</v>
          </cell>
          <cell r="B150" t="str">
            <v>U0803006</v>
          </cell>
          <cell r="C150" t="str">
            <v>8544700000</v>
          </cell>
        </row>
        <row r="151">
          <cell r="A151" t="str">
            <v>KFO24OM4TBZHC</v>
          </cell>
          <cell r="B151" t="str">
            <v>U0807006</v>
          </cell>
          <cell r="C151" t="str">
            <v>8544700000</v>
          </cell>
        </row>
        <row r="152">
          <cell r="A152" t="str">
            <v>KFO24OM5CTZHD</v>
          </cell>
          <cell r="B152" t="str">
            <v>U0803007</v>
          </cell>
          <cell r="C152" t="str">
            <v>8544700000</v>
          </cell>
        </row>
        <row r="153">
          <cell r="A153" t="str">
            <v>KFO24OM5TBZHC</v>
          </cell>
          <cell r="B153" t="str">
            <v>U0807007</v>
          </cell>
          <cell r="C153" t="str">
            <v>8544700000</v>
          </cell>
        </row>
        <row r="154">
          <cell r="A154" t="str">
            <v>KFO24OS2CT</v>
          </cell>
          <cell r="B154" t="str">
            <v>U0802004</v>
          </cell>
          <cell r="C154" t="str">
            <v>8544700000</v>
          </cell>
        </row>
        <row r="155">
          <cell r="A155" t="str">
            <v>KFO24OS2CTA20</v>
          </cell>
          <cell r="B155" t="str">
            <v>U0801004</v>
          </cell>
          <cell r="C155" t="str">
            <v>8544700000</v>
          </cell>
        </row>
        <row r="156">
          <cell r="A156" t="str">
            <v>KFO24OS2CTABLE20</v>
          </cell>
          <cell r="B156" t="str">
            <v>U0801009</v>
          </cell>
          <cell r="C156" t="str">
            <v>8544700000</v>
          </cell>
        </row>
        <row r="157">
          <cell r="A157" t="str">
            <v>KFO24OS2CTAZHBLE20</v>
          </cell>
          <cell r="B157" t="str">
            <v>U0808003</v>
          </cell>
          <cell r="C157" t="str">
            <v>8544700000</v>
          </cell>
        </row>
        <row r="158">
          <cell r="A158" t="str">
            <v>KFO24OS2CTZHC</v>
          </cell>
          <cell r="B158" t="str">
            <v>U0803022</v>
          </cell>
          <cell r="C158" t="str">
            <v>8544700000</v>
          </cell>
        </row>
        <row r="159">
          <cell r="A159" t="str">
            <v>KFO24OS2CTZHD20</v>
          </cell>
          <cell r="B159" t="str">
            <v>U0803008</v>
          </cell>
          <cell r="C159" t="str">
            <v>8544700000</v>
          </cell>
        </row>
        <row r="160">
          <cell r="A160" t="str">
            <v>KFO24OS2MTBLE15</v>
          </cell>
          <cell r="B160" t="str">
            <v>U0805009</v>
          </cell>
          <cell r="C160" t="str">
            <v>8544700000</v>
          </cell>
        </row>
        <row r="161">
          <cell r="A161" t="str">
            <v>KFO24OS2MTBLE25</v>
          </cell>
          <cell r="B161" t="str">
            <v>U0805010</v>
          </cell>
          <cell r="C161" t="str">
            <v>8544700000</v>
          </cell>
        </row>
        <row r="162">
          <cell r="A162" t="str">
            <v>KFO24OS2MTZHAZHB2</v>
          </cell>
          <cell r="B162" t="str">
            <v>U0809002</v>
          </cell>
          <cell r="C162" t="str">
            <v>8544700000</v>
          </cell>
        </row>
        <row r="163">
          <cell r="A163" t="str">
            <v>KFO24OS2TBZHC</v>
          </cell>
          <cell r="B163" t="str">
            <v>U0807008</v>
          </cell>
          <cell r="C163" t="str">
            <v>8544700000</v>
          </cell>
        </row>
        <row r="164">
          <cell r="A164" t="str">
            <v>KFO48OM3MT</v>
          </cell>
          <cell r="B164" t="str">
            <v>U0805001</v>
          </cell>
          <cell r="C164" t="str">
            <v>8544700000</v>
          </cell>
        </row>
        <row r="165">
          <cell r="A165" t="str">
            <v>KFO48OM3MTA</v>
          </cell>
          <cell r="B165" t="str">
            <v>U0804001</v>
          </cell>
          <cell r="C165" t="str">
            <v>8544700000</v>
          </cell>
        </row>
        <row r="166">
          <cell r="A166" t="str">
            <v>KFO48OM3MTZHD</v>
          </cell>
          <cell r="B166" t="str">
            <v>U0806001</v>
          </cell>
          <cell r="C166" t="str">
            <v>8544700000</v>
          </cell>
        </row>
        <row r="167">
          <cell r="A167" t="str">
            <v>KFO48OM4MT</v>
          </cell>
          <cell r="B167" t="str">
            <v>U0805002</v>
          </cell>
          <cell r="C167" t="str">
            <v>8544700000</v>
          </cell>
        </row>
        <row r="168">
          <cell r="A168" t="str">
            <v>KFO48OM4MTA</v>
          </cell>
          <cell r="B168" t="str">
            <v>U0804002</v>
          </cell>
          <cell r="C168" t="str">
            <v>8544700000</v>
          </cell>
        </row>
        <row r="169">
          <cell r="A169" t="str">
            <v>KFO48OM4MTZHD</v>
          </cell>
          <cell r="B169" t="str">
            <v>U0806002</v>
          </cell>
          <cell r="C169" t="str">
            <v>8544700000</v>
          </cell>
        </row>
        <row r="170">
          <cell r="A170" t="str">
            <v>KFO48OM5MTZHD</v>
          </cell>
          <cell r="B170" t="str">
            <v>U0806003</v>
          </cell>
          <cell r="C170" t="str">
            <v>8544700000</v>
          </cell>
        </row>
        <row r="171">
          <cell r="A171" t="str">
            <v>KFO48OS2MT</v>
          </cell>
          <cell r="B171" t="str">
            <v>U0805003</v>
          </cell>
          <cell r="C171" t="str">
            <v>8544700000</v>
          </cell>
        </row>
        <row r="172">
          <cell r="A172" t="str">
            <v>KFO48OS2MTA</v>
          </cell>
          <cell r="B172" t="str">
            <v>U0804003</v>
          </cell>
          <cell r="C172" t="str">
            <v>8544700000</v>
          </cell>
        </row>
        <row r="173">
          <cell r="A173" t="str">
            <v>KFO48OS2MTAZHBLE30</v>
          </cell>
          <cell r="B173" t="str">
            <v>U0808001</v>
          </cell>
          <cell r="C173" t="str">
            <v>8544700000</v>
          </cell>
        </row>
        <row r="174">
          <cell r="A174" t="str">
            <v>KFO48OS2MTAZHBLE40</v>
          </cell>
          <cell r="B174" t="str">
            <v>U0808002</v>
          </cell>
          <cell r="C174" t="str">
            <v>8544700000</v>
          </cell>
        </row>
        <row r="175">
          <cell r="A175" t="str">
            <v>KFO48OS2MTBLE20</v>
          </cell>
          <cell r="B175" t="str">
            <v>U0805007</v>
          </cell>
          <cell r="C175" t="str">
            <v>8544700000</v>
          </cell>
        </row>
        <row r="176">
          <cell r="A176" t="str">
            <v>KFO48OS2MTBLE25</v>
          </cell>
          <cell r="B176" t="str">
            <v>U0805008</v>
          </cell>
          <cell r="C176" t="str">
            <v>8544700000</v>
          </cell>
        </row>
        <row r="177">
          <cell r="A177" t="str">
            <v>KFO48OS2MTZHAZHB2</v>
          </cell>
          <cell r="B177" t="str">
            <v>U0809003</v>
          </cell>
          <cell r="C177" t="str">
            <v>8544700000</v>
          </cell>
        </row>
        <row r="178">
          <cell r="A178" t="str">
            <v>KFO48OS2MTZHC</v>
          </cell>
          <cell r="B178" t="str">
            <v>U0806009</v>
          </cell>
          <cell r="C178" t="str">
            <v>8544700000</v>
          </cell>
        </row>
        <row r="179">
          <cell r="A179" t="str">
            <v>KFO48OS2MTZHD</v>
          </cell>
          <cell r="B179" t="str">
            <v>U0806004</v>
          </cell>
          <cell r="C179" t="str">
            <v>8544700000</v>
          </cell>
        </row>
        <row r="180">
          <cell r="A180" t="str">
            <v>KFO4OM5CTZHCBLACK40</v>
          </cell>
          <cell r="B180" t="str">
            <v>U0803026</v>
          </cell>
          <cell r="C180" t="str">
            <v>8544700000</v>
          </cell>
        </row>
        <row r="181">
          <cell r="A181" t="str">
            <v>KFO6OM3CT</v>
          </cell>
          <cell r="B181" t="str">
            <v>U0802005</v>
          </cell>
          <cell r="C181" t="str">
            <v>8544700000</v>
          </cell>
        </row>
        <row r="182">
          <cell r="A182" t="str">
            <v>KFO6OM3CTA</v>
          </cell>
          <cell r="B182" t="str">
            <v>U0801005</v>
          </cell>
          <cell r="C182" t="str">
            <v>8544700000</v>
          </cell>
        </row>
        <row r="183">
          <cell r="A183" t="str">
            <v>KFO6OM3CTZHC</v>
          </cell>
          <cell r="B183" t="str">
            <v>U0803028</v>
          </cell>
          <cell r="C183" t="str">
            <v>8544700000</v>
          </cell>
        </row>
        <row r="184">
          <cell r="A184" t="str">
            <v>KFO6OM3CTZHD</v>
          </cell>
          <cell r="B184" t="str">
            <v>U0803009</v>
          </cell>
          <cell r="C184" t="str">
            <v>8544700000</v>
          </cell>
        </row>
        <row r="185">
          <cell r="A185" t="str">
            <v>KFO6OM3CTZHD20</v>
          </cell>
          <cell r="B185" t="str">
            <v>U0803010</v>
          </cell>
          <cell r="C185" t="str">
            <v>8544700000</v>
          </cell>
        </row>
        <row r="186">
          <cell r="A186" t="str">
            <v>KFO6OM3TBZHC</v>
          </cell>
          <cell r="B186" t="str">
            <v>U0807009</v>
          </cell>
          <cell r="C186" t="str">
            <v>8544700000</v>
          </cell>
        </row>
        <row r="187">
          <cell r="A187" t="str">
            <v>KFO6OM4CTZHC</v>
          </cell>
          <cell r="B187" t="str">
            <v>U0803024</v>
          </cell>
          <cell r="C187" t="str">
            <v>8544700090</v>
          </cell>
        </row>
        <row r="188">
          <cell r="A188" t="str">
            <v>KFO6OM4CTZHD</v>
          </cell>
          <cell r="B188" t="str">
            <v>U0803011</v>
          </cell>
          <cell r="C188" t="str">
            <v>8544700000</v>
          </cell>
        </row>
        <row r="189">
          <cell r="A189" t="str">
            <v>KFO6OM4TBZHC</v>
          </cell>
          <cell r="B189" t="str">
            <v>U0807010</v>
          </cell>
          <cell r="C189" t="str">
            <v>8544700000</v>
          </cell>
        </row>
        <row r="190">
          <cell r="A190" t="str">
            <v>KFO6OM5CTZHD</v>
          </cell>
          <cell r="B190" t="str">
            <v>U0803012</v>
          </cell>
          <cell r="C190" t="str">
            <v>8544700000</v>
          </cell>
        </row>
        <row r="191">
          <cell r="A191" t="str">
            <v>KFO6OM5TBZHC</v>
          </cell>
          <cell r="B191" t="str">
            <v>U0807011</v>
          </cell>
          <cell r="C191" t="str">
            <v>8544700000</v>
          </cell>
        </row>
        <row r="192">
          <cell r="A192" t="str">
            <v>KFO6OS2CT</v>
          </cell>
          <cell r="B192" t="str">
            <v>U0802006</v>
          </cell>
          <cell r="C192" t="str">
            <v>8544700000</v>
          </cell>
        </row>
        <row r="193">
          <cell r="A193" t="str">
            <v>KFO6OS2CTA</v>
          </cell>
          <cell r="B193" t="str">
            <v>U0801006</v>
          </cell>
          <cell r="C193" t="str">
            <v>8544700000</v>
          </cell>
        </row>
        <row r="194">
          <cell r="A194" t="str">
            <v>KFO6OS2CTRZHD20</v>
          </cell>
          <cell r="B194" t="str">
            <v>U0803013</v>
          </cell>
          <cell r="C194" t="str">
            <v>8544700000</v>
          </cell>
        </row>
        <row r="195">
          <cell r="A195" t="str">
            <v>KFO6OS2CTZHC</v>
          </cell>
          <cell r="B195" t="str">
            <v>U0803023</v>
          </cell>
          <cell r="C195" t="str">
            <v>8544700000</v>
          </cell>
        </row>
        <row r="196">
          <cell r="A196" t="str">
            <v>KFO6OS2CTZHD20</v>
          </cell>
          <cell r="B196" t="str">
            <v>U0803014</v>
          </cell>
          <cell r="C196" t="str">
            <v>8544700000</v>
          </cell>
        </row>
        <row r="197">
          <cell r="A197" t="str">
            <v>KFO6OS2TBZHC</v>
          </cell>
          <cell r="B197" t="str">
            <v>U0807012</v>
          </cell>
          <cell r="C197" t="str">
            <v>8544700000</v>
          </cell>
        </row>
        <row r="198">
          <cell r="A198" t="str">
            <v>KFO8OM3CT</v>
          </cell>
          <cell r="B198" t="str">
            <v>U0802007</v>
          </cell>
          <cell r="C198" t="str">
            <v>8544700000</v>
          </cell>
        </row>
        <row r="199">
          <cell r="A199" t="str">
            <v>KFO8OM3CTA</v>
          </cell>
          <cell r="B199" t="str">
            <v>U0801007</v>
          </cell>
          <cell r="C199" t="str">
            <v>8544700000</v>
          </cell>
        </row>
        <row r="200">
          <cell r="A200" t="str">
            <v>KFO8OM3CTZHD</v>
          </cell>
          <cell r="B200" t="str">
            <v>U0803015</v>
          </cell>
          <cell r="C200" t="str">
            <v>8544700000</v>
          </cell>
        </row>
        <row r="201">
          <cell r="A201" t="str">
            <v>KFO8OM3TBZHC</v>
          </cell>
          <cell r="B201" t="str">
            <v>U0807013</v>
          </cell>
          <cell r="C201" t="str">
            <v>8544700000</v>
          </cell>
        </row>
        <row r="202">
          <cell r="A202" t="str">
            <v>KFO8OM4CTZHD20</v>
          </cell>
          <cell r="B202" t="str">
            <v>U0803016</v>
          </cell>
          <cell r="C202" t="str">
            <v>8544700000</v>
          </cell>
        </row>
        <row r="203">
          <cell r="A203" t="str">
            <v>KFO8OM4TBZHC</v>
          </cell>
          <cell r="B203" t="str">
            <v>U0807014</v>
          </cell>
          <cell r="C203" t="str">
            <v>8544700000</v>
          </cell>
        </row>
        <row r="204">
          <cell r="A204" t="str">
            <v>KFO8OM5CTZHD</v>
          </cell>
          <cell r="B204" t="str">
            <v>U0803017</v>
          </cell>
          <cell r="C204" t="str">
            <v>8544700000</v>
          </cell>
        </row>
        <row r="205">
          <cell r="A205" t="str">
            <v>KFO8OM5TBZHC</v>
          </cell>
          <cell r="B205" t="str">
            <v>U0807015</v>
          </cell>
          <cell r="C205" t="str">
            <v>8544700000</v>
          </cell>
        </row>
        <row r="206">
          <cell r="A206" t="str">
            <v>KFO8OS2CT</v>
          </cell>
          <cell r="B206" t="str">
            <v>U0802008</v>
          </cell>
          <cell r="C206" t="str">
            <v>8544700000</v>
          </cell>
        </row>
        <row r="207">
          <cell r="A207" t="str">
            <v>KFO8OS2CTA</v>
          </cell>
          <cell r="B207" t="str">
            <v>U0801008</v>
          </cell>
          <cell r="C207" t="str">
            <v>8544700000</v>
          </cell>
        </row>
        <row r="208">
          <cell r="A208" t="str">
            <v>KFO8OS2CTZHD20</v>
          </cell>
          <cell r="B208" t="str">
            <v>U0803018</v>
          </cell>
          <cell r="C208" t="str">
            <v>8544700000</v>
          </cell>
        </row>
        <row r="209">
          <cell r="A209" t="str">
            <v>KFO8OS2TBZHC</v>
          </cell>
          <cell r="B209" t="str">
            <v>U0807016</v>
          </cell>
          <cell r="C209" t="str">
            <v>8544700000</v>
          </cell>
        </row>
        <row r="210">
          <cell r="A210" t="str">
            <v>KFO96OM3MT</v>
          </cell>
          <cell r="B210" t="str">
            <v>U0805004</v>
          </cell>
          <cell r="C210" t="str">
            <v>8544700000</v>
          </cell>
        </row>
        <row r="211">
          <cell r="A211" t="str">
            <v>KFO96OM3MTA</v>
          </cell>
          <cell r="B211" t="str">
            <v>U0804004</v>
          </cell>
          <cell r="C211" t="str">
            <v>8544700000</v>
          </cell>
        </row>
        <row r="212">
          <cell r="A212" t="str">
            <v>KFO96OM3MTZHD</v>
          </cell>
          <cell r="B212" t="str">
            <v>U0806005</v>
          </cell>
          <cell r="C212" t="str">
            <v>8544700000</v>
          </cell>
        </row>
        <row r="213">
          <cell r="A213" t="str">
            <v>KFO96OM4MT</v>
          </cell>
          <cell r="B213" t="str">
            <v>U0805005</v>
          </cell>
          <cell r="C213" t="str">
            <v>8544700000</v>
          </cell>
        </row>
        <row r="214">
          <cell r="A214" t="str">
            <v>KFO96OM4MTA</v>
          </cell>
          <cell r="B214" t="str">
            <v>U0804005</v>
          </cell>
          <cell r="C214" t="str">
            <v>8544700000</v>
          </cell>
        </row>
        <row r="215">
          <cell r="A215" t="str">
            <v>KFO96OM4MTZHD</v>
          </cell>
          <cell r="B215" t="str">
            <v>U0806006</v>
          </cell>
          <cell r="C215" t="str">
            <v>8544700000</v>
          </cell>
        </row>
        <row r="216">
          <cell r="A216" t="str">
            <v>KFO96OM5MTZHD</v>
          </cell>
          <cell r="B216" t="str">
            <v>U0806007</v>
          </cell>
          <cell r="C216" t="str">
            <v>8544700000</v>
          </cell>
        </row>
        <row r="217">
          <cell r="A217" t="str">
            <v>KFO96OS2MT</v>
          </cell>
          <cell r="B217" t="str">
            <v>U0805006</v>
          </cell>
          <cell r="C217" t="str">
            <v>8544700000</v>
          </cell>
        </row>
        <row r="218">
          <cell r="A218" t="str">
            <v>KFO96OS2MTA</v>
          </cell>
          <cell r="B218" t="str">
            <v>U0804006</v>
          </cell>
          <cell r="C218" t="str">
            <v>8544700000</v>
          </cell>
        </row>
        <row r="219">
          <cell r="A219" t="str">
            <v>KFO96OS2MTZHD</v>
          </cell>
          <cell r="B219" t="str">
            <v>U0806008</v>
          </cell>
          <cell r="C219" t="str">
            <v>8544700000</v>
          </cell>
        </row>
        <row r="220">
          <cell r="A220" t="str">
            <v>KFP225451PEF8</v>
          </cell>
          <cell r="B220" t="str">
            <v>U0301001</v>
          </cell>
          <cell r="C220" t="str">
            <v>8538909999</v>
          </cell>
        </row>
        <row r="221">
          <cell r="A221" t="str">
            <v>KFP45451PABEF8</v>
          </cell>
          <cell r="B221" t="str">
            <v>U0301002</v>
          </cell>
          <cell r="C221" t="str">
            <v>8538909999</v>
          </cell>
        </row>
        <row r="222">
          <cell r="A222" t="str">
            <v>KFP45451PANGEF8</v>
          </cell>
          <cell r="B222" t="str">
            <v>U0301003</v>
          </cell>
          <cell r="C222" t="str">
            <v>8538909999</v>
          </cell>
        </row>
        <row r="223">
          <cell r="A223" t="str">
            <v>KFP45451PEF8</v>
          </cell>
          <cell r="B223" t="str">
            <v>U0301004</v>
          </cell>
          <cell r="C223" t="str">
            <v>8538909999</v>
          </cell>
        </row>
        <row r="224">
          <cell r="A224" t="str">
            <v>KFP45452PABEF8</v>
          </cell>
          <cell r="B224" t="str">
            <v>U0301005</v>
          </cell>
          <cell r="C224" t="str">
            <v>8538909999</v>
          </cell>
        </row>
        <row r="225">
          <cell r="A225" t="str">
            <v>KFP45452PANGEF8</v>
          </cell>
          <cell r="B225" t="str">
            <v>U0301006</v>
          </cell>
          <cell r="C225" t="str">
            <v>8538909999</v>
          </cell>
        </row>
        <row r="226">
          <cell r="A226" t="str">
            <v>KFP45452PEF8</v>
          </cell>
          <cell r="B226" t="str">
            <v>U0301007</v>
          </cell>
          <cell r="C226" t="str">
            <v>8538909999</v>
          </cell>
        </row>
        <row r="227">
          <cell r="A227" t="str">
            <v>KJ5EFSEF24</v>
          </cell>
          <cell r="B227" t="str">
            <v>U0201001</v>
          </cell>
          <cell r="C227" t="str">
            <v>8536699099</v>
          </cell>
        </row>
        <row r="228">
          <cell r="A228" t="str">
            <v>KJ5EU180DEF24</v>
          </cell>
          <cell r="B228" t="str">
            <v>U0201002</v>
          </cell>
          <cell r="C228" t="str">
            <v>8536699099</v>
          </cell>
        </row>
        <row r="229">
          <cell r="A229" t="str">
            <v>KJ6ADSBL</v>
          </cell>
          <cell r="B229" t="str">
            <v>U0203001</v>
          </cell>
          <cell r="C229" t="str">
            <v>8538909999</v>
          </cell>
        </row>
        <row r="230">
          <cell r="A230" t="str">
            <v>KJ6ADSGE</v>
          </cell>
          <cell r="B230" t="str">
            <v>U0203002</v>
          </cell>
          <cell r="C230" t="str">
            <v>8538909999</v>
          </cell>
        </row>
        <row r="231">
          <cell r="A231" t="str">
            <v>KJ6ADSOR</v>
          </cell>
          <cell r="B231" t="str">
            <v>U0203003</v>
          </cell>
          <cell r="C231" t="str">
            <v>8538909999</v>
          </cell>
        </row>
        <row r="232">
          <cell r="A232" t="str">
            <v>KJ6ADSRD</v>
          </cell>
          <cell r="B232" t="str">
            <v>U0203004</v>
          </cell>
          <cell r="C232" t="str">
            <v>8538909999</v>
          </cell>
        </row>
        <row r="233">
          <cell r="A233" t="str">
            <v>KJ6AFSEF1</v>
          </cell>
          <cell r="B233" t="str">
            <v>U0203005</v>
          </cell>
          <cell r="C233" t="str">
            <v>8536699099</v>
          </cell>
        </row>
        <row r="234">
          <cell r="A234" t="str">
            <v>KJ6AFSEF24</v>
          </cell>
          <cell r="B234" t="str">
            <v>U0203006</v>
          </cell>
          <cell r="C234" t="str">
            <v>8536699099</v>
          </cell>
        </row>
        <row r="235">
          <cell r="A235" t="str">
            <v>KJ6AFSEF8</v>
          </cell>
          <cell r="B235" t="str">
            <v>U0203007</v>
          </cell>
          <cell r="C235" t="str">
            <v>8536699099</v>
          </cell>
        </row>
        <row r="236">
          <cell r="A236" t="str">
            <v>KJ6AFSEFNU1</v>
          </cell>
          <cell r="B236" t="str">
            <v>U0203014</v>
          </cell>
          <cell r="C236" t="str">
            <v>8536699099</v>
          </cell>
        </row>
        <row r="237">
          <cell r="A237" t="str">
            <v>KJ6AFSHQEF1</v>
          </cell>
          <cell r="B237" t="str">
            <v>U0203008</v>
          </cell>
          <cell r="C237" t="str">
            <v>8536699099</v>
          </cell>
        </row>
        <row r="238">
          <cell r="A238" t="str">
            <v>KJ6AFSHQEF24</v>
          </cell>
          <cell r="B238" t="str">
            <v>U0203009</v>
          </cell>
          <cell r="C238" t="str">
            <v>8536699099</v>
          </cell>
        </row>
        <row r="239">
          <cell r="A239" t="str">
            <v>KJ6AFSHQEF8</v>
          </cell>
          <cell r="B239" t="str">
            <v>U0203010</v>
          </cell>
          <cell r="C239" t="str">
            <v>8536699099</v>
          </cell>
        </row>
        <row r="240">
          <cell r="A240" t="str">
            <v>KJ6AUEF24</v>
          </cell>
          <cell r="B240" t="str">
            <v>U0203011</v>
          </cell>
          <cell r="C240" t="str">
            <v>8536699099</v>
          </cell>
        </row>
        <row r="241">
          <cell r="A241" t="str">
            <v>KJ6AUHQEF1</v>
          </cell>
          <cell r="B241" t="str">
            <v>U0203013</v>
          </cell>
          <cell r="C241" t="str">
            <v>8536699099</v>
          </cell>
        </row>
        <row r="242">
          <cell r="A242" t="str">
            <v>KJ6AUHQEF24</v>
          </cell>
          <cell r="B242" t="str">
            <v>U0203012</v>
          </cell>
          <cell r="C242" t="str">
            <v>8536699099</v>
          </cell>
        </row>
        <row r="243">
          <cell r="A243" t="str">
            <v>KJ6FSEF1</v>
          </cell>
          <cell r="B243" t="str">
            <v>U0202001</v>
          </cell>
          <cell r="C243" t="str">
            <v>8536699099</v>
          </cell>
        </row>
        <row r="244">
          <cell r="A244" t="str">
            <v>KJ6FSEF24</v>
          </cell>
          <cell r="B244" t="str">
            <v>U0202002</v>
          </cell>
          <cell r="C244" t="str">
            <v>8536699099</v>
          </cell>
        </row>
        <row r="245">
          <cell r="A245" t="str">
            <v>KJ6FSEF8</v>
          </cell>
          <cell r="B245" t="str">
            <v>U0202003</v>
          </cell>
          <cell r="C245" t="str">
            <v>8536699099</v>
          </cell>
        </row>
        <row r="246">
          <cell r="A246" t="str">
            <v>KJ6FSHQEF24</v>
          </cell>
          <cell r="B246" t="str">
            <v>U0202004</v>
          </cell>
          <cell r="C246" t="str">
            <v>8536699099</v>
          </cell>
        </row>
        <row r="247">
          <cell r="A247" t="str">
            <v>KJ6FSHQEF8</v>
          </cell>
          <cell r="B247" t="str">
            <v>U0202005</v>
          </cell>
          <cell r="C247" t="str">
            <v>8536699099</v>
          </cell>
        </row>
        <row r="248">
          <cell r="A248" t="str">
            <v>KJ6U180DEF24</v>
          </cell>
          <cell r="B248" t="str">
            <v>U0202006</v>
          </cell>
          <cell r="C248" t="str">
            <v>8536699099</v>
          </cell>
        </row>
        <row r="249">
          <cell r="A249" t="str">
            <v>KJ6U90DEF24</v>
          </cell>
          <cell r="B249" t="str">
            <v>U0202007</v>
          </cell>
          <cell r="C249" t="str">
            <v>8536699099</v>
          </cell>
        </row>
        <row r="250">
          <cell r="A250" t="str">
            <v>KJ6UEF24</v>
          </cell>
          <cell r="B250" t="str">
            <v>U0202008</v>
          </cell>
          <cell r="C250" t="str">
            <v>8536699099</v>
          </cell>
        </row>
        <row r="251">
          <cell r="A251" t="str">
            <v>KJ6UHQEF24</v>
          </cell>
          <cell r="B251" t="str">
            <v>U0202009</v>
          </cell>
          <cell r="C251" t="str">
            <v>8536699099</v>
          </cell>
        </row>
        <row r="252">
          <cell r="A252" t="str">
            <v>KJ8FSHQEF24</v>
          </cell>
          <cell r="B252" t="str">
            <v>U0204001</v>
          </cell>
          <cell r="C252" t="str">
            <v>8536699099</v>
          </cell>
        </row>
        <row r="253">
          <cell r="A253" t="str">
            <v>KJPP1U245EUEF</v>
          </cell>
          <cell r="B253" t="str">
            <v>U0501001</v>
          </cell>
          <cell r="C253" t="str">
            <v>8538909999</v>
          </cell>
        </row>
        <row r="254">
          <cell r="A254" t="str">
            <v>KJPP1U246SHQEF</v>
          </cell>
          <cell r="B254" t="str">
            <v>U0501002</v>
          </cell>
          <cell r="C254" t="str">
            <v>8538909999</v>
          </cell>
        </row>
        <row r="255">
          <cell r="A255" t="str">
            <v>KJPP1U246UEF</v>
          </cell>
          <cell r="B255" t="str">
            <v>U0501003</v>
          </cell>
          <cell r="C255" t="str">
            <v>8538909999</v>
          </cell>
        </row>
        <row r="256">
          <cell r="A256" t="str">
            <v>KJPP1U25UEF</v>
          </cell>
          <cell r="B256" t="str">
            <v>U0501004</v>
          </cell>
          <cell r="C256" t="str">
            <v>8538909999</v>
          </cell>
        </row>
        <row r="257">
          <cell r="A257" t="str">
            <v>KJPP1U50UEF</v>
          </cell>
          <cell r="B257" t="str">
            <v>U0501005</v>
          </cell>
          <cell r="C257" t="str">
            <v>8538909999</v>
          </cell>
        </row>
        <row r="258">
          <cell r="A258" t="str">
            <v>KJPP1U60UEF</v>
          </cell>
          <cell r="B258" t="str">
            <v>U0501006</v>
          </cell>
          <cell r="C258" t="str">
            <v>8538909999</v>
          </cell>
        </row>
        <row r="259">
          <cell r="A259" t="str">
            <v>KJPP1UBCANEF</v>
          </cell>
          <cell r="B259" t="str">
            <v>U0501007</v>
          </cell>
          <cell r="C259" t="str">
            <v>8538909999</v>
          </cell>
        </row>
        <row r="260">
          <cell r="A260" t="str">
            <v>KJPP1UBCEF</v>
          </cell>
          <cell r="B260" t="str">
            <v>U0501008</v>
          </cell>
          <cell r="C260" t="str">
            <v>8538909999</v>
          </cell>
        </row>
        <row r="261">
          <cell r="A261" t="str">
            <v>KJPP1UBCTEF</v>
          </cell>
          <cell r="B261" t="str">
            <v>U0501009</v>
          </cell>
          <cell r="C261" t="str">
            <v>8538909999</v>
          </cell>
        </row>
        <row r="262">
          <cell r="A262" t="str">
            <v>KJPP1UBEF</v>
          </cell>
          <cell r="B262" t="str">
            <v>U0501010</v>
          </cell>
          <cell r="C262" t="str">
            <v>8538909999</v>
          </cell>
        </row>
        <row r="263">
          <cell r="A263" t="str">
            <v>KJPP1UBMCTEF</v>
          </cell>
          <cell r="B263" t="str">
            <v>U0501011</v>
          </cell>
          <cell r="C263" t="str">
            <v>8538909999</v>
          </cell>
        </row>
        <row r="264">
          <cell r="A264" t="str">
            <v>KJPP1UEF</v>
          </cell>
          <cell r="B264" t="str">
            <v>U0501013</v>
          </cell>
          <cell r="C264" t="str">
            <v>8538909999</v>
          </cell>
        </row>
        <row r="265">
          <cell r="A265" t="str">
            <v>KJPP1UUEF</v>
          </cell>
          <cell r="B265" t="str">
            <v>U0501014</v>
          </cell>
          <cell r="C265" t="str">
            <v>8538909999</v>
          </cell>
        </row>
        <row r="266">
          <cell r="A266" t="str">
            <v>KJPP2UBMCTEF</v>
          </cell>
          <cell r="B266" t="str">
            <v>U0501015</v>
          </cell>
          <cell r="C266" t="str">
            <v>8538909999</v>
          </cell>
        </row>
        <row r="267">
          <cell r="A267" t="str">
            <v>KJPPGC45</v>
          </cell>
          <cell r="B267" t="str">
            <v>U0501016</v>
          </cell>
          <cell r="C267" t="str">
            <v>8544429090</v>
          </cell>
        </row>
        <row r="268">
          <cell r="A268" t="str">
            <v>KMP6AFSEF1</v>
          </cell>
          <cell r="B268" t="str">
            <v>U0205006</v>
          </cell>
          <cell r="C268" t="str">
            <v>8536699099</v>
          </cell>
        </row>
        <row r="269">
          <cell r="A269" t="str">
            <v>KMP6AFSXSEF1</v>
          </cell>
          <cell r="B269" t="str">
            <v>U0205004</v>
          </cell>
          <cell r="C269" t="str">
            <v>8536699099</v>
          </cell>
        </row>
        <row r="270">
          <cell r="A270" t="str">
            <v>KMP6AUEF1</v>
          </cell>
          <cell r="B270" t="str">
            <v>U0205005</v>
          </cell>
          <cell r="C270" t="str">
            <v>8536699099</v>
          </cell>
        </row>
        <row r="271">
          <cell r="A271" t="str">
            <v>KN-AR2V3240T400</v>
          </cell>
          <cell r="B271" t="str">
            <v>Z0402002</v>
          </cell>
          <cell r="C271" t="str">
            <v>8544499900</v>
          </cell>
        </row>
        <row r="272">
          <cell r="A272" t="str">
            <v>KN-R2V3G10T500</v>
          </cell>
          <cell r="B272" t="str">
            <v>Z0402003</v>
          </cell>
          <cell r="C272" t="str">
            <v>8544499900</v>
          </cell>
        </row>
        <row r="273">
          <cell r="A273" t="str">
            <v>KN-R2V3G15T500</v>
          </cell>
          <cell r="B273" t="str">
            <v>Z0402004</v>
          </cell>
          <cell r="C273" t="str">
            <v>8544499900</v>
          </cell>
        </row>
        <row r="274">
          <cell r="A274" t="str">
            <v>KN-R2V3G16T500</v>
          </cell>
          <cell r="B274" t="str">
            <v>Z0402005</v>
          </cell>
          <cell r="C274" t="str">
            <v>8544499900</v>
          </cell>
        </row>
        <row r="275">
          <cell r="A275" t="str">
            <v>KN-R2V3G25T500</v>
          </cell>
          <cell r="B275" t="str">
            <v>Z0402006</v>
          </cell>
          <cell r="C275" t="str">
            <v>8544499900</v>
          </cell>
        </row>
        <row r="276">
          <cell r="A276" t="str">
            <v>KN-R2V3G4T500</v>
          </cell>
          <cell r="B276" t="str">
            <v>Z0402007</v>
          </cell>
          <cell r="C276" t="str">
            <v>8544499900</v>
          </cell>
        </row>
        <row r="277">
          <cell r="A277" t="str">
            <v>KN-R2V3G6T500</v>
          </cell>
          <cell r="B277" t="str">
            <v>Z0402008</v>
          </cell>
          <cell r="C277" t="str">
            <v>8544499900</v>
          </cell>
        </row>
        <row r="278">
          <cell r="A278" t="str">
            <v>KN-R2V4G10T500</v>
          </cell>
          <cell r="B278" t="str">
            <v>Z0402009</v>
          </cell>
          <cell r="C278" t="str">
            <v>8544499900</v>
          </cell>
        </row>
        <row r="279">
          <cell r="A279" t="str">
            <v>KN-R2V4G15T500</v>
          </cell>
          <cell r="B279" t="str">
            <v>Z0402010</v>
          </cell>
          <cell r="C279" t="str">
            <v>8544499900</v>
          </cell>
        </row>
        <row r="280">
          <cell r="A280" t="str">
            <v>KN-R2V4G16T500</v>
          </cell>
          <cell r="B280" t="str">
            <v>Z0402011</v>
          </cell>
          <cell r="C280" t="str">
            <v>8544499900</v>
          </cell>
        </row>
        <row r="281">
          <cell r="A281" t="str">
            <v>KN-R2V4G25T500</v>
          </cell>
          <cell r="B281" t="str">
            <v>Z0402012</v>
          </cell>
          <cell r="C281" t="str">
            <v>8544499900</v>
          </cell>
        </row>
        <row r="282">
          <cell r="A282" t="str">
            <v>KN-R2V4G5T500</v>
          </cell>
          <cell r="B282" t="str">
            <v>Z0402013</v>
          </cell>
          <cell r="C282" t="str">
            <v>8544499900</v>
          </cell>
        </row>
        <row r="283">
          <cell r="A283" t="str">
            <v>KN-R2V4G6T500</v>
          </cell>
          <cell r="B283" t="str">
            <v>Z0402014</v>
          </cell>
          <cell r="C283" t="str">
            <v>8544499900</v>
          </cell>
        </row>
        <row r="284">
          <cell r="A284" t="str">
            <v>KN-R2V5G10T500</v>
          </cell>
          <cell r="B284" t="str">
            <v>Z0402015</v>
          </cell>
          <cell r="C284" t="str">
            <v>8544499900</v>
          </cell>
        </row>
        <row r="285">
          <cell r="A285" t="str">
            <v>KN-R2V5G15T500</v>
          </cell>
          <cell r="B285" t="str">
            <v>Z0402016</v>
          </cell>
          <cell r="C285" t="str">
            <v>8544499900</v>
          </cell>
        </row>
        <row r="286">
          <cell r="A286" t="str">
            <v>KN-R2V5G16T500</v>
          </cell>
          <cell r="B286" t="str">
            <v>Z0402017</v>
          </cell>
          <cell r="C286" t="str">
            <v>8544499900</v>
          </cell>
        </row>
        <row r="287">
          <cell r="A287" t="str">
            <v>KN-R2V5G25T500</v>
          </cell>
          <cell r="B287" t="str">
            <v>Z0402018</v>
          </cell>
          <cell r="C287" t="str">
            <v>8544499900</v>
          </cell>
        </row>
        <row r="288">
          <cell r="A288" t="str">
            <v>KN-R2V5G4T500</v>
          </cell>
          <cell r="B288" t="str">
            <v>Z0402019</v>
          </cell>
          <cell r="C288" t="str">
            <v>8544499900</v>
          </cell>
        </row>
        <row r="289">
          <cell r="A289" t="str">
            <v>KN-R2V5G6T500</v>
          </cell>
          <cell r="B289" t="str">
            <v>Z0402020</v>
          </cell>
          <cell r="C289" t="str">
            <v>8544499900</v>
          </cell>
        </row>
        <row r="290">
          <cell r="A290" t="str">
            <v>KPDU6PCCB</v>
          </cell>
          <cell r="B290" t="str">
            <v>U1301001</v>
          </cell>
          <cell r="C290" t="str">
            <v>8544429090</v>
          </cell>
        </row>
        <row r="291">
          <cell r="A291" t="str">
            <v>KPDU8PC90</v>
          </cell>
          <cell r="B291" t="str">
            <v>U1301002</v>
          </cell>
          <cell r="C291" t="str">
            <v>8544429090</v>
          </cell>
        </row>
        <row r="292">
          <cell r="A292" t="str">
            <v>KPDU8PCSW90</v>
          </cell>
          <cell r="B292" t="str">
            <v>U1301003</v>
          </cell>
          <cell r="C292" t="str">
            <v>8544429090</v>
          </cell>
        </row>
        <row r="293">
          <cell r="A293" t="str">
            <v>KPFU5EZH03EF</v>
          </cell>
          <cell r="B293" t="str">
            <v>U0401001</v>
          </cell>
          <cell r="C293" t="str">
            <v>8544421000</v>
          </cell>
        </row>
        <row r="294">
          <cell r="A294" t="str">
            <v>KPFU5EZH05EF</v>
          </cell>
          <cell r="B294" t="str">
            <v>U0401002</v>
          </cell>
          <cell r="C294" t="str">
            <v>8544421000</v>
          </cell>
        </row>
        <row r="295">
          <cell r="A295" t="str">
            <v>KPFU5EZH10EF</v>
          </cell>
          <cell r="B295" t="str">
            <v>U0401003</v>
          </cell>
          <cell r="C295" t="str">
            <v>8544421000</v>
          </cell>
        </row>
        <row r="296">
          <cell r="A296" t="str">
            <v>KPFU5EZH1EF</v>
          </cell>
          <cell r="B296" t="str">
            <v>U0401004</v>
          </cell>
          <cell r="C296" t="str">
            <v>8544421000</v>
          </cell>
        </row>
        <row r="297">
          <cell r="A297" t="str">
            <v>KPFU5EZH2EF</v>
          </cell>
          <cell r="B297" t="str">
            <v>U0401005</v>
          </cell>
          <cell r="C297" t="str">
            <v>8544421000</v>
          </cell>
        </row>
        <row r="298">
          <cell r="A298" t="str">
            <v>KPFU5EZH3EF</v>
          </cell>
          <cell r="B298" t="str">
            <v>U0401006</v>
          </cell>
          <cell r="C298" t="str">
            <v>8544421000</v>
          </cell>
        </row>
        <row r="299">
          <cell r="A299" t="str">
            <v>KPFU5EZH5EF</v>
          </cell>
          <cell r="B299" t="str">
            <v>U0401007</v>
          </cell>
          <cell r="C299" t="str">
            <v>8544421000</v>
          </cell>
        </row>
        <row r="300">
          <cell r="A300" t="str">
            <v>KPFU603EF</v>
          </cell>
          <cell r="B300" t="str">
            <v>U0403001</v>
          </cell>
          <cell r="C300" t="str">
            <v>8544421000</v>
          </cell>
        </row>
        <row r="301">
          <cell r="A301" t="str">
            <v>KPFU605EF</v>
          </cell>
          <cell r="B301" t="str">
            <v>U0403002</v>
          </cell>
          <cell r="C301" t="str">
            <v>8544421000</v>
          </cell>
        </row>
        <row r="302">
          <cell r="A302" t="str">
            <v>KPFU610EF</v>
          </cell>
          <cell r="B302" t="str">
            <v>U0403003</v>
          </cell>
          <cell r="C302" t="str">
            <v>8544421000</v>
          </cell>
        </row>
        <row r="303">
          <cell r="A303" t="str">
            <v>KPFU61EF</v>
          </cell>
          <cell r="B303" t="str">
            <v>U0403004</v>
          </cell>
          <cell r="C303" t="str">
            <v>8544421000</v>
          </cell>
        </row>
        <row r="304">
          <cell r="A304" t="str">
            <v>KPFU62EF</v>
          </cell>
          <cell r="B304" t="str">
            <v>U0403005</v>
          </cell>
          <cell r="C304" t="str">
            <v>8544421000</v>
          </cell>
        </row>
        <row r="305">
          <cell r="A305" t="str">
            <v>KPFU63EF</v>
          </cell>
          <cell r="B305" t="str">
            <v>U0403006</v>
          </cell>
          <cell r="C305" t="str">
            <v>8544421000</v>
          </cell>
        </row>
        <row r="306">
          <cell r="A306" t="str">
            <v>KPFU65EF</v>
          </cell>
          <cell r="B306" t="str">
            <v>U0403007</v>
          </cell>
          <cell r="C306" t="str">
            <v>8544421000</v>
          </cell>
        </row>
        <row r="307">
          <cell r="A307" t="str">
            <v>KPFU6ZH03EF</v>
          </cell>
          <cell r="B307" t="str">
            <v>U0403008</v>
          </cell>
          <cell r="C307" t="str">
            <v>8544421000</v>
          </cell>
        </row>
        <row r="308">
          <cell r="A308" t="str">
            <v>KPFU6ZH05EF</v>
          </cell>
          <cell r="B308" t="str">
            <v>U0403009</v>
          </cell>
          <cell r="C308" t="str">
            <v>8544421000</v>
          </cell>
        </row>
        <row r="309">
          <cell r="A309" t="str">
            <v>KPFU6ZH10EF</v>
          </cell>
          <cell r="B309" t="str">
            <v>U0403010</v>
          </cell>
          <cell r="C309" t="str">
            <v>8544421000</v>
          </cell>
        </row>
        <row r="310">
          <cell r="A310" t="str">
            <v>KPFU6ZH1EF</v>
          </cell>
          <cell r="B310" t="str">
            <v>U0403011</v>
          </cell>
          <cell r="C310" t="str">
            <v>8544421000</v>
          </cell>
        </row>
        <row r="311">
          <cell r="A311" t="str">
            <v>KPFU6ZH2EF</v>
          </cell>
          <cell r="B311" t="str">
            <v>U0403012</v>
          </cell>
          <cell r="C311" t="str">
            <v>8544421000</v>
          </cell>
        </row>
        <row r="312">
          <cell r="A312" t="str">
            <v>KPFU6ZH3EF</v>
          </cell>
          <cell r="B312" t="str">
            <v>U0403013</v>
          </cell>
          <cell r="C312" t="str">
            <v>8544421000</v>
          </cell>
        </row>
        <row r="313">
          <cell r="A313" t="str">
            <v>KPFU6ZH5EF</v>
          </cell>
          <cell r="B313" t="str">
            <v>U0403014</v>
          </cell>
          <cell r="C313" t="str">
            <v>8544421000</v>
          </cell>
        </row>
        <row r="314">
          <cell r="A314" t="str">
            <v>KPIGOM3LC2MEF</v>
          </cell>
          <cell r="B314" t="str">
            <v>U1101001</v>
          </cell>
          <cell r="C314" t="str">
            <v>8544700000</v>
          </cell>
        </row>
        <row r="315">
          <cell r="A315" t="str">
            <v>KPIGOM3SC2MEF</v>
          </cell>
          <cell r="B315" t="str">
            <v>U1101002</v>
          </cell>
          <cell r="C315" t="str">
            <v>8544700000</v>
          </cell>
        </row>
        <row r="316">
          <cell r="A316" t="str">
            <v>KPIGOM4LC2MEF</v>
          </cell>
          <cell r="B316" t="str">
            <v>U1102001</v>
          </cell>
          <cell r="C316" t="str">
            <v>8544700000</v>
          </cell>
        </row>
        <row r="317">
          <cell r="A317" t="str">
            <v>KPIGOM4SC2MEF</v>
          </cell>
          <cell r="B317" t="str">
            <v>U1102002</v>
          </cell>
          <cell r="C317" t="str">
            <v>8544700000</v>
          </cell>
        </row>
        <row r="318">
          <cell r="A318" t="str">
            <v>KPIGOM5LC2MEF</v>
          </cell>
          <cell r="B318" t="str">
            <v>U1103001</v>
          </cell>
          <cell r="C318" t="str">
            <v>8544700000</v>
          </cell>
        </row>
        <row r="319">
          <cell r="A319" t="str">
            <v>KPIGOM5SC2MEF</v>
          </cell>
          <cell r="B319" t="str">
            <v>U1103002</v>
          </cell>
          <cell r="C319" t="str">
            <v>8544700000</v>
          </cell>
        </row>
        <row r="320">
          <cell r="A320" t="str">
            <v>KPIGOS2LC2MEF</v>
          </cell>
          <cell r="B320" t="str">
            <v>U1104001</v>
          </cell>
          <cell r="C320" t="str">
            <v>8544700000</v>
          </cell>
        </row>
        <row r="321">
          <cell r="A321" t="str">
            <v>KPIGOS2SC2MEF</v>
          </cell>
          <cell r="B321" t="str">
            <v>U1104002</v>
          </cell>
          <cell r="C321" t="str">
            <v>8544700000</v>
          </cell>
        </row>
        <row r="322">
          <cell r="A322" t="str">
            <v>KPL45BIBOBK</v>
          </cell>
          <cell r="B322" t="str">
            <v>U0206010</v>
          </cell>
          <cell r="C322" t="str">
            <v>8538909999</v>
          </cell>
        </row>
        <row r="323">
          <cell r="A323" t="str">
            <v>KPL45BIBOGR</v>
          </cell>
          <cell r="B323" t="str">
            <v>U0206001</v>
          </cell>
          <cell r="C323" t="str">
            <v>8538909999</v>
          </cell>
        </row>
        <row r="324">
          <cell r="A324" t="str">
            <v>KPL45BITOOL</v>
          </cell>
          <cell r="B324" t="str">
            <v>U0206002</v>
          </cell>
          <cell r="C324" t="str">
            <v>8203200000</v>
          </cell>
        </row>
        <row r="325">
          <cell r="A325" t="str">
            <v>KPL45S6</v>
          </cell>
          <cell r="B325" t="str">
            <v>U0206003</v>
          </cell>
          <cell r="C325" t="str">
            <v>8536699099</v>
          </cell>
        </row>
        <row r="326">
          <cell r="A326" t="str">
            <v>KPL45S6A</v>
          </cell>
          <cell r="B326" t="str">
            <v>U0206004</v>
          </cell>
          <cell r="C326" t="str">
            <v>8536699099</v>
          </cell>
        </row>
        <row r="327">
          <cell r="A327" t="str">
            <v>KPL45S6AEP</v>
          </cell>
          <cell r="B327" t="str">
            <v>U0206008</v>
          </cell>
          <cell r="C327" t="str">
            <v>8536699099</v>
          </cell>
        </row>
        <row r="328">
          <cell r="A328" t="str">
            <v>KPL45S6BI</v>
          </cell>
          <cell r="B328" t="str">
            <v>U0206005</v>
          </cell>
          <cell r="C328" t="str">
            <v>8536699099</v>
          </cell>
        </row>
        <row r="329">
          <cell r="A329" t="str">
            <v>KPL45U5E</v>
          </cell>
          <cell r="B329" t="str">
            <v>U0206006</v>
          </cell>
          <cell r="C329" t="str">
            <v>8536699099</v>
          </cell>
        </row>
        <row r="330">
          <cell r="A330" t="str">
            <v>KPL45U6</v>
          </cell>
          <cell r="B330" t="str">
            <v>U0206007</v>
          </cell>
          <cell r="C330" t="str">
            <v>8536699099</v>
          </cell>
        </row>
        <row r="331">
          <cell r="A331" t="str">
            <v>KPL45U6AEP</v>
          </cell>
          <cell r="B331" t="str">
            <v>U0206009</v>
          </cell>
          <cell r="C331" t="str">
            <v>8536699099</v>
          </cell>
        </row>
        <row r="332">
          <cell r="A332" t="str">
            <v>KPL6AFSEF8</v>
          </cell>
          <cell r="B332" t="str">
            <v>U0205001</v>
          </cell>
          <cell r="C332" t="str">
            <v>8536699099</v>
          </cell>
        </row>
        <row r="333">
          <cell r="A333" t="str">
            <v>KPL6AFSHQEF8</v>
          </cell>
          <cell r="B333" t="str">
            <v>U0205002</v>
          </cell>
          <cell r="C333" t="str">
            <v>8536699099</v>
          </cell>
        </row>
        <row r="334">
          <cell r="A334" t="str">
            <v>KPLFF6AFSEF8</v>
          </cell>
          <cell r="B334" t="str">
            <v>U0205003</v>
          </cell>
          <cell r="C334" t="str">
            <v>8536699099</v>
          </cell>
        </row>
        <row r="335">
          <cell r="A335" t="str">
            <v>KPSF6AZH03EF</v>
          </cell>
          <cell r="B335" t="str">
            <v>U0405001</v>
          </cell>
          <cell r="C335" t="str">
            <v>8544421000</v>
          </cell>
        </row>
        <row r="336">
          <cell r="A336" t="str">
            <v>KPSF6AZH05EF</v>
          </cell>
          <cell r="B336" t="str">
            <v>U0405002</v>
          </cell>
          <cell r="C336" t="str">
            <v>8544421000</v>
          </cell>
        </row>
        <row r="337">
          <cell r="A337" t="str">
            <v>KPSF6AZH10EF</v>
          </cell>
          <cell r="B337" t="str">
            <v>U0405003</v>
          </cell>
          <cell r="C337" t="str">
            <v>8544421000</v>
          </cell>
        </row>
        <row r="338">
          <cell r="A338" t="str">
            <v>KPSF6AZH15EF</v>
          </cell>
          <cell r="B338" t="str">
            <v>U0405004</v>
          </cell>
          <cell r="C338" t="str">
            <v>8544421000</v>
          </cell>
        </row>
        <row r="339">
          <cell r="A339" t="str">
            <v>KPSF6AZH1EF</v>
          </cell>
          <cell r="B339" t="str">
            <v>U0405005</v>
          </cell>
          <cell r="C339" t="str">
            <v>8544421000</v>
          </cell>
        </row>
        <row r="340">
          <cell r="A340" t="str">
            <v>KPSF6AZH20EF</v>
          </cell>
          <cell r="B340" t="str">
            <v>U0405006</v>
          </cell>
          <cell r="C340" t="str">
            <v>8544421000</v>
          </cell>
        </row>
        <row r="341">
          <cell r="A341" t="str">
            <v>KPSF6AZH2EF</v>
          </cell>
          <cell r="B341" t="str">
            <v>U0405007</v>
          </cell>
          <cell r="C341" t="str">
            <v>8544421000</v>
          </cell>
        </row>
        <row r="342">
          <cell r="A342" t="str">
            <v>KPSF6AZH30EF</v>
          </cell>
          <cell r="B342" t="str">
            <v>U0405024</v>
          </cell>
          <cell r="C342" t="str">
            <v>8544421000</v>
          </cell>
        </row>
        <row r="343">
          <cell r="A343" t="str">
            <v>KPSF6AZH3EF</v>
          </cell>
          <cell r="B343" t="str">
            <v>U0405008</v>
          </cell>
          <cell r="C343" t="str">
            <v>8544421000</v>
          </cell>
        </row>
        <row r="344">
          <cell r="A344" t="str">
            <v>KPSF6AZH40EF</v>
          </cell>
          <cell r="B344" t="str">
            <v>U0405025</v>
          </cell>
          <cell r="C344" t="str">
            <v>8544421000</v>
          </cell>
        </row>
        <row r="345">
          <cell r="A345" t="str">
            <v>KPSF6AZH50EF</v>
          </cell>
          <cell r="B345" t="str">
            <v>U0405026</v>
          </cell>
          <cell r="C345" t="str">
            <v>8544421000</v>
          </cell>
        </row>
        <row r="346">
          <cell r="A346" t="str">
            <v>KPSF6AZH5EF</v>
          </cell>
          <cell r="B346" t="str">
            <v>U0405009</v>
          </cell>
          <cell r="C346" t="str">
            <v>8544421000</v>
          </cell>
        </row>
        <row r="347">
          <cell r="A347" t="str">
            <v>KPSF6AZHL03EF</v>
          </cell>
          <cell r="B347" t="str">
            <v>U0405010</v>
          </cell>
          <cell r="C347" t="str">
            <v>8544421000</v>
          </cell>
        </row>
        <row r="348">
          <cell r="A348" t="str">
            <v>KPSF6AZHL05EF</v>
          </cell>
          <cell r="B348" t="str">
            <v>U0405011</v>
          </cell>
          <cell r="C348" t="str">
            <v>8544421000</v>
          </cell>
        </row>
        <row r="349">
          <cell r="A349" t="str">
            <v>KPSF6AZHL10EF</v>
          </cell>
          <cell r="B349" t="str">
            <v>U0405012</v>
          </cell>
          <cell r="C349" t="str">
            <v>8544421000</v>
          </cell>
        </row>
        <row r="350">
          <cell r="A350" t="str">
            <v>KPSF6AZHL1EF</v>
          </cell>
          <cell r="B350" t="str">
            <v>U0405013</v>
          </cell>
          <cell r="C350" t="str">
            <v>8544421000</v>
          </cell>
        </row>
        <row r="351">
          <cell r="A351" t="str">
            <v>KPSF6AZHL2EF</v>
          </cell>
          <cell r="B351" t="str">
            <v>U0405014</v>
          </cell>
          <cell r="C351" t="str">
            <v>8544421000</v>
          </cell>
        </row>
        <row r="352">
          <cell r="A352" t="str">
            <v>KPSF6AZHL3EF</v>
          </cell>
          <cell r="B352" t="str">
            <v>U0405015</v>
          </cell>
          <cell r="C352" t="str">
            <v>8544421000</v>
          </cell>
        </row>
        <row r="353">
          <cell r="A353" t="str">
            <v>KPSF6AZHL5EF</v>
          </cell>
          <cell r="B353" t="str">
            <v>U0405016</v>
          </cell>
          <cell r="C353" t="str">
            <v>8544421000</v>
          </cell>
        </row>
        <row r="354">
          <cell r="A354" t="str">
            <v>KPSF8ZH03EF</v>
          </cell>
          <cell r="B354" t="str">
            <v>U0407001</v>
          </cell>
          <cell r="C354" t="str">
            <v>8544421000</v>
          </cell>
        </row>
        <row r="355">
          <cell r="A355" t="str">
            <v>KPSF8ZH05EF</v>
          </cell>
          <cell r="B355" t="str">
            <v>U0407002</v>
          </cell>
          <cell r="C355" t="str">
            <v>8544421000</v>
          </cell>
        </row>
        <row r="356">
          <cell r="A356" t="str">
            <v>KPSF8ZH10EF</v>
          </cell>
          <cell r="B356" t="str">
            <v>U0407003</v>
          </cell>
          <cell r="C356" t="str">
            <v>8544421000</v>
          </cell>
        </row>
        <row r="357">
          <cell r="A357" t="str">
            <v>KPSF8ZH1EF</v>
          </cell>
          <cell r="B357" t="str">
            <v>U0407004</v>
          </cell>
          <cell r="C357" t="str">
            <v>8544421000</v>
          </cell>
        </row>
        <row r="358">
          <cell r="A358" t="str">
            <v>KPSF8ZH2EF</v>
          </cell>
          <cell r="B358" t="str">
            <v>U0407005</v>
          </cell>
          <cell r="C358" t="str">
            <v>8544421000</v>
          </cell>
        </row>
        <row r="359">
          <cell r="A359" t="str">
            <v>KPSF8ZH3EF</v>
          </cell>
          <cell r="B359" t="str">
            <v>U0407006</v>
          </cell>
          <cell r="C359" t="str">
            <v>8544421000</v>
          </cell>
        </row>
        <row r="360">
          <cell r="A360" t="str">
            <v>KPSF8ZH5EF</v>
          </cell>
          <cell r="B360" t="str">
            <v>U0407007</v>
          </cell>
          <cell r="C360" t="str">
            <v>8544421000</v>
          </cell>
        </row>
        <row r="361">
          <cell r="A361" t="str">
            <v>KPSLF6AZHSL03EF</v>
          </cell>
          <cell r="B361" t="str">
            <v>U0405017</v>
          </cell>
          <cell r="C361" t="str">
            <v>8544421000</v>
          </cell>
        </row>
        <row r="362">
          <cell r="A362" t="str">
            <v>KPSLF6AZHSL05EF</v>
          </cell>
          <cell r="B362" t="str">
            <v>U0405018</v>
          </cell>
          <cell r="C362" t="str">
            <v>8544421000</v>
          </cell>
        </row>
        <row r="363">
          <cell r="A363" t="str">
            <v>KPSLF6AZHSL10EF</v>
          </cell>
          <cell r="B363" t="str">
            <v>U0405019</v>
          </cell>
          <cell r="C363" t="str">
            <v>8544421000</v>
          </cell>
        </row>
        <row r="364">
          <cell r="A364" t="str">
            <v>KPSLF6AZHSL1EF</v>
          </cell>
          <cell r="B364" t="str">
            <v>U0405020</v>
          </cell>
          <cell r="C364" t="str">
            <v>8544421000</v>
          </cell>
        </row>
        <row r="365">
          <cell r="A365" t="str">
            <v>KPSLF6AZHSL2EF</v>
          </cell>
          <cell r="B365" t="str">
            <v>U0405021</v>
          </cell>
          <cell r="C365" t="str">
            <v>8544421000</v>
          </cell>
        </row>
        <row r="366">
          <cell r="A366" t="str">
            <v>KPSLF6AZHSL3EF</v>
          </cell>
          <cell r="B366" t="str">
            <v>U0405022</v>
          </cell>
          <cell r="C366" t="str">
            <v>8544421000</v>
          </cell>
        </row>
        <row r="367">
          <cell r="A367" t="str">
            <v>KPSLF6AZHSL5EF</v>
          </cell>
          <cell r="B367" t="str">
            <v>U0405023</v>
          </cell>
          <cell r="C367" t="str">
            <v>8544421000</v>
          </cell>
        </row>
        <row r="368">
          <cell r="A368" t="str">
            <v>KPUU5EZH03EF</v>
          </cell>
          <cell r="B368" t="str">
            <v>U0402001</v>
          </cell>
          <cell r="C368" t="str">
            <v>8544421000</v>
          </cell>
        </row>
        <row r="369">
          <cell r="A369" t="str">
            <v>KPUU5EZH05EF</v>
          </cell>
          <cell r="B369" t="str">
            <v>U0402002</v>
          </cell>
          <cell r="C369" t="str">
            <v>8544421000</v>
          </cell>
        </row>
        <row r="370">
          <cell r="A370" t="str">
            <v>KPUU5EZH10EF</v>
          </cell>
          <cell r="B370" t="str">
            <v>U0402003</v>
          </cell>
          <cell r="C370" t="str">
            <v>8544421000</v>
          </cell>
        </row>
        <row r="371">
          <cell r="A371" t="str">
            <v>KPUU5EZH1EF</v>
          </cell>
          <cell r="B371" t="str">
            <v>U0402004</v>
          </cell>
          <cell r="C371" t="str">
            <v>8544421000</v>
          </cell>
        </row>
        <row r="372">
          <cell r="A372" t="str">
            <v>KPUU5EZH2EF</v>
          </cell>
          <cell r="B372" t="str">
            <v>U0402005</v>
          </cell>
          <cell r="C372" t="str">
            <v>8544421000</v>
          </cell>
        </row>
        <row r="373">
          <cell r="A373" t="str">
            <v>KPUU5EZH3EF</v>
          </cell>
          <cell r="B373" t="str">
            <v>U0402006</v>
          </cell>
          <cell r="C373" t="str">
            <v>8544421000</v>
          </cell>
        </row>
        <row r="374">
          <cell r="A374" t="str">
            <v>KPUU5EZH5EF</v>
          </cell>
          <cell r="B374" t="str">
            <v>U0402007</v>
          </cell>
          <cell r="C374" t="str">
            <v>8544421000</v>
          </cell>
        </row>
        <row r="375">
          <cell r="A375" t="str">
            <v>KPUU6AZH03EF</v>
          </cell>
          <cell r="B375" t="str">
            <v>U0406001</v>
          </cell>
          <cell r="C375" t="str">
            <v>8544421000</v>
          </cell>
        </row>
        <row r="376">
          <cell r="A376" t="str">
            <v>KPUU6AZH05EF</v>
          </cell>
          <cell r="B376" t="str">
            <v>U0406002</v>
          </cell>
          <cell r="C376" t="str">
            <v>8544421000</v>
          </cell>
        </row>
        <row r="377">
          <cell r="A377" t="str">
            <v>KPUU6AZH10EF</v>
          </cell>
          <cell r="B377" t="str">
            <v>U0406003</v>
          </cell>
          <cell r="C377" t="str">
            <v>8544421000</v>
          </cell>
        </row>
        <row r="378">
          <cell r="A378" t="str">
            <v>KPUU6AZH1EF</v>
          </cell>
          <cell r="B378" t="str">
            <v>U0406004</v>
          </cell>
          <cell r="C378" t="str">
            <v>8544421000</v>
          </cell>
        </row>
        <row r="379">
          <cell r="A379" t="str">
            <v>KPUU6AZH2EF</v>
          </cell>
          <cell r="B379" t="str">
            <v>U0406005</v>
          </cell>
          <cell r="C379" t="str">
            <v>8544421000</v>
          </cell>
        </row>
        <row r="380">
          <cell r="A380" t="str">
            <v>KPUU6AZH3EF</v>
          </cell>
          <cell r="B380" t="str">
            <v>U0406006</v>
          </cell>
          <cell r="C380" t="str">
            <v>8544421000</v>
          </cell>
        </row>
        <row r="381">
          <cell r="A381" t="str">
            <v>KPUU6AZH5EF</v>
          </cell>
          <cell r="B381" t="str">
            <v>U0406007</v>
          </cell>
          <cell r="C381" t="str">
            <v>8544421000</v>
          </cell>
        </row>
        <row r="382">
          <cell r="A382" t="str">
            <v>KPUU6AZHBL2EF</v>
          </cell>
          <cell r="B382" t="str">
            <v>U0406017</v>
          </cell>
          <cell r="C382" t="str">
            <v>8544421000</v>
          </cell>
        </row>
        <row r="383">
          <cell r="A383" t="str">
            <v>KPUU6AZHBL3EF</v>
          </cell>
          <cell r="B383" t="str">
            <v>U0406018</v>
          </cell>
          <cell r="C383" t="str">
            <v>8544421000</v>
          </cell>
        </row>
        <row r="384">
          <cell r="A384" t="str">
            <v>KPUU6AZHSL03EF</v>
          </cell>
          <cell r="B384" t="str">
            <v>U0406008</v>
          </cell>
          <cell r="C384" t="str">
            <v>8544421000</v>
          </cell>
        </row>
        <row r="385">
          <cell r="A385" t="str">
            <v>KPUU6AZHSL05EF</v>
          </cell>
          <cell r="B385" t="str">
            <v>U0406009</v>
          </cell>
          <cell r="C385" t="str">
            <v>8544421000</v>
          </cell>
        </row>
        <row r="386">
          <cell r="A386" t="str">
            <v>KPUU6AZHSL10EF</v>
          </cell>
          <cell r="B386" t="str">
            <v>U0406010</v>
          </cell>
          <cell r="C386" t="str">
            <v>8544421000</v>
          </cell>
        </row>
        <row r="387">
          <cell r="A387" t="str">
            <v>KPUU6AZHSL1EF</v>
          </cell>
          <cell r="B387" t="str">
            <v>U0406011</v>
          </cell>
          <cell r="C387" t="str">
            <v>8544421000</v>
          </cell>
        </row>
        <row r="388">
          <cell r="A388" t="str">
            <v>KPUU6AZHSL2EF</v>
          </cell>
          <cell r="B388" t="str">
            <v>U0406012</v>
          </cell>
          <cell r="C388" t="str">
            <v>8544421000</v>
          </cell>
        </row>
        <row r="389">
          <cell r="A389" t="str">
            <v>KPUU6AZHSL3EF</v>
          </cell>
          <cell r="B389" t="str">
            <v>U0406013</v>
          </cell>
          <cell r="C389" t="str">
            <v>8544421000</v>
          </cell>
        </row>
        <row r="390">
          <cell r="A390" t="str">
            <v>KPUU6AZHSL5EF</v>
          </cell>
          <cell r="B390" t="str">
            <v>U0406014</v>
          </cell>
          <cell r="C390" t="str">
            <v>8544421000</v>
          </cell>
        </row>
        <row r="391">
          <cell r="A391" t="str">
            <v>KPUU6AZHWH2EF</v>
          </cell>
          <cell r="B391" t="str">
            <v>U0406015</v>
          </cell>
          <cell r="C391" t="str">
            <v>8544421000</v>
          </cell>
        </row>
        <row r="392">
          <cell r="A392" t="str">
            <v>KPUU6AZHWH3EF</v>
          </cell>
          <cell r="B392" t="str">
            <v>U0406016</v>
          </cell>
          <cell r="C392" t="str">
            <v>8544421000</v>
          </cell>
        </row>
        <row r="393">
          <cell r="A393" t="str">
            <v>KPUU6ZH03EF</v>
          </cell>
          <cell r="B393" t="str">
            <v>U0404001</v>
          </cell>
          <cell r="C393" t="str">
            <v>8544421000</v>
          </cell>
        </row>
        <row r="394">
          <cell r="A394" t="str">
            <v>KPUU6ZH05EF</v>
          </cell>
          <cell r="B394" t="str">
            <v>U0404002</v>
          </cell>
          <cell r="C394" t="str">
            <v>8544421000</v>
          </cell>
        </row>
        <row r="395">
          <cell r="A395" t="str">
            <v>KPUU6ZH10EF</v>
          </cell>
          <cell r="B395" t="str">
            <v>U0404003</v>
          </cell>
          <cell r="C395" t="str">
            <v>8544421000</v>
          </cell>
        </row>
        <row r="396">
          <cell r="A396" t="str">
            <v>KPUU6ZH1EF</v>
          </cell>
          <cell r="B396" t="str">
            <v>U0404004</v>
          </cell>
          <cell r="C396" t="str">
            <v>8544421000</v>
          </cell>
        </row>
        <row r="397">
          <cell r="A397" t="str">
            <v>KPUU6ZH2EF</v>
          </cell>
          <cell r="B397" t="str">
            <v>U0404005</v>
          </cell>
          <cell r="C397" t="str">
            <v>8544421000</v>
          </cell>
        </row>
        <row r="398">
          <cell r="A398" t="str">
            <v>KPUU6ZH3EF</v>
          </cell>
          <cell r="B398" t="str">
            <v>U0404006</v>
          </cell>
          <cell r="C398" t="str">
            <v>8544421000</v>
          </cell>
        </row>
        <row r="399">
          <cell r="A399" t="str">
            <v>KPUU6ZH5EF</v>
          </cell>
          <cell r="B399" t="str">
            <v>U0404007</v>
          </cell>
          <cell r="C399" t="str">
            <v>8544421000</v>
          </cell>
        </row>
        <row r="400">
          <cell r="A400" t="str">
            <v>KPUU6ZHSL03EF</v>
          </cell>
          <cell r="B400" t="str">
            <v>U0404008</v>
          </cell>
          <cell r="C400" t="str">
            <v>8544421000</v>
          </cell>
        </row>
        <row r="401">
          <cell r="A401" t="str">
            <v>KPUU6ZHSL05EF</v>
          </cell>
          <cell r="B401" t="str">
            <v>U0404009</v>
          </cell>
          <cell r="C401" t="str">
            <v>8544421000</v>
          </cell>
        </row>
        <row r="402">
          <cell r="A402" t="str">
            <v>KPUU6ZHSL10EF</v>
          </cell>
          <cell r="B402" t="str">
            <v>U0404010</v>
          </cell>
          <cell r="C402" t="str">
            <v>8544421000</v>
          </cell>
        </row>
        <row r="403">
          <cell r="A403" t="str">
            <v>KPUU6ZHSL1EF</v>
          </cell>
          <cell r="B403" t="str">
            <v>U0404011</v>
          </cell>
          <cell r="C403" t="str">
            <v>8544421000</v>
          </cell>
        </row>
        <row r="404">
          <cell r="A404" t="str">
            <v>KPUU6ZHSL2EF</v>
          </cell>
          <cell r="B404" t="str">
            <v>U0404012</v>
          </cell>
          <cell r="C404" t="str">
            <v>8544421000</v>
          </cell>
        </row>
        <row r="405">
          <cell r="A405" t="str">
            <v>KPUU6ZHSL3EF</v>
          </cell>
          <cell r="B405" t="str">
            <v>U0404013</v>
          </cell>
          <cell r="C405" t="str">
            <v>8544421000</v>
          </cell>
        </row>
        <row r="406">
          <cell r="A406" t="str">
            <v>KPUU6ZHSL5EF</v>
          </cell>
          <cell r="B406" t="str">
            <v>U0404014</v>
          </cell>
          <cell r="C406" t="str">
            <v>8544421000</v>
          </cell>
        </row>
        <row r="407">
          <cell r="A407" t="str">
            <v>KRG2266SG2</v>
          </cell>
          <cell r="B407" t="str">
            <v>U1403010</v>
          </cell>
          <cell r="C407" t="str">
            <v>9403208000</v>
          </cell>
        </row>
        <row r="408">
          <cell r="A408" t="str">
            <v>KRG2266SGR</v>
          </cell>
          <cell r="B408" t="str">
            <v>U1403001</v>
          </cell>
          <cell r="C408" t="str">
            <v>9403208000</v>
          </cell>
        </row>
        <row r="409">
          <cell r="A409" t="str">
            <v>KRG2266SP2</v>
          </cell>
          <cell r="B409" t="str">
            <v>U1403042</v>
          </cell>
          <cell r="C409" t="str">
            <v>9403208000</v>
          </cell>
        </row>
        <row r="410">
          <cell r="A410" t="str">
            <v>KRG2266SPR</v>
          </cell>
          <cell r="B410" t="str">
            <v>U1403032</v>
          </cell>
          <cell r="C410" t="str">
            <v>9403208000</v>
          </cell>
        </row>
        <row r="411">
          <cell r="A411" t="str">
            <v>KRG2268SG2</v>
          </cell>
          <cell r="B411" t="str">
            <v>U1403015</v>
          </cell>
          <cell r="C411" t="str">
            <v>9403208000</v>
          </cell>
        </row>
        <row r="412">
          <cell r="A412" t="str">
            <v>KRG2268SGR</v>
          </cell>
          <cell r="B412" t="str">
            <v>U1403006</v>
          </cell>
          <cell r="C412" t="str">
            <v>9403208000</v>
          </cell>
        </row>
        <row r="413">
          <cell r="A413" t="str">
            <v>KRG2268SP2</v>
          </cell>
          <cell r="B413" t="str">
            <v>U1403047</v>
          </cell>
          <cell r="C413" t="str">
            <v>9403208000</v>
          </cell>
        </row>
        <row r="414">
          <cell r="A414" t="str">
            <v>KRG2268SPR</v>
          </cell>
          <cell r="B414" t="str">
            <v>U1403037</v>
          </cell>
          <cell r="C414" t="str">
            <v>9403208000</v>
          </cell>
        </row>
        <row r="415">
          <cell r="A415" t="str">
            <v>KRG2466SG2</v>
          </cell>
          <cell r="B415" t="str">
            <v>U1403011</v>
          </cell>
          <cell r="C415" t="str">
            <v>9403208000</v>
          </cell>
        </row>
        <row r="416">
          <cell r="A416" t="str">
            <v>KRG2466SGR</v>
          </cell>
          <cell r="B416" t="str">
            <v>U1403002</v>
          </cell>
          <cell r="C416" t="str">
            <v>9403208000</v>
          </cell>
        </row>
        <row r="417">
          <cell r="A417" t="str">
            <v>KRG2466SP2</v>
          </cell>
          <cell r="B417" t="str">
            <v>U1403043</v>
          </cell>
          <cell r="C417" t="str">
            <v>9403208000</v>
          </cell>
        </row>
        <row r="418">
          <cell r="A418" t="str">
            <v>KRG2466SPR</v>
          </cell>
          <cell r="B418" t="str">
            <v>U1403033</v>
          </cell>
          <cell r="C418" t="str">
            <v>9403208000</v>
          </cell>
        </row>
        <row r="419">
          <cell r="A419" t="str">
            <v>KRG2766SG2</v>
          </cell>
          <cell r="B419" t="str">
            <v>U1403012</v>
          </cell>
          <cell r="C419" t="str">
            <v>9403208000</v>
          </cell>
        </row>
        <row r="420">
          <cell r="A420" t="str">
            <v>KRG2766SGR</v>
          </cell>
          <cell r="B420" t="str">
            <v>U1403003</v>
          </cell>
          <cell r="C420" t="str">
            <v>9403208000</v>
          </cell>
        </row>
        <row r="421">
          <cell r="A421" t="str">
            <v>KRG2766SP2</v>
          </cell>
          <cell r="B421" t="str">
            <v>U1403044</v>
          </cell>
          <cell r="C421" t="str">
            <v>9403208000</v>
          </cell>
        </row>
        <row r="422">
          <cell r="A422" t="str">
            <v>KRG2766SPR</v>
          </cell>
          <cell r="B422" t="str">
            <v>U1403034</v>
          </cell>
          <cell r="C422" t="str">
            <v>9403208000</v>
          </cell>
        </row>
        <row r="423">
          <cell r="A423" t="str">
            <v>KRG2768SG2</v>
          </cell>
          <cell r="B423" t="str">
            <v>U1403016</v>
          </cell>
          <cell r="C423" t="str">
            <v>9403208000</v>
          </cell>
        </row>
        <row r="424">
          <cell r="A424" t="str">
            <v>KRG2768SGR</v>
          </cell>
          <cell r="B424" t="str">
            <v>U1403007</v>
          </cell>
          <cell r="C424" t="str">
            <v>9403208000</v>
          </cell>
        </row>
        <row r="425">
          <cell r="A425" t="str">
            <v>KRG2768SP2</v>
          </cell>
          <cell r="B425" t="str">
            <v>U1403048</v>
          </cell>
          <cell r="C425" t="str">
            <v>9403208000</v>
          </cell>
        </row>
        <row r="426">
          <cell r="A426" t="str">
            <v>KRG2768SPR</v>
          </cell>
          <cell r="B426" t="str">
            <v>U1403038</v>
          </cell>
          <cell r="C426" t="str">
            <v>9403208000</v>
          </cell>
        </row>
        <row r="427">
          <cell r="A427" t="str">
            <v>KRG3266SG2</v>
          </cell>
          <cell r="B427" t="str">
            <v>U1403013</v>
          </cell>
          <cell r="C427" t="str">
            <v>9403208000</v>
          </cell>
        </row>
        <row r="428">
          <cell r="A428" t="str">
            <v>KRG3266SGR</v>
          </cell>
          <cell r="B428" t="str">
            <v>U1403004</v>
          </cell>
          <cell r="C428" t="str">
            <v>9403208000</v>
          </cell>
        </row>
        <row r="429">
          <cell r="A429" t="str">
            <v>KRG3266SP2</v>
          </cell>
          <cell r="B429" t="str">
            <v>U1403045</v>
          </cell>
          <cell r="C429" t="str">
            <v>9403208000</v>
          </cell>
        </row>
        <row r="430">
          <cell r="A430" t="str">
            <v>KRG3266SPR</v>
          </cell>
          <cell r="B430" t="str">
            <v>U1403035</v>
          </cell>
          <cell r="C430" t="str">
            <v>9403208000</v>
          </cell>
        </row>
        <row r="431">
          <cell r="A431" t="str">
            <v>KRG3288DG2</v>
          </cell>
          <cell r="B431" t="str">
            <v>U1403026</v>
          </cell>
          <cell r="C431" t="str">
            <v>9403208000</v>
          </cell>
        </row>
        <row r="432">
          <cell r="A432" t="str">
            <v>KRG3288DGR</v>
          </cell>
          <cell r="B432" t="str">
            <v>U1403020</v>
          </cell>
          <cell r="C432" t="str">
            <v>9403208000</v>
          </cell>
        </row>
        <row r="433">
          <cell r="A433" t="str">
            <v>KRG3288DP2</v>
          </cell>
          <cell r="B433" t="str">
            <v>U1403061</v>
          </cell>
          <cell r="C433" t="str">
            <v>9403208000</v>
          </cell>
        </row>
        <row r="434">
          <cell r="A434" t="str">
            <v>KRG3288DPR</v>
          </cell>
          <cell r="B434" t="str">
            <v>U1403053</v>
          </cell>
          <cell r="C434" t="str">
            <v>9403208000</v>
          </cell>
        </row>
        <row r="435">
          <cell r="A435" t="str">
            <v>KRG42610SG2</v>
          </cell>
          <cell r="B435" t="str">
            <v>U1403018</v>
          </cell>
          <cell r="C435" t="str">
            <v>9403208000</v>
          </cell>
        </row>
        <row r="436">
          <cell r="A436" t="str">
            <v>KRG42610SGR</v>
          </cell>
          <cell r="B436" t="str">
            <v>U1403009</v>
          </cell>
          <cell r="C436" t="str">
            <v>9403208000</v>
          </cell>
        </row>
        <row r="437">
          <cell r="A437" t="str">
            <v>KRG42610SP2</v>
          </cell>
          <cell r="B437" t="str">
            <v>U1403051</v>
          </cell>
          <cell r="C437" t="str">
            <v>9403208000</v>
          </cell>
        </row>
        <row r="438">
          <cell r="A438" t="str">
            <v>KRG42610SPR</v>
          </cell>
          <cell r="B438" t="str">
            <v>U1403041</v>
          </cell>
          <cell r="C438" t="str">
            <v>9403208000</v>
          </cell>
        </row>
        <row r="439">
          <cell r="A439" t="str">
            <v>KRG4266EDF</v>
          </cell>
          <cell r="B439" t="str">
            <v>U1405004</v>
          </cell>
          <cell r="C439" t="str">
            <v>9403208000</v>
          </cell>
        </row>
        <row r="440">
          <cell r="A440" t="str">
            <v>KRG4266EDFP</v>
          </cell>
          <cell r="B440" t="str">
            <v>U1405005</v>
          </cell>
          <cell r="C440" t="str">
            <v>9403208000</v>
          </cell>
        </row>
        <row r="441">
          <cell r="A441" t="str">
            <v>KRG4266SG2</v>
          </cell>
          <cell r="B441" t="str">
            <v>U1403014</v>
          </cell>
          <cell r="C441" t="str">
            <v>9403208000</v>
          </cell>
        </row>
        <row r="442">
          <cell r="A442" t="str">
            <v>KRG4266SGR</v>
          </cell>
          <cell r="B442" t="str">
            <v>U1403005</v>
          </cell>
          <cell r="C442" t="str">
            <v>9403208000</v>
          </cell>
        </row>
        <row r="443">
          <cell r="A443" t="str">
            <v>KRG4266SP2</v>
          </cell>
          <cell r="B443" t="str">
            <v>U1403046</v>
          </cell>
          <cell r="C443" t="str">
            <v>9403208000</v>
          </cell>
        </row>
        <row r="444">
          <cell r="A444" t="str">
            <v>KRG4266SPR</v>
          </cell>
          <cell r="B444" t="str">
            <v>U1403036</v>
          </cell>
          <cell r="C444" t="str">
            <v>9403208000</v>
          </cell>
        </row>
        <row r="445">
          <cell r="A445" t="str">
            <v>KRG4268EDF</v>
          </cell>
          <cell r="B445" t="str">
            <v>U1405006</v>
          </cell>
          <cell r="C445" t="str">
            <v>9403208000</v>
          </cell>
        </row>
        <row r="446">
          <cell r="A446" t="str">
            <v>KRG4268EDFP</v>
          </cell>
          <cell r="B446" t="str">
            <v>U1405007</v>
          </cell>
          <cell r="C446" t="str">
            <v>9403208000</v>
          </cell>
        </row>
        <row r="447">
          <cell r="A447" t="str">
            <v>KRG4268SG2</v>
          </cell>
          <cell r="B447" t="str">
            <v>U1403017</v>
          </cell>
          <cell r="C447" t="str">
            <v>9403208000</v>
          </cell>
        </row>
        <row r="448">
          <cell r="A448" t="str">
            <v>KRG4268SGR</v>
          </cell>
          <cell r="B448" t="str">
            <v>U1403008</v>
          </cell>
          <cell r="C448" t="str">
            <v>9403208000</v>
          </cell>
        </row>
        <row r="449">
          <cell r="A449" t="str">
            <v>KRG4268SP2</v>
          </cell>
          <cell r="B449" t="str">
            <v>U1403049</v>
          </cell>
          <cell r="C449" t="str">
            <v>9403208000</v>
          </cell>
        </row>
        <row r="450">
          <cell r="A450" t="str">
            <v>KRG4268SPR</v>
          </cell>
          <cell r="B450" t="str">
            <v>U1403039</v>
          </cell>
          <cell r="C450" t="str">
            <v>9403208000</v>
          </cell>
        </row>
        <row r="451">
          <cell r="A451" t="str">
            <v>KRG42810DG2</v>
          </cell>
          <cell r="B451" t="str">
            <v>U1403029</v>
          </cell>
          <cell r="C451" t="str">
            <v>9403208000</v>
          </cell>
        </row>
        <row r="452">
          <cell r="A452" t="str">
            <v>KRG42810DGR</v>
          </cell>
          <cell r="B452" t="str">
            <v>U1403023</v>
          </cell>
          <cell r="C452" t="str">
            <v>9403208000</v>
          </cell>
        </row>
        <row r="453">
          <cell r="A453" t="str">
            <v>KRG42810DP2</v>
          </cell>
          <cell r="B453" t="str">
            <v>U1403064</v>
          </cell>
          <cell r="C453" t="str">
            <v>9403208000</v>
          </cell>
        </row>
        <row r="454">
          <cell r="A454" t="str">
            <v>KRG42810DPR</v>
          </cell>
          <cell r="B454" t="str">
            <v>U1403056</v>
          </cell>
          <cell r="C454" t="str">
            <v>9403208000</v>
          </cell>
        </row>
        <row r="455">
          <cell r="A455" t="str">
            <v>KRG42810EDF</v>
          </cell>
          <cell r="B455" t="str">
            <v>U1405008</v>
          </cell>
          <cell r="C455" t="str">
            <v>9403208000</v>
          </cell>
        </row>
        <row r="456">
          <cell r="A456" t="str">
            <v>KRG42810EDFP</v>
          </cell>
          <cell r="B456" t="str">
            <v>U1405009</v>
          </cell>
          <cell r="C456" t="str">
            <v>9403208000</v>
          </cell>
        </row>
        <row r="457">
          <cell r="A457" t="str">
            <v>KRG42810SGR</v>
          </cell>
          <cell r="B457" t="str">
            <v>U1403068</v>
          </cell>
          <cell r="C457" t="str">
            <v>9403208000</v>
          </cell>
        </row>
        <row r="458">
          <cell r="A458" t="str">
            <v>KRG42812DG2</v>
          </cell>
          <cell r="B458" t="str">
            <v>U1403030</v>
          </cell>
          <cell r="C458" t="str">
            <v>9403208000</v>
          </cell>
        </row>
        <row r="459">
          <cell r="A459" t="str">
            <v>KRG42812DGR</v>
          </cell>
          <cell r="B459" t="str">
            <v>U1403024</v>
          </cell>
          <cell r="C459" t="str">
            <v>9403208000</v>
          </cell>
        </row>
        <row r="460">
          <cell r="A460" t="str">
            <v>KRG42812DP2</v>
          </cell>
          <cell r="B460" t="str">
            <v>U1403066</v>
          </cell>
          <cell r="C460" t="str">
            <v>9403208000</v>
          </cell>
        </row>
        <row r="461">
          <cell r="A461" t="str">
            <v>KRG42812DPR</v>
          </cell>
          <cell r="B461" t="str">
            <v>U1403058</v>
          </cell>
          <cell r="C461" t="str">
            <v>9403208000</v>
          </cell>
        </row>
        <row r="462">
          <cell r="A462" t="str">
            <v>KRG4286DGR</v>
          </cell>
          <cell r="B462" t="str">
            <v>U1403019</v>
          </cell>
          <cell r="C462" t="str">
            <v>9403208000</v>
          </cell>
        </row>
        <row r="463">
          <cell r="A463" t="str">
            <v>KRG4286DP2</v>
          </cell>
          <cell r="B463" t="str">
            <v>U1403060</v>
          </cell>
          <cell r="C463" t="str">
            <v>9403208000</v>
          </cell>
        </row>
        <row r="464">
          <cell r="A464" t="str">
            <v>KRG4286DPR</v>
          </cell>
          <cell r="B464" t="str">
            <v>U1403052</v>
          </cell>
          <cell r="C464" t="str">
            <v>9403208000</v>
          </cell>
        </row>
        <row r="465">
          <cell r="A465" t="str">
            <v>KRG4288DG2</v>
          </cell>
          <cell r="B465" t="str">
            <v>U1403027</v>
          </cell>
          <cell r="C465" t="str">
            <v>9403208000</v>
          </cell>
        </row>
        <row r="466">
          <cell r="A466" t="str">
            <v>KRG4288DGR</v>
          </cell>
          <cell r="B466" t="str">
            <v>U1403021</v>
          </cell>
          <cell r="C466" t="str">
            <v>9403208000</v>
          </cell>
        </row>
        <row r="467">
          <cell r="A467" t="str">
            <v>KRG4288DP2</v>
          </cell>
          <cell r="B467" t="str">
            <v>U1403062</v>
          </cell>
          <cell r="C467" t="str">
            <v>9403208000</v>
          </cell>
        </row>
        <row r="468">
          <cell r="A468" t="str">
            <v>KRG4288DPR</v>
          </cell>
          <cell r="B468" t="str">
            <v>U1403054</v>
          </cell>
          <cell r="C468" t="str">
            <v>9403208000</v>
          </cell>
        </row>
        <row r="469">
          <cell r="A469" t="str">
            <v>KRG4288EDF</v>
          </cell>
          <cell r="B469" t="str">
            <v>U1405002</v>
          </cell>
          <cell r="C469" t="str">
            <v>9403208000</v>
          </cell>
        </row>
        <row r="470">
          <cell r="A470" t="str">
            <v>KRG4288EDFP</v>
          </cell>
          <cell r="B470" t="str">
            <v>U1405003</v>
          </cell>
          <cell r="C470" t="str">
            <v>9403208000</v>
          </cell>
        </row>
        <row r="471">
          <cell r="A471" t="str">
            <v>KRG4768SP2</v>
          </cell>
          <cell r="B471" t="str">
            <v>U1403050</v>
          </cell>
          <cell r="C471" t="str">
            <v>9403208000</v>
          </cell>
        </row>
        <row r="472">
          <cell r="A472" t="str">
            <v>KRG4768SPR</v>
          </cell>
          <cell r="B472" t="str">
            <v>U1403040</v>
          </cell>
          <cell r="C472" t="str">
            <v>9403208000</v>
          </cell>
        </row>
        <row r="473">
          <cell r="A473" t="str">
            <v>KRG47810DP2</v>
          </cell>
          <cell r="B473" t="str">
            <v>U1403065</v>
          </cell>
          <cell r="C473" t="str">
            <v>9403208000</v>
          </cell>
        </row>
        <row r="474">
          <cell r="A474" t="str">
            <v>KRG47810DPR</v>
          </cell>
          <cell r="B474" t="str">
            <v>U1403057</v>
          </cell>
          <cell r="C474" t="str">
            <v>9403208000</v>
          </cell>
        </row>
        <row r="475">
          <cell r="A475" t="str">
            <v>KRG47810EDF</v>
          </cell>
          <cell r="B475" t="str">
            <v>U1405012</v>
          </cell>
          <cell r="C475" t="str">
            <v>9403208000</v>
          </cell>
        </row>
        <row r="476">
          <cell r="A476" t="str">
            <v>KRG47810EDFP</v>
          </cell>
          <cell r="B476" t="str">
            <v>U1405013</v>
          </cell>
          <cell r="C476" t="str">
            <v>9403208000</v>
          </cell>
        </row>
        <row r="477">
          <cell r="A477" t="str">
            <v>KRG47812DG2</v>
          </cell>
          <cell r="B477" t="str">
            <v>U1403031</v>
          </cell>
          <cell r="C477" t="str">
            <v>9403208000</v>
          </cell>
        </row>
        <row r="478">
          <cell r="A478" t="str">
            <v>KRG47812DGR</v>
          </cell>
          <cell r="B478" t="str">
            <v>U1403025</v>
          </cell>
          <cell r="C478" t="str">
            <v>9403208000</v>
          </cell>
        </row>
        <row r="479">
          <cell r="A479" t="str">
            <v>KRG47812DP2</v>
          </cell>
          <cell r="B479" t="str">
            <v>U1403067</v>
          </cell>
          <cell r="C479" t="str">
            <v>9403208000</v>
          </cell>
        </row>
        <row r="480">
          <cell r="A480" t="str">
            <v>KRG47812DPR</v>
          </cell>
          <cell r="B480" t="str">
            <v>U1403059</v>
          </cell>
          <cell r="C480" t="str">
            <v>9403208000</v>
          </cell>
        </row>
        <row r="481">
          <cell r="A481" t="str">
            <v>KRG4788DG2</v>
          </cell>
          <cell r="B481" t="str">
            <v>U1403028</v>
          </cell>
          <cell r="C481" t="str">
            <v>9403208000</v>
          </cell>
        </row>
        <row r="482">
          <cell r="A482" t="str">
            <v>KRG4788DGR</v>
          </cell>
          <cell r="B482" t="str">
            <v>U1403022</v>
          </cell>
          <cell r="C482" t="str">
            <v>9403208000</v>
          </cell>
        </row>
        <row r="483">
          <cell r="A483" t="str">
            <v>KRG4788DP2</v>
          </cell>
          <cell r="B483" t="str">
            <v>U1403063</v>
          </cell>
          <cell r="C483" t="str">
            <v>9403208000</v>
          </cell>
        </row>
        <row r="484">
          <cell r="A484" t="str">
            <v>KRG4788DPR</v>
          </cell>
          <cell r="B484" t="str">
            <v>U1403055</v>
          </cell>
          <cell r="C484" t="str">
            <v>9403208000</v>
          </cell>
        </row>
        <row r="485">
          <cell r="A485" t="str">
            <v>KRG4788EDF</v>
          </cell>
          <cell r="B485" t="str">
            <v>U1405010</v>
          </cell>
          <cell r="C485" t="str">
            <v>9403208000</v>
          </cell>
        </row>
        <row r="486">
          <cell r="A486" t="str">
            <v>KRG4788EDFP</v>
          </cell>
          <cell r="B486" t="str">
            <v>U1405011</v>
          </cell>
          <cell r="C486" t="str">
            <v>9403208000</v>
          </cell>
        </row>
        <row r="487">
          <cell r="A487" t="str">
            <v>KRH4288EDF</v>
          </cell>
          <cell r="B487" t="str">
            <v>U1405001</v>
          </cell>
          <cell r="C487" t="str">
            <v>9403208000</v>
          </cell>
        </row>
        <row r="488">
          <cell r="A488" t="str">
            <v>KRS2266SGR</v>
          </cell>
          <cell r="B488" t="str">
            <v>U1402001</v>
          </cell>
          <cell r="C488" t="str">
            <v>9403208000</v>
          </cell>
        </row>
        <row r="489">
          <cell r="A489" t="str">
            <v>KRS2268SGR</v>
          </cell>
          <cell r="B489" t="str">
            <v>U1402007</v>
          </cell>
          <cell r="C489" t="str">
            <v>9403208000</v>
          </cell>
        </row>
        <row r="490">
          <cell r="A490" t="str">
            <v>KRS2466SGR</v>
          </cell>
          <cell r="B490" t="str">
            <v>U1402002</v>
          </cell>
          <cell r="C490" t="str">
            <v>9403208000</v>
          </cell>
        </row>
        <row r="491">
          <cell r="A491" t="str">
            <v>KRS2468SGR</v>
          </cell>
          <cell r="B491" t="str">
            <v>U1402008</v>
          </cell>
          <cell r="C491" t="str">
            <v>9403208000</v>
          </cell>
        </row>
        <row r="492">
          <cell r="A492" t="str">
            <v>KRS2766SGR</v>
          </cell>
          <cell r="B492" t="str">
            <v>U1402003</v>
          </cell>
          <cell r="C492" t="str">
            <v>9403208000</v>
          </cell>
        </row>
        <row r="493">
          <cell r="A493" t="str">
            <v>KRS2768SGR</v>
          </cell>
          <cell r="B493" t="str">
            <v>U1402009</v>
          </cell>
          <cell r="C493" t="str">
            <v>9403208000</v>
          </cell>
        </row>
        <row r="494">
          <cell r="A494" t="str">
            <v>KRS2788DGR</v>
          </cell>
          <cell r="B494" t="str">
            <v>U1402016</v>
          </cell>
          <cell r="C494" t="str">
            <v>9403208000</v>
          </cell>
        </row>
        <row r="495">
          <cell r="A495" t="str">
            <v>KRS3266SGR</v>
          </cell>
          <cell r="B495" t="str">
            <v>U1402004</v>
          </cell>
          <cell r="C495" t="str">
            <v>9403208000</v>
          </cell>
        </row>
        <row r="496">
          <cell r="A496" t="str">
            <v>KRS3268SGR</v>
          </cell>
          <cell r="B496" t="str">
            <v>U1402010</v>
          </cell>
          <cell r="C496" t="str">
            <v>9403208000</v>
          </cell>
        </row>
        <row r="497">
          <cell r="A497" t="str">
            <v>KRS3288DGR</v>
          </cell>
          <cell r="B497" t="str">
            <v>U1402017</v>
          </cell>
          <cell r="C497" t="str">
            <v>9403208000</v>
          </cell>
        </row>
        <row r="498">
          <cell r="A498" t="str">
            <v>KRS42610SGR</v>
          </cell>
          <cell r="B498" t="str">
            <v>U1402013</v>
          </cell>
          <cell r="C498" t="str">
            <v>9403208000</v>
          </cell>
        </row>
        <row r="499">
          <cell r="A499" t="str">
            <v>KRS4266SGR</v>
          </cell>
          <cell r="B499" t="str">
            <v>U1402005</v>
          </cell>
          <cell r="C499" t="str">
            <v>9403208000</v>
          </cell>
        </row>
        <row r="500">
          <cell r="A500" t="str">
            <v>KRS4266WDR</v>
          </cell>
          <cell r="B500" t="str">
            <v>U1402006</v>
          </cell>
          <cell r="C500" t="str">
            <v>9403208000</v>
          </cell>
        </row>
        <row r="501">
          <cell r="A501" t="str">
            <v>KRS4268SGR</v>
          </cell>
          <cell r="B501" t="str">
            <v>U1402011</v>
          </cell>
          <cell r="C501" t="str">
            <v>9403208000</v>
          </cell>
        </row>
        <row r="502">
          <cell r="A502" t="str">
            <v>KRS4268WDR</v>
          </cell>
          <cell r="B502" t="str">
            <v>U1402012</v>
          </cell>
          <cell r="C502" t="str">
            <v>9403208000</v>
          </cell>
        </row>
        <row r="503">
          <cell r="A503" t="str">
            <v>KRS42810DGR</v>
          </cell>
          <cell r="B503" t="str">
            <v>U1402020</v>
          </cell>
          <cell r="C503" t="str">
            <v>9403208000</v>
          </cell>
        </row>
        <row r="504">
          <cell r="A504" t="str">
            <v>KRS42810DP2</v>
          </cell>
          <cell r="B504" t="str">
            <v>U1402022</v>
          </cell>
          <cell r="C504" t="str">
            <v>9403208000</v>
          </cell>
        </row>
        <row r="505">
          <cell r="A505" t="str">
            <v>KRS42810WDR</v>
          </cell>
          <cell r="B505" t="str">
            <v>U1402021</v>
          </cell>
          <cell r="C505" t="str">
            <v>9403208000</v>
          </cell>
        </row>
        <row r="506">
          <cell r="A506" t="str">
            <v>KRS4286DGR</v>
          </cell>
          <cell r="B506" t="str">
            <v>U1402014</v>
          </cell>
          <cell r="C506" t="str">
            <v>9403208000</v>
          </cell>
        </row>
        <row r="507">
          <cell r="A507" t="str">
            <v>KRS4286WDR</v>
          </cell>
          <cell r="B507" t="str">
            <v>U1402015</v>
          </cell>
          <cell r="C507" t="str">
            <v>9403208000</v>
          </cell>
        </row>
        <row r="508">
          <cell r="A508" t="str">
            <v>KRS4288DGR</v>
          </cell>
          <cell r="B508" t="str">
            <v>U1402018</v>
          </cell>
          <cell r="C508" t="str">
            <v>9403208000</v>
          </cell>
        </row>
        <row r="509">
          <cell r="A509" t="str">
            <v>KRS4288SGR</v>
          </cell>
          <cell r="B509" t="str">
            <v>U1402023</v>
          </cell>
          <cell r="C509" t="str">
            <v>9403208000</v>
          </cell>
        </row>
        <row r="510">
          <cell r="A510" t="str">
            <v>KRS4288WDR</v>
          </cell>
          <cell r="B510" t="str">
            <v>U1402019</v>
          </cell>
          <cell r="C510" t="str">
            <v>9403208000</v>
          </cell>
        </row>
        <row r="511">
          <cell r="A511" t="str">
            <v>KRSBGALCDM40</v>
          </cell>
          <cell r="B511" t="str">
            <v>U0601005</v>
          </cell>
          <cell r="C511" t="str">
            <v>8536700099</v>
          </cell>
        </row>
        <row r="512">
          <cell r="A512" t="str">
            <v>KRSFABDFP12LCD</v>
          </cell>
          <cell r="B512" t="str">
            <v>Z0701002</v>
          </cell>
          <cell r="C512" t="str">
            <v>8536700099</v>
          </cell>
        </row>
        <row r="513">
          <cell r="A513" t="str">
            <v>KRSFABDFP12ST</v>
          </cell>
          <cell r="B513" t="str">
            <v>Z0701001</v>
          </cell>
          <cell r="C513" t="str">
            <v>8536700099</v>
          </cell>
        </row>
        <row r="514">
          <cell r="A514" t="str">
            <v>KRSFABDFP6LCD</v>
          </cell>
          <cell r="B514" t="str">
            <v>Z0701006</v>
          </cell>
          <cell r="C514" t="str">
            <v>8536700099</v>
          </cell>
        </row>
        <row r="515">
          <cell r="A515" t="str">
            <v>KRSFAFBDS1D1</v>
          </cell>
          <cell r="B515" t="str">
            <v>Z0701003</v>
          </cell>
          <cell r="C515" t="str">
            <v>8536700099</v>
          </cell>
        </row>
        <row r="516">
          <cell r="A516" t="str">
            <v>KSALCDM40</v>
          </cell>
          <cell r="B516" t="str">
            <v>U0601001</v>
          </cell>
          <cell r="C516" t="str">
            <v>8536700099</v>
          </cell>
        </row>
        <row r="517">
          <cell r="A517" t="str">
            <v>KSALCDS40</v>
          </cell>
          <cell r="B517" t="str">
            <v>U0601002</v>
          </cell>
          <cell r="C517" t="str">
            <v>8536700099</v>
          </cell>
        </row>
        <row r="518">
          <cell r="A518" t="str">
            <v>KSASCDM20</v>
          </cell>
          <cell r="B518" t="str">
            <v>U0601003</v>
          </cell>
          <cell r="C518" t="str">
            <v>8536700099</v>
          </cell>
        </row>
        <row r="519">
          <cell r="A519" t="str">
            <v>KSASCDS20</v>
          </cell>
          <cell r="B519" t="str">
            <v>U0601004</v>
          </cell>
          <cell r="C519" t="str">
            <v>8536700099</v>
          </cell>
        </row>
        <row r="520">
          <cell r="A520" t="str">
            <v>KSB868636EF</v>
          </cell>
          <cell r="B520" t="str">
            <v>U0301008</v>
          </cell>
          <cell r="C520" t="str">
            <v>8538909999</v>
          </cell>
        </row>
        <row r="521">
          <cell r="A521" t="str">
            <v>KSB868645EF</v>
          </cell>
          <cell r="B521" t="str">
            <v>U0301009</v>
          </cell>
          <cell r="C521" t="str">
            <v>8538909999</v>
          </cell>
        </row>
        <row r="522">
          <cell r="A522" t="str">
            <v>KSBRUSHCEF</v>
          </cell>
          <cell r="B522" t="str">
            <v>U1201001</v>
          </cell>
          <cell r="C522" t="str">
            <v>7326909890</v>
          </cell>
        </row>
        <row r="523">
          <cell r="A523" t="str">
            <v>KSBRUSHEF</v>
          </cell>
          <cell r="B523" t="str">
            <v>U1201002</v>
          </cell>
          <cell r="C523" t="str">
            <v>8538909999</v>
          </cell>
        </row>
        <row r="524">
          <cell r="A524" t="str">
            <v>KSC1U1000</v>
          </cell>
          <cell r="B524" t="str">
            <v>U1201017</v>
          </cell>
          <cell r="C524" t="str">
            <v>9403903000</v>
          </cell>
        </row>
        <row r="525">
          <cell r="A525" t="str">
            <v>KSC1U800</v>
          </cell>
          <cell r="B525" t="str">
            <v>U1201016</v>
          </cell>
          <cell r="C525" t="str">
            <v>9403903000</v>
          </cell>
        </row>
        <row r="526">
          <cell r="A526" t="str">
            <v>KSET24FO</v>
          </cell>
          <cell r="B526" t="str">
            <v>U0701002</v>
          </cell>
          <cell r="C526" t="str">
            <v>8538909999</v>
          </cell>
        </row>
        <row r="527">
          <cell r="A527" t="str">
            <v>KSFP1U06POS2LCEDF</v>
          </cell>
          <cell r="B527" t="str">
            <v>U1001020</v>
          </cell>
          <cell r="C527" t="str">
            <v>8537109800</v>
          </cell>
        </row>
        <row r="528">
          <cell r="A528" t="str">
            <v>KSFP1U12POM4LCEDF</v>
          </cell>
          <cell r="B528" t="str">
            <v>U1001026</v>
          </cell>
          <cell r="C528" t="str">
            <v>8537109800</v>
          </cell>
        </row>
        <row r="529">
          <cell r="A529" t="str">
            <v>KSFP1U12POS2LCEDF</v>
          </cell>
          <cell r="B529" t="str">
            <v>U1001023</v>
          </cell>
          <cell r="C529" t="str">
            <v>8537109800</v>
          </cell>
        </row>
        <row r="530">
          <cell r="A530" t="str">
            <v>KSFP1U205NPCEF</v>
          </cell>
          <cell r="B530" t="str">
            <v>U1001001</v>
          </cell>
          <cell r="C530" t="str">
            <v>8538909999</v>
          </cell>
        </row>
        <row r="531">
          <cell r="A531" t="str">
            <v>KSFP1U205NPCKRS</v>
          </cell>
          <cell r="B531" t="str">
            <v>Z0701005</v>
          </cell>
          <cell r="C531" t="str">
            <v>8538909999</v>
          </cell>
        </row>
        <row r="532">
          <cell r="A532" t="str">
            <v>KSFP1U2412LCDMEF</v>
          </cell>
          <cell r="B532" t="str">
            <v>U1001034</v>
          </cell>
          <cell r="C532" t="str">
            <v>8537109800</v>
          </cell>
        </row>
        <row r="533">
          <cell r="A533" t="str">
            <v>KSFP1U2412LCDMEF2</v>
          </cell>
          <cell r="B533" t="str">
            <v>U1001030</v>
          </cell>
          <cell r="C533" t="str">
            <v>8537109800</v>
          </cell>
        </row>
        <row r="534">
          <cell r="A534" t="str">
            <v>KSFP1U2412LCDSEF</v>
          </cell>
          <cell r="B534" t="str">
            <v>U1001032</v>
          </cell>
          <cell r="C534" t="str">
            <v>8537109800</v>
          </cell>
        </row>
        <row r="535">
          <cell r="A535" t="str">
            <v>KSFP1U2412LCDSEF2</v>
          </cell>
          <cell r="B535" t="str">
            <v>U1001028</v>
          </cell>
          <cell r="C535" t="str">
            <v>8537109800</v>
          </cell>
        </row>
        <row r="536">
          <cell r="A536" t="str">
            <v>KSFP1U2424LCDMEF</v>
          </cell>
          <cell r="B536" t="str">
            <v>U1001033</v>
          </cell>
          <cell r="C536" t="str">
            <v>8537109800</v>
          </cell>
        </row>
        <row r="537">
          <cell r="A537" t="str">
            <v>KSFP1U2424LCDMEF2</v>
          </cell>
          <cell r="B537" t="str">
            <v>U1001029</v>
          </cell>
          <cell r="C537" t="str">
            <v>8537109800</v>
          </cell>
        </row>
        <row r="538">
          <cell r="A538" t="str">
            <v>KSFP1U2424LCDSEF</v>
          </cell>
          <cell r="B538" t="str">
            <v>U1001031</v>
          </cell>
          <cell r="C538" t="str">
            <v>8537109800</v>
          </cell>
        </row>
        <row r="539">
          <cell r="A539" t="str">
            <v>KSFP1U2424LCDSEF2</v>
          </cell>
          <cell r="B539" t="str">
            <v>U1001027</v>
          </cell>
          <cell r="C539" t="str">
            <v>8537109800</v>
          </cell>
        </row>
        <row r="540">
          <cell r="A540" t="str">
            <v>KSFP1U245NPCEF</v>
          </cell>
          <cell r="B540" t="str">
            <v>U1001002</v>
          </cell>
          <cell r="C540" t="str">
            <v>8538909999</v>
          </cell>
        </row>
        <row r="541">
          <cell r="A541" t="str">
            <v>KSFP1U245NPLCEF</v>
          </cell>
          <cell r="B541" t="str">
            <v>U1001003</v>
          </cell>
          <cell r="C541" t="str">
            <v>8538909999</v>
          </cell>
        </row>
        <row r="542">
          <cell r="A542" t="str">
            <v>KSFP1U24POM4LCEDF</v>
          </cell>
          <cell r="B542" t="str">
            <v>U1001025</v>
          </cell>
          <cell r="C542" t="str">
            <v>8537109800</v>
          </cell>
        </row>
        <row r="543">
          <cell r="A543" t="str">
            <v>KSFP1U24POS2LCEDF</v>
          </cell>
          <cell r="B543" t="str">
            <v>U1001021</v>
          </cell>
          <cell r="C543" t="str">
            <v>8537109800</v>
          </cell>
        </row>
        <row r="544">
          <cell r="A544" t="str">
            <v>KSFP1U48POM4LCEDF</v>
          </cell>
          <cell r="B544" t="str">
            <v>U1001024</v>
          </cell>
          <cell r="C544" t="str">
            <v>8537109800</v>
          </cell>
        </row>
        <row r="545">
          <cell r="A545" t="str">
            <v>KSFP1U48POS2LCEDF</v>
          </cell>
          <cell r="B545" t="str">
            <v>U1001022</v>
          </cell>
          <cell r="C545" t="str">
            <v>8537109800</v>
          </cell>
        </row>
        <row r="546">
          <cell r="A546" t="str">
            <v>KSFP1UFP12SCDEF</v>
          </cell>
          <cell r="B546" t="str">
            <v>U1001004</v>
          </cell>
          <cell r="C546" t="str">
            <v>8538909999</v>
          </cell>
        </row>
        <row r="547">
          <cell r="A547" t="str">
            <v>KSFP1UFP12SCSEF</v>
          </cell>
          <cell r="B547" t="str">
            <v>U1001005</v>
          </cell>
          <cell r="C547" t="str">
            <v>8538909999</v>
          </cell>
        </row>
        <row r="548">
          <cell r="A548" t="str">
            <v>KSFP1UFP12SCSLEF</v>
          </cell>
          <cell r="B548" t="str">
            <v>U1001006</v>
          </cell>
          <cell r="C548" t="str">
            <v>8538909999</v>
          </cell>
        </row>
        <row r="549">
          <cell r="A549" t="str">
            <v>KSFP1UFP2412LCDMEF</v>
          </cell>
          <cell r="B549" t="str">
            <v>U1001007</v>
          </cell>
          <cell r="C549" t="str">
            <v>8537109800</v>
          </cell>
        </row>
        <row r="550">
          <cell r="A550" t="str">
            <v>KSFP1UFP2412LCDSEF</v>
          </cell>
          <cell r="B550" t="str">
            <v>U1001008</v>
          </cell>
          <cell r="C550" t="str">
            <v>8537109800</v>
          </cell>
        </row>
        <row r="551">
          <cell r="A551" t="str">
            <v>KSFP1UFP2412SCDMEF</v>
          </cell>
          <cell r="B551" t="str">
            <v>U1001009</v>
          </cell>
          <cell r="C551" t="str">
            <v>8537109800</v>
          </cell>
        </row>
        <row r="552">
          <cell r="A552" t="str">
            <v>KSFP1UFP2412SCDSEF</v>
          </cell>
          <cell r="B552" t="str">
            <v>U1001010</v>
          </cell>
          <cell r="C552" t="str">
            <v>8537109800</v>
          </cell>
        </row>
        <row r="553">
          <cell r="A553" t="str">
            <v>KSFP1UFP2424LCDMEF</v>
          </cell>
          <cell r="B553" t="str">
            <v>U1001011</v>
          </cell>
          <cell r="C553" t="str">
            <v>8537109800</v>
          </cell>
        </row>
        <row r="554">
          <cell r="A554" t="str">
            <v>KSFP1UFP2424LCDSEF</v>
          </cell>
          <cell r="B554" t="str">
            <v>U1001012</v>
          </cell>
          <cell r="C554" t="str">
            <v>8537109800</v>
          </cell>
        </row>
        <row r="555">
          <cell r="A555" t="str">
            <v>KSFP1UFP2424SCDMEF</v>
          </cell>
          <cell r="B555" t="str">
            <v>U1001013</v>
          </cell>
          <cell r="C555" t="str">
            <v>8537109800</v>
          </cell>
        </row>
        <row r="556">
          <cell r="A556" t="str">
            <v>KSFP1UFP2424SCDSEF</v>
          </cell>
          <cell r="B556" t="str">
            <v>U1001014</v>
          </cell>
          <cell r="C556" t="str">
            <v>8537109800</v>
          </cell>
        </row>
        <row r="557">
          <cell r="A557" t="str">
            <v>KSFP1UFP24SCDEF</v>
          </cell>
          <cell r="B557" t="str">
            <v>U1001015</v>
          </cell>
          <cell r="C557" t="str">
            <v>8538909999</v>
          </cell>
        </row>
        <row r="558">
          <cell r="A558" t="str">
            <v>KSFP1UFP24SCSEF</v>
          </cell>
          <cell r="B558" t="str">
            <v>U1001016</v>
          </cell>
          <cell r="C558" t="str">
            <v>8538909999</v>
          </cell>
        </row>
        <row r="559">
          <cell r="A559" t="str">
            <v>KSFP1UFP24SCSLEF</v>
          </cell>
          <cell r="B559" t="str">
            <v>U1001017</v>
          </cell>
          <cell r="C559" t="str">
            <v>8538909999</v>
          </cell>
        </row>
        <row r="560">
          <cell r="A560" t="str">
            <v>KSFP1UFP24STEF</v>
          </cell>
          <cell r="B560" t="str">
            <v>U1001018</v>
          </cell>
          <cell r="C560" t="str">
            <v>8538909999</v>
          </cell>
        </row>
        <row r="561">
          <cell r="A561" t="str">
            <v>KSFP1UFP24STKRS</v>
          </cell>
          <cell r="B561" t="str">
            <v>Z0701004</v>
          </cell>
          <cell r="C561" t="str">
            <v>8538909999</v>
          </cell>
        </row>
        <row r="562">
          <cell r="A562" t="str">
            <v>KSFP1UFP3LGXEF</v>
          </cell>
          <cell r="B562" t="str">
            <v>U1001019</v>
          </cell>
          <cell r="C562" t="str">
            <v>8538909999</v>
          </cell>
        </row>
        <row r="563">
          <cell r="A563" t="str">
            <v>KSFS1U1000</v>
          </cell>
          <cell r="B563" t="str">
            <v>U1201015</v>
          </cell>
          <cell r="C563" t="str">
            <v>9403903000</v>
          </cell>
        </row>
        <row r="564">
          <cell r="A564" t="str">
            <v>KSFS1U250</v>
          </cell>
          <cell r="B564" t="str">
            <v>U1201003</v>
          </cell>
          <cell r="C564" t="str">
            <v>9403903000</v>
          </cell>
        </row>
        <row r="565">
          <cell r="A565" t="str">
            <v>KSFS1U800</v>
          </cell>
          <cell r="B565" t="str">
            <v>U1201014</v>
          </cell>
          <cell r="C565" t="str">
            <v>9403903000</v>
          </cell>
        </row>
        <row r="566">
          <cell r="A566" t="str">
            <v>KSFS2U250</v>
          </cell>
          <cell r="B566" t="str">
            <v>U1201004</v>
          </cell>
          <cell r="C566" t="str">
            <v>9403903000</v>
          </cell>
        </row>
        <row r="567">
          <cell r="A567" t="str">
            <v>KSOB1UC</v>
          </cell>
          <cell r="B567" t="str">
            <v>U1201005</v>
          </cell>
          <cell r="C567" t="str">
            <v>8538909999</v>
          </cell>
        </row>
        <row r="568">
          <cell r="A568" t="str">
            <v>KSONO12X15ZHB2BR10</v>
          </cell>
          <cell r="B568" t="str">
            <v>Z0403009</v>
          </cell>
          <cell r="C568" t="str">
            <v>8544499900</v>
          </cell>
        </row>
        <row r="569">
          <cell r="A569" t="str">
            <v>KSONO12X15ZHNAB2BR10</v>
          </cell>
          <cell r="B569" t="str">
            <v>Z0403004</v>
          </cell>
          <cell r="C569" t="str">
            <v>8544499900</v>
          </cell>
        </row>
        <row r="570">
          <cell r="A570" t="str">
            <v>KSONO24X15ZHB2BR10</v>
          </cell>
          <cell r="B570" t="str">
            <v>Z0403010</v>
          </cell>
          <cell r="C570" t="str">
            <v>8544499900</v>
          </cell>
        </row>
        <row r="571">
          <cell r="A571" t="str">
            <v>KSONO24X15ZHNAB2BR10</v>
          </cell>
          <cell r="B571" t="str">
            <v>Z0403005</v>
          </cell>
          <cell r="C571" t="str">
            <v>8544499900</v>
          </cell>
        </row>
        <row r="572">
          <cell r="A572" t="str">
            <v>KSONO2X15ZHB2BR10</v>
          </cell>
          <cell r="B572" t="str">
            <v>Z0403006</v>
          </cell>
          <cell r="C572" t="str">
            <v>8544499900</v>
          </cell>
        </row>
        <row r="573">
          <cell r="A573" t="str">
            <v>KSONO2X15ZHNAB2BR10</v>
          </cell>
          <cell r="B573" t="str">
            <v>Z0403001</v>
          </cell>
          <cell r="C573" t="str">
            <v>8544499900</v>
          </cell>
        </row>
        <row r="574">
          <cell r="A574" t="str">
            <v>KSONO4X15ZHB2BR10</v>
          </cell>
          <cell r="B574" t="str">
            <v>Z0403007</v>
          </cell>
          <cell r="C574" t="str">
            <v>8544499900</v>
          </cell>
        </row>
        <row r="575">
          <cell r="A575" t="str">
            <v>KSONO4X15ZHNAB2BR10</v>
          </cell>
          <cell r="B575" t="str">
            <v>Z0403002</v>
          </cell>
          <cell r="C575" t="str">
            <v>8544499900</v>
          </cell>
        </row>
        <row r="576">
          <cell r="A576" t="str">
            <v>KSONO7X15ZHB2BR10</v>
          </cell>
          <cell r="B576" t="str">
            <v>Z0403008</v>
          </cell>
          <cell r="C576" t="str">
            <v>8544499900</v>
          </cell>
        </row>
        <row r="577">
          <cell r="A577" t="str">
            <v>KSONO7X15ZHNAB2BR10</v>
          </cell>
          <cell r="B577" t="str">
            <v>Z0403003</v>
          </cell>
          <cell r="C577" t="str">
            <v>8544499900</v>
          </cell>
        </row>
        <row r="578">
          <cell r="A578" t="str">
            <v>KSPFK1U4RCEF</v>
          </cell>
          <cell r="B578" t="str">
            <v>U1201006</v>
          </cell>
          <cell r="C578" t="str">
            <v>8538909999</v>
          </cell>
        </row>
        <row r="579">
          <cell r="A579" t="str">
            <v>KSPFK1U4RCFEF</v>
          </cell>
          <cell r="B579" t="str">
            <v>U1201007</v>
          </cell>
          <cell r="C579" t="str">
            <v>8538909999</v>
          </cell>
        </row>
        <row r="580">
          <cell r="A580" t="str">
            <v>KSPFK1U4REF</v>
          </cell>
          <cell r="B580" t="str">
            <v>U1201008</v>
          </cell>
          <cell r="C580" t="str">
            <v>8538909999</v>
          </cell>
        </row>
        <row r="581">
          <cell r="A581" t="str">
            <v>KSPFK1U5RCFEF</v>
          </cell>
          <cell r="B581" t="str">
            <v>U1201009</v>
          </cell>
          <cell r="C581" t="str">
            <v>8538909999</v>
          </cell>
        </row>
        <row r="582">
          <cell r="A582" t="str">
            <v>KSPFK1UAIHDCEF</v>
          </cell>
          <cell r="B582" t="str">
            <v>U1201010</v>
          </cell>
          <cell r="C582" t="str">
            <v>8538909999</v>
          </cell>
        </row>
        <row r="583">
          <cell r="A583" t="str">
            <v>KSPFK1UHDCEF</v>
          </cell>
          <cell r="B583" t="str">
            <v>U1201011</v>
          </cell>
          <cell r="C583" t="str">
            <v>8538909999</v>
          </cell>
        </row>
        <row r="584">
          <cell r="A584" t="str">
            <v>KSPLICE60MM</v>
          </cell>
          <cell r="B584" t="str">
            <v>U0701001</v>
          </cell>
          <cell r="C584" t="str">
            <v>8538909999</v>
          </cell>
        </row>
        <row r="585">
          <cell r="A585" t="str">
            <v>KSYT2A2410ZHB2BR5</v>
          </cell>
          <cell r="B585" t="str">
            <v>U1701004</v>
          </cell>
          <cell r="C585" t="str">
            <v>8544492000</v>
          </cell>
        </row>
        <row r="586">
          <cell r="A586" t="str">
            <v>KSYT2A2415ZHB2BR5</v>
          </cell>
          <cell r="B586" t="str">
            <v>U1701001</v>
          </cell>
          <cell r="C586" t="str">
            <v>8544492000</v>
          </cell>
        </row>
        <row r="587">
          <cell r="A587" t="str">
            <v>KSYT2A2430ZHB2BR5</v>
          </cell>
          <cell r="B587" t="str">
            <v>U1701002</v>
          </cell>
          <cell r="C587" t="str">
            <v>8544492000</v>
          </cell>
        </row>
        <row r="588">
          <cell r="A588" t="str">
            <v>KSYT2A245ZHB2BR5</v>
          </cell>
          <cell r="B588" t="str">
            <v>U1701003</v>
          </cell>
          <cell r="C588" t="str">
            <v>8544492000</v>
          </cell>
        </row>
        <row r="589">
          <cell r="A589" t="str">
            <v>KTRAY1000MM</v>
          </cell>
          <cell r="B589" t="str">
            <v>U1201012</v>
          </cell>
          <cell r="C589" t="str">
            <v>9403903000</v>
          </cell>
        </row>
        <row r="590">
          <cell r="A590" t="str">
            <v>KW1/4T</v>
          </cell>
          <cell r="B590" t="str">
            <v>U1601008</v>
          </cell>
          <cell r="C590" t="str">
            <v>8301409090</v>
          </cell>
        </row>
        <row r="591">
          <cell r="A591" t="str">
            <v>KWA1245F</v>
          </cell>
          <cell r="B591" t="str">
            <v>U1502010</v>
          </cell>
          <cell r="C591" t="str">
            <v>9403208000</v>
          </cell>
        </row>
        <row r="592">
          <cell r="A592" t="str">
            <v>KWA1260F</v>
          </cell>
          <cell r="B592" t="str">
            <v>U1502003</v>
          </cell>
          <cell r="C592" t="str">
            <v>9403208000</v>
          </cell>
        </row>
        <row r="593">
          <cell r="A593" t="str">
            <v>KWA1545F</v>
          </cell>
          <cell r="B593" t="str">
            <v>U1502011</v>
          </cell>
          <cell r="C593" t="str">
            <v>9403208000</v>
          </cell>
        </row>
        <row r="594">
          <cell r="A594" t="str">
            <v>KWA1560F</v>
          </cell>
          <cell r="B594" t="str">
            <v>U1502004</v>
          </cell>
          <cell r="C594" t="str">
            <v>9403208000</v>
          </cell>
        </row>
        <row r="595">
          <cell r="A595" t="str">
            <v>KWA1845F</v>
          </cell>
          <cell r="B595" t="str">
            <v>U1502012</v>
          </cell>
          <cell r="C595" t="str">
            <v>9403208000</v>
          </cell>
        </row>
        <row r="596">
          <cell r="A596" t="str">
            <v>KWA1860F</v>
          </cell>
          <cell r="B596" t="str">
            <v>U1502005</v>
          </cell>
          <cell r="C596" t="str">
            <v>9403208000</v>
          </cell>
        </row>
        <row r="597">
          <cell r="A597" t="str">
            <v>KWA2245F</v>
          </cell>
          <cell r="B597" t="str">
            <v>U1502013</v>
          </cell>
          <cell r="C597" t="str">
            <v>9403208000</v>
          </cell>
        </row>
        <row r="598">
          <cell r="A598" t="str">
            <v>KWA2260F</v>
          </cell>
          <cell r="B598" t="str">
            <v>U1502006</v>
          </cell>
          <cell r="C598" t="str">
            <v>9403208000</v>
          </cell>
        </row>
        <row r="599">
          <cell r="A599" t="str">
            <v>KWA2745F</v>
          </cell>
          <cell r="B599" t="str">
            <v>U1502014</v>
          </cell>
          <cell r="C599" t="str">
            <v>9403208000</v>
          </cell>
        </row>
        <row r="600">
          <cell r="A600" t="str">
            <v>KWA2760F</v>
          </cell>
          <cell r="B600" t="str">
            <v>U1502007</v>
          </cell>
          <cell r="C600" t="str">
            <v>9403208000</v>
          </cell>
        </row>
        <row r="601">
          <cell r="A601" t="str">
            <v>KWA645F</v>
          </cell>
          <cell r="B601" t="str">
            <v>U1502008</v>
          </cell>
          <cell r="C601" t="str">
            <v>9403208000</v>
          </cell>
        </row>
        <row r="602">
          <cell r="A602" t="str">
            <v>KWA660F</v>
          </cell>
          <cell r="B602" t="str">
            <v>U1502001</v>
          </cell>
          <cell r="C602" t="str">
            <v>9403208000</v>
          </cell>
        </row>
        <row r="603">
          <cell r="A603" t="str">
            <v>KWA945F</v>
          </cell>
          <cell r="B603" t="str">
            <v>U1502009</v>
          </cell>
          <cell r="C603" t="str">
            <v>9403208000</v>
          </cell>
        </row>
        <row r="604">
          <cell r="A604" t="str">
            <v>KWA960F</v>
          </cell>
          <cell r="B604" t="str">
            <v>U1502002</v>
          </cell>
          <cell r="C604" t="str">
            <v>9403208000</v>
          </cell>
        </row>
        <row r="605">
          <cell r="A605" t="str">
            <v>KWG09600FD</v>
          </cell>
          <cell r="B605" t="str">
            <v>U1503001</v>
          </cell>
          <cell r="C605" t="str">
            <v>9403208000</v>
          </cell>
        </row>
        <row r="606">
          <cell r="A606" t="str">
            <v>KWG09600SG</v>
          </cell>
          <cell r="B606" t="str">
            <v>U1503015</v>
          </cell>
          <cell r="C606" t="str">
            <v>9403208000</v>
          </cell>
        </row>
        <row r="607">
          <cell r="A607" t="str">
            <v>KWG12600</v>
          </cell>
          <cell r="B607" t="str">
            <v>U1503002</v>
          </cell>
          <cell r="C607" t="str">
            <v>9403208000</v>
          </cell>
        </row>
        <row r="608">
          <cell r="A608" t="str">
            <v>KWG12600FD</v>
          </cell>
          <cell r="B608" t="str">
            <v>U1503003</v>
          </cell>
          <cell r="C608" t="str">
            <v>9403208000</v>
          </cell>
        </row>
        <row r="609">
          <cell r="A609" t="str">
            <v>KWG12600PED</v>
          </cell>
          <cell r="B609" t="str">
            <v>U1503004</v>
          </cell>
          <cell r="C609" t="str">
            <v>9403208000</v>
          </cell>
        </row>
        <row r="610">
          <cell r="A610" t="str">
            <v>KWG22450</v>
          </cell>
          <cell r="B610" t="str">
            <v>U1503007</v>
          </cell>
          <cell r="C610" t="str">
            <v>9403208000</v>
          </cell>
        </row>
        <row r="611">
          <cell r="A611" t="str">
            <v>KWG22450FD</v>
          </cell>
          <cell r="B611" t="str">
            <v>U1503008</v>
          </cell>
          <cell r="C611" t="str">
            <v>9403208000</v>
          </cell>
        </row>
        <row r="612">
          <cell r="A612" t="str">
            <v>KWG22450PED</v>
          </cell>
          <cell r="B612" t="str">
            <v>U1503009</v>
          </cell>
          <cell r="C612" t="str">
            <v>9403208000</v>
          </cell>
        </row>
        <row r="613">
          <cell r="A613" t="str">
            <v>KWG22600</v>
          </cell>
          <cell r="B613" t="str">
            <v>U1503010</v>
          </cell>
          <cell r="C613" t="str">
            <v>9403208000</v>
          </cell>
        </row>
        <row r="614">
          <cell r="A614" t="str">
            <v>KWG226000PED</v>
          </cell>
          <cell r="B614" t="str">
            <v>U1503012</v>
          </cell>
          <cell r="C614" t="str">
            <v>9403208000</v>
          </cell>
        </row>
        <row r="615">
          <cell r="A615" t="str">
            <v>KWG22600FD</v>
          </cell>
          <cell r="B615" t="str">
            <v>U1503011</v>
          </cell>
          <cell r="C615" t="str">
            <v>9403208000</v>
          </cell>
        </row>
        <row r="616">
          <cell r="A616" t="str">
            <v>KWGDOOR12FD</v>
          </cell>
          <cell r="B616" t="str">
            <v>U1503006</v>
          </cell>
          <cell r="C616" t="str">
            <v>8538909999</v>
          </cell>
        </row>
        <row r="617">
          <cell r="A617" t="str">
            <v>KWGDOOR12PED</v>
          </cell>
          <cell r="B617" t="str">
            <v>U1503005</v>
          </cell>
          <cell r="C617" t="str">
            <v>8538909999</v>
          </cell>
        </row>
        <row r="618">
          <cell r="A618" t="str">
            <v>KWGDOOR22FD</v>
          </cell>
          <cell r="B618" t="str">
            <v>U1503013</v>
          </cell>
          <cell r="C618" t="str">
            <v>8538909999</v>
          </cell>
        </row>
        <row r="619">
          <cell r="A619" t="str">
            <v>KWGDOOR22PED</v>
          </cell>
          <cell r="B619" t="str">
            <v>U1503014</v>
          </cell>
          <cell r="C619" t="str">
            <v>8538909999</v>
          </cell>
        </row>
        <row r="620">
          <cell r="A620" t="str">
            <v>KWI07600</v>
          </cell>
          <cell r="B620" t="str">
            <v>U1504001</v>
          </cell>
          <cell r="C620" t="str">
            <v>9403208000</v>
          </cell>
        </row>
        <row r="621">
          <cell r="A621" t="str">
            <v>KWI07600FDRA</v>
          </cell>
          <cell r="B621" t="str">
            <v>U1504002</v>
          </cell>
          <cell r="C621" t="str">
            <v>9403208000</v>
          </cell>
        </row>
        <row r="622">
          <cell r="A622" t="str">
            <v>KWI09600SGRA</v>
          </cell>
          <cell r="B622" t="str">
            <v>U1504003</v>
          </cell>
          <cell r="C622" t="str">
            <v>9403208000</v>
          </cell>
        </row>
        <row r="623">
          <cell r="A623" t="str">
            <v>KWI12600SGRA</v>
          </cell>
          <cell r="B623" t="str">
            <v>U1504004</v>
          </cell>
          <cell r="C623" t="str">
            <v>9403208000</v>
          </cell>
        </row>
        <row r="624">
          <cell r="A624" t="str">
            <v>KWI12UFD</v>
          </cell>
          <cell r="B624" t="str">
            <v>U1504006</v>
          </cell>
          <cell r="C624" t="str">
            <v>8538100090</v>
          </cell>
        </row>
        <row r="625">
          <cell r="A625" t="str">
            <v>KWI16600SGRA</v>
          </cell>
          <cell r="B625" t="str">
            <v>U1504005</v>
          </cell>
          <cell r="C625" t="str">
            <v>9403208000</v>
          </cell>
        </row>
        <row r="626">
          <cell r="A626" t="str">
            <v>KWIBASE600</v>
          </cell>
          <cell r="B626" t="str">
            <v>U1504008</v>
          </cell>
          <cell r="C626" t="str">
            <v>8538100090</v>
          </cell>
        </row>
        <row r="627">
          <cell r="A627" t="str">
            <v>KWMTBALAI</v>
          </cell>
          <cell r="B627" t="str">
            <v>U1601009</v>
          </cell>
          <cell r="C627" t="str">
            <v>8538909999</v>
          </cell>
        </row>
        <row r="628">
          <cell r="A628" t="str">
            <v>KWP86861PEF8</v>
          </cell>
          <cell r="B628" t="str">
            <v>U0301010</v>
          </cell>
          <cell r="C628" t="str">
            <v>8538909999</v>
          </cell>
        </row>
        <row r="629">
          <cell r="A629" t="str">
            <v>KWP86862PEF8</v>
          </cell>
          <cell r="B629" t="str">
            <v>U0301011</v>
          </cell>
          <cell r="C629" t="str">
            <v>8538909999</v>
          </cell>
        </row>
        <row r="630">
          <cell r="A630" t="str">
            <v>KWP8686A1PEF8</v>
          </cell>
          <cell r="B630" t="str">
            <v>U0301012</v>
          </cell>
          <cell r="C630" t="str">
            <v>8538909999</v>
          </cell>
        </row>
        <row r="631">
          <cell r="A631" t="str">
            <v>KX310100</v>
          </cell>
          <cell r="B631" t="str">
            <v>Z0603003</v>
          </cell>
          <cell r="C631" t="str">
            <v>8544492000</v>
          </cell>
        </row>
        <row r="632">
          <cell r="A632" t="str">
            <v>KX310200</v>
          </cell>
          <cell r="B632" t="str">
            <v>Z0603004</v>
          </cell>
          <cell r="C632" t="str">
            <v>8544492000</v>
          </cell>
        </row>
        <row r="633">
          <cell r="A633" t="str">
            <v>NKEIB2P08LSZH5</v>
          </cell>
          <cell r="B633" t="str">
            <v>N0601001</v>
          </cell>
          <cell r="C633" t="str">
            <v>8544492000</v>
          </cell>
        </row>
        <row r="634">
          <cell r="A634" t="str">
            <v>NKSYT2P20G5</v>
          </cell>
          <cell r="B634" t="str">
            <v>N1201001</v>
          </cell>
          <cell r="C634" t="str">
            <v>8544492000</v>
          </cell>
        </row>
        <row r="635">
          <cell r="A635" t="str">
            <v>OEG3TVs4CT40</v>
          </cell>
          <cell r="B635" t="str">
            <v>O0101003</v>
          </cell>
          <cell r="C635" t="str">
            <v>8544492000</v>
          </cell>
        </row>
        <row r="636">
          <cell r="A636" t="str">
            <v>OEG3TVs4CT5</v>
          </cell>
          <cell r="B636" t="str">
            <v>O0101004</v>
          </cell>
          <cell r="C636" t="str">
            <v>8544492000</v>
          </cell>
        </row>
        <row r="637">
          <cell r="A637" t="str">
            <v>OEG3TVs4DT40</v>
          </cell>
          <cell r="B637" t="str">
            <v>O0101001</v>
          </cell>
          <cell r="C637" t="str">
            <v>8544492000</v>
          </cell>
        </row>
        <row r="638">
          <cell r="A638" t="str">
            <v>OEG3TVs4DT5</v>
          </cell>
          <cell r="B638" t="str">
            <v>O0101002</v>
          </cell>
          <cell r="C638" t="str">
            <v>8544492000</v>
          </cell>
        </row>
        <row r="639">
          <cell r="A639" t="str">
            <v>ORAL2060T500</v>
          </cell>
          <cell r="B639" t="str">
            <v>O0201001</v>
          </cell>
          <cell r="C639" t="str">
            <v>8544492000</v>
          </cell>
        </row>
        <row r="640">
          <cell r="A640" t="str">
            <v>STOEFU64PXSDWHT5</v>
          </cell>
          <cell r="B640" t="str">
            <v>U0102010</v>
          </cell>
          <cell r="C640" t="str">
            <v>8544492000</v>
          </cell>
        </row>
        <row r="641">
          <cell r="A641" t="str">
            <v>XELBC45F05</v>
          </cell>
          <cell r="B641" t="str">
            <v>Z0301001</v>
          </cell>
          <cell r="C641" t="str">
            <v>8544200030</v>
          </cell>
        </row>
        <row r="642">
          <cell r="A642" t="str">
            <v>XELFF6A4PDT5</v>
          </cell>
          <cell r="B642" t="str">
            <v>Z0603001</v>
          </cell>
          <cell r="C642" t="str">
            <v>8544492000</v>
          </cell>
        </row>
        <row r="643">
          <cell r="A643" t="str">
            <v>XELFF6A8PDT5</v>
          </cell>
          <cell r="B643" t="str">
            <v>Z0603002</v>
          </cell>
          <cell r="C643" t="str">
            <v>8544492000</v>
          </cell>
        </row>
        <row r="644">
          <cell r="A644" t="str">
            <v>XELPCFUTP6G015</v>
          </cell>
          <cell r="B644" t="str">
            <v>Z0101006</v>
          </cell>
          <cell r="C644" t="str">
            <v>8544421000</v>
          </cell>
        </row>
        <row r="645">
          <cell r="A645" t="str">
            <v>XELPCFUTP6G03</v>
          </cell>
          <cell r="B645" t="str">
            <v>Z0101010</v>
          </cell>
          <cell r="C645" t="str">
            <v>8544421000</v>
          </cell>
        </row>
        <row r="646">
          <cell r="A646" t="str">
            <v>XELPCFUTP6G05</v>
          </cell>
          <cell r="B646" t="str">
            <v>Z0101009</v>
          </cell>
          <cell r="C646" t="str">
            <v>8544421000</v>
          </cell>
        </row>
        <row r="647">
          <cell r="A647" t="str">
            <v>XELPCFUTP6G1</v>
          </cell>
          <cell r="B647" t="str">
            <v>Z0101008</v>
          </cell>
          <cell r="C647" t="str">
            <v>8544421000</v>
          </cell>
        </row>
        <row r="648">
          <cell r="A648" t="str">
            <v>XELPCFUTP6G10</v>
          </cell>
          <cell r="B648" t="str">
            <v>Z0101007</v>
          </cell>
          <cell r="C648" t="str">
            <v>8544421000</v>
          </cell>
        </row>
        <row r="649">
          <cell r="A649" t="str">
            <v>XELPCFUTP6G15</v>
          </cell>
          <cell r="B649" t="str">
            <v>Z0101011</v>
          </cell>
          <cell r="C649" t="str">
            <v>8544421000</v>
          </cell>
        </row>
        <row r="650">
          <cell r="A650" t="str">
            <v>XELPCFUTP6G2</v>
          </cell>
          <cell r="B650" t="str">
            <v>Z0101012</v>
          </cell>
          <cell r="C650" t="str">
            <v>8544421000</v>
          </cell>
        </row>
        <row r="651">
          <cell r="A651" t="str">
            <v>XELPCFUTP6G20</v>
          </cell>
          <cell r="B651" t="str">
            <v>Z0101005</v>
          </cell>
          <cell r="C651" t="str">
            <v>8544421000</v>
          </cell>
        </row>
        <row r="652">
          <cell r="A652" t="str">
            <v>XELPCFUTP6G25</v>
          </cell>
          <cell r="B652" t="str">
            <v>Z0101004</v>
          </cell>
          <cell r="C652" t="str">
            <v>8544421000</v>
          </cell>
        </row>
        <row r="653">
          <cell r="A653" t="str">
            <v>XELPCFUTP6G3</v>
          </cell>
          <cell r="B653" t="str">
            <v>Z0101003</v>
          </cell>
          <cell r="C653" t="str">
            <v>8544421000</v>
          </cell>
        </row>
        <row r="654">
          <cell r="A654" t="str">
            <v>XELPCFUTP6G30</v>
          </cell>
          <cell r="B654" t="str">
            <v>Z0101002</v>
          </cell>
          <cell r="C654" t="str">
            <v>8544421000</v>
          </cell>
        </row>
        <row r="655">
          <cell r="A655" t="str">
            <v>XELPCFUTP6G5</v>
          </cell>
          <cell r="B655" t="str">
            <v>Z0101001</v>
          </cell>
          <cell r="C655" t="str">
            <v>8544421000</v>
          </cell>
        </row>
        <row r="656">
          <cell r="A656" t="str">
            <v>XELPCSFTP6AZHG015</v>
          </cell>
          <cell r="B656" t="str">
            <v>Z0102017</v>
          </cell>
          <cell r="C656" t="str">
            <v>8544421000</v>
          </cell>
        </row>
        <row r="657">
          <cell r="A657" t="str">
            <v>XELPCSFTP6AZHG03</v>
          </cell>
          <cell r="B657" t="str">
            <v>Z0102016</v>
          </cell>
          <cell r="C657" t="str">
            <v>8544421000</v>
          </cell>
        </row>
        <row r="658">
          <cell r="A658" t="str">
            <v>XELPCSFTP6AZHG05</v>
          </cell>
          <cell r="B658" t="str">
            <v>Z0102015</v>
          </cell>
          <cell r="C658" t="str">
            <v>8544421000</v>
          </cell>
        </row>
        <row r="659">
          <cell r="A659" t="str">
            <v>XELPCSFTP6AZHG1</v>
          </cell>
          <cell r="B659" t="str">
            <v>Z0102014</v>
          </cell>
          <cell r="C659" t="str">
            <v>8544421000</v>
          </cell>
        </row>
        <row r="660">
          <cell r="A660" t="str">
            <v>XELPCSFTP6AZHG10</v>
          </cell>
          <cell r="B660" t="str">
            <v>Z0102013</v>
          </cell>
          <cell r="C660" t="str">
            <v>8544421000</v>
          </cell>
        </row>
        <row r="661">
          <cell r="A661" t="str">
            <v>XELPCSFTP6AZHG15</v>
          </cell>
          <cell r="B661" t="str">
            <v>Z0102012</v>
          </cell>
          <cell r="C661" t="str">
            <v>8544421000</v>
          </cell>
        </row>
        <row r="662">
          <cell r="A662" t="str">
            <v>XELPCSFTP6AZHG2</v>
          </cell>
          <cell r="B662" t="str">
            <v>Z0102011</v>
          </cell>
          <cell r="C662" t="str">
            <v>8544421000</v>
          </cell>
        </row>
        <row r="663">
          <cell r="A663" t="str">
            <v>XELPCSFTP6AZHG20</v>
          </cell>
          <cell r="B663" t="str">
            <v>Z0102010</v>
          </cell>
          <cell r="C663" t="str">
            <v>8544421000</v>
          </cell>
        </row>
        <row r="664">
          <cell r="A664" t="str">
            <v>XELPCSFTP6AZHG25</v>
          </cell>
          <cell r="B664" t="str">
            <v>Z0102009</v>
          </cell>
          <cell r="C664" t="str">
            <v>8544421000</v>
          </cell>
        </row>
        <row r="665">
          <cell r="A665" t="str">
            <v>XELPCSFTP6AZHG3</v>
          </cell>
          <cell r="B665" t="str">
            <v>Z0102008</v>
          </cell>
          <cell r="C665" t="str">
            <v>8544421000</v>
          </cell>
        </row>
        <row r="666">
          <cell r="A666" t="str">
            <v>XELPCSFTP6AZHG30</v>
          </cell>
          <cell r="B666" t="str">
            <v>Z0102007</v>
          </cell>
          <cell r="C666" t="str">
            <v>8544421000</v>
          </cell>
        </row>
        <row r="667">
          <cell r="A667" t="str">
            <v>XELPCSFTP6AZHG4</v>
          </cell>
          <cell r="B667" t="str">
            <v>Z0102006</v>
          </cell>
          <cell r="C667" t="str">
            <v>8544421000</v>
          </cell>
        </row>
        <row r="668">
          <cell r="A668" t="str">
            <v>XELPCSFTP6AZHG5</v>
          </cell>
          <cell r="B668" t="str">
            <v>Z0102005</v>
          </cell>
          <cell r="C668" t="str">
            <v>8544421000</v>
          </cell>
        </row>
        <row r="669">
          <cell r="A669" t="str">
            <v>XELPCSFTP6AZHG50</v>
          </cell>
          <cell r="B669" t="str">
            <v>Z0102004</v>
          </cell>
          <cell r="C669" t="str">
            <v>8544421000</v>
          </cell>
        </row>
        <row r="670">
          <cell r="A670" t="str">
            <v>XELPCSFTP6AZHG6</v>
          </cell>
          <cell r="B670" t="str">
            <v>Z0102003</v>
          </cell>
          <cell r="C670" t="str">
            <v>8544421000</v>
          </cell>
        </row>
        <row r="671">
          <cell r="A671" t="str">
            <v>XELPCSFTP6AZHG8</v>
          </cell>
          <cell r="B671" t="str">
            <v>Z0102002</v>
          </cell>
          <cell r="C671" t="str">
            <v>8544421000</v>
          </cell>
        </row>
        <row r="672">
          <cell r="A672" t="str">
            <v>XELPCSFTP6AZHG05</v>
          </cell>
          <cell r="B672" t="str">
            <v>Z0102001</v>
          </cell>
          <cell r="C672" t="str">
            <v>8544421000</v>
          </cell>
        </row>
        <row r="673">
          <cell r="A673" t="str">
            <v>XELPDUFAL6CBP</v>
          </cell>
          <cell r="B673" t="str">
            <v>Z0201015</v>
          </cell>
          <cell r="C673" t="str">
            <v>8544429090</v>
          </cell>
        </row>
        <row r="674">
          <cell r="A674" t="str">
            <v>XELRMKITAPLATE</v>
          </cell>
          <cell r="B674" t="str">
            <v>Z0501001</v>
          </cell>
          <cell r="C674" t="str">
            <v>8537109899</v>
          </cell>
        </row>
        <row r="675">
          <cell r="A675" t="str">
            <v>XELRMKITPSACTR</v>
          </cell>
          <cell r="B675" t="str">
            <v>Z0501002</v>
          </cell>
          <cell r="C675" t="str">
            <v>8538909999</v>
          </cell>
        </row>
        <row r="676">
          <cell r="A676" t="str">
            <v>XELWCSE12U450</v>
          </cell>
          <cell r="B676" t="str">
            <v>Z0201001</v>
          </cell>
          <cell r="C676" t="str">
            <v>9403208000</v>
          </cell>
        </row>
        <row r="677">
          <cell r="A677" t="str">
            <v>XELWCSE12U600</v>
          </cell>
          <cell r="B677" t="str">
            <v>Z0201002</v>
          </cell>
          <cell r="C677" t="str">
            <v>9403208000</v>
          </cell>
        </row>
        <row r="678">
          <cell r="A678" t="str">
            <v>XELWCSE15U450</v>
          </cell>
          <cell r="B678" t="str">
            <v>Z0201003</v>
          </cell>
          <cell r="C678" t="str">
            <v>9403208000</v>
          </cell>
        </row>
        <row r="679">
          <cell r="A679" t="str">
            <v>XELWCSE15U600</v>
          </cell>
          <cell r="B679" t="str">
            <v>Z0201004</v>
          </cell>
          <cell r="C679" t="str">
            <v>9403208000</v>
          </cell>
        </row>
        <row r="680">
          <cell r="A680" t="str">
            <v>XELWCSE18U450</v>
          </cell>
          <cell r="B680" t="str">
            <v>Z0201005</v>
          </cell>
          <cell r="C680" t="str">
            <v>9403208000</v>
          </cell>
        </row>
        <row r="681">
          <cell r="A681" t="str">
            <v>XELWCSE18U600</v>
          </cell>
          <cell r="B681" t="str">
            <v>Z0201006</v>
          </cell>
          <cell r="C681" t="str">
            <v>9403208000</v>
          </cell>
        </row>
        <row r="682">
          <cell r="A682" t="str">
            <v>XELWCSE22U450</v>
          </cell>
          <cell r="B682" t="str">
            <v>Z0201007</v>
          </cell>
          <cell r="C682" t="str">
            <v>9403208000</v>
          </cell>
        </row>
        <row r="683">
          <cell r="A683" t="str">
            <v>XELWCSE22U600</v>
          </cell>
          <cell r="B683" t="str">
            <v>Z0201008</v>
          </cell>
          <cell r="C683" t="str">
            <v>9403208000</v>
          </cell>
        </row>
        <row r="684">
          <cell r="A684" t="str">
            <v>XELWCSE27U450</v>
          </cell>
          <cell r="B684" t="str">
            <v>Z0201009</v>
          </cell>
          <cell r="C684" t="str">
            <v>9403208000</v>
          </cell>
        </row>
        <row r="685">
          <cell r="A685" t="str">
            <v>XELWCSE27U600</v>
          </cell>
          <cell r="B685" t="str">
            <v>Z0201010</v>
          </cell>
          <cell r="C685" t="str">
            <v>9403208000</v>
          </cell>
        </row>
        <row r="686">
          <cell r="A686" t="str">
            <v>XELWCSE6U450</v>
          </cell>
          <cell r="B686" t="str">
            <v>Z0201011</v>
          </cell>
          <cell r="C686" t="str">
            <v>9403208000</v>
          </cell>
        </row>
        <row r="687">
          <cell r="A687" t="str">
            <v>XELWCSE6U600</v>
          </cell>
          <cell r="B687" t="str">
            <v>Z0201012</v>
          </cell>
          <cell r="C687" t="str">
            <v>9403208000</v>
          </cell>
        </row>
        <row r="688">
          <cell r="A688" t="str">
            <v>XELWCSE9U450</v>
          </cell>
          <cell r="B688" t="str">
            <v>Z0201013</v>
          </cell>
          <cell r="C688" t="str">
            <v>9403208000</v>
          </cell>
        </row>
        <row r="689">
          <cell r="A689" t="str">
            <v>XELWCSE9U600</v>
          </cell>
          <cell r="B689" t="str">
            <v>Z0201014</v>
          </cell>
          <cell r="C689" t="str">
            <v>9403208000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TIN code &amp; packing details"/>
      <sheetName val="NEXKERN GTIN code &amp; packing"/>
      <sheetName val="ORSEAN GTIN code &amp; packing"/>
      <sheetName val="Sheet1"/>
    </sheetNames>
    <sheetDataSet>
      <sheetData sheetId="0">
        <row r="2">
          <cell r="E2" t="str">
            <v>KCU64PZHDGRB</v>
          </cell>
          <cell r="F2" t="str">
            <v>CAT6 CABLE U/UTP 4 PAIRS AWG24 250MHz LSZH CPR DCA GREY RAL7035 500M</v>
          </cell>
          <cell r="G2" t="str">
            <v>Dca</v>
          </cell>
          <cell r="H2">
            <v>16</v>
          </cell>
          <cell r="I2" t="str">
            <v>China</v>
          </cell>
          <cell r="J2">
            <v>38</v>
          </cell>
          <cell r="K2" t="str">
            <v>Kilogram (kg)</v>
          </cell>
        </row>
        <row r="3">
          <cell r="E3" t="str">
            <v>KCU64PLZHDGR5</v>
          </cell>
          <cell r="F3" t="str">
            <v>CAT6 CABLE U/UTP 4 PAIRS AWG24 250MHz LSZH CPR DCA GREY RAL7035 500M</v>
          </cell>
          <cell r="G3" t="str">
            <v>Dca</v>
          </cell>
          <cell r="H3">
            <v>16</v>
          </cell>
          <cell r="I3" t="str">
            <v>China</v>
          </cell>
          <cell r="J3">
            <v>40</v>
          </cell>
          <cell r="K3" t="str">
            <v>Kilogram (kg)</v>
          </cell>
        </row>
        <row r="4">
          <cell r="E4" t="str">
            <v>KCU64PLZHDGRB</v>
          </cell>
          <cell r="F4" t="str">
            <v>CAT6 CABLE U/UTP 4 PAIRS AWG24 250MHz LSZH CPR DCA GREY RAL7035 B305M</v>
          </cell>
          <cell r="G4" t="str">
            <v>Dca</v>
          </cell>
          <cell r="H4">
            <v>15.12</v>
          </cell>
          <cell r="I4" t="str">
            <v>China</v>
          </cell>
          <cell r="J4">
            <v>40</v>
          </cell>
          <cell r="K4" t="str">
            <v>Kilogram (kg)</v>
          </cell>
        </row>
        <row r="5">
          <cell r="E5" t="str">
            <v>KCU64PLGRB</v>
          </cell>
          <cell r="F5" t="str">
            <v>CAT6 CABLE U/UTP 4 PAIRS AWG24 TEST UP TO 400MHz PVC CPR ECA GREY RAL7035 B305M</v>
          </cell>
          <cell r="G5" t="str">
            <v>ECA</v>
          </cell>
          <cell r="H5">
            <v>15.12</v>
          </cell>
          <cell r="I5" t="str">
            <v>China</v>
          </cell>
          <cell r="J5">
            <v>38</v>
          </cell>
          <cell r="K5" t="str">
            <v>Kilogram (kg)</v>
          </cell>
        </row>
        <row r="6">
          <cell r="E6" t="str">
            <v>KCFU64PZHDGR5</v>
          </cell>
          <cell r="F6" t="str">
            <v>CAT6 CABLE F/UTP 4 PAIRS AWG23 250MHz LSZH CPR DCA GREY RAL7035 500M</v>
          </cell>
          <cell r="G6" t="str">
            <v>Dca</v>
          </cell>
          <cell r="H6">
            <v>17.5</v>
          </cell>
          <cell r="I6" t="str">
            <v>China</v>
          </cell>
          <cell r="J6">
            <v>49</v>
          </cell>
          <cell r="K6" t="str">
            <v>Kilogram (kg)</v>
          </cell>
        </row>
        <row r="7">
          <cell r="E7" t="str">
            <v>KCFU68PZHDGR5</v>
          </cell>
          <cell r="F7" t="str">
            <v>CAT6 CABLE F/UTP 2x4 PAIRS AWG23 250MHz LSZH CPR DCA GREY RAL7035 500M</v>
          </cell>
          <cell r="G7" t="str">
            <v>Dca</v>
          </cell>
          <cell r="H7">
            <v>35</v>
          </cell>
          <cell r="I7" t="str">
            <v>China</v>
          </cell>
          <cell r="J7">
            <v>98</v>
          </cell>
          <cell r="K7" t="str">
            <v>Kilogram (kg)</v>
          </cell>
        </row>
        <row r="8">
          <cell r="E8" t="str">
            <v>KCFU64PZHDGRB</v>
          </cell>
          <cell r="F8" t="str">
            <v>CAT6 CABLE F/UTP 4 PAIRS AWG23 250MHz LSZH CPR DCA GREY RAL7035 B305M</v>
          </cell>
          <cell r="G8" t="str">
            <v>Dca</v>
          </cell>
          <cell r="H8">
            <v>18</v>
          </cell>
          <cell r="I8" t="str">
            <v>China</v>
          </cell>
          <cell r="J8">
            <v>49</v>
          </cell>
          <cell r="K8" t="str">
            <v>Kilogram (kg)</v>
          </cell>
        </row>
        <row r="9">
          <cell r="E9" t="str">
            <v>KCU6A4PLZHDBL5</v>
          </cell>
          <cell r="F9" t="str">
            <v>CAT6A CABLE U/UTP 4 PAIRS AWG23 500MHz LSZH CPR DCA BLUE RAL5024 500M</v>
          </cell>
          <cell r="G9" t="str">
            <v>Dca</v>
          </cell>
          <cell r="H9">
            <v>16.399999999999999</v>
          </cell>
          <cell r="I9" t="str">
            <v>China</v>
          </cell>
          <cell r="J9">
            <v>45</v>
          </cell>
          <cell r="K9" t="str">
            <v>Kilogram (kg)</v>
          </cell>
        </row>
        <row r="10">
          <cell r="E10" t="str">
            <v>KCU6A4PLZHDVI5</v>
          </cell>
          <cell r="F10"/>
          <cell r="G10"/>
          <cell r="H10"/>
          <cell r="I10" t="str">
            <v>China</v>
          </cell>
          <cell r="J10">
            <v>45</v>
          </cell>
          <cell r="K10" t="str">
            <v>Kilogram (kg)</v>
          </cell>
        </row>
        <row r="11">
          <cell r="E11" t="str">
            <v>KCUF6A4PZHDBL5</v>
          </cell>
          <cell r="F11" t="str">
            <v>CAT6A CABLE U/FTP 4 PAIRS AWG23 500MHz LSZH CPR DCA BLUE RAL5024 500M</v>
          </cell>
          <cell r="G11" t="str">
            <v>Dca</v>
          </cell>
          <cell r="H11">
            <v>18</v>
          </cell>
          <cell r="I11" t="str">
            <v>China</v>
          </cell>
          <cell r="J11">
            <v>50</v>
          </cell>
          <cell r="K11" t="str">
            <v>Kilogram (kg)</v>
          </cell>
        </row>
        <row r="12">
          <cell r="E12" t="str">
            <v>KCUF6A8PZHDBL5</v>
          </cell>
          <cell r="F12" t="str">
            <v>CAT6A CABLE U/FTP 2x4 PAIRS AWG23 500MHz LSZH CPR DCA BLUE RAL5024 500M</v>
          </cell>
          <cell r="G12" t="str">
            <v>Dca</v>
          </cell>
          <cell r="H12">
            <v>36</v>
          </cell>
          <cell r="I12" t="str">
            <v>China</v>
          </cell>
          <cell r="J12">
            <v>100</v>
          </cell>
          <cell r="K12" t="str">
            <v>Kilogram (kg)</v>
          </cell>
        </row>
        <row r="13">
          <cell r="E13" t="str">
            <v>KCUF6A4PZHCBL5</v>
          </cell>
          <cell r="F13" t="str">
            <v>CAT6A CABLE U/FTP 4 PAIRS AWG23 500MHz LSZH CPR CCA BLUE RAL5024 500M</v>
          </cell>
          <cell r="G13" t="str">
            <v>Cca</v>
          </cell>
          <cell r="H13">
            <v>18</v>
          </cell>
          <cell r="I13" t="str">
            <v>China</v>
          </cell>
          <cell r="J13">
            <v>51</v>
          </cell>
          <cell r="K13" t="str">
            <v>Kilogram (kg)</v>
          </cell>
        </row>
        <row r="14">
          <cell r="E14" t="str">
            <v>KCUF6A4PZHB2BL5</v>
          </cell>
          <cell r="F14" t="str">
            <v>CAT6A CABLE U/FTP 4 PAIRS AWG23 500MHz LSZH CPR B2CA BLUE RAL5024 500M</v>
          </cell>
          <cell r="G14" t="str">
            <v>B2ca</v>
          </cell>
          <cell r="H14">
            <v>18</v>
          </cell>
          <cell r="I14" t="str">
            <v>China</v>
          </cell>
          <cell r="J14">
            <v>51</v>
          </cell>
          <cell r="K14" t="str">
            <v>Kilogram (kg)</v>
          </cell>
        </row>
        <row r="15">
          <cell r="E15" t="str">
            <v>KCFU6A4PZHDWH5</v>
          </cell>
          <cell r="F15" t="str">
            <v>CAT6A CABLE F/UTP 4 PAIRS AWG23 500MHz LSZH CPR DCA WHITE RAL9003 500M</v>
          </cell>
          <cell r="G15" t="str">
            <v>Dca</v>
          </cell>
          <cell r="H15">
            <v>16.600000000000001</v>
          </cell>
          <cell r="I15" t="str">
            <v>China</v>
          </cell>
          <cell r="J15">
            <v>49</v>
          </cell>
          <cell r="K15" t="str">
            <v>Kilogram (kg)</v>
          </cell>
        </row>
        <row r="16">
          <cell r="E16" t="str">
            <v>KCFF6A4PZHDBL5</v>
          </cell>
          <cell r="F16" t="str">
            <v>CAT6A CABLE F/FTP 4 PAIRS AWG23 500MHz LSZH CPR DCA BLUE RAL5024 500M</v>
          </cell>
          <cell r="G16" t="str">
            <v>Dca</v>
          </cell>
          <cell r="H16">
            <v>17.8</v>
          </cell>
          <cell r="I16" t="str">
            <v>China</v>
          </cell>
          <cell r="J16">
            <v>50</v>
          </cell>
          <cell r="K16" t="str">
            <v>Kilogram (kg)</v>
          </cell>
        </row>
        <row r="17">
          <cell r="E17" t="str">
            <v>KCFF6A4PZHDBLB</v>
          </cell>
          <cell r="F17" t="str">
            <v>CAT6A CABLE F/FTP 4 PAIRS AWG23 500MHz LSZH CPR DCA BLUE RAL5024 305M</v>
          </cell>
          <cell r="G17" t="str">
            <v>Dca</v>
          </cell>
          <cell r="H17">
            <v>17.8</v>
          </cell>
          <cell r="I17" t="str">
            <v>China</v>
          </cell>
          <cell r="J17">
            <v>32</v>
          </cell>
          <cell r="K17" t="str">
            <v>Kilogram (kg)</v>
          </cell>
        </row>
        <row r="18">
          <cell r="E18" t="str">
            <v>KCFF6A8PZHDBL5</v>
          </cell>
          <cell r="F18" t="str">
            <v>CAT6A CABLE F/FTP 2x4 PAIRS AWG23 500MHz LSZH CPR DCA BLUE RAL5024 500M</v>
          </cell>
          <cell r="G18" t="str">
            <v>Dca</v>
          </cell>
          <cell r="H18">
            <v>35.6</v>
          </cell>
          <cell r="I18" t="str">
            <v>China</v>
          </cell>
          <cell r="J18">
            <v>100</v>
          </cell>
          <cell r="K18" t="str">
            <v>Kilogram (kg)</v>
          </cell>
        </row>
        <row r="19">
          <cell r="E19" t="str">
            <v>KCFF6A4PZHDGR5</v>
          </cell>
          <cell r="F19" t="str">
            <v>CAT6A CABLE F/FTP 4 PAIRS AWG23 500MHz LSZH CPR DCA GREY RAL7035 500M</v>
          </cell>
          <cell r="G19" t="str">
            <v>Dca</v>
          </cell>
          <cell r="H19">
            <v>17.8</v>
          </cell>
          <cell r="I19" t="str">
            <v>China</v>
          </cell>
          <cell r="J19">
            <v>50</v>
          </cell>
          <cell r="K19" t="str">
            <v>Kilogram (kg)</v>
          </cell>
        </row>
        <row r="20">
          <cell r="E20" t="str">
            <v>KCFF6A8PZHDGR5</v>
          </cell>
          <cell r="F20" t="str">
            <v>CAT6A CABLE F/FTP 2x4 PAIRS AWG23 500MHz LSZH CPR DCA GREY RAL7035 500M</v>
          </cell>
          <cell r="G20" t="str">
            <v>Dca</v>
          </cell>
          <cell r="H20">
            <v>35.6</v>
          </cell>
          <cell r="I20" t="str">
            <v>China</v>
          </cell>
          <cell r="J20">
            <v>100</v>
          </cell>
          <cell r="K20" t="str">
            <v>Kilogram (kg)</v>
          </cell>
        </row>
        <row r="21">
          <cell r="E21" t="str">
            <v>KCFF6A4PZHCBL5</v>
          </cell>
          <cell r="F21" t="str">
            <v>CAT6A CABLE F/FTP 4 PAIRS AWG23 500MHz LSZH CPR CCA BLUE RAL5024 500M</v>
          </cell>
          <cell r="G21" t="str">
            <v>Cca</v>
          </cell>
          <cell r="H21">
            <v>18</v>
          </cell>
          <cell r="I21" t="str">
            <v>China</v>
          </cell>
          <cell r="J21">
            <v>51</v>
          </cell>
          <cell r="K21" t="str">
            <v>Kilogram (kg)</v>
          </cell>
        </row>
        <row r="22">
          <cell r="E22" t="str">
            <v>KCFF6A8PZHCBL5</v>
          </cell>
          <cell r="F22" t="str">
            <v>CAT6A CABLE F/FTP 2x4 PAIRS AWG23 500MHz LSZH CPR CCA BLUE RAL5024 500M</v>
          </cell>
          <cell r="G22" t="str">
            <v>Cca</v>
          </cell>
          <cell r="H22">
            <v>36</v>
          </cell>
          <cell r="I22" t="str">
            <v>China</v>
          </cell>
          <cell r="J22">
            <v>100</v>
          </cell>
          <cell r="K22" t="str">
            <v>Kilogram (kg)</v>
          </cell>
        </row>
        <row r="23">
          <cell r="E23" t="str">
            <v>KCFF6A4PZHB2BL5</v>
          </cell>
          <cell r="F23" t="str">
            <v>CAT6A CABLE F/FTP 4 PAIRS AWG23 500MHz LSZH CPR B2CA BLUE RAL5024 500M</v>
          </cell>
          <cell r="G23" t="str">
            <v>B2ca</v>
          </cell>
          <cell r="H23">
            <v>18</v>
          </cell>
          <cell r="I23" t="str">
            <v>China</v>
          </cell>
          <cell r="J23">
            <v>51</v>
          </cell>
          <cell r="K23" t="str">
            <v>Kilogram (kg)</v>
          </cell>
        </row>
        <row r="24">
          <cell r="E24" t="str">
            <v>KCSF6A4PZHDBL5</v>
          </cell>
          <cell r="F24" t="str">
            <v>CAT6A CABLE S/FTP 4 PAIRS AWG23 500MHz LSZH CPR DCA BLUE RAL5024 500M</v>
          </cell>
          <cell r="G24" t="str">
            <v>Dca</v>
          </cell>
          <cell r="H24">
            <v>21</v>
          </cell>
          <cell r="I24" t="str">
            <v>China</v>
          </cell>
          <cell r="J24">
            <v>52</v>
          </cell>
          <cell r="K24" t="str">
            <v>Kilogram (kg)</v>
          </cell>
        </row>
        <row r="25">
          <cell r="E25" t="str">
            <v>KCSF6A8PZHDBL5</v>
          </cell>
          <cell r="F25" t="str">
            <v>CAT6A CABLE S/FTP 2x4 PAIRS AWG23 500MHz LSZH CPR DCA BLUE RAL5024 500M</v>
          </cell>
          <cell r="G25" t="str">
            <v>Dca</v>
          </cell>
          <cell r="H25">
            <v>42</v>
          </cell>
          <cell r="I25" t="str">
            <v>China</v>
          </cell>
          <cell r="J25">
            <v>104</v>
          </cell>
          <cell r="K25" t="str">
            <v>Kilogram (kg)</v>
          </cell>
        </row>
        <row r="26">
          <cell r="E26" t="str">
            <v>KCSF6A4PZHCBL5</v>
          </cell>
          <cell r="F26" t="str">
            <v>CAT6A CABLE S/FTP 4 PAIRS AWG23 LSZH CPR CCA BLUE RAL5024 500M</v>
          </cell>
          <cell r="G26" t="str">
            <v>Cca</v>
          </cell>
          <cell r="H26">
            <v>23</v>
          </cell>
          <cell r="I26" t="str">
            <v>Turkey</v>
          </cell>
          <cell r="J26">
            <v>24.5</v>
          </cell>
          <cell r="K26" t="str">
            <v>Kilogram (kg)</v>
          </cell>
        </row>
        <row r="27">
          <cell r="E27" t="str">
            <v>KCSF74PZHDOR5</v>
          </cell>
          <cell r="F27" t="str">
            <v>CAT7 CABLE S/FTP 4 PAIRS AWG23 600MHz LSZH CPR DCA ORANGE RAL2003 500M</v>
          </cell>
          <cell r="G27" t="str">
            <v>Dca</v>
          </cell>
          <cell r="H27">
            <v>21</v>
          </cell>
          <cell r="I27" t="str">
            <v>China</v>
          </cell>
          <cell r="J27">
            <v>52</v>
          </cell>
          <cell r="K27" t="str">
            <v>Kilogram (kg)</v>
          </cell>
        </row>
        <row r="28">
          <cell r="E28" t="str">
            <v>KCSF78PZHDOR5</v>
          </cell>
          <cell r="F28" t="str">
            <v>CAT7 CABLE S/FTP 2x4 PAIRS AWG23 600MHz LSZH CPR DCA ORANGE RAL2003 500M</v>
          </cell>
          <cell r="G28" t="str">
            <v>Dca</v>
          </cell>
          <cell r="H28">
            <v>42</v>
          </cell>
          <cell r="I28" t="str">
            <v>China</v>
          </cell>
          <cell r="J28">
            <v>104</v>
          </cell>
          <cell r="K28" t="str">
            <v>Kilogram (kg)</v>
          </cell>
        </row>
        <row r="29">
          <cell r="E29" t="str">
            <v>KCSF78PZHCOR5</v>
          </cell>
          <cell r="F29" t="str">
            <v>CAT7 CABLE S/FTP 2x4 PAIRS AWG23 600MHz LSZH CPR CCA ORANGE RAL2003 500M</v>
          </cell>
          <cell r="G29" t="str">
            <v>Cca</v>
          </cell>
          <cell r="H29">
            <v>46</v>
          </cell>
          <cell r="I29" t="str">
            <v>China</v>
          </cell>
          <cell r="J29">
            <v>106</v>
          </cell>
          <cell r="K29" t="str">
            <v>Kilogram (kg)</v>
          </cell>
        </row>
        <row r="30">
          <cell r="E30" t="str">
            <v>KCSF74PZHCOR5</v>
          </cell>
          <cell r="F30" t="str">
            <v>CAT7 CABLE S/FTP 4 PAIRS AWG23 600MHz LSZH CPR CCA ORANGE RAL2003 500M</v>
          </cell>
          <cell r="G30" t="str">
            <v>Cca</v>
          </cell>
          <cell r="H30">
            <v>21</v>
          </cell>
          <cell r="I30" t="str">
            <v>China</v>
          </cell>
          <cell r="J30">
            <v>53</v>
          </cell>
          <cell r="K30" t="str">
            <v>Kilogram (kg)</v>
          </cell>
        </row>
        <row r="31">
          <cell r="E31" t="str">
            <v>KCSF74PZHB2OR5</v>
          </cell>
          <cell r="F31" t="str">
            <v>CAT7 CABLE S/FTP 4 PAIRS AWG23 600MHz LSZH CPR B2CA ORANGE RAL2003 500M</v>
          </cell>
          <cell r="G31" t="str">
            <v>B2ca</v>
          </cell>
          <cell r="H31">
            <v>21</v>
          </cell>
          <cell r="I31" t="str">
            <v>China</v>
          </cell>
          <cell r="J31">
            <v>53</v>
          </cell>
          <cell r="K31" t="str">
            <v>Kilogram (kg)</v>
          </cell>
        </row>
        <row r="32">
          <cell r="E32" t="str">
            <v>KCSF7A4PZHB2BR5</v>
          </cell>
          <cell r="F32" t="str">
            <v>CAT7A CABLE S/FTP 4 PAIRS AWG23 TESTED UP TO 1200MHz LSZH CPR B2CA BROWN RAL8011 500M</v>
          </cell>
          <cell r="G32" t="str">
            <v>B2ca</v>
          </cell>
          <cell r="H32">
            <v>25</v>
          </cell>
          <cell r="I32" t="str">
            <v>Turkey</v>
          </cell>
          <cell r="J32">
            <v>26.5</v>
          </cell>
          <cell r="K32" t="str">
            <v>Kilogram (kg)</v>
          </cell>
        </row>
        <row r="33">
          <cell r="E33" t="str">
            <v>OEG3TVs4DT5</v>
          </cell>
          <cell r="F33" t="str">
            <v>G3TV CABLE F/FTP 1x4 PAIRS AWG23 2200MHz LSZH CPR DCA WHITE RAL9003 500M 85dB</v>
          </cell>
          <cell r="G33" t="str">
            <v>Dca</v>
          </cell>
          <cell r="H33">
            <v>17.8</v>
          </cell>
          <cell r="I33" t="str">
            <v>China</v>
          </cell>
          <cell r="J33">
            <v>56</v>
          </cell>
          <cell r="K33" t="str">
            <v>Kilogram (kg)</v>
          </cell>
        </row>
        <row r="34">
          <cell r="E34" t="str">
            <v>OEG3TVs4DT40</v>
          </cell>
          <cell r="F34" t="str">
            <v>G3TV CABLE F/FTP 1x4 PAIRS AWG23 2200MHz LSZH CPR DCA WHITE RAL9003 4000M 85dB</v>
          </cell>
          <cell r="G34" t="str">
            <v>Dca</v>
          </cell>
          <cell r="H34">
            <v>17.8</v>
          </cell>
          <cell r="I34" t="str">
            <v>China</v>
          </cell>
          <cell r="J34">
            <v>56</v>
          </cell>
          <cell r="K34" t="str">
            <v>Kilogram (kg)</v>
          </cell>
        </row>
        <row r="35">
          <cell r="E35" t="str">
            <v>KCUF6A4PZHDBL5</v>
          </cell>
          <cell r="F35" t="str">
            <v>CAT6A CABLE U/FTP 4 PAIRS AWG23 500MHz LSZH CPR DCA BLUE RAL5024 500M</v>
          </cell>
          <cell r="G35" t="str">
            <v>Dca</v>
          </cell>
          <cell r="H35">
            <v>18</v>
          </cell>
          <cell r="I35" t="str">
            <v>Turkey</v>
          </cell>
          <cell r="J35">
            <v>50</v>
          </cell>
          <cell r="K35" t="str">
            <v>Kilogram (kg)</v>
          </cell>
        </row>
        <row r="36">
          <cell r="E36" t="str">
            <v>KCUF6A8PZHDBL5</v>
          </cell>
          <cell r="F36" t="str">
            <v>CAT6A CABLE U/FTP 2x4 PAIRS AWG23 500MHz LSZH CPR DCA BLUE RAL5024 500M</v>
          </cell>
          <cell r="G36" t="str">
            <v>Dca</v>
          </cell>
          <cell r="H36">
            <v>36</v>
          </cell>
          <cell r="I36" t="str">
            <v>Turkey</v>
          </cell>
          <cell r="J36">
            <v>100</v>
          </cell>
          <cell r="K36" t="str">
            <v>Kilogram (kg)</v>
          </cell>
        </row>
        <row r="37">
          <cell r="E37" t="str">
            <v>KCFF6A4PZHDBL5</v>
          </cell>
          <cell r="F37" t="str">
            <v>CAT6A CABLE F/FTP 4 PAIRS AWG23 500MHz LSZH CPR DCA BLUE RAL5024 500M</v>
          </cell>
          <cell r="G37" t="str">
            <v>Dca</v>
          </cell>
          <cell r="H37">
            <v>18</v>
          </cell>
          <cell r="I37" t="str">
            <v>Turkey</v>
          </cell>
          <cell r="J37">
            <v>50</v>
          </cell>
          <cell r="K37" t="str">
            <v>Kilogram (kg)</v>
          </cell>
        </row>
        <row r="38">
          <cell r="E38" t="str">
            <v>KCFF6A8PZHDBL5</v>
          </cell>
          <cell r="F38" t="str">
            <v>CAT6A CABLE F/FTP 2x4 PAIRS AWG23 500MHz LSZH CPR DCA BLUE RAL5024 500M</v>
          </cell>
          <cell r="G38" t="str">
            <v>Dca</v>
          </cell>
          <cell r="H38">
            <v>36</v>
          </cell>
          <cell r="I38" t="str">
            <v>Turkey</v>
          </cell>
          <cell r="J38">
            <v>100</v>
          </cell>
          <cell r="K38" t="str">
            <v>Kilogram (kg)</v>
          </cell>
        </row>
        <row r="39">
          <cell r="E39" t="str">
            <v>KCSF6A4PZHDBL5</v>
          </cell>
          <cell r="F39" t="str">
            <v>CAT6A CABLE S/FTP 4 PAIRS AWG23 500MHz LSZH CPR DCA BLUE RAL5024 500M</v>
          </cell>
          <cell r="G39" t="str">
            <v>Dca</v>
          </cell>
          <cell r="H39">
            <v>21</v>
          </cell>
          <cell r="I39" t="str">
            <v>Turkey</v>
          </cell>
          <cell r="J39">
            <v>52</v>
          </cell>
          <cell r="K39" t="str">
            <v>Kilogram (kg)</v>
          </cell>
        </row>
        <row r="40">
          <cell r="E40" t="str">
            <v>KCSF74PZHCOR5</v>
          </cell>
          <cell r="F40" t="str">
            <v>CAT7 CABLE S/FTP 4 PAIRS AWG23 600MHz LSZH CPR CCA ORANGE RAL2003 500M</v>
          </cell>
          <cell r="G40" t="str">
            <v>Cca</v>
          </cell>
          <cell r="H40">
            <v>21</v>
          </cell>
          <cell r="I40" t="str">
            <v>Turkey</v>
          </cell>
          <cell r="J40">
            <v>52</v>
          </cell>
          <cell r="K40" t="str">
            <v>Kilogram (kg)</v>
          </cell>
        </row>
        <row r="41">
          <cell r="E41" t="str">
            <v>KCSF78PZHCOR5</v>
          </cell>
          <cell r="F41" t="str">
            <v>CAT7 CABLE S/FTP 2x4 PAIRS AWG23 600MHz LSZH CPR DCA ORANGE RAL2003 500M</v>
          </cell>
          <cell r="G41" t="str">
            <v>Dca</v>
          </cell>
          <cell r="H41">
            <v>42</v>
          </cell>
          <cell r="I41" t="str">
            <v>Turkey</v>
          </cell>
          <cell r="J41">
            <v>104</v>
          </cell>
          <cell r="K41" t="str">
            <v>Kilogram (kg)</v>
          </cell>
        </row>
        <row r="42">
          <cell r="E42" t="str">
            <v>KCSF74PZHDOR5</v>
          </cell>
          <cell r="F42" t="str">
            <v>CAT7 CABLE S/FTP 4 PAIRS AWG23 600MHz LSZH CPR DCA ORANGE RAL2003 500M</v>
          </cell>
          <cell r="G42" t="str">
            <v>Dca</v>
          </cell>
          <cell r="H42">
            <v>21</v>
          </cell>
          <cell r="I42" t="str">
            <v>Turkey</v>
          </cell>
          <cell r="J42">
            <v>52</v>
          </cell>
          <cell r="K42" t="str">
            <v>Kilogram (kg)</v>
          </cell>
        </row>
        <row r="43">
          <cell r="E43" t="str">
            <v>KCSF78PZHDOR5</v>
          </cell>
          <cell r="F43" t="str">
            <v>CAT7 CABLE S/FTP 2x4 PAIRS AWG23 600MHz LSZH CPR DCA ORANGE RAL2003 500M</v>
          </cell>
          <cell r="G43" t="str">
            <v>Dca</v>
          </cell>
          <cell r="H43">
            <v>42</v>
          </cell>
          <cell r="I43" t="str">
            <v>Turkey</v>
          </cell>
          <cell r="J43">
            <v>104</v>
          </cell>
          <cell r="K43" t="str">
            <v>Kilogram (kg)</v>
          </cell>
        </row>
        <row r="44">
          <cell r="E44" t="str">
            <v>KCFF6A4PZHDGR5</v>
          </cell>
          <cell r="F44" t="str">
            <v>CAT6A CABLE F/FTP 4 PAIRS AWG23 500MHz LSZH CPR DCA GREY RAL7035 500M</v>
          </cell>
          <cell r="G44" t="str">
            <v>Dca</v>
          </cell>
          <cell r="H44">
            <v>18</v>
          </cell>
          <cell r="I44" t="str">
            <v>Turkey</v>
          </cell>
          <cell r="J44">
            <v>50</v>
          </cell>
          <cell r="K44" t="str">
            <v>Kilogram (kg)</v>
          </cell>
        </row>
        <row r="45">
          <cell r="E45" t="str">
            <v>KCFF6A8PZHDGR5</v>
          </cell>
          <cell r="F45" t="str">
            <v>CAT6A CABLE F/FTP 2x4 PAIRS AWG23 500MHz LSZH CPR DCA GREY RAL7035 500M</v>
          </cell>
          <cell r="G45" t="str">
            <v>Dca</v>
          </cell>
          <cell r="H45">
            <v>36</v>
          </cell>
          <cell r="I45" t="str">
            <v>Turkey</v>
          </cell>
          <cell r="J45">
            <v>100</v>
          </cell>
          <cell r="K45" t="str">
            <v>Kilogram (kg)</v>
          </cell>
        </row>
        <row r="46">
          <cell r="E46" t="str">
            <v>KCSF84PZHB2LI5</v>
          </cell>
          <cell r="F46" t="str">
            <v>CAT8.2 CABLE S/FTP 4 PAIRS AWG22 TESTED UP TO 2000MHz LSZH CPR B2CA LIME GREEN RAL6039 500M</v>
          </cell>
          <cell r="G46" t="str">
            <v>B2ca</v>
          </cell>
          <cell r="H46">
            <v>27.6</v>
          </cell>
          <cell r="I46" t="str">
            <v>China</v>
          </cell>
          <cell r="J46">
            <v>68</v>
          </cell>
          <cell r="K46" t="str">
            <v>Kilogram (kg)</v>
          </cell>
        </row>
        <row r="47">
          <cell r="E47" t="str">
            <v>KCSF6A4PZHMCB2R5</v>
          </cell>
          <cell r="F47" t="str">
            <v>CAT6A CABLE S/FTP 4 PAIRS AWG23 LSZH CPR B2CA PH120 500M</v>
          </cell>
          <cell r="G47" t="str">
            <v>B2ca</v>
          </cell>
          <cell r="H47">
            <v>35.119999999999997</v>
          </cell>
          <cell r="I47" t="str">
            <v>China</v>
          </cell>
          <cell r="J47">
            <v>52</v>
          </cell>
          <cell r="K47" t="str">
            <v>kilogram (kg)</v>
          </cell>
        </row>
        <row r="48">
          <cell r="E48" t="str">
            <v>KCFU64PZHMCB2R5</v>
          </cell>
          <cell r="F48" t="str">
            <v>CAT6 CABLE F/UTP 4 PAIRS AWG23 TESTED UP TO 450MHz LSZH CPR B2CA PH90 500M</v>
          </cell>
          <cell r="G48" t="str">
            <v>B2ca</v>
          </cell>
          <cell r="H48">
            <v>23.77</v>
          </cell>
          <cell r="I48" t="str">
            <v>China</v>
          </cell>
          <cell r="J48"/>
          <cell r="K48" t="str">
            <v>kilogram (kg)</v>
          </cell>
        </row>
        <row r="49">
          <cell r="E49" t="str">
            <v>KJ6U90DEF24</v>
          </cell>
          <cell r="F49" t="str">
            <v xml:space="preserve">CAT6 RJ45 KEYSTONE JACK UNSHIELDED 90° DUAL IDC 24PCS PER ECO FRIENDLY CARTON </v>
          </cell>
          <cell r="G49"/>
          <cell r="H49"/>
          <cell r="I49" t="str">
            <v>China</v>
          </cell>
          <cell r="J49">
            <v>15</v>
          </cell>
          <cell r="K49" t="str">
            <v>Gram (g)</v>
          </cell>
        </row>
        <row r="50">
          <cell r="E50" t="str">
            <v>KJ6U180DEF24</v>
          </cell>
          <cell r="F50" t="str">
            <v>CAT6 RJ45 KESYTONE JACK UNSHIELDED 180° DUAL IDC 24PCS PER ECO FRIENDLY CARTON</v>
          </cell>
          <cell r="G50"/>
          <cell r="H50"/>
          <cell r="I50" t="str">
            <v>China</v>
          </cell>
          <cell r="J50">
            <v>15</v>
          </cell>
          <cell r="K50" t="str">
            <v>Gram (g)</v>
          </cell>
        </row>
        <row r="51">
          <cell r="E51" t="str">
            <v>KJ6UEF24</v>
          </cell>
          <cell r="F51" t="str">
            <v>CAT6 RJ45 KEYSTONE JACK UNSHIELDED TOOLESS 24PCS PER ECO FRIENDLY CARTON</v>
          </cell>
          <cell r="G51"/>
          <cell r="H51"/>
          <cell r="I51" t="str">
            <v>China</v>
          </cell>
          <cell r="J51">
            <v>15</v>
          </cell>
          <cell r="K51" t="str">
            <v>Gram (g)</v>
          </cell>
        </row>
        <row r="52">
          <cell r="E52" t="str">
            <v>KJ6UHQEF24</v>
          </cell>
          <cell r="F52" t="str">
            <v>CAT6 RJ45 KEYSTONE JACK UNSHIELDED TOOLESS INTERTEK CERTIFIED 24PCS PER ECO FRIENDLY CARTON</v>
          </cell>
          <cell r="G52"/>
          <cell r="H52"/>
          <cell r="I52" t="str">
            <v>China</v>
          </cell>
          <cell r="J52">
            <v>15</v>
          </cell>
          <cell r="K52" t="str">
            <v>Gram (g)</v>
          </cell>
        </row>
        <row r="53">
          <cell r="E53" t="str">
            <v>KJ6FSEF1</v>
          </cell>
          <cell r="F53" t="str">
            <v>CAT6 RJ45 KEYSTONE JACK SHIELDED TOOLESS 1PC PER ECO FRIENDLY BAG</v>
          </cell>
          <cell r="G53"/>
          <cell r="H53"/>
          <cell r="I53" t="str">
            <v>China</v>
          </cell>
          <cell r="J53">
            <v>20</v>
          </cell>
          <cell r="K53" t="str">
            <v>Gram (g)</v>
          </cell>
        </row>
        <row r="54">
          <cell r="E54" t="str">
            <v>KJ6FSEF8</v>
          </cell>
          <cell r="F54" t="str">
            <v>CAT6 RJ45 KEYSTONE JACK SHIELDED TOOLESS 8PCS PER ECO FRIENDLY CARTON</v>
          </cell>
          <cell r="G54"/>
          <cell r="H54"/>
          <cell r="I54" t="str">
            <v>China</v>
          </cell>
          <cell r="J54">
            <v>20</v>
          </cell>
          <cell r="K54" t="str">
            <v>Gram (g)</v>
          </cell>
        </row>
        <row r="55">
          <cell r="E55" t="str">
            <v>KJ6FSEF24</v>
          </cell>
          <cell r="F55" t="str">
            <v>CAT6 RJ45 KEYSTONE JACK SHIELDED TOOLESS 24PCS PER ECO FRIENDLY CARTON</v>
          </cell>
          <cell r="G55"/>
          <cell r="H55"/>
          <cell r="I55" t="str">
            <v>China</v>
          </cell>
          <cell r="J55">
            <v>20</v>
          </cell>
          <cell r="K55" t="str">
            <v>Gram (g)</v>
          </cell>
        </row>
        <row r="56">
          <cell r="E56" t="str">
            <v>KJ6FSHQEF8</v>
          </cell>
          <cell r="F56" t="str">
            <v>CAT6 RJ45 KEYSTONE JACK SHIELDED TOOLESS INTERTEK CERTIFIED 8PCS PER ECO FRIENDLY CARTON</v>
          </cell>
          <cell r="G56"/>
          <cell r="H56"/>
          <cell r="I56" t="str">
            <v>China</v>
          </cell>
          <cell r="J56">
            <v>20</v>
          </cell>
          <cell r="K56" t="str">
            <v>Gram (g)</v>
          </cell>
        </row>
        <row r="57">
          <cell r="E57" t="str">
            <v>KJ6FSHQEF24</v>
          </cell>
          <cell r="F57" t="str">
            <v>CAT6 RJ45 KEYSTONE JACK SHIELDED TOOLESS INTERTEK CERTIFIED 24PCS PER ECO FRIENDLY CARTON</v>
          </cell>
          <cell r="G57"/>
          <cell r="H57"/>
          <cell r="I57" t="str">
            <v>China</v>
          </cell>
          <cell r="J57">
            <v>20</v>
          </cell>
          <cell r="K57" t="str">
            <v>Gram (g)</v>
          </cell>
        </row>
        <row r="58">
          <cell r="E58" t="str">
            <v>KJ6AUEF24</v>
          </cell>
          <cell r="F58" t="str">
            <v>CAT6A RJ45 KEYSTONE JACK UNSHIELDED TOOLESS 24PCS PER ECO FRIENDLY CARTON</v>
          </cell>
          <cell r="G58"/>
          <cell r="H58"/>
          <cell r="I58" t="str">
            <v>China</v>
          </cell>
          <cell r="J58">
            <v>15</v>
          </cell>
          <cell r="K58" t="str">
            <v>Gram (g)</v>
          </cell>
        </row>
        <row r="59">
          <cell r="E59" t="str">
            <v>KJ6AUHQEF1</v>
          </cell>
          <cell r="F59"/>
          <cell r="G59"/>
          <cell r="H59"/>
          <cell r="I59" t="str">
            <v>China</v>
          </cell>
          <cell r="J59">
            <v>15</v>
          </cell>
          <cell r="K59" t="str">
            <v>Gram (g)</v>
          </cell>
        </row>
        <row r="60">
          <cell r="E60" t="str">
            <v>KJ6AUHQEF24</v>
          </cell>
          <cell r="F60" t="str">
            <v>CAT6A RJ45 KEYSTONE JACK UNSHIELDED TOOLESS INTERTEK CERTIFIED 24PCS PER ECO FRIENDLY CARTON</v>
          </cell>
          <cell r="G60"/>
          <cell r="H60"/>
          <cell r="I60" t="str">
            <v>China</v>
          </cell>
          <cell r="J60">
            <v>15</v>
          </cell>
          <cell r="K60" t="str">
            <v>Gram (g)</v>
          </cell>
        </row>
        <row r="61">
          <cell r="E61" t="str">
            <v>KJ6AFSEF1</v>
          </cell>
          <cell r="F61" t="str">
            <v>CAT6A RJ45 KEYSTONE JACK SHIELDED TOOLESS 1PC PER ECO FRIENDLY BAG</v>
          </cell>
          <cell r="G61"/>
          <cell r="H61"/>
          <cell r="I61" t="str">
            <v>China</v>
          </cell>
          <cell r="J61">
            <v>20</v>
          </cell>
          <cell r="K61" t="str">
            <v>Gram (g)</v>
          </cell>
        </row>
        <row r="62">
          <cell r="E62" t="str">
            <v>KJ6AFSEF8</v>
          </cell>
          <cell r="F62" t="str">
            <v>CAT6A RJ45 KEYSTONE JACK SHIELDED TOOLESS 8PCS PER ECO FRIENDLY CARTON</v>
          </cell>
          <cell r="G62"/>
          <cell r="H62"/>
          <cell r="I62" t="str">
            <v>China</v>
          </cell>
          <cell r="J62">
            <v>20</v>
          </cell>
          <cell r="K62" t="str">
            <v>Gram (g)</v>
          </cell>
        </row>
        <row r="63">
          <cell r="E63" t="str">
            <v>KJ6AFSEF24</v>
          </cell>
          <cell r="F63" t="str">
            <v>CAT6A RJ45 KEYSTONE JACK SHIELDED TOOLESS 24PCS PER ECO FRIENDLY CARTON</v>
          </cell>
          <cell r="G63"/>
          <cell r="H63"/>
          <cell r="I63" t="str">
            <v>China</v>
          </cell>
          <cell r="J63">
            <v>20</v>
          </cell>
          <cell r="K63" t="str">
            <v>Gram (g)</v>
          </cell>
        </row>
        <row r="64">
          <cell r="E64" t="str">
            <v>KJ6AFSHQEF1</v>
          </cell>
          <cell r="F64" t="str">
            <v>CAT6A RJ45 KEYSTONE JACK SHIELDED TOOLESS INTERTEK CERTIFIED 1PC PER ECO FRIENDLY BAG</v>
          </cell>
          <cell r="G64"/>
          <cell r="H64"/>
          <cell r="I64" t="str">
            <v>China</v>
          </cell>
          <cell r="J64">
            <v>20</v>
          </cell>
          <cell r="K64" t="str">
            <v>Gram (g)</v>
          </cell>
        </row>
        <row r="65">
          <cell r="E65" t="str">
            <v>KJ6AFSHQEF8</v>
          </cell>
          <cell r="F65" t="str">
            <v>CAT6A RJ45 KEYSTONE JACK SHIELDED TOOLESS INTERTEK CERTIFIED 8PCS PER ECO FRIENDLY CARTON</v>
          </cell>
          <cell r="G65"/>
          <cell r="H65"/>
          <cell r="I65" t="str">
            <v>China</v>
          </cell>
          <cell r="J65">
            <v>20</v>
          </cell>
          <cell r="K65" t="str">
            <v>Gram (g)</v>
          </cell>
        </row>
        <row r="66">
          <cell r="E66" t="str">
            <v>KJ6AFSHQEF24</v>
          </cell>
          <cell r="F66" t="str">
            <v>CAT6A RJ45 KEYSTONE JACK SHIELDED TOOLESS INTERTEK CERTIFIED 24PCS PER ECO FRIENDLY CARTON</v>
          </cell>
          <cell r="G66"/>
          <cell r="H66"/>
          <cell r="I66" t="str">
            <v>China</v>
          </cell>
          <cell r="J66">
            <v>20</v>
          </cell>
          <cell r="K66" t="str">
            <v>Gram (g)</v>
          </cell>
        </row>
        <row r="67">
          <cell r="E67" t="str">
            <v>KJ6ADSRD</v>
          </cell>
          <cell r="F67" t="str">
            <v>CAT6A DUST SHUTTER RED RAL3027 100PCS PER ECO FRIENDLY BAG</v>
          </cell>
          <cell r="G67"/>
          <cell r="H67"/>
          <cell r="I67" t="str">
            <v>China</v>
          </cell>
          <cell r="J67">
            <v>0.23</v>
          </cell>
          <cell r="K67" t="str">
            <v>Gram (g)</v>
          </cell>
        </row>
        <row r="68">
          <cell r="E68" t="str">
            <v>KJ6ADSBL</v>
          </cell>
          <cell r="F68" t="str">
            <v>CAT6A DUST SHUTTER BLUE RAL5024 100PCS PER ECO FRIENDLY BAG</v>
          </cell>
          <cell r="G68"/>
          <cell r="H68"/>
          <cell r="I68" t="str">
            <v>China</v>
          </cell>
          <cell r="J68">
            <v>0.23</v>
          </cell>
          <cell r="K68" t="str">
            <v>Gram (g)</v>
          </cell>
        </row>
        <row r="69">
          <cell r="E69" t="str">
            <v>KJ6ADSGE</v>
          </cell>
          <cell r="F69" t="str">
            <v>CAT6A DUST SHUTTER GREEN RAL6018 100PCS PER ECO FRIENDLY BAG</v>
          </cell>
          <cell r="G69"/>
          <cell r="H69"/>
          <cell r="I69" t="str">
            <v>China</v>
          </cell>
          <cell r="J69">
            <v>0.23</v>
          </cell>
          <cell r="K69" t="str">
            <v>Gram (g)</v>
          </cell>
        </row>
        <row r="70">
          <cell r="E70" t="str">
            <v>KJ6ADSOR</v>
          </cell>
          <cell r="F70" t="str">
            <v>CAT6A DUST SHUTTER ORANGE RAL2003 100PCS PER ECO FRIENDLY BAG</v>
          </cell>
          <cell r="G70"/>
          <cell r="H70"/>
          <cell r="I70" t="str">
            <v>China</v>
          </cell>
          <cell r="J70">
            <v>0.23</v>
          </cell>
          <cell r="K70" t="str">
            <v>Gram (g)</v>
          </cell>
        </row>
        <row r="71">
          <cell r="E71" t="str">
            <v>KMP6AFSXSEF1</v>
          </cell>
          <cell r="F71" t="str">
            <v>CAT6A RJ45 MINI PLUG SHIELDED TOOLESS 1PCS PER ECO FRIENDLY BAG</v>
          </cell>
          <cell r="G71"/>
          <cell r="H71"/>
          <cell r="I71" t="str">
            <v>China</v>
          </cell>
          <cell r="J71">
            <v>13.1</v>
          </cell>
          <cell r="K71" t="str">
            <v>Gram (g)</v>
          </cell>
        </row>
        <row r="72">
          <cell r="E72" t="str">
            <v>KMP6AUEF1</v>
          </cell>
          <cell r="F72" t="str">
            <v>CAT6A RJ45 FIELD PLUG UNSHIELDED TOOLESS 1PCS PER ECO FRIENDLY BAG</v>
          </cell>
          <cell r="G72"/>
          <cell r="H72"/>
          <cell r="I72" t="str">
            <v>China</v>
          </cell>
          <cell r="J72">
            <v>6.9</v>
          </cell>
          <cell r="K72" t="str">
            <v>Gram (g)</v>
          </cell>
        </row>
        <row r="73">
          <cell r="E73" t="str">
            <v>KMP6AFSEF1</v>
          </cell>
          <cell r="F73" t="str">
            <v>CAT6A RJ45 FIELD PLUG SHIELDED TOOLESS 1PCS PER ECO FRIENDLY BAG</v>
          </cell>
          <cell r="G73"/>
          <cell r="H73"/>
          <cell r="I73" t="str">
            <v>China</v>
          </cell>
          <cell r="J73">
            <v>18</v>
          </cell>
          <cell r="K73" t="str">
            <v>Gram (g)</v>
          </cell>
        </row>
        <row r="74">
          <cell r="E74" t="str">
            <v>KPL45S6A</v>
          </cell>
          <cell r="F74" t="str">
            <v>PLUG RJ45 8P8C SHIELDED CAT6A WITH INSERT 6/2 100PCS PER POLYBAG</v>
          </cell>
          <cell r="G74"/>
          <cell r="H74"/>
          <cell r="I74" t="str">
            <v>China</v>
          </cell>
          <cell r="J74"/>
          <cell r="K74" t="str">
            <v>Gram (g)</v>
          </cell>
        </row>
        <row r="75">
          <cell r="E75" t="str">
            <v>KPL45S6AEP</v>
          </cell>
          <cell r="F75" t="str">
            <v>PLUG RJ45 8P8C SHIELDED CAT6A WITH INSERT 100PCS PER POLYBAG</v>
          </cell>
          <cell r="G75"/>
          <cell r="H75"/>
          <cell r="I75" t="str">
            <v>China</v>
          </cell>
          <cell r="J75"/>
          <cell r="K75" t="str">
            <v>Gram (g)</v>
          </cell>
        </row>
        <row r="76">
          <cell r="E76" t="str">
            <v>KPL45U6AEP</v>
          </cell>
          <cell r="F76" t="str">
            <v>PLUG RJ45 8P8C UNSHIELDED CAT6A WITHOUT INSERT 100PCS PER POLYBAG</v>
          </cell>
          <cell r="G76"/>
          <cell r="H76"/>
          <cell r="I76" t="str">
            <v>China</v>
          </cell>
          <cell r="J76">
            <v>228</v>
          </cell>
          <cell r="K76" t="str">
            <v>Gram (g)</v>
          </cell>
        </row>
        <row r="77">
          <cell r="E77" t="str">
            <v>KPUU6ZH03EF</v>
          </cell>
          <cell r="F77" t="str">
            <v>CAT6 PATCH CORD U/UTP GREY LSZH 0.3M</v>
          </cell>
          <cell r="G77"/>
          <cell r="H77"/>
          <cell r="I77" t="str">
            <v>China</v>
          </cell>
          <cell r="J77">
            <v>1.5</v>
          </cell>
          <cell r="K77" t="str">
            <v>Gram (g)</v>
          </cell>
        </row>
        <row r="78">
          <cell r="E78" t="str">
            <v>KPUU6ZH05EF</v>
          </cell>
          <cell r="F78" t="str">
            <v>CAT6 PATCH CORD U/UTP GREY LSZH 0.5M</v>
          </cell>
          <cell r="G78"/>
          <cell r="H78"/>
          <cell r="I78" t="str">
            <v>China</v>
          </cell>
          <cell r="J78">
            <v>2</v>
          </cell>
          <cell r="K78" t="str">
            <v>Gram (g)</v>
          </cell>
        </row>
        <row r="79">
          <cell r="E79" t="str">
            <v>KPUU6ZH1EF</v>
          </cell>
          <cell r="F79" t="str">
            <v>CAT6 PATCH CORD U/UTP GREY LSZH 1M</v>
          </cell>
          <cell r="G79"/>
          <cell r="H79"/>
          <cell r="I79" t="str">
            <v>China</v>
          </cell>
          <cell r="J79">
            <v>4</v>
          </cell>
          <cell r="K79" t="str">
            <v>Gram (g)</v>
          </cell>
        </row>
        <row r="80">
          <cell r="E80" t="str">
            <v>KPUU6ZH2EF</v>
          </cell>
          <cell r="F80" t="str">
            <v>CAT6 PATCH CORD U/UTP GREY LSZH 2M</v>
          </cell>
          <cell r="G80"/>
          <cell r="H80"/>
          <cell r="I80" t="str">
            <v>China</v>
          </cell>
          <cell r="J80">
            <v>8</v>
          </cell>
          <cell r="K80" t="str">
            <v>Gram (g)</v>
          </cell>
        </row>
        <row r="81">
          <cell r="E81" t="str">
            <v>KPUU6ZH3EF</v>
          </cell>
          <cell r="F81" t="str">
            <v>CAT6 PATCH CORD U/UTP GREY LSZH 3M</v>
          </cell>
          <cell r="G81"/>
          <cell r="H81"/>
          <cell r="I81" t="str">
            <v>China</v>
          </cell>
          <cell r="J81">
            <v>10</v>
          </cell>
          <cell r="K81" t="str">
            <v>Gram (g)</v>
          </cell>
        </row>
        <row r="82">
          <cell r="E82" t="str">
            <v>KPUU6ZH5EF</v>
          </cell>
          <cell r="F82" t="str">
            <v>CAT6 PATCH CORD U/UTP GREY LSZH 5M</v>
          </cell>
          <cell r="G82"/>
          <cell r="H82"/>
          <cell r="I82" t="str">
            <v>China</v>
          </cell>
          <cell r="J82">
            <v>15</v>
          </cell>
          <cell r="K82" t="str">
            <v>Gram (g)</v>
          </cell>
        </row>
        <row r="83">
          <cell r="E83" t="str">
            <v>KPUU6ZH10EF</v>
          </cell>
          <cell r="F83" t="str">
            <v>CAT6 PATCH CORD U/UTP GREY LSZH 10M</v>
          </cell>
          <cell r="G83"/>
          <cell r="H83"/>
          <cell r="I83" t="str">
            <v>China</v>
          </cell>
          <cell r="J83">
            <v>20</v>
          </cell>
          <cell r="K83" t="str">
            <v>Gram (g)</v>
          </cell>
        </row>
        <row r="84">
          <cell r="E84" t="str">
            <v>KPFU603EF</v>
          </cell>
          <cell r="F84" t="str">
            <v>CAT6 PATCH CORD F/UTP GREY PVC 0.3M</v>
          </cell>
          <cell r="G84"/>
          <cell r="H84"/>
          <cell r="I84" t="str">
            <v>China</v>
          </cell>
          <cell r="J84">
            <v>1.5</v>
          </cell>
          <cell r="K84" t="str">
            <v>Gram (g)</v>
          </cell>
        </row>
        <row r="85">
          <cell r="E85" t="str">
            <v>KPFU605EF</v>
          </cell>
          <cell r="F85" t="str">
            <v>CAT6 PATCH CORD F/UTP GREY PVC 0.5M</v>
          </cell>
          <cell r="G85"/>
          <cell r="H85"/>
          <cell r="I85" t="str">
            <v>China</v>
          </cell>
          <cell r="J85">
            <v>2</v>
          </cell>
          <cell r="K85" t="str">
            <v>Gram (g)</v>
          </cell>
        </row>
        <row r="86">
          <cell r="E86" t="str">
            <v>KPFU61EF</v>
          </cell>
          <cell r="F86" t="str">
            <v>CAT6 PATCH CORD F/UTP GREY PVC 1M</v>
          </cell>
          <cell r="G86"/>
          <cell r="H86"/>
          <cell r="I86" t="str">
            <v>China</v>
          </cell>
          <cell r="J86">
            <v>4</v>
          </cell>
          <cell r="K86" t="str">
            <v>Gram (g)</v>
          </cell>
        </row>
        <row r="87">
          <cell r="E87" t="str">
            <v>KPFU62EF</v>
          </cell>
          <cell r="F87" t="str">
            <v>CAT6 PATCH CORD F/UTP GREY PVC 2M</v>
          </cell>
          <cell r="G87"/>
          <cell r="H87"/>
          <cell r="I87" t="str">
            <v>China</v>
          </cell>
          <cell r="J87">
            <v>8</v>
          </cell>
          <cell r="K87" t="str">
            <v>Gram (g)</v>
          </cell>
        </row>
        <row r="88">
          <cell r="E88" t="str">
            <v>KPFU63EF</v>
          </cell>
          <cell r="F88" t="str">
            <v>CAT6 PATCH CORD F/UTP GREY PVC 3M</v>
          </cell>
          <cell r="G88"/>
          <cell r="H88"/>
          <cell r="I88" t="str">
            <v>China</v>
          </cell>
          <cell r="J88">
            <v>10</v>
          </cell>
          <cell r="K88" t="str">
            <v>Gram (g)</v>
          </cell>
        </row>
        <row r="89">
          <cell r="E89" t="str">
            <v>KPFU65EF</v>
          </cell>
          <cell r="F89" t="str">
            <v>CAT6 PATCH CORD F/UTP GREY PVC 5M</v>
          </cell>
          <cell r="G89"/>
          <cell r="H89"/>
          <cell r="I89" t="str">
            <v>China</v>
          </cell>
          <cell r="J89">
            <v>15</v>
          </cell>
          <cell r="K89" t="str">
            <v>Gram (g)</v>
          </cell>
        </row>
        <row r="90">
          <cell r="E90" t="str">
            <v>KPFU610EF</v>
          </cell>
          <cell r="F90" t="str">
            <v>CAT6 PATCH CORD F/UTP GREY PVC 10M</v>
          </cell>
          <cell r="G90"/>
          <cell r="H90"/>
          <cell r="I90" t="str">
            <v>China</v>
          </cell>
          <cell r="J90">
            <v>20</v>
          </cell>
          <cell r="K90" t="str">
            <v>Gram (g)</v>
          </cell>
        </row>
        <row r="91">
          <cell r="E91" t="str">
            <v>KPUU6AZH05EF</v>
          </cell>
          <cell r="F91" t="str">
            <v>CAT6A PATCH CORD U/UTP GREY LSZH 0.5M</v>
          </cell>
          <cell r="G91"/>
          <cell r="H91"/>
          <cell r="I91" t="str">
            <v>China</v>
          </cell>
          <cell r="J91">
            <v>35.5</v>
          </cell>
          <cell r="K91" t="str">
            <v>Gram (g)</v>
          </cell>
        </row>
        <row r="92">
          <cell r="E92" t="str">
            <v>KPUU6AZH1EF</v>
          </cell>
          <cell r="F92" t="str">
            <v>CAT6A PATCH CORD U/UTP GREY LSZH 1M</v>
          </cell>
          <cell r="G92"/>
          <cell r="H92"/>
          <cell r="I92" t="str">
            <v>China</v>
          </cell>
          <cell r="J92">
            <v>53.49</v>
          </cell>
          <cell r="K92" t="str">
            <v>Gram (g)</v>
          </cell>
        </row>
        <row r="93">
          <cell r="E93" t="str">
            <v>KPUU6AZHBL2EF</v>
          </cell>
          <cell r="F93"/>
          <cell r="G93"/>
          <cell r="H93"/>
          <cell r="I93" t="str">
            <v>China</v>
          </cell>
          <cell r="J93">
            <v>90.8</v>
          </cell>
          <cell r="K93" t="str">
            <v>Gram (g)</v>
          </cell>
        </row>
        <row r="94">
          <cell r="E94" t="str">
            <v>KPUU6AZH3EF</v>
          </cell>
          <cell r="F94" t="str">
            <v>CAT6A PATCH CORD U/UTP GREY LSZH 3M</v>
          </cell>
          <cell r="G94"/>
          <cell r="H94"/>
          <cell r="I94" t="str">
            <v>China</v>
          </cell>
          <cell r="J94">
            <v>128.1</v>
          </cell>
          <cell r="K94" t="str">
            <v>Gram (g)</v>
          </cell>
        </row>
        <row r="95">
          <cell r="E95" t="str">
            <v>KPSF6AZH03EF</v>
          </cell>
          <cell r="F95" t="str">
            <v>CAT6A PATCH CORD S/FTP GREY LSZH 0.3M</v>
          </cell>
          <cell r="G95"/>
          <cell r="H95"/>
          <cell r="I95" t="str">
            <v>China</v>
          </cell>
          <cell r="J95">
            <v>35</v>
          </cell>
          <cell r="K95" t="str">
            <v>Gram (g)</v>
          </cell>
        </row>
        <row r="96">
          <cell r="E96" t="str">
            <v>KPSF6AZH05EF</v>
          </cell>
          <cell r="F96" t="str">
            <v>CAT6A PATCH CORD S/FTP GREY LSZH 0.5M</v>
          </cell>
          <cell r="G96"/>
          <cell r="H96"/>
          <cell r="I96" t="str">
            <v>China</v>
          </cell>
          <cell r="J96">
            <v>40</v>
          </cell>
          <cell r="K96" t="str">
            <v>Gram (g)</v>
          </cell>
        </row>
        <row r="97">
          <cell r="E97" t="str">
            <v>KPSF6AZH1EF</v>
          </cell>
          <cell r="F97" t="str">
            <v>CAT6A PATCH CORD S/FTP GREY LSZH 1M</v>
          </cell>
          <cell r="G97"/>
          <cell r="H97"/>
          <cell r="I97" t="str">
            <v>China</v>
          </cell>
          <cell r="J97">
            <v>60</v>
          </cell>
          <cell r="K97" t="str">
            <v>Gram (g)</v>
          </cell>
        </row>
        <row r="98">
          <cell r="E98" t="str">
            <v>KPSF6AZH2EF</v>
          </cell>
          <cell r="F98" t="str">
            <v>CAT6A PATCH CORD S/FTP GREY LSZH 2M</v>
          </cell>
          <cell r="G98"/>
          <cell r="H98"/>
          <cell r="I98" t="str">
            <v>China</v>
          </cell>
          <cell r="J98">
            <v>100</v>
          </cell>
          <cell r="K98" t="str">
            <v>Gram (g)</v>
          </cell>
        </row>
        <row r="99">
          <cell r="E99" t="str">
            <v>KPSF6AZH3EF</v>
          </cell>
          <cell r="F99" t="str">
            <v>CAT6A PATCH CORD S/FTP GREY LSZH 3M</v>
          </cell>
          <cell r="G99"/>
          <cell r="H99"/>
          <cell r="I99" t="str">
            <v>China</v>
          </cell>
          <cell r="J99">
            <v>120</v>
          </cell>
          <cell r="K99" t="str">
            <v>Gram (g)</v>
          </cell>
        </row>
        <row r="100">
          <cell r="E100" t="str">
            <v>KPSF6AZH5EF</v>
          </cell>
          <cell r="F100" t="str">
            <v>CAT6A PATCH CORD S/FTP GREY LSZH 5M</v>
          </cell>
          <cell r="G100"/>
          <cell r="H100"/>
          <cell r="I100" t="str">
            <v>China</v>
          </cell>
          <cell r="J100">
            <v>170</v>
          </cell>
          <cell r="K100" t="str">
            <v>Gram (g)</v>
          </cell>
        </row>
        <row r="101">
          <cell r="E101" t="str">
            <v>KPSF6AZH10EF</v>
          </cell>
          <cell r="F101" t="str">
            <v>CAT6A PATCH CORD S/FTP GREY LSZH 10M</v>
          </cell>
          <cell r="G101"/>
          <cell r="H101"/>
          <cell r="I101" t="str">
            <v>China</v>
          </cell>
          <cell r="J101">
            <v>220</v>
          </cell>
          <cell r="K101" t="str">
            <v>Gram (g)</v>
          </cell>
        </row>
        <row r="102">
          <cell r="E102" t="str">
            <v>KPSF6AZH15EF</v>
          </cell>
          <cell r="F102" t="str">
            <v>CAT6A PATCH CORD S/FTP GREY LSZH 15M</v>
          </cell>
          <cell r="G102"/>
          <cell r="H102"/>
          <cell r="I102" t="str">
            <v>China</v>
          </cell>
          <cell r="J102">
            <v>470</v>
          </cell>
          <cell r="K102" t="str">
            <v>Gram (g)</v>
          </cell>
        </row>
        <row r="103">
          <cell r="E103" t="str">
            <v>KPSF6AZH20EF</v>
          </cell>
          <cell r="F103" t="str">
            <v>CAT6A PATCH CORD S/FTP GREY LSZH 20M</v>
          </cell>
          <cell r="G103"/>
          <cell r="H103"/>
          <cell r="I103" t="str">
            <v>China</v>
          </cell>
          <cell r="J103">
            <v>630</v>
          </cell>
          <cell r="K103" t="str">
            <v>Gram (g)</v>
          </cell>
        </row>
        <row r="104">
          <cell r="E104" t="str">
            <v>KPSF6AZH25EF</v>
          </cell>
          <cell r="F104" t="str">
            <v>CAT6A PATCH CORD S/FTP GREY LSZH 15M</v>
          </cell>
          <cell r="G104"/>
          <cell r="H104"/>
          <cell r="I104" t="str">
            <v>China</v>
          </cell>
          <cell r="J104">
            <v>923</v>
          </cell>
          <cell r="K104" t="str">
            <v>Gram (g)</v>
          </cell>
        </row>
        <row r="105">
          <cell r="E105" t="str">
            <v>KPSF6AZH30EF</v>
          </cell>
          <cell r="F105" t="str">
            <v>CAT6A PATCH CORD S/FTP GREY LSZH 20M</v>
          </cell>
          <cell r="G105"/>
          <cell r="H105"/>
          <cell r="I105" t="str">
            <v>China</v>
          </cell>
          <cell r="J105">
            <v>1103</v>
          </cell>
          <cell r="K105" t="str">
            <v>Gram (g)</v>
          </cell>
        </row>
        <row r="106">
          <cell r="E106" t="str">
            <v>KPSF6AZH40EF</v>
          </cell>
          <cell r="F106" t="str">
            <v>CAT6A PATCH CORD S/FTP GREY LSZH 15M</v>
          </cell>
          <cell r="G106"/>
          <cell r="H106"/>
          <cell r="I106" t="str">
            <v>China</v>
          </cell>
          <cell r="J106">
            <v>1465</v>
          </cell>
          <cell r="K106" t="str">
            <v>Gram (g)</v>
          </cell>
        </row>
        <row r="107">
          <cell r="E107" t="str">
            <v>KPSF6AZH50EF</v>
          </cell>
          <cell r="F107" t="str">
            <v>CAT6A PATCH CORD S/FTP GREY LSZH 15M</v>
          </cell>
          <cell r="G107"/>
          <cell r="H107"/>
          <cell r="I107" t="str">
            <v>China</v>
          </cell>
          <cell r="J107">
            <v>1827</v>
          </cell>
          <cell r="K107" t="str">
            <v>Gram (g)</v>
          </cell>
        </row>
        <row r="108">
          <cell r="E108" t="str">
            <v>KPSF6AZH70EF</v>
          </cell>
          <cell r="F108" t="str">
            <v>CAT6A PATCH CORD S/FTP GREY LSZH 20M</v>
          </cell>
          <cell r="G108"/>
          <cell r="H108"/>
          <cell r="I108" t="str">
            <v>China</v>
          </cell>
          <cell r="J108">
            <v>2550</v>
          </cell>
          <cell r="K108" t="str">
            <v>Gram (g)</v>
          </cell>
        </row>
        <row r="109">
          <cell r="E109" t="str">
            <v>KFP45451PANGEF8</v>
          </cell>
          <cell r="F109" t="str">
            <v>45X45 FACE PLATE 1 PORT ANGLED 45° 8PCS PER ECO FRIENDLY CARTON</v>
          </cell>
          <cell r="G109"/>
          <cell r="H109"/>
          <cell r="I109" t="str">
            <v>China</v>
          </cell>
          <cell r="J109">
            <v>20</v>
          </cell>
          <cell r="K109" t="str">
            <v>Gram (g)</v>
          </cell>
        </row>
        <row r="110">
          <cell r="E110" t="str">
            <v>KFP45452PANGEF8</v>
          </cell>
          <cell r="F110" t="str">
            <v>45X45 FACE PLATE 2 PORTS ANGLED 45° 8PCS PER ECO FRIENDLY CARTON</v>
          </cell>
          <cell r="G110"/>
          <cell r="H110"/>
          <cell r="I110" t="str">
            <v>China</v>
          </cell>
          <cell r="J110">
            <v>20</v>
          </cell>
          <cell r="K110" t="str">
            <v>Gram (g)</v>
          </cell>
        </row>
        <row r="111">
          <cell r="E111" t="str">
            <v>KFP45451PEF8</v>
          </cell>
          <cell r="F111" t="str">
            <v>45X45 FACE PLATE 1 PORT FLAT 8PCS PER ECO FRIENDLY CARTON</v>
          </cell>
          <cell r="G111"/>
          <cell r="H111"/>
          <cell r="I111" t="str">
            <v>China</v>
          </cell>
          <cell r="J111">
            <v>11.25</v>
          </cell>
          <cell r="K111" t="str">
            <v>Gram (g)</v>
          </cell>
        </row>
        <row r="112">
          <cell r="E112" t="str">
            <v>KFP45452PEF8</v>
          </cell>
          <cell r="F112" t="str">
            <v>45X45 FACE PLATE 2 PORTS FLAT 8PCS PER ECO FRIENDLY CARTON</v>
          </cell>
          <cell r="G112"/>
          <cell r="H112"/>
          <cell r="I112" t="str">
            <v>China</v>
          </cell>
          <cell r="J112">
            <v>11.25</v>
          </cell>
          <cell r="K112" t="str">
            <v>Gram (g)</v>
          </cell>
        </row>
        <row r="113">
          <cell r="E113" t="str">
            <v>KFP45451PABEF8</v>
          </cell>
          <cell r="F113" t="str">
            <v>45X45 FACE PLATE 1 PORT FLAT ANTIBACTERIAL SGS VERIFIED 8PCS PER ECO FRIENDLY CARTON</v>
          </cell>
          <cell r="G113"/>
          <cell r="H113"/>
          <cell r="I113" t="str">
            <v>China</v>
          </cell>
          <cell r="J113">
            <v>11.4</v>
          </cell>
          <cell r="K113" t="str">
            <v>Gram (g)</v>
          </cell>
        </row>
        <row r="114">
          <cell r="E114" t="str">
            <v>KFP45452PABEF8</v>
          </cell>
          <cell r="F114" t="str">
            <v>45X45 FACE PLATE 2 PORTS FLAT ANTIBACTERIAL SGS VERIFIED 8PCS PER ECO FRIENDLY CARTON</v>
          </cell>
          <cell r="G114"/>
          <cell r="H114"/>
          <cell r="I114" t="str">
            <v>China</v>
          </cell>
          <cell r="J114">
            <v>11.2</v>
          </cell>
          <cell r="K114" t="str">
            <v>Gram (g)</v>
          </cell>
        </row>
        <row r="115">
          <cell r="E115" t="str">
            <v>KWP86861PEF8</v>
          </cell>
          <cell r="F115" t="str">
            <v>86X86 WALL PLATE 1 PORT 8PCS PER ECO FRIENDLY CARTON</v>
          </cell>
          <cell r="G115"/>
          <cell r="H115"/>
          <cell r="I115" t="str">
            <v>China</v>
          </cell>
          <cell r="J115">
            <v>23</v>
          </cell>
          <cell r="K115" t="str">
            <v>Gram (g)</v>
          </cell>
        </row>
        <row r="116">
          <cell r="E116" t="str">
            <v>KWP8686A1PEF8</v>
          </cell>
          <cell r="F116" t="str">
            <v>86X86 WALL PLATE 1 PORT ANGLED UK STYLE c/w SHUTTER</v>
          </cell>
          <cell r="G116"/>
          <cell r="H116"/>
          <cell r="I116" t="str">
            <v>China</v>
          </cell>
          <cell r="J116">
            <v>410</v>
          </cell>
          <cell r="K116" t="str">
            <v>Gram (g)</v>
          </cell>
        </row>
        <row r="117">
          <cell r="E117" t="str">
            <v>KWP86862PEF8</v>
          </cell>
          <cell r="F117" t="str">
            <v>86X86 WALL PLATE 2 PORTS 8PCS PER ECO FRIENDLY CARTON</v>
          </cell>
          <cell r="G117"/>
          <cell r="H117"/>
          <cell r="I117" t="str">
            <v>China</v>
          </cell>
          <cell r="J117">
            <v>22</v>
          </cell>
          <cell r="K117" t="str">
            <v>Gram (g)</v>
          </cell>
        </row>
        <row r="118">
          <cell r="E118" t="str">
            <v>KSFP1U205NPCEF</v>
          </cell>
          <cell r="F118" t="str">
            <v>19" 1U FIBRE OPTIC PATCH PANEL 205 UNLOADED WITHOUT FRONT PLATE WITH HOLE CUTTING AND ACCESSORIES PER FRIENDLY CARTON</v>
          </cell>
          <cell r="G118"/>
          <cell r="H118"/>
          <cell r="I118" t="str">
            <v>China</v>
          </cell>
          <cell r="J118">
            <v>2250</v>
          </cell>
          <cell r="K118" t="str">
            <v>Gram (g)</v>
          </cell>
        </row>
        <row r="119">
          <cell r="E119" t="str">
            <v>KSFP1U245NPCEF</v>
          </cell>
          <cell r="F119" t="str">
            <v>19" 1U FIBRE OPTIC PATCH PANEL 245 UNLOADED WITHOUT FRONT PLATE WITH HOLE CUTTING AND ACCESSORIES PER FRIENDLY CARTON</v>
          </cell>
          <cell r="G119"/>
          <cell r="H119"/>
          <cell r="I119" t="str">
            <v>China</v>
          </cell>
          <cell r="J119">
            <v>2450</v>
          </cell>
          <cell r="K119" t="str">
            <v>Gram (g)</v>
          </cell>
        </row>
        <row r="120">
          <cell r="E120" t="str">
            <v>KSFP1UFP24SCDEF</v>
          </cell>
          <cell r="F120" t="str">
            <v>19" 1U PANEL FRONT PLATE 24 SC DUPLEX</v>
          </cell>
          <cell r="G120"/>
          <cell r="H120"/>
          <cell r="I120" t="str">
            <v>China</v>
          </cell>
          <cell r="J120">
            <v>150.4</v>
          </cell>
          <cell r="K120" t="str">
            <v>Gram (g)</v>
          </cell>
        </row>
        <row r="121">
          <cell r="E121" t="str">
            <v>KSFP1UFP24SCSEF</v>
          </cell>
          <cell r="F121" t="str">
            <v>19" 1U PANEL FRONT PLATE 24 SC SIMPLEX</v>
          </cell>
          <cell r="G121"/>
          <cell r="H121"/>
          <cell r="I121" t="str">
            <v>China</v>
          </cell>
          <cell r="J121">
            <v>178</v>
          </cell>
          <cell r="K121" t="str">
            <v>Gram (g)</v>
          </cell>
        </row>
        <row r="122">
          <cell r="E122" t="str">
            <v>KSFP1UFP12SCDEF</v>
          </cell>
          <cell r="F122" t="str">
            <v>19" 1U PANEL FRONT PLATE 12 SC DUPLEX</v>
          </cell>
          <cell r="G122"/>
          <cell r="H122"/>
          <cell r="I122" t="str">
            <v>China</v>
          </cell>
          <cell r="J122">
            <v>175</v>
          </cell>
          <cell r="K122" t="str">
            <v>Gram (g)</v>
          </cell>
        </row>
        <row r="123">
          <cell r="E123" t="str">
            <v>KSFP1UFP12SCSEF</v>
          </cell>
          <cell r="F123" t="str">
            <v>19" 1U PANEL FRONT PLATE 12 SC SIMPLEX</v>
          </cell>
          <cell r="G123"/>
          <cell r="H123"/>
          <cell r="I123" t="str">
            <v>China</v>
          </cell>
          <cell r="J123">
            <v>173</v>
          </cell>
          <cell r="K123" t="str">
            <v>Gram (g)</v>
          </cell>
        </row>
        <row r="124">
          <cell r="E124" t="str">
            <v>KSALCDS40</v>
          </cell>
          <cell r="F124" t="str">
            <v>LC DUPLEX SINGLEMODE ADAPTOR 40PCS PER ECO FRIENDLY BAG</v>
          </cell>
          <cell r="G124"/>
          <cell r="H124"/>
          <cell r="I124" t="str">
            <v>China</v>
          </cell>
          <cell r="J124">
            <v>3.4</v>
          </cell>
          <cell r="K124" t="str">
            <v>Gram (g)</v>
          </cell>
        </row>
        <row r="125">
          <cell r="E125" t="str">
            <v>KSALCDM40</v>
          </cell>
          <cell r="F125" t="str">
            <v>LC DUPLEX MULTIMODE ADAPTOR 40PCS PER ECO FRIENDLY BAG</v>
          </cell>
          <cell r="G125"/>
          <cell r="H125"/>
          <cell r="I125" t="str">
            <v>China</v>
          </cell>
          <cell r="J125">
            <v>3.4</v>
          </cell>
          <cell r="K125" t="str">
            <v>Gram (g)</v>
          </cell>
        </row>
        <row r="126">
          <cell r="E126" t="str">
            <v>KSASCDS20</v>
          </cell>
          <cell r="F126" t="str">
            <v>SC DUPLEX SINGLEMODE ADAPTOR 20PCS PER ECO FRIENDLY BAG</v>
          </cell>
          <cell r="G126"/>
          <cell r="H126"/>
          <cell r="I126" t="str">
            <v>China</v>
          </cell>
          <cell r="J126">
            <v>6.2</v>
          </cell>
          <cell r="K126" t="str">
            <v>Gram (g)</v>
          </cell>
        </row>
        <row r="127">
          <cell r="E127" t="str">
            <v>KSASCDM20</v>
          </cell>
          <cell r="F127" t="str">
            <v>SC DUPLEX MULTIMODE ADAPTOR 20PCS PER ECO FRIENDLY BAG</v>
          </cell>
          <cell r="G127"/>
          <cell r="H127"/>
          <cell r="I127" t="str">
            <v>China</v>
          </cell>
          <cell r="J127">
            <v>6.2</v>
          </cell>
          <cell r="K127" t="str">
            <v>Gram (g)</v>
          </cell>
        </row>
        <row r="128">
          <cell r="E128" t="str">
            <v>KCDOM3LCLC1MEF</v>
          </cell>
          <cell r="F128" t="str">
            <v>LC/LC OM3 DUPLEX OPTICAL PATCH CORD 1M ECO FRIENDLY BAG</v>
          </cell>
          <cell r="G128"/>
          <cell r="H128"/>
          <cell r="I128" t="str">
            <v>China</v>
          </cell>
          <cell r="J128">
            <v>21.4</v>
          </cell>
          <cell r="K128" t="str">
            <v>Gram (g)</v>
          </cell>
        </row>
        <row r="129">
          <cell r="E129" t="str">
            <v>KCDOM3LCLC3MEF</v>
          </cell>
          <cell r="F129" t="str">
            <v>LC/LC OM3 DUPLEX OPTICAL PATCH CORD 3M ECO FRIENDLY BAG</v>
          </cell>
          <cell r="G129"/>
          <cell r="H129"/>
          <cell r="I129" t="str">
            <v>China</v>
          </cell>
          <cell r="J129">
            <v>54.2</v>
          </cell>
          <cell r="K129" t="str">
            <v>Gram (g)</v>
          </cell>
        </row>
        <row r="130">
          <cell r="E130" t="str">
            <v>KCDOM3LCLC5MEF</v>
          </cell>
          <cell r="F130" t="str">
            <v>LC/LC OM3 DUPLEX OPTICAL PATCH CORD 5M ECO FRIENDLY BAG</v>
          </cell>
          <cell r="G130"/>
          <cell r="H130"/>
          <cell r="I130" t="str">
            <v>China</v>
          </cell>
          <cell r="J130">
            <v>97</v>
          </cell>
          <cell r="K130" t="str">
            <v>Gram (g)</v>
          </cell>
        </row>
        <row r="131">
          <cell r="E131" t="str">
            <v>KCDOM3SCLC1MEF</v>
          </cell>
          <cell r="F131" t="str">
            <v>SC/LC OM3 DUPLEX OPTICAL PATCH CORD 1M ECO FRIENDLY BAG</v>
          </cell>
          <cell r="G131"/>
          <cell r="H131"/>
          <cell r="I131" t="str">
            <v>China</v>
          </cell>
          <cell r="J131">
            <v>25.4</v>
          </cell>
          <cell r="K131" t="str">
            <v>Gram (g)</v>
          </cell>
        </row>
        <row r="132">
          <cell r="E132" t="str">
            <v>KCDOM3SCLC3MEF</v>
          </cell>
          <cell r="F132" t="str">
            <v>SC/LC OM3 DUPLEX OPTICAL PATCH CORD 3M ECO FRIENDLY BAG</v>
          </cell>
          <cell r="G132"/>
          <cell r="H132"/>
          <cell r="I132" t="str">
            <v>China</v>
          </cell>
          <cell r="J132">
            <v>54.2</v>
          </cell>
          <cell r="K132" t="str">
            <v>Gram (g)</v>
          </cell>
        </row>
        <row r="133">
          <cell r="E133" t="str">
            <v>KCDOM4LCLC1MEF</v>
          </cell>
          <cell r="F133" t="str">
            <v>LC/LC OM4 DUPLEX OPTICAL PATCH CORD 1M ECO FRIENDLY BAG</v>
          </cell>
          <cell r="G133"/>
          <cell r="H133"/>
          <cell r="I133" t="str">
            <v>China</v>
          </cell>
          <cell r="J133">
            <v>22</v>
          </cell>
          <cell r="K133" t="str">
            <v>Gram (g)</v>
          </cell>
        </row>
        <row r="134">
          <cell r="E134" t="str">
            <v>KCDOM4LCLC2MEF</v>
          </cell>
          <cell r="F134" t="str">
            <v>LC/LC OM4 DUPLEX OPTICAL PATCH CORD 2M ECO FRIENDLY BAG</v>
          </cell>
          <cell r="G134"/>
          <cell r="H134"/>
          <cell r="I134" t="str">
            <v>China</v>
          </cell>
          <cell r="J134">
            <v>39</v>
          </cell>
          <cell r="K134" t="str">
            <v>Gram (g)</v>
          </cell>
        </row>
        <row r="135">
          <cell r="E135" t="str">
            <v>KCDOM4LCLC3MEF</v>
          </cell>
          <cell r="F135" t="str">
            <v>LC/LC OM4 DUPLEX OPTICAL PATCH CORD 3M ECO FRIENDLY BAG</v>
          </cell>
          <cell r="G135"/>
          <cell r="H135"/>
          <cell r="I135" t="str">
            <v>China</v>
          </cell>
          <cell r="J135">
            <v>54.2</v>
          </cell>
          <cell r="K135" t="str">
            <v>Gram (g)</v>
          </cell>
        </row>
        <row r="136">
          <cell r="E136" t="str">
            <v>KCDOM4LCLC5MEF</v>
          </cell>
          <cell r="F136" t="str">
            <v>LC/LC OM4 DUPLEX OPTICAL PATCH CORD 5M ECO FRIENDLY BAG</v>
          </cell>
          <cell r="G136"/>
          <cell r="H136"/>
          <cell r="I136" t="str">
            <v>China</v>
          </cell>
          <cell r="J136">
            <v>97</v>
          </cell>
          <cell r="K136" t="str">
            <v>Gram (g)</v>
          </cell>
        </row>
        <row r="137">
          <cell r="E137" t="str">
            <v>KCDOS2LCLC1MEF</v>
          </cell>
          <cell r="F137" t="str">
            <v>LC/LC OS2 DUPLEX OPTICAL PATCH CORD 1M ECO FRIENDLY BAG</v>
          </cell>
          <cell r="G137"/>
          <cell r="H137"/>
          <cell r="I137" t="str">
            <v>China</v>
          </cell>
          <cell r="J137">
            <v>21.4</v>
          </cell>
          <cell r="K137" t="str">
            <v>Gram (g)</v>
          </cell>
        </row>
        <row r="138">
          <cell r="E138" t="str">
            <v>KCDOS2LCLC3MEF</v>
          </cell>
          <cell r="F138" t="str">
            <v>LC/LC OS2 DUPLEX OPTICAL PATCH CORD 3M ECO FRIENDLY BAG</v>
          </cell>
          <cell r="G138"/>
          <cell r="H138"/>
          <cell r="I138" t="str">
            <v>China</v>
          </cell>
          <cell r="J138">
            <v>65</v>
          </cell>
          <cell r="K138" t="str">
            <v>Gram (g)</v>
          </cell>
        </row>
        <row r="139">
          <cell r="E139" t="str">
            <v>KCDOS2LCLC5MEF</v>
          </cell>
          <cell r="F139" t="str">
            <v>LC/LC OS2 DUPLEX OPTICAL PATCH CORD 5M ECO FRIENDLY BAG</v>
          </cell>
          <cell r="G139"/>
          <cell r="H139"/>
          <cell r="I139" t="str">
            <v>China</v>
          </cell>
          <cell r="J139">
            <v>97</v>
          </cell>
          <cell r="K139" t="str">
            <v>Gram (g)</v>
          </cell>
        </row>
        <row r="140">
          <cell r="E140" t="str">
            <v>KCDOS2SCLC1MEF</v>
          </cell>
          <cell r="F140" t="str">
            <v>SC/LC OS2 DUPLEX OPTICAL PATCH CORD 1M ECO FRIENDLY BAG</v>
          </cell>
          <cell r="G140"/>
          <cell r="H140"/>
          <cell r="I140" t="str">
            <v>China</v>
          </cell>
          <cell r="J140">
            <v>25</v>
          </cell>
          <cell r="K140" t="str">
            <v>Gram (g)</v>
          </cell>
        </row>
        <row r="141">
          <cell r="E141" t="str">
            <v>KCDOS2A2LCLCB10MEF</v>
          </cell>
          <cell r="F141" t="str">
            <v>LC/LC OS2/G657A2 DUPLEX GRADE B OPTICAL PATCH CORD 10M ECO FRIENDLY BAG</v>
          </cell>
          <cell r="G141"/>
          <cell r="H141"/>
          <cell r="I141" t="str">
            <v>China</v>
          </cell>
          <cell r="J141">
            <v>103.45</v>
          </cell>
          <cell r="K141" t="str">
            <v>Gram (g)</v>
          </cell>
        </row>
        <row r="142">
          <cell r="E142" t="str">
            <v>KCDOS2A2LCLCB1MEF</v>
          </cell>
          <cell r="F142" t="str">
            <v>LC/LC OS2/G657A2 DUPLEX GRADE B OPTICAL PATCH CORD 1M ECO FRIENDLY BAG</v>
          </cell>
          <cell r="G142"/>
          <cell r="H142"/>
          <cell r="I142" t="str">
            <v>China</v>
          </cell>
          <cell r="J142">
            <v>28.3</v>
          </cell>
          <cell r="K142" t="str">
            <v>Gram (g)</v>
          </cell>
        </row>
        <row r="143">
          <cell r="E143" t="str">
            <v>KCDOS2A2LCLCB2MEF</v>
          </cell>
          <cell r="F143" t="str">
            <v>LC/LC OS2/G657A2 DUPLEX GRADE B OPTICAL PATCH CORD 2M ECO FRIENDLY BAG</v>
          </cell>
          <cell r="G143"/>
          <cell r="H143"/>
          <cell r="I143" t="str">
            <v>China</v>
          </cell>
          <cell r="J143">
            <v>36.65</v>
          </cell>
          <cell r="K143" t="str">
            <v>Gram (g)</v>
          </cell>
        </row>
        <row r="144">
          <cell r="E144" t="str">
            <v>KCDOS2A2LCLCB3MEF</v>
          </cell>
          <cell r="F144" t="str">
            <v>LC/LC OS2/G657A2 DUPLEX GRADE B OPTICAL PATCH CORD 3M ECO FRIENDLY BAG</v>
          </cell>
          <cell r="G144"/>
          <cell r="H144"/>
          <cell r="I144" t="str">
            <v>China</v>
          </cell>
          <cell r="J144">
            <v>45</v>
          </cell>
          <cell r="K144" t="str">
            <v>Gram (g)</v>
          </cell>
        </row>
        <row r="145">
          <cell r="E145" t="str">
            <v>KCDOS2A2LCLCB5MEF</v>
          </cell>
          <cell r="F145" t="str">
            <v>LC/LC OS2/G657A2 DUPLEX GRADE B OPTICAL PATCH CORD 5M ECO FRIENDLY BAG</v>
          </cell>
          <cell r="G145"/>
          <cell r="H145"/>
          <cell r="I145" t="str">
            <v>China</v>
          </cell>
          <cell r="J145">
            <v>55</v>
          </cell>
          <cell r="K145" t="str">
            <v>Gram (g)</v>
          </cell>
        </row>
        <row r="146">
          <cell r="E146" t="str">
            <v>KSFP1U06POS2LCEDF</v>
          </cell>
          <cell r="F146" t="str">
            <v>19" 1U 245MM FIBER OPTIC PANEL EQUIPPED WITH 6 OS2/G657A2 LC PIGTAILS GRADE B/3 LCD ADAPTERS /SPOOLING CASSETTE</v>
          </cell>
          <cell r="G146"/>
          <cell r="H146"/>
          <cell r="I146" t="str">
            <v>China</v>
          </cell>
          <cell r="J146">
            <v>3000</v>
          </cell>
          <cell r="K146" t="str">
            <v>Gram (g)</v>
          </cell>
        </row>
        <row r="147">
          <cell r="E147" t="str">
            <v>KSFP1U12POS2LCEDF</v>
          </cell>
          <cell r="F147" t="str">
            <v>19" 1U 245MM FIBER OPTIC PANEL EQUIPPED WITH 12 OS2/G657A2 LC PIGTAILS GRADE B/6 LCD ADAPTERS/SPOOLING CASSETTE</v>
          </cell>
          <cell r="G147"/>
          <cell r="H147"/>
          <cell r="I147" t="str">
            <v>China</v>
          </cell>
          <cell r="J147">
            <v>3200</v>
          </cell>
          <cell r="K147" t="str">
            <v>Gram (g)</v>
          </cell>
        </row>
        <row r="148">
          <cell r="E148" t="str">
            <v>KSFP1U24POS2LCEDF</v>
          </cell>
          <cell r="F148" t="str">
            <v>19" 1U 245MM FIBER OPTIC PANEL EQUIPPED WITH 24 OS2/G657A2 LC PIGTAILS GRADE B/12 LCD ADAPTERS/SPOOLING CASSETTE</v>
          </cell>
          <cell r="G148"/>
          <cell r="H148"/>
          <cell r="I148" t="str">
            <v>China</v>
          </cell>
          <cell r="J148">
            <v>45</v>
          </cell>
          <cell r="K148" t="str">
            <v>Gram (g)</v>
          </cell>
        </row>
        <row r="149">
          <cell r="E149" t="str">
            <v>KSFP1U48POS2LCEDF</v>
          </cell>
          <cell r="F149" t="str">
            <v>19" 1U 245MM FIBER OPTIC PANEL EQUIPPED WITH 48 OS2/G657A2 LC PIGTAILS GRADE B/24 LCD ADAPTERS/ SPOOLING CASSETTE</v>
          </cell>
          <cell r="G149"/>
          <cell r="H149"/>
          <cell r="I149" t="str">
            <v>China</v>
          </cell>
          <cell r="J149">
            <v>55</v>
          </cell>
          <cell r="K149" t="str">
            <v>Gram (g)</v>
          </cell>
        </row>
        <row r="150">
          <cell r="E150" t="str">
            <v>KSFP1U12POM4LCEDF</v>
          </cell>
          <cell r="F150" t="str">
            <v>19" 1U 245MM FIBER OPTIC PANEL EQUIPPED WITH 12 OM4 LC PIGTAILS GRADE B/6 LCD ADAPTERS/SPOOLING CASSETTE</v>
          </cell>
          <cell r="G150"/>
          <cell r="H150"/>
          <cell r="I150" t="str">
            <v>China</v>
          </cell>
          <cell r="J150">
            <v>3000</v>
          </cell>
          <cell r="K150" t="str">
            <v>Gram (g)</v>
          </cell>
        </row>
        <row r="151">
          <cell r="E151" t="str">
            <v>KSFP1U24POM4LCEDF</v>
          </cell>
          <cell r="F151" t="str">
            <v>19" 1U 245MM FIBER OPTIC PANEL EQUIPPED WITH 24 OM4 LC PIGTAILS GRADE B/12 LCD ADAPTERS/SPOOLING CASSETTE</v>
          </cell>
          <cell r="G151"/>
          <cell r="H151"/>
          <cell r="I151" t="str">
            <v>China</v>
          </cell>
          <cell r="J151">
            <v>3200</v>
          </cell>
          <cell r="K151" t="str">
            <v>Gram (g)</v>
          </cell>
        </row>
        <row r="152">
          <cell r="E152" t="str">
            <v>KSFP1U48POM4LCEDF</v>
          </cell>
          <cell r="F152" t="str">
            <v>19" 1U 245MM FIBER OPTIC PANEL EQUIPPED WITH 48 OM4 LC PIGTAILS GRADE B/24 LCD ADAPTERS/ SPOOLING CASSETTE</v>
          </cell>
          <cell r="G152"/>
          <cell r="H152"/>
          <cell r="I152" t="str">
            <v>China</v>
          </cell>
          <cell r="J152">
            <v>3500</v>
          </cell>
          <cell r="K152" t="str">
            <v>Gram (g)</v>
          </cell>
        </row>
        <row r="153">
          <cell r="E153" t="str">
            <v>KSFP1U2424LCDSEF2</v>
          </cell>
          <cell r="F153" t="str">
            <v>19" 1U PANEL FRONT PLATE 24 LC DUPLEX/LC QUAD EQUIPPED WITH 24 LC DUPLEX SINGLEMODE</v>
          </cell>
          <cell r="G153"/>
          <cell r="H153"/>
          <cell r="I153" t="str">
            <v>China</v>
          </cell>
          <cell r="J153">
            <v>3700</v>
          </cell>
          <cell r="K153" t="str">
            <v>Gram (g)</v>
          </cell>
        </row>
        <row r="154">
          <cell r="E154" t="str">
            <v>KSFP1U2412LCDSEF2</v>
          </cell>
          <cell r="F154" t="str">
            <v>19" 1U PANEL FRONT PLATE 24 LC DUPLEX/LC QUAD EQUIPPED WITH 12 LC DUPLEX SINGLEMODE</v>
          </cell>
          <cell r="G154"/>
          <cell r="H154"/>
          <cell r="I154" t="str">
            <v>China</v>
          </cell>
          <cell r="J154">
            <v>3200</v>
          </cell>
          <cell r="K154" t="str">
            <v>Gram (g)</v>
          </cell>
        </row>
        <row r="155">
          <cell r="E155" t="str">
            <v>KSFP1U2424LCDMEF2</v>
          </cell>
          <cell r="F155" t="str">
            <v>19" 1U PANEL FRONT PLATE 24 LC DUPLEX/LC QUAD EQUIPPED WITH 24 LC DUPLEX MULTIMODE</v>
          </cell>
          <cell r="G155"/>
          <cell r="H155"/>
          <cell r="I155" t="str">
            <v>China</v>
          </cell>
          <cell r="J155">
            <v>3500</v>
          </cell>
          <cell r="K155" t="str">
            <v>Gram (g)</v>
          </cell>
        </row>
        <row r="156">
          <cell r="E156" t="str">
            <v>KSFP1U2412LCDMEF2</v>
          </cell>
          <cell r="F156" t="str">
            <v>19" 1U PANEL FRONT PLATE 24 LC DUPLEX/LC QUAD EQUIPPED WITH 12 LC DUPLEX MULTIMODE</v>
          </cell>
          <cell r="G156"/>
          <cell r="H156"/>
          <cell r="I156" t="str">
            <v>China</v>
          </cell>
          <cell r="J156">
            <v>3700</v>
          </cell>
          <cell r="K156" t="str">
            <v>Gram (g)</v>
          </cell>
        </row>
        <row r="157">
          <cell r="E157" t="str">
            <v>KPIGOS2LC2MEF</v>
          </cell>
          <cell r="F157" t="str">
            <v>LC OS2 PIGTAIL 2 METERS ECO FRIENDLY BAG</v>
          </cell>
          <cell r="G157"/>
          <cell r="H157"/>
          <cell r="I157" t="str">
            <v>China</v>
          </cell>
          <cell r="J157">
            <v>2913</v>
          </cell>
          <cell r="K157" t="str">
            <v>Gram (g)</v>
          </cell>
        </row>
        <row r="158">
          <cell r="E158" t="str">
            <v>KPIGOS2SC2MEF</v>
          </cell>
          <cell r="F158" t="str">
            <v>SC OS2 PIGTAIL 2 METERS ECO FRIENDLY BAG</v>
          </cell>
          <cell r="G158"/>
          <cell r="H158"/>
          <cell r="I158" t="str">
            <v>China</v>
          </cell>
          <cell r="J158">
            <v>2899</v>
          </cell>
          <cell r="K158" t="str">
            <v>Gram (g)</v>
          </cell>
        </row>
        <row r="159">
          <cell r="E159" t="str">
            <v>KSPLICE60MM</v>
          </cell>
          <cell r="F159" t="str">
            <v>SPLICE PROTECTION HEAT SHRINKABLE 60MM</v>
          </cell>
          <cell r="G159"/>
          <cell r="H159"/>
          <cell r="I159" t="str">
            <v>China</v>
          </cell>
          <cell r="J159">
            <v>2913</v>
          </cell>
          <cell r="K159" t="str">
            <v>Gram (g)</v>
          </cell>
        </row>
        <row r="160">
          <cell r="E160" t="str">
            <v>KSET24FO</v>
          </cell>
          <cell r="F160" t="str">
            <v>SPLICE CASSETTE WITH SPLICE HOLDER STACKABLE 24FO</v>
          </cell>
          <cell r="G160"/>
          <cell r="H160"/>
          <cell r="I160" t="str">
            <v>China</v>
          </cell>
          <cell r="J160">
            <v>2899</v>
          </cell>
          <cell r="K160" t="str">
            <v>Gram (g)</v>
          </cell>
        </row>
        <row r="161">
          <cell r="E161" t="str">
            <v>KPDU8PC90</v>
          </cell>
          <cell r="F161" t="str">
            <v>PDU FRENCH 19" 8 SOCKETS ALU WITH 90° FIXTURES PER BOX</v>
          </cell>
          <cell r="G161"/>
          <cell r="H161"/>
          <cell r="I161" t="str">
            <v>China</v>
          </cell>
          <cell r="J161">
            <v>2913</v>
          </cell>
          <cell r="K161" t="str">
            <v>Gram (g)</v>
          </cell>
        </row>
        <row r="162">
          <cell r="E162" t="str">
            <v>KPDU8PCSW90</v>
          </cell>
          <cell r="F162" t="str">
            <v>PDU FRENCH 19" 8 SOCKETS ALU WITH SWITCH WITH 90° FIXTURES PER BOX</v>
          </cell>
          <cell r="G162"/>
          <cell r="H162"/>
          <cell r="I162" t="str">
            <v>China</v>
          </cell>
          <cell r="J162">
            <v>2899</v>
          </cell>
          <cell r="K162" t="str">
            <v>Gram (g)</v>
          </cell>
        </row>
        <row r="163">
          <cell r="E163" t="str">
            <v>KPDU6PC90</v>
          </cell>
          <cell r="F163" t="str">
            <v>PDU FRENCH 19" 6 SOCKETS ALU WITH 90° FIXTURES PER BOX</v>
          </cell>
          <cell r="G163"/>
          <cell r="H163"/>
          <cell r="I163" t="str">
            <v>China</v>
          </cell>
          <cell r="J163">
            <v>2913</v>
          </cell>
          <cell r="K163" t="str">
            <v>Gram (g)</v>
          </cell>
        </row>
        <row r="164">
          <cell r="E164" t="str">
            <v>KPDU6PCSW90</v>
          </cell>
          <cell r="F164" t="str">
            <v>PDU FRENCH 19" 6 SOCKETS ALU WITH SWITCH WITH 90° FIXTURES PER BOX</v>
          </cell>
          <cell r="G164"/>
          <cell r="H164"/>
          <cell r="I164" t="str">
            <v>China</v>
          </cell>
          <cell r="J164">
            <v>2899</v>
          </cell>
          <cell r="K164" t="str">
            <v>Gram (g)</v>
          </cell>
        </row>
        <row r="165">
          <cell r="E165" t="str">
            <v>KPDU6PCCB</v>
          </cell>
          <cell r="F165" t="str">
            <v>PDU FRENCH 19" 6 SOCKETS ALU WITH CIRCUIT BREAKER 16A 30MA WITH PROTECTION COVER PER BOX</v>
          </cell>
          <cell r="G165"/>
          <cell r="H165"/>
          <cell r="I165" t="str">
            <v>China</v>
          </cell>
          <cell r="J165">
            <v>33</v>
          </cell>
          <cell r="K165" t="str">
            <v>Gram (g)</v>
          </cell>
        </row>
        <row r="166">
          <cell r="E166" t="str">
            <v>XELPDUFAL6CBP</v>
          </cell>
          <cell r="F166" t="str">
            <v>PDU FRENCH 19" 6 SOCKETS ALU WITH CIRCUIT BREAKER 16A 30MA WITH PROTECTION COVER PER BOX</v>
          </cell>
          <cell r="G166"/>
          <cell r="H166"/>
          <cell r="I166" t="str">
            <v>China</v>
          </cell>
          <cell r="J166">
            <v>33</v>
          </cell>
          <cell r="K166" t="str">
            <v>Gram (g)</v>
          </cell>
        </row>
        <row r="167">
          <cell r="E167" t="str">
            <v>KSFP1U245NPLCEF</v>
          </cell>
          <cell r="F167" t="str">
            <v>19" 1U FIBRE OPTIC PATCH PANEL 245 UNLOADED WITHOUT FRONT PLATE WITH HOLE CUTTING WITH LOCKING SYSTEM AND ACCESSORIES PER FRIENDLY CARTON</v>
          </cell>
          <cell r="G167"/>
          <cell r="H167"/>
          <cell r="I167" t="str">
            <v>China</v>
          </cell>
          <cell r="J167">
            <v>0.8</v>
          </cell>
          <cell r="K167" t="str">
            <v>Gram (g)</v>
          </cell>
        </row>
        <row r="168">
          <cell r="E168" t="str">
            <v>KSFP1UFP12SCSLEF</v>
          </cell>
          <cell r="F168" t="str">
            <v>19" 1U PANEL FRONT PLATE WITH LOCKING SYSTEM 12 SC SIMPLEX/LC DUPLEX</v>
          </cell>
          <cell r="G168"/>
          <cell r="H168"/>
          <cell r="I168" t="str">
            <v>China</v>
          </cell>
          <cell r="J168">
            <v>66.2</v>
          </cell>
          <cell r="K168" t="str">
            <v>Gram (g)</v>
          </cell>
        </row>
        <row r="169">
          <cell r="E169" t="str">
            <v>KSFP1UFP24SCSLEF</v>
          </cell>
          <cell r="F169" t="str">
            <v>19" 1U PANEL FRONT PLATE WITH LOCKING SYSTEM 24 SC SIMPLEX/LC DUPLEX</v>
          </cell>
          <cell r="G169"/>
          <cell r="H169"/>
          <cell r="I169" t="str">
            <v>China</v>
          </cell>
          <cell r="J169">
            <v>790</v>
          </cell>
          <cell r="K169" t="str">
            <v>Gram (g)</v>
          </cell>
        </row>
        <row r="170">
          <cell r="E170" t="str">
            <v>KSPFK1U4RCEF</v>
          </cell>
          <cell r="F170" t="str">
            <v>19'' CABLE MANAGEMENT WITH 4 RINGS WITH HOLE CUTTING AND ACCESSORIES PER ECO FRIENDLY CARTON</v>
          </cell>
          <cell r="G170"/>
          <cell r="H170"/>
          <cell r="I170" t="str">
            <v>China</v>
          </cell>
          <cell r="J170">
            <v>800</v>
          </cell>
          <cell r="K170" t="str">
            <v>Gram (g)</v>
          </cell>
        </row>
        <row r="171">
          <cell r="E171" t="str">
            <v>KSPFK1U4RCFEF</v>
          </cell>
          <cell r="F171" t="str">
            <v>19'' CABLE MANAGEMENT FULL METAL WITH 4 RINGS WITH HOLE CUTTING AND ACCESSORIES PER ECO FRIENDLY CARTON</v>
          </cell>
          <cell r="G171"/>
          <cell r="H171"/>
          <cell r="I171" t="str">
            <v>China</v>
          </cell>
          <cell r="J171">
            <v>740</v>
          </cell>
          <cell r="K171" t="str">
            <v>Gram (g)</v>
          </cell>
        </row>
        <row r="172">
          <cell r="E172" t="str">
            <v>KSBRUSHCEF</v>
          </cell>
          <cell r="F172" t="str">
            <v>19'' CABLE MANAGEMENT WITH BRUSH WITH HOLE CUTTING AND ACCESSORIES PER ECO FRIENDLY CARTON</v>
          </cell>
          <cell r="G172"/>
          <cell r="H172"/>
          <cell r="I172" t="str">
            <v>China</v>
          </cell>
          <cell r="J172">
            <v>750</v>
          </cell>
          <cell r="K172" t="str">
            <v>Gram (g)</v>
          </cell>
        </row>
        <row r="173">
          <cell r="E173" t="str">
            <v>KSFS1U250</v>
          </cell>
          <cell r="F173" t="str">
            <v>19" FIXED SHELVE 1U DEPTH 250 MM PER BOX</v>
          </cell>
          <cell r="G173"/>
          <cell r="H173"/>
          <cell r="I173" t="str">
            <v>China</v>
          </cell>
          <cell r="J173">
            <v>900</v>
          </cell>
          <cell r="K173" t="str">
            <v>Gram (g)</v>
          </cell>
        </row>
        <row r="174">
          <cell r="E174" t="str">
            <v>KSFS2U250</v>
          </cell>
          <cell r="F174" t="str">
            <v>19" FIXED SHELVE 2U DEPTH 250 MM PER BOX</v>
          </cell>
          <cell r="G174"/>
          <cell r="H174"/>
          <cell r="I174" t="str">
            <v>China</v>
          </cell>
          <cell r="J174">
            <v>900</v>
          </cell>
          <cell r="K174" t="str">
            <v>Gram (g)</v>
          </cell>
        </row>
        <row r="175">
          <cell r="E175" t="str">
            <v>KJPP1UUEF</v>
          </cell>
          <cell r="F175" t="str">
            <v>24 PORTS UNLOADED PATCH PANEL 1U PER ECO FRIENDLY CARTON</v>
          </cell>
          <cell r="G175"/>
          <cell r="H175"/>
          <cell r="I175" t="str">
            <v>China</v>
          </cell>
          <cell r="J175">
            <v>2.6</v>
          </cell>
          <cell r="K175" t="str">
            <v>Gram (g)</v>
          </cell>
        </row>
        <row r="176">
          <cell r="E176" t="str">
            <v>KJPP1UEF</v>
          </cell>
          <cell r="F176" t="str">
            <v>24 PORTS UNLOADED PATCH PANEL 1U DIRECT GROUNDING PER ECO FRIENDLY CARTON</v>
          </cell>
          <cell r="G176"/>
          <cell r="H176"/>
          <cell r="I176" t="str">
            <v>China</v>
          </cell>
          <cell r="J176">
            <v>0.25</v>
          </cell>
          <cell r="K176" t="str">
            <v>Gram (g)</v>
          </cell>
        </row>
        <row r="177">
          <cell r="E177" t="str">
            <v>KJPP1UBEF</v>
          </cell>
          <cell r="F177" t="str">
            <v>24 PORTS UNLOADED PATCH PANEL 1U DIRECT GROUNDING BLACK PER ECO FRIENDLY CARTON</v>
          </cell>
          <cell r="G177"/>
          <cell r="H177"/>
          <cell r="I177" t="str">
            <v>China</v>
          </cell>
          <cell r="J177">
            <v>0.2</v>
          </cell>
          <cell r="K177" t="str">
            <v>Gram (g)</v>
          </cell>
        </row>
        <row r="178">
          <cell r="E178" t="str">
            <v>KJPP1UBCEF</v>
          </cell>
          <cell r="F178" t="str">
            <v>24 PORTS UNLOADED PATCH PANEL 1U DIRECT GROUNDING BLACK WITH HOLE CUTTING AND ACCESSORIES PER ECO FRIENDLY CARTON</v>
          </cell>
          <cell r="G178"/>
          <cell r="H178"/>
          <cell r="I178" t="str">
            <v>China</v>
          </cell>
          <cell r="J178">
            <v>290</v>
          </cell>
          <cell r="K178" t="str">
            <v>Gram (g)</v>
          </cell>
        </row>
        <row r="179">
          <cell r="E179" t="str">
            <v>KJPP1UBCTEF</v>
          </cell>
          <cell r="F179" t="str">
            <v>24 PORTS UNLOADED PATCH PANEL 1U STP BLACK T SHAPE WITH ONE HOLE CUTTING AND ACCESSORIES PER ECO-FRIENDLY CARTON</v>
          </cell>
          <cell r="G179"/>
          <cell r="H179"/>
          <cell r="I179" t="str">
            <v>China</v>
          </cell>
          <cell r="J179">
            <v>340</v>
          </cell>
          <cell r="K179" t="str">
            <v>Gram (g)</v>
          </cell>
        </row>
        <row r="180">
          <cell r="E180" t="str">
            <v>KJPP1UBMCTEF</v>
          </cell>
          <cell r="F180" t="str">
            <v>24 PORTS UNLOADED PATCH PANEL 1U DIRECT GROUNDING FULL METAL BLACK T SHAPE WITH HOLE CUTTING AND ACCESSORIES WITH 24PCS CABLE TIE PER ECO FRIENDLY CARTON</v>
          </cell>
          <cell r="G180"/>
          <cell r="H180"/>
          <cell r="I180" t="str">
            <v>China</v>
          </cell>
          <cell r="J180">
            <v>270</v>
          </cell>
          <cell r="K180" t="str">
            <v>Gram (g)</v>
          </cell>
        </row>
        <row r="181">
          <cell r="E181" t="str">
            <v>KJPP2UBMCTEF</v>
          </cell>
          <cell r="F181" t="str">
            <v>48 PORTS UNLOADED PATCH PANEL 2U DIRECT GROUNDING FULL METAL BLACK T SHAPE WITH HOLE CUTTING AND ACCESSORIES WITH 48PCS CABLE TIE PER ECO FRIENDLY CARTON</v>
          </cell>
          <cell r="G181"/>
          <cell r="H181"/>
          <cell r="I181" t="str">
            <v>China</v>
          </cell>
          <cell r="J181">
            <v>1383</v>
          </cell>
          <cell r="K181" t="str">
            <v>Gram (g)</v>
          </cell>
        </row>
        <row r="182">
          <cell r="E182" t="str">
            <v>KJPP1UBCANEF</v>
          </cell>
          <cell r="F182" t="str">
            <v>24 PORTS UNLOADED PATCH PANEL 1U DIRECT GROUNDING BLACK ANGLED V SHAPE PER ECO FRIENDLY CARTON</v>
          </cell>
          <cell r="G182"/>
          <cell r="H182"/>
          <cell r="I182" t="str">
            <v>China</v>
          </cell>
          <cell r="J182">
            <v>2000</v>
          </cell>
          <cell r="K182" t="str">
            <v>Gram (g)</v>
          </cell>
        </row>
        <row r="183">
          <cell r="E183" t="str">
            <v>KSFP1UFP2412LCDSEF</v>
          </cell>
          <cell r="F183" t="str">
            <v>19" 1U PANEL FRONT PLATE 24 LC DUPLEX/LC QUAD EQUIPPED WITH 12 LC DUPLEX SINGLEMODE</v>
          </cell>
          <cell r="G183"/>
          <cell r="H183"/>
          <cell r="I183" t="str">
            <v>China</v>
          </cell>
          <cell r="J183">
            <v>450</v>
          </cell>
          <cell r="K183" t="str">
            <v>Gram (g)</v>
          </cell>
        </row>
        <row r="184">
          <cell r="E184" t="str">
            <v>KSFP1UFP2412LCDMEF</v>
          </cell>
          <cell r="F184" t="str">
            <v>19" 1U PANEL FRONT PLATE 24 LC DUPLEX/LC QUAD EQUIPPED WITH 12 LC DUPLEX MULTIMODE</v>
          </cell>
          <cell r="G184"/>
          <cell r="H184"/>
          <cell r="I184" t="str">
            <v>China</v>
          </cell>
          <cell r="J184">
            <v>470</v>
          </cell>
          <cell r="K184" t="str">
            <v>Gram (g)</v>
          </cell>
        </row>
        <row r="185">
          <cell r="E185" t="str">
            <v>KSFP1UFP2424LCDMEF</v>
          </cell>
          <cell r="F185" t="str">
            <v>19" 1U PANEL FRONT PLATE 24 LC DUPLEX/LC QUAD EQUIPPED WITH 24 LC DUPLEX MULTIMODE</v>
          </cell>
          <cell r="G185"/>
          <cell r="H185"/>
          <cell r="I185" t="str">
            <v>China</v>
          </cell>
          <cell r="J185">
            <v>500</v>
          </cell>
          <cell r="K185" t="str">
            <v>Gram (g)</v>
          </cell>
        </row>
        <row r="186">
          <cell r="E186" t="str">
            <v>KSFP1UFP2424LCDSEF</v>
          </cell>
          <cell r="F186" t="str">
            <v>19" 1U PANEL FRONT PLATE 24 LC DUPLEX/LC QUAD EQUIPPED WITH 24 LC DUPLEX SINGLEMODE</v>
          </cell>
          <cell r="G186"/>
          <cell r="H186"/>
          <cell r="I186" t="str">
            <v>China</v>
          </cell>
          <cell r="J186">
            <v>500</v>
          </cell>
          <cell r="K186" t="str">
            <v>Gram (g)</v>
          </cell>
        </row>
        <row r="187">
          <cell r="E187" t="str">
            <v>KSFP1UFP2412SCDSEF</v>
          </cell>
          <cell r="F187" t="str">
            <v>19" 1U PANEL FRONT PLATE 24 SC DUPLEX/LC QUAD EQUIPPED WITH 12 SC DUPLEX SINGLEMODE</v>
          </cell>
          <cell r="G187"/>
          <cell r="H187"/>
          <cell r="I187" t="str">
            <v>China</v>
          </cell>
          <cell r="J187">
            <v>500</v>
          </cell>
          <cell r="K187" t="str">
            <v>Gram (g)</v>
          </cell>
        </row>
        <row r="188">
          <cell r="E188" t="str">
            <v>KSFP1UFP2412SCDMEF</v>
          </cell>
          <cell r="F188" t="str">
            <v>19" 1U PANEL FRONT PLATE 24 SC DUPLEX/LC QUAD EQUIPPED WITH 12 SC DUPLEX MULTIMODE</v>
          </cell>
          <cell r="G188"/>
          <cell r="H188"/>
          <cell r="I188" t="str">
            <v>China</v>
          </cell>
          <cell r="J188">
            <v>500</v>
          </cell>
          <cell r="K188" t="str">
            <v>Gram (g)</v>
          </cell>
        </row>
        <row r="189">
          <cell r="E189" t="str">
            <v>KSFP1UFP2424SCDSEF</v>
          </cell>
          <cell r="F189" t="str">
            <v>19" 1U PANEL FRONT PLATE 24 SC DUPLEX/LC QUAD EQUIPPED WITH 24 SC DUPLEX SINGLEMODE</v>
          </cell>
          <cell r="G189"/>
          <cell r="H189"/>
          <cell r="I189" t="str">
            <v>China</v>
          </cell>
          <cell r="J189">
            <v>1100</v>
          </cell>
          <cell r="K189" t="str">
            <v>Gram (g)</v>
          </cell>
        </row>
        <row r="190">
          <cell r="E190" t="str">
            <v>KSFP1UFP2424SCDMEF</v>
          </cell>
          <cell r="F190" t="str">
            <v>19" 1U PANEL FRONT PLATE 24 SC DUPLEX/LC QUAD EQUIPPED WITH 24 SC DUPLEX MULTIMODE</v>
          </cell>
          <cell r="G190"/>
          <cell r="H190"/>
          <cell r="I190" t="str">
            <v>China</v>
          </cell>
          <cell r="J190">
            <v>700</v>
          </cell>
          <cell r="K190" t="str">
            <v>Gram (g)</v>
          </cell>
        </row>
        <row r="191">
          <cell r="E191" t="str">
            <v>KRH4288EDF</v>
          </cell>
          <cell r="F191" t="str">
            <v>CABINET 19’’ EDF 42U 800X800</v>
          </cell>
          <cell r="G191"/>
          <cell r="H191"/>
          <cell r="I191" t="str">
            <v>China</v>
          </cell>
          <cell r="J191">
            <v>279.2</v>
          </cell>
          <cell r="K191" t="str">
            <v>Gram (g)</v>
          </cell>
        </row>
        <row r="192">
          <cell r="E192" t="str">
            <v>KUPS1K90036</v>
          </cell>
          <cell r="F192" t="str">
            <v xml:space="preserve">1kVA 900W 36VDC standard model, RT type </v>
          </cell>
          <cell r="G192"/>
          <cell r="H192"/>
          <cell r="I192" t="str">
            <v>China</v>
          </cell>
          <cell r="J192">
            <v>279.2</v>
          </cell>
          <cell r="K192" t="str">
            <v>Gram (g)</v>
          </cell>
        </row>
        <row r="193">
          <cell r="E193" t="str">
            <v>KUPS2K180072</v>
          </cell>
          <cell r="F193" t="str">
            <v xml:space="preserve">2kVA 1800W 72VDC standard model, RT type </v>
          </cell>
          <cell r="G193"/>
          <cell r="H193"/>
          <cell r="I193" t="str">
            <v>China</v>
          </cell>
          <cell r="J193">
            <v>312.39999999999998</v>
          </cell>
          <cell r="K193" t="str">
            <v>Gram (g)</v>
          </cell>
        </row>
        <row r="194">
          <cell r="E194" t="str">
            <v>KUPS3K270096</v>
          </cell>
          <cell r="F194" t="str">
            <v xml:space="preserve">3kVA 2700W 96VDC standard model, RT type </v>
          </cell>
          <cell r="G194"/>
          <cell r="H194"/>
          <cell r="I194" t="str">
            <v>China</v>
          </cell>
          <cell r="J194">
            <v>312.39999999999998</v>
          </cell>
          <cell r="K194" t="str">
            <v>Gram (g)</v>
          </cell>
        </row>
        <row r="195">
          <cell r="E195" t="str">
            <v>KUPS6K6000192</v>
          </cell>
          <cell r="F195" t="str">
            <v xml:space="preserve">6kVA 6kW 192VDC standard model, RT type </v>
          </cell>
          <cell r="G195"/>
          <cell r="H195"/>
          <cell r="I195" t="str">
            <v>China</v>
          </cell>
          <cell r="J195">
            <v>307.39999999999998</v>
          </cell>
          <cell r="K195" t="str">
            <v>Gram (g)</v>
          </cell>
        </row>
        <row r="196">
          <cell r="E196" t="str">
            <v>KUPS10K10K192</v>
          </cell>
          <cell r="F196" t="str">
            <v xml:space="preserve">10kVA 10kW 192VDC standard model, RT type </v>
          </cell>
          <cell r="G196"/>
          <cell r="H196"/>
          <cell r="I196" t="str">
            <v>China</v>
          </cell>
          <cell r="J196">
            <v>307.39999999999998</v>
          </cell>
          <cell r="K196" t="str">
            <v>Gram (g)</v>
          </cell>
        </row>
        <row r="197">
          <cell r="E197" t="str">
            <v>KUPS20K20K192</v>
          </cell>
          <cell r="F197" t="str">
            <v>20kVA 20kW 192VDC 3/1 long run model,RT type</v>
          </cell>
          <cell r="G197"/>
          <cell r="H197"/>
          <cell r="I197" t="str">
            <v>China</v>
          </cell>
          <cell r="J197">
            <v>383.8</v>
          </cell>
          <cell r="K197" t="str">
            <v>Gram (g)</v>
          </cell>
        </row>
        <row r="198">
          <cell r="E198" t="str">
            <v>KUPSCARDSNMP</v>
          </cell>
          <cell r="F198" t="str">
            <v xml:space="preserve">SNMP card </v>
          </cell>
          <cell r="G198"/>
          <cell r="H198"/>
          <cell r="I198" t="str">
            <v>China</v>
          </cell>
          <cell r="J198">
            <v>383.8</v>
          </cell>
          <cell r="K198" t="str">
            <v>Gram (g)</v>
          </cell>
        </row>
        <row r="199">
          <cell r="E199" t="str">
            <v>KFO6OS2CTZHD</v>
          </cell>
          <cell r="F199" t="str">
            <v>6FO OS2 CENTRAL LOOSE TUBE LSZH UNIVERSAL Dca YELLOW RAL1021 2000M DRUM</v>
          </cell>
          <cell r="G199"/>
          <cell r="H199"/>
          <cell r="I199" t="str">
            <v>Turkey</v>
          </cell>
          <cell r="J199">
            <v>55</v>
          </cell>
          <cell r="K199" t="str">
            <v>Kilogram (kg) [KGM]</v>
          </cell>
        </row>
        <row r="200">
          <cell r="E200" t="str">
            <v>KFO8OS2CTZHD</v>
          </cell>
          <cell r="F200" t="str">
            <v>8FO OS2 CENTRAL LOOSE TUBE LSZH UNIVERSAL Dca YELLOW RAL1021 2000M DRUM</v>
          </cell>
          <cell r="G200"/>
          <cell r="H200"/>
          <cell r="I200" t="str">
            <v>China</v>
          </cell>
          <cell r="J200">
            <v>15.5</v>
          </cell>
          <cell r="K200" t="str">
            <v>Kilogram (kg) [KGM]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IFICATION"/>
      <sheetName val="START CABINETS"/>
      <sheetName val="GRID CABINETS"/>
      <sheetName val="RACKS &amp; OPEN RACKS"/>
      <sheetName val="EDF MARKET"/>
      <sheetName val="ACCESSORIES 19"/>
      <sheetName val="OPEN RACKS"/>
    </sheetNames>
    <sheetDataSet>
      <sheetData sheetId="0" refreshError="1"/>
      <sheetData sheetId="1" refreshError="1"/>
      <sheetData sheetId="2" refreshError="1"/>
      <sheetData sheetId="3" refreshError="1">
        <row r="6">
          <cell r="B6" t="str">
            <v>KWI07600</v>
          </cell>
          <cell r="C6" t="str">
            <v>-</v>
          </cell>
          <cell r="D6" t="str">
            <v>MR.IP55W07U60.03</v>
          </cell>
          <cell r="E6">
            <v>166.93</v>
          </cell>
          <cell r="F6">
            <v>136.85</v>
          </cell>
          <cell r="G6"/>
          <cell r="H6"/>
          <cell r="I6" t="str">
            <v>$120,00</v>
          </cell>
          <cell r="J6">
            <v>120</v>
          </cell>
        </row>
        <row r="7">
          <cell r="B7" t="str">
            <v>KWI09600</v>
          </cell>
          <cell r="C7" t="str">
            <v>-</v>
          </cell>
          <cell r="D7" t="str">
            <v>MR.IP55W09U60.03</v>
          </cell>
          <cell r="E7">
            <v>175.34</v>
          </cell>
          <cell r="F7">
            <v>152.94999999999999</v>
          </cell>
          <cell r="G7"/>
          <cell r="H7"/>
          <cell r="I7" t="str">
            <v>$130,00</v>
          </cell>
          <cell r="J7">
            <v>130</v>
          </cell>
        </row>
        <row r="8">
          <cell r="B8" t="str">
            <v>KWI12600</v>
          </cell>
          <cell r="C8" t="str">
            <v>-</v>
          </cell>
          <cell r="D8" t="str">
            <v>MR.IP55W12U60.03</v>
          </cell>
          <cell r="E8">
            <v>186.13</v>
          </cell>
          <cell r="F8">
            <v>165.6</v>
          </cell>
          <cell r="G8"/>
          <cell r="H8"/>
          <cell r="I8" t="str">
            <v>$140,00</v>
          </cell>
          <cell r="J8">
            <v>140</v>
          </cell>
        </row>
        <row r="9">
          <cell r="B9" t="str">
            <v>KWI16600</v>
          </cell>
          <cell r="C9" t="str">
            <v>-</v>
          </cell>
          <cell r="D9" t="str">
            <v>MR.IP55W16U60.03</v>
          </cell>
          <cell r="E9">
            <v>202.22</v>
          </cell>
          <cell r="F9">
            <v>181.7</v>
          </cell>
          <cell r="G9"/>
          <cell r="H9"/>
          <cell r="I9" t="str">
            <v>$160,00</v>
          </cell>
          <cell r="J9">
            <v>160</v>
          </cell>
        </row>
        <row r="10">
          <cell r="B10" t="str">
            <v>KWI18600</v>
          </cell>
          <cell r="C10" t="str">
            <v>-</v>
          </cell>
          <cell r="D10" t="str">
            <v>MR.IP55W18U60.03</v>
          </cell>
          <cell r="E10"/>
          <cell r="F10"/>
          <cell r="G10"/>
          <cell r="H10"/>
          <cell r="I10" t="str">
            <v>$170,00</v>
          </cell>
          <cell r="J10">
            <v>170</v>
          </cell>
        </row>
        <row r="11">
          <cell r="B11" t="str">
            <v>KWI20600</v>
          </cell>
          <cell r="C11" t="str">
            <v>-</v>
          </cell>
          <cell r="D11" t="str">
            <v>MR.IP55W20U60.03</v>
          </cell>
          <cell r="E11">
            <v>217.6</v>
          </cell>
          <cell r="F11">
            <v>204.13</v>
          </cell>
          <cell r="G11"/>
          <cell r="H11"/>
          <cell r="I11" t="str">
            <v>$180,00</v>
          </cell>
          <cell r="J11">
            <v>180</v>
          </cell>
        </row>
        <row r="12">
          <cell r="B12" t="str">
            <v>KWI22600</v>
          </cell>
          <cell r="C12" t="str">
            <v>-</v>
          </cell>
          <cell r="D12" t="str">
            <v>MR.IP55W22U60.03</v>
          </cell>
          <cell r="E12"/>
          <cell r="F12"/>
          <cell r="G12"/>
          <cell r="H12"/>
          <cell r="I12" t="str">
            <v>$200,00</v>
          </cell>
          <cell r="J12">
            <v>200</v>
          </cell>
        </row>
        <row r="13">
          <cell r="B13" t="str">
            <v xml:space="preserve">ukn products codes </v>
          </cell>
          <cell r="C13" t="str">
            <v>ukn number codes</v>
          </cell>
          <cell r="D13" t="str">
            <v>Mirsan Code</v>
          </cell>
          <cell r="E13" t="str">
            <v>SYMEA PRICES</v>
          </cell>
          <cell r="F13" t="str">
            <v>SYMEA PRICES</v>
          </cell>
          <cell r="G13" t="str">
            <v>SYMEA PRICES</v>
          </cell>
          <cell r="H13" t="str">
            <v>SYMEA PRICES</v>
          </cell>
          <cell r="I13" t="str">
            <v>TG</v>
          </cell>
          <cell r="J13" t="str">
            <v>SYMEA PRICES</v>
          </cell>
        </row>
        <row r="14">
          <cell r="B14" t="str">
            <v>KWI07600FDRA</v>
          </cell>
          <cell r="C14" t="str">
            <v>-</v>
          </cell>
          <cell r="D14" t="str">
            <v>07U W=600mm D=600mm Wall-Mounted IP55 Cabinet 7035 Outdoor (Internally Lockable Side Panels, Front-Handled Lockable Metal Door)</v>
          </cell>
          <cell r="E14">
            <v>0</v>
          </cell>
          <cell r="F14"/>
          <cell r="G14">
            <v>227.2</v>
          </cell>
          <cell r="H14"/>
          <cell r="I14">
            <v>156</v>
          </cell>
          <cell r="J14">
            <v>185</v>
          </cell>
        </row>
        <row r="15">
          <cell r="B15" t="str">
            <v>KWI09600FDRA</v>
          </cell>
          <cell r="C15" t="str">
            <v>-</v>
          </cell>
          <cell r="D15" t="str">
            <v>09U W=600mm D=600mm Wall-Mounted IP55 Cabinet 7035 Outdoor (Internally Lockable Side Panels, Front-Handled Lockable Metal Door)</v>
          </cell>
          <cell r="E15">
            <v>0</v>
          </cell>
          <cell r="F15"/>
          <cell r="G15">
            <v>236.9</v>
          </cell>
          <cell r="H15"/>
          <cell r="I15">
            <v>169</v>
          </cell>
          <cell r="J15">
            <v>195</v>
          </cell>
        </row>
        <row r="16">
          <cell r="B16" t="str">
            <v>KWI12600FDRA</v>
          </cell>
          <cell r="C16" t="str">
            <v>-</v>
          </cell>
          <cell r="D16" t="str">
            <v>12U W=600mm D=600mm Wall-Mounted IP55 Cabinet 7035 Outdoor (Internally Lockable Side Panels, Front-Handled Lockable Metal Door)</v>
          </cell>
          <cell r="E16">
            <v>0</v>
          </cell>
          <cell r="F16"/>
          <cell r="G16">
            <v>251.6</v>
          </cell>
          <cell r="H16"/>
          <cell r="I16">
            <v>182</v>
          </cell>
          <cell r="J16">
            <v>210</v>
          </cell>
        </row>
        <row r="17">
          <cell r="B17" t="str">
            <v>KWI16600FDRA</v>
          </cell>
          <cell r="C17" t="str">
            <v>-</v>
          </cell>
          <cell r="D17" t="str">
            <v>16U W=600mm D=600mm Wall-Mounted IP55 Cabinet 7035 Outdoor (Internally Lockable Side Panels, Front-Handled Lockable Metal Door)</v>
          </cell>
          <cell r="E17">
            <v>0</v>
          </cell>
          <cell r="F17"/>
          <cell r="G17">
            <v>279.7</v>
          </cell>
          <cell r="H17"/>
          <cell r="I17">
            <v>208</v>
          </cell>
          <cell r="J17">
            <v>225</v>
          </cell>
        </row>
        <row r="18">
          <cell r="B18" t="str">
            <v>KWI18600FDRA</v>
          </cell>
          <cell r="C18" t="str">
            <v>-</v>
          </cell>
          <cell r="D18" t="str">
            <v>18U W=600mm D=600mm Wall-Mounted IP55 Cabinet 7035 Outdoor (Internally Lockable Side Panels, Front-Handled Lockable Metal Door)</v>
          </cell>
          <cell r="E18">
            <v>0</v>
          </cell>
          <cell r="F18"/>
          <cell r="G18">
            <v>290.89999999999998</v>
          </cell>
          <cell r="H18">
            <v>277</v>
          </cell>
          <cell r="I18">
            <v>221</v>
          </cell>
          <cell r="J18">
            <v>250</v>
          </cell>
        </row>
        <row r="19">
          <cell r="B19" t="str">
            <v>KWI20600FDRA</v>
          </cell>
          <cell r="C19" t="str">
            <v>-</v>
          </cell>
          <cell r="D19" t="str">
            <v>20U W=600mm D=600mm Wall-Mounted IP55 Cabinet 7035 Outdoor (Internally Lockable Side Panels, Front-Handled Lockable Metal Door)</v>
          </cell>
          <cell r="E19">
            <v>0</v>
          </cell>
          <cell r="F19"/>
          <cell r="G19">
            <v>298.5</v>
          </cell>
          <cell r="H19"/>
          <cell r="I19">
            <v>234</v>
          </cell>
          <cell r="J19">
            <v>270</v>
          </cell>
        </row>
        <row r="20">
          <cell r="B20" t="str">
            <v>KWI22600FDRA</v>
          </cell>
          <cell r="C20" t="str">
            <v>-</v>
          </cell>
          <cell r="D20" t="str">
            <v>22U W=600mm D=600mm Wall-Mounted IP55 Cabinet 7035 Outdoor (Internally Lockable Side Panels, Front-Handled Lockable Metal Door)</v>
          </cell>
          <cell r="E20">
            <v>0</v>
          </cell>
          <cell r="F20"/>
          <cell r="G20">
            <v>309.8</v>
          </cell>
          <cell r="H20">
            <v>295</v>
          </cell>
          <cell r="I20">
            <v>260</v>
          </cell>
          <cell r="J20">
            <v>280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</row>
        <row r="22">
          <cell r="B22" t="str">
            <v>KWI07600SGRA</v>
          </cell>
          <cell r="C22" t="str">
            <v>-</v>
          </cell>
          <cell r="D22" t="str">
            <v>07U W=600mm D=600mm Wall-Mounted IP55 Cabinet 7035 Outdoor (Internally Lockable Side Panels, Front-Handled Lockable Glass Door)</v>
          </cell>
          <cell r="E22">
            <v>0</v>
          </cell>
          <cell r="F22"/>
          <cell r="G22">
            <v>227.2</v>
          </cell>
          <cell r="H22">
            <v>224</v>
          </cell>
          <cell r="I22">
            <v>156</v>
          </cell>
          <cell r="J22">
            <v>195</v>
          </cell>
        </row>
        <row r="23">
          <cell r="B23" t="str">
            <v>KWI09600SGRA</v>
          </cell>
          <cell r="C23" t="str">
            <v>-</v>
          </cell>
          <cell r="D23" t="str">
            <v>09U W=600mm D=600mm Wall-Mounted IP55 Cabinet 7035 Outdoor (Internally Lockable Side Panels, Front-Handled Lockable Glass Door)</v>
          </cell>
          <cell r="E23">
            <v>0</v>
          </cell>
          <cell r="F23"/>
          <cell r="G23">
            <v>236.9</v>
          </cell>
          <cell r="H23">
            <v>234</v>
          </cell>
          <cell r="I23">
            <v>169</v>
          </cell>
          <cell r="J23">
            <v>205</v>
          </cell>
        </row>
        <row r="24">
          <cell r="B24" t="str">
            <v>KWI12600SGRA</v>
          </cell>
          <cell r="C24" t="str">
            <v>-</v>
          </cell>
          <cell r="D24" t="str">
            <v>12U W=600mm D=600mm Wall-Mounted IP55 Cabinet 7035 Outdoor (Internally Lockable Side Panels, Front-Handled Lockable Glass Door)</v>
          </cell>
          <cell r="E24">
            <v>0</v>
          </cell>
          <cell r="F24"/>
          <cell r="G24">
            <v>251.6</v>
          </cell>
          <cell r="H24">
            <v>248</v>
          </cell>
          <cell r="I24">
            <v>182</v>
          </cell>
          <cell r="J24">
            <v>220</v>
          </cell>
        </row>
        <row r="25">
          <cell r="B25" t="str">
            <v>KWI16600SGRA</v>
          </cell>
          <cell r="C25" t="str">
            <v>-</v>
          </cell>
          <cell r="D25" t="str">
            <v>16U W=600mm D=600mm Wall-Mounted IP55 Cabinet 7035 Outdoor (Internally Lockable Side Panels, Front-Handled Lockable Glass Door)</v>
          </cell>
          <cell r="E25">
            <v>0</v>
          </cell>
          <cell r="F25"/>
          <cell r="G25">
            <v>279.7</v>
          </cell>
          <cell r="H25">
            <v>276</v>
          </cell>
          <cell r="I25">
            <v>208</v>
          </cell>
          <cell r="J25">
            <v>235</v>
          </cell>
        </row>
        <row r="26">
          <cell r="B26" t="str">
            <v>KWI18600SGRA</v>
          </cell>
          <cell r="C26" t="str">
            <v>-</v>
          </cell>
          <cell r="D26" t="str">
            <v>18U W=600mm D=600mm Wall-Mounted IP55 Cabinet 7035 Outdoor (Internally Lockable Side Panels, Front-Handled Lockable Glass Door)</v>
          </cell>
          <cell r="E26">
            <v>0</v>
          </cell>
          <cell r="F26"/>
          <cell r="G26">
            <v>290.89999999999998</v>
          </cell>
          <cell r="H26">
            <v>284</v>
          </cell>
          <cell r="I26">
            <v>221</v>
          </cell>
          <cell r="J26">
            <v>260</v>
          </cell>
        </row>
        <row r="27">
          <cell r="B27" t="str">
            <v>KWI20600SGRA</v>
          </cell>
          <cell r="C27" t="str">
            <v>-</v>
          </cell>
          <cell r="D27" t="str">
            <v>20U W=600mm D=600mm Wall-Mounted IP55 Cabinet 7035 Outdoor (Internally Lockable Side Panels, Front-Handled Lockable Glass Door)</v>
          </cell>
          <cell r="E27">
            <v>0</v>
          </cell>
          <cell r="F27"/>
          <cell r="G27">
            <v>298.5</v>
          </cell>
          <cell r="H27">
            <v>294</v>
          </cell>
          <cell r="I27">
            <v>234</v>
          </cell>
          <cell r="J27">
            <v>280</v>
          </cell>
        </row>
        <row r="28">
          <cell r="B28" t="str">
            <v>KWI22600SGRA</v>
          </cell>
          <cell r="C28" t="str">
            <v>-</v>
          </cell>
          <cell r="D28" t="str">
            <v>22U W=600mm D=600mm Wall-Mounted IP55 Cabinet 7035 Outdoor (Internally Lockable Side Panels, Front-Handled Lockable Glass Door)</v>
          </cell>
          <cell r="E28">
            <v>0</v>
          </cell>
          <cell r="F28"/>
          <cell r="G28">
            <v>309.8</v>
          </cell>
          <cell r="H28">
            <v>304</v>
          </cell>
          <cell r="I28">
            <v>260</v>
          </cell>
          <cell r="J28">
            <v>290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</row>
        <row r="30">
          <cell r="B30" t="str">
            <v>KWI07800FDRA</v>
          </cell>
          <cell r="C30" t="str">
            <v>-</v>
          </cell>
          <cell r="D30" t="str">
            <v>07U W=600mm D=800mm Wall-Mounted IP55 Cabinet 7035 Outdoor (Internally Lockable Side Panels, Front-Handled Lockable Metal Door)</v>
          </cell>
          <cell r="E30">
            <v>0</v>
          </cell>
          <cell r="F30"/>
          <cell r="G30">
            <v>251.2</v>
          </cell>
          <cell r="H30">
            <v>239</v>
          </cell>
          <cell r="I30">
            <v>175</v>
          </cell>
          <cell r="J30">
            <v>205</v>
          </cell>
        </row>
        <row r="31">
          <cell r="B31" t="str">
            <v>KWI09800FDRA</v>
          </cell>
          <cell r="C31" t="str">
            <v>-</v>
          </cell>
          <cell r="D31" t="str">
            <v>09U W=600mm D=800mm Wall-Mounted IP55 Cabinet 7035 Outdoor (Internally Lockable Side Panels, Front-Handled Lockable Metal Door)</v>
          </cell>
          <cell r="E31">
            <v>0</v>
          </cell>
          <cell r="F31"/>
          <cell r="G31">
            <v>262.10000000000002</v>
          </cell>
          <cell r="H31">
            <v>250</v>
          </cell>
          <cell r="I31">
            <v>190</v>
          </cell>
          <cell r="J31">
            <v>215</v>
          </cell>
        </row>
        <row r="32">
          <cell r="B32" t="str">
            <v>KWI12800FDRA</v>
          </cell>
          <cell r="C32" t="str">
            <v>-</v>
          </cell>
          <cell r="D32" t="str">
            <v>12U W=600mm D=800mm Wall-Mounted IP55 Cabinet 7035 Outdoor (Internally Lockable Side Panels, Front-Handled Lockable Metal Door)</v>
          </cell>
          <cell r="E32">
            <v>0</v>
          </cell>
          <cell r="F32"/>
          <cell r="G32">
            <v>278.39999999999998</v>
          </cell>
          <cell r="H32">
            <v>265</v>
          </cell>
          <cell r="I32">
            <v>202</v>
          </cell>
          <cell r="J32">
            <v>233</v>
          </cell>
        </row>
        <row r="33">
          <cell r="B33" t="str">
            <v>KWI16800FDRA</v>
          </cell>
          <cell r="C33" t="str">
            <v>-</v>
          </cell>
          <cell r="D33" t="str">
            <v>16U W=600mm D=800mm Wall-Mounted IP55 Cabinet 7035 Outdoor (Internally Lockable Side Panels, Front-Handled Lockable Metal Door)</v>
          </cell>
          <cell r="E33">
            <v>0</v>
          </cell>
          <cell r="F33"/>
          <cell r="G33">
            <v>310.2</v>
          </cell>
          <cell r="H33">
            <v>295</v>
          </cell>
          <cell r="I33">
            <v>231</v>
          </cell>
          <cell r="J33">
            <v>250</v>
          </cell>
        </row>
        <row r="34">
          <cell r="B34" t="str">
            <v>KWI18800FDRA</v>
          </cell>
          <cell r="C34" t="str">
            <v>-</v>
          </cell>
          <cell r="D34" t="str">
            <v>18U W=600mm D=800mm Wall-Mounted IP55 Cabinet 7035 Outdoor (Internally Lockable Side Panels, Front-Handled Lockable Metal Door)</v>
          </cell>
          <cell r="E34">
            <v>0</v>
          </cell>
          <cell r="F34"/>
          <cell r="G34">
            <v>320.39999999999998</v>
          </cell>
          <cell r="H34">
            <v>305</v>
          </cell>
          <cell r="I34">
            <v>246</v>
          </cell>
          <cell r="J34">
            <v>275</v>
          </cell>
        </row>
        <row r="35">
          <cell r="B35" t="str">
            <v>KWI20800FDRA</v>
          </cell>
          <cell r="C35" t="str">
            <v>-</v>
          </cell>
          <cell r="D35" t="str">
            <v>20U W=600mm D=800mm Wall-Mounted IP55 Cabinet 7035 Outdoor (Internally Lockable Side Panels, Front-Handled Lockable Metal Door)</v>
          </cell>
          <cell r="E35">
            <v>0</v>
          </cell>
          <cell r="F35"/>
          <cell r="G35">
            <v>331.1</v>
          </cell>
          <cell r="H35">
            <v>315</v>
          </cell>
          <cell r="I35">
            <v>260</v>
          </cell>
          <cell r="J35">
            <v>295</v>
          </cell>
        </row>
        <row r="36">
          <cell r="B36" t="str">
            <v>KWI22800FDRA</v>
          </cell>
          <cell r="C36" t="str">
            <v>-</v>
          </cell>
          <cell r="D36" t="str">
            <v>22U W=600mm D=800mm Wall-Mounted IP55 Cabinet 7035 Outdoor (Internally Lockable Side Panels, Front-Handled Lockable Metal Door)</v>
          </cell>
          <cell r="E36">
            <v>0</v>
          </cell>
          <cell r="F36"/>
          <cell r="G36">
            <v>341.3</v>
          </cell>
          <cell r="H36">
            <v>325</v>
          </cell>
          <cell r="I36">
            <v>289</v>
          </cell>
          <cell r="J36">
            <v>315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</row>
        <row r="38">
          <cell r="B38" t="str">
            <v>KWI07800SGRA</v>
          </cell>
          <cell r="C38" t="str">
            <v>-</v>
          </cell>
          <cell r="D38" t="str">
            <v>07U W=600mm D=800mm Wall-Mounted IP55 Cabinet 7035 Outdoor (Internally Lockable Side Panels, Front-Handled Lockable Glass Door)</v>
          </cell>
          <cell r="E38">
            <v>0</v>
          </cell>
          <cell r="F38"/>
          <cell r="G38">
            <v>257.60000000000002</v>
          </cell>
          <cell r="H38">
            <v>245</v>
          </cell>
          <cell r="I38">
            <v>175</v>
          </cell>
          <cell r="J38">
            <v>215</v>
          </cell>
        </row>
        <row r="39">
          <cell r="B39" t="str">
            <v>KWI09800SGRA</v>
          </cell>
          <cell r="C39" t="str">
            <v>-</v>
          </cell>
          <cell r="D39" t="str">
            <v>09U W=600mm D=800mm Wall-Mounted IP55 Cabinet 7035 Outdoor (Internally Lockable Side Panels, Front-Handled Lockable Glass Door)</v>
          </cell>
          <cell r="E39">
            <v>0</v>
          </cell>
          <cell r="F39"/>
          <cell r="G39">
            <v>268.7</v>
          </cell>
          <cell r="H39">
            <v>256</v>
          </cell>
          <cell r="I39">
            <v>190</v>
          </cell>
          <cell r="J39">
            <v>225</v>
          </cell>
        </row>
        <row r="40">
          <cell r="B40" t="str">
            <v>KWI12800SGRA</v>
          </cell>
          <cell r="C40" t="str">
            <v>-</v>
          </cell>
          <cell r="D40" t="str">
            <v>12U W=600mm D=800mm Wall-Mounted IP55 Cabinet 7035 Outdoor (Internally Lockable Side Panels, Front-Handled Lockable Glass Door)</v>
          </cell>
          <cell r="E40">
            <v>0</v>
          </cell>
          <cell r="F40"/>
          <cell r="G40">
            <v>285.5</v>
          </cell>
          <cell r="H40">
            <v>272</v>
          </cell>
          <cell r="I40">
            <v>202</v>
          </cell>
          <cell r="J40">
            <v>240</v>
          </cell>
        </row>
        <row r="41">
          <cell r="B41" t="str">
            <v>KWI16800SGRA</v>
          </cell>
          <cell r="C41" t="str">
            <v>-</v>
          </cell>
          <cell r="D41" t="str">
            <v>16U W=600mm D=800mm Wall-Mounted IP55 Cabinet 7035 Outdoor (Internally Lockable Side Panels, Front-Handled Lockable Glass Door)</v>
          </cell>
          <cell r="E41">
            <v>0</v>
          </cell>
          <cell r="F41"/>
          <cell r="G41">
            <v>317.8</v>
          </cell>
          <cell r="H41">
            <v>303</v>
          </cell>
          <cell r="I41">
            <v>231</v>
          </cell>
          <cell r="J41">
            <v>260</v>
          </cell>
        </row>
        <row r="42">
          <cell r="B42" t="str">
            <v>KWI18800SGRA</v>
          </cell>
          <cell r="C42" t="str">
            <v>-</v>
          </cell>
          <cell r="D42" t="str">
            <v>18U W=600mm D=800mm Wall-Mounted IP55 Cabinet 7035 Outdoor (Internally Lockable Side Panels, Front-Handled Lockable Glass Door)</v>
          </cell>
          <cell r="E42">
            <v>0</v>
          </cell>
          <cell r="F42"/>
          <cell r="G42">
            <v>328.4</v>
          </cell>
          <cell r="H42">
            <v>313</v>
          </cell>
          <cell r="I42">
            <v>246</v>
          </cell>
          <cell r="J42">
            <v>285</v>
          </cell>
        </row>
        <row r="43">
          <cell r="B43" t="str">
            <v>KWI20800SGRA</v>
          </cell>
          <cell r="C43" t="str">
            <v>-</v>
          </cell>
          <cell r="D43" t="str">
            <v>20U W=600mm D=800mm Wall-Mounted IP55 Cabinet 7035 Outdoor (Internally Lockable Side Panels, Front-Handled Lockable Glass Door)</v>
          </cell>
          <cell r="E43">
            <v>0</v>
          </cell>
          <cell r="F43"/>
          <cell r="G43">
            <v>339.00218749550857</v>
          </cell>
          <cell r="H43">
            <v>323</v>
          </cell>
          <cell r="I43">
            <v>260</v>
          </cell>
          <cell r="J43">
            <v>310</v>
          </cell>
        </row>
        <row r="44">
          <cell r="B44" t="str">
            <v>KWI22800SGRA</v>
          </cell>
          <cell r="C44" t="str">
            <v>-</v>
          </cell>
          <cell r="D44" t="str">
            <v>22U W=600mm D=800mm Wall-Mounted IP55 Cabinet 7035 Outdoor (Internally Lockable Side Panels, Front-Handled Lockable Glass Door)</v>
          </cell>
          <cell r="E44">
            <v>0</v>
          </cell>
          <cell r="F44"/>
          <cell r="G44">
            <v>349.8</v>
          </cell>
          <cell r="H44">
            <v>334</v>
          </cell>
          <cell r="I44">
            <v>289</v>
          </cell>
          <cell r="J44">
            <v>320</v>
          </cell>
        </row>
        <row r="46">
          <cell r="E46">
            <v>45614</v>
          </cell>
          <cell r="F46"/>
          <cell r="G46">
            <v>45859</v>
          </cell>
          <cell r="H46">
            <v>45863</v>
          </cell>
          <cell r="I46">
            <v>45863</v>
          </cell>
          <cell r="J46">
            <v>45869</v>
          </cell>
        </row>
        <row r="47">
          <cell r="B47" t="str">
            <v xml:space="preserve">ukn products codes </v>
          </cell>
          <cell r="C47" t="str">
            <v>ukn number codes</v>
          </cell>
          <cell r="D47" t="str">
            <v>Dimensions</v>
          </cell>
          <cell r="E47" t="str">
            <v>Unit Price</v>
          </cell>
          <cell r="F47" t="str">
            <v>Unit Price</v>
          </cell>
          <cell r="G47" t="str">
            <v>Unit Price</v>
          </cell>
          <cell r="H47" t="str">
            <v>Unit Price</v>
          </cell>
          <cell r="I47" t="str">
            <v>TG</v>
          </cell>
          <cell r="J47" t="str">
            <v>Unit Price</v>
          </cell>
        </row>
        <row r="48">
          <cell r="B48" t="str">
            <v>KWG06450SG</v>
          </cell>
          <cell r="C48" t="str">
            <v>-</v>
          </cell>
          <cell r="D48" t="str">
            <v>06U W=565MM D=450MM Assembled, Side Panel with O-Lock COM-BOX Black</v>
          </cell>
          <cell r="E48">
            <v>45</v>
          </cell>
          <cell r="F48"/>
          <cell r="G48">
            <v>63.8</v>
          </cell>
          <cell r="H48">
            <v>59</v>
          </cell>
          <cell r="I48">
            <v>40</v>
          </cell>
          <cell r="J48">
            <v>55</v>
          </cell>
        </row>
        <row r="49">
          <cell r="B49" t="str">
            <v>KWG09450SG</v>
          </cell>
          <cell r="C49" t="str">
            <v>-</v>
          </cell>
          <cell r="D49" t="str">
            <v>09U W=565MM D=450MM Assembled, Side Panel with O-Lock COM-BOX Black</v>
          </cell>
          <cell r="E49">
            <v>49</v>
          </cell>
          <cell r="F49"/>
          <cell r="G49">
            <v>71.599999999999994</v>
          </cell>
          <cell r="H49">
            <v>66</v>
          </cell>
          <cell r="I49">
            <v>45</v>
          </cell>
          <cell r="J49">
            <v>60</v>
          </cell>
        </row>
        <row r="50">
          <cell r="B50" t="str">
            <v>KWG12450SG</v>
          </cell>
          <cell r="C50" t="str">
            <v>-</v>
          </cell>
          <cell r="D50" t="str">
            <v>12U W=565MM D=450MM Assembled, Side Panel with O-Lock COM-BOX Black</v>
          </cell>
          <cell r="E50">
            <v>55</v>
          </cell>
          <cell r="F50"/>
          <cell r="G50">
            <v>79.3</v>
          </cell>
          <cell r="H50">
            <v>74</v>
          </cell>
          <cell r="I50">
            <v>55</v>
          </cell>
          <cell r="J50">
            <v>65</v>
          </cell>
        </row>
        <row r="51">
          <cell r="B51" t="str">
            <v>KWG15450SG</v>
          </cell>
          <cell r="C51" t="str">
            <v>-</v>
          </cell>
          <cell r="D51" t="str">
            <v>15U W=565MM D=450MM Assembled, Side Panel with O-Lock COM-BOX Black</v>
          </cell>
          <cell r="E51">
            <v>64</v>
          </cell>
          <cell r="F51"/>
          <cell r="G51">
            <v>88.7</v>
          </cell>
          <cell r="H51">
            <v>82</v>
          </cell>
          <cell r="I51">
            <v>65</v>
          </cell>
          <cell r="J51">
            <v>75</v>
          </cell>
        </row>
        <row r="52">
          <cell r="B52" t="str">
            <v>KWG18450SG</v>
          </cell>
          <cell r="C52" t="str">
            <v>-</v>
          </cell>
          <cell r="D52" t="str">
            <v>18U W=565MM D=450MM Assembled, Side Panel with O-Lock COM-BOX Black</v>
          </cell>
          <cell r="E52">
            <v>75</v>
          </cell>
          <cell r="F52"/>
          <cell r="G52">
            <v>97.1</v>
          </cell>
          <cell r="H52">
            <v>90</v>
          </cell>
          <cell r="I52">
            <v>75</v>
          </cell>
          <cell r="J52">
            <v>80</v>
          </cell>
        </row>
        <row r="53">
          <cell r="B53" t="str">
            <v>KWG22450SG</v>
          </cell>
          <cell r="C53" t="str">
            <v>-</v>
          </cell>
          <cell r="D53" t="str">
            <v>22U W=565MM D=450MM Assembled, Side Panel with O-Lock COM-BOX Black</v>
          </cell>
          <cell r="E53"/>
          <cell r="F53"/>
          <cell r="G53">
            <v>108.8</v>
          </cell>
          <cell r="H53">
            <v>100</v>
          </cell>
          <cell r="I53">
            <v>85</v>
          </cell>
          <cell r="J53">
            <v>90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</row>
        <row r="55">
          <cell r="B55" t="str">
            <v>KWG06600SG</v>
          </cell>
          <cell r="C55" t="str">
            <v>-</v>
          </cell>
          <cell r="D55" t="str">
            <v>06U W=565MM D=600MM Assembled, Side Panel with O-Lock COM-BOX Black</v>
          </cell>
          <cell r="E55">
            <v>54</v>
          </cell>
          <cell r="F55"/>
          <cell r="G55">
            <v>69.5</v>
          </cell>
          <cell r="H55">
            <v>64</v>
          </cell>
          <cell r="I55">
            <v>52</v>
          </cell>
          <cell r="J55">
            <v>60</v>
          </cell>
        </row>
        <row r="56">
          <cell r="B56" t="str">
            <v>KWG09600SG</v>
          </cell>
          <cell r="C56" t="str">
            <v>-</v>
          </cell>
          <cell r="D56" t="str">
            <v>09U W=565MM D=600MM Assembled, Side Panel with O-Lock COM-BOX Black</v>
          </cell>
          <cell r="E56">
            <v>57</v>
          </cell>
          <cell r="F56"/>
          <cell r="G56">
            <v>78.099999999999994</v>
          </cell>
          <cell r="H56">
            <v>72</v>
          </cell>
          <cell r="I56">
            <v>55</v>
          </cell>
          <cell r="J56">
            <v>65</v>
          </cell>
        </row>
        <row r="57">
          <cell r="B57" t="str">
            <v>KWG12600SG</v>
          </cell>
          <cell r="C57" t="str">
            <v>-</v>
          </cell>
          <cell r="D57" t="str">
            <v>12U W=565MM D=600MM Assembled, Side Panel with O-Lock COM-BOX Black</v>
          </cell>
          <cell r="E57">
            <v>65</v>
          </cell>
          <cell r="F57"/>
          <cell r="G57">
            <v>86.4</v>
          </cell>
          <cell r="H57">
            <v>80</v>
          </cell>
          <cell r="I57">
            <v>60</v>
          </cell>
          <cell r="J57">
            <v>72</v>
          </cell>
        </row>
        <row r="58">
          <cell r="B58" t="str">
            <v>KWG15600SG</v>
          </cell>
          <cell r="C58" t="str">
            <v>-</v>
          </cell>
          <cell r="D58" t="str">
            <v>15U W=565MM D=600MM Assembled, Side Panel with O-Lock COM-BOX Black</v>
          </cell>
          <cell r="E58">
            <v>75</v>
          </cell>
          <cell r="F58"/>
          <cell r="G58">
            <v>96.7</v>
          </cell>
          <cell r="H58">
            <v>90</v>
          </cell>
          <cell r="I58">
            <v>74</v>
          </cell>
          <cell r="J58">
            <v>80</v>
          </cell>
        </row>
        <row r="59">
          <cell r="B59" t="str">
            <v>KWG18600SG</v>
          </cell>
          <cell r="C59" t="str">
            <v>-</v>
          </cell>
          <cell r="D59" t="str">
            <v>18U W=565MM D=600MM Assembled, Side Panel with O-Lock COM-BOX Black</v>
          </cell>
          <cell r="E59">
            <v>84</v>
          </cell>
          <cell r="F59"/>
          <cell r="G59">
            <v>105.8</v>
          </cell>
          <cell r="H59">
            <v>98</v>
          </cell>
          <cell r="I59">
            <v>80</v>
          </cell>
          <cell r="J59">
            <v>90</v>
          </cell>
        </row>
        <row r="60">
          <cell r="B60" t="str">
            <v>KWG22600SG</v>
          </cell>
          <cell r="C60" t="str">
            <v>-</v>
          </cell>
          <cell r="D60" t="str">
            <v>22U W=565MM D=600MM Assembled, Side Panel with O-Lock COM-BOX Black</v>
          </cell>
          <cell r="E60"/>
          <cell r="F60"/>
          <cell r="G60">
            <v>118.5</v>
          </cell>
          <cell r="H60">
            <v>110</v>
          </cell>
          <cell r="I60">
            <v>92</v>
          </cell>
          <cell r="J60">
            <v>100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IFICATION"/>
      <sheetName val="START CABINETS"/>
      <sheetName val="GRID CABINETS"/>
      <sheetName val="RACKS &amp; OPEN RACKS"/>
      <sheetName val="EDF MARKET"/>
      <sheetName val="ACCESSORIES 19"/>
      <sheetName val="OPEN RACKS"/>
      <sheetName val="OFFERS TEMPLATE"/>
    </sheetNames>
    <sheetDataSet>
      <sheetData sheetId="0"/>
      <sheetData sheetId="1"/>
      <sheetData sheetId="2"/>
      <sheetData sheetId="3"/>
      <sheetData sheetId="4">
        <row r="25">
          <cell r="C25" t="str">
            <v>KCH881628</v>
          </cell>
          <cell r="D25"/>
          <cell r="E25" t="str">
            <v>Chair for Cabinet 800x800, adjustable 158 to 280.5 mm, load capacity 1000kg</v>
          </cell>
          <cell r="F25" t="str">
            <v>W=800MM D=800MM H=158-280MM ADJUSTABLE STAND BLACK</v>
          </cell>
          <cell r="G25">
            <v>78.900000000000006</v>
          </cell>
          <cell r="H25">
            <v>78.900000000000006</v>
          </cell>
          <cell r="I25">
            <v>78.900000000000006</v>
          </cell>
          <cell r="J25">
            <v>78.900000000000006</v>
          </cell>
          <cell r="K25">
            <v>78.900000000000006</v>
          </cell>
          <cell r="L25"/>
          <cell r="M25">
            <v>78.900000000000006</v>
          </cell>
        </row>
        <row r="26">
          <cell r="C26" t="str">
            <v>KCH882852</v>
          </cell>
          <cell r="D26"/>
          <cell r="E26" t="str">
            <v>Chair for Cabinet 800x800, adjustable 278 to 520.5 mm, load capacity 1000kg</v>
          </cell>
          <cell r="F26" t="str">
            <v>W=800MM D=800MM H=278-520.5MM ADJUSTABLE STAND BLACK</v>
          </cell>
          <cell r="G26">
            <v>84.2</v>
          </cell>
          <cell r="H26">
            <v>84.2</v>
          </cell>
          <cell r="I26">
            <v>84.2</v>
          </cell>
          <cell r="J26">
            <v>84.2</v>
          </cell>
          <cell r="K26">
            <v>84.2</v>
          </cell>
          <cell r="L26"/>
          <cell r="M26">
            <v>84.2</v>
          </cell>
        </row>
        <row r="27">
          <cell r="C27" t="str">
            <v>KCH8101628</v>
          </cell>
          <cell r="D27"/>
          <cell r="E27" t="str">
            <v>Chair for Cabinet 800x1000, adjustable 158 to 280.5 mm, load capacity 1000kg</v>
          </cell>
          <cell r="F27" t="str">
            <v>W=800MM D=1000MM H=158-280MM ADJUSTABLE STAND BLACK</v>
          </cell>
          <cell r="G27">
            <v>87.6</v>
          </cell>
          <cell r="H27">
            <v>87.6</v>
          </cell>
          <cell r="I27">
            <v>87.6</v>
          </cell>
          <cell r="J27">
            <v>87.6</v>
          </cell>
          <cell r="K27">
            <v>87.6</v>
          </cell>
          <cell r="L27"/>
          <cell r="M27">
            <v>87.6</v>
          </cell>
        </row>
        <row r="28">
          <cell r="C28" t="str">
            <v>KCH8102852</v>
          </cell>
          <cell r="D28"/>
          <cell r="E28" t="str">
            <v>Chair for Cabinet 800x1000, adjustable 278 to 520.5 mm, load capacity 1000kg</v>
          </cell>
          <cell r="F28" t="str">
            <v>W=800MM D=1000MM H=278-520.5MM ADJUSTABLE STAND BLACK</v>
          </cell>
          <cell r="G28">
            <v>92.9</v>
          </cell>
          <cell r="H28">
            <v>92.9</v>
          </cell>
          <cell r="I28">
            <v>92.9</v>
          </cell>
          <cell r="J28">
            <v>92.9</v>
          </cell>
          <cell r="K28">
            <v>92.9</v>
          </cell>
          <cell r="L28"/>
          <cell r="M28">
            <v>92.9</v>
          </cell>
        </row>
        <row r="29">
          <cell r="C29" t="str">
            <v>KCH661628</v>
          </cell>
          <cell r="D29"/>
          <cell r="E29" t="str">
            <v>Chair for Cabinet 600x600, adjustable 158 to 280.5 mm, load capacity 1000kg</v>
          </cell>
          <cell r="F29" t="str">
            <v>W=600MM D=600MM H=158-280MM ADJUSTABLE STAND BLACK</v>
          </cell>
          <cell r="G29">
            <v>65.400000000000006</v>
          </cell>
          <cell r="H29">
            <v>65.400000000000006</v>
          </cell>
          <cell r="I29">
            <v>65.400000000000006</v>
          </cell>
          <cell r="J29">
            <v>65.400000000000006</v>
          </cell>
          <cell r="K29">
            <v>65.400000000000006</v>
          </cell>
          <cell r="L29"/>
          <cell r="M29">
            <v>65.400000000000006</v>
          </cell>
        </row>
        <row r="30">
          <cell r="C30" t="str">
            <v>KCH662852</v>
          </cell>
          <cell r="D30"/>
          <cell r="E30" t="str">
            <v>Chair for Cabinet 600x600, adjustable 278 to 520.5 mm, load capacity 1000kg</v>
          </cell>
          <cell r="F30" t="str">
            <v>W=600MM D=600MM H=278-520.5MM ADJUSTABLE STAND BLACK</v>
          </cell>
          <cell r="G30">
            <v>70.7</v>
          </cell>
          <cell r="H30">
            <v>70.7</v>
          </cell>
          <cell r="I30">
            <v>70.7</v>
          </cell>
          <cell r="J30">
            <v>70.7</v>
          </cell>
          <cell r="K30">
            <v>70.7</v>
          </cell>
          <cell r="L30"/>
          <cell r="M30">
            <v>70.7</v>
          </cell>
        </row>
        <row r="31">
          <cell r="C31" t="str">
            <v>KCH681628</v>
          </cell>
          <cell r="D31"/>
          <cell r="E31" t="str">
            <v>Chair for Cabinet 600x800, adjustable 158 to 280.5 mm, load capacity 1000kg</v>
          </cell>
          <cell r="F31" t="str">
            <v>W=600MM D=800MM H=158-280MM ADJUSTABLE STAND BLACK</v>
          </cell>
          <cell r="G31">
            <v>72.099999999999994</v>
          </cell>
          <cell r="H31">
            <v>72.099999999999994</v>
          </cell>
          <cell r="I31">
            <v>72.099999999999994</v>
          </cell>
          <cell r="J31">
            <v>72.099999999999994</v>
          </cell>
          <cell r="K31">
            <v>72.099999999999994</v>
          </cell>
          <cell r="L31"/>
          <cell r="M31">
            <v>72.099999999999994</v>
          </cell>
        </row>
        <row r="32">
          <cell r="C32" t="str">
            <v>KCH682852</v>
          </cell>
          <cell r="D32"/>
          <cell r="E32" t="str">
            <v>Chair for Cabinet 600x800, adjustable 278 to 520.5 mm, load capacity 1000kg</v>
          </cell>
          <cell r="F32" t="str">
            <v>W=600MM D=800MM H=278-520.5MM ADJUSTABLE STAND BLACK</v>
          </cell>
          <cell r="G32">
            <v>77.3</v>
          </cell>
          <cell r="H32">
            <v>77.3</v>
          </cell>
          <cell r="I32">
            <v>77.3</v>
          </cell>
          <cell r="J32">
            <v>77.3</v>
          </cell>
          <cell r="K32">
            <v>77.3</v>
          </cell>
          <cell r="L32"/>
          <cell r="M32">
            <v>77.3</v>
          </cell>
        </row>
        <row r="33">
          <cell r="C33" t="str">
            <v>KCH6101628</v>
          </cell>
          <cell r="D33"/>
          <cell r="E33" t="str">
            <v>Chair for Cabinet 600x1000, adjustable 158 to 280.5 mm, load capacity 1000kg</v>
          </cell>
          <cell r="F33" t="str">
            <v>W=600MM D=1000MM H=158-280MM ADJUSTABLE STAND BLACK</v>
          </cell>
          <cell r="G33">
            <v>79.400000000000006</v>
          </cell>
          <cell r="H33">
            <v>79.400000000000006</v>
          </cell>
          <cell r="I33">
            <v>79.400000000000006</v>
          </cell>
          <cell r="J33">
            <v>79.400000000000006</v>
          </cell>
          <cell r="K33">
            <v>79.400000000000006</v>
          </cell>
          <cell r="L33"/>
          <cell r="M33">
            <v>79.400000000000006</v>
          </cell>
        </row>
        <row r="34">
          <cell r="C34" t="str">
            <v>KCH6102852</v>
          </cell>
          <cell r="D34"/>
          <cell r="E34" t="str">
            <v>Chair for Cabinet 600x1000, adjustable 278 to 520.5 mm, load capacity 1000kg</v>
          </cell>
          <cell r="F34" t="str">
            <v>W=600MM D=1000MM H=278-520.5MM ADJUSTABLE STAND BLACK</v>
          </cell>
          <cell r="G34">
            <v>84.8</v>
          </cell>
          <cell r="H34">
            <v>84.8</v>
          </cell>
          <cell r="I34">
            <v>84.8</v>
          </cell>
          <cell r="J34">
            <v>84.8</v>
          </cell>
          <cell r="K34">
            <v>84.8</v>
          </cell>
          <cell r="L34"/>
          <cell r="M34">
            <v>84.8</v>
          </cell>
        </row>
      </sheetData>
      <sheetData sheetId="5">
        <row r="5">
          <cell r="C5" t="str">
            <v>KFAN2V</v>
          </cell>
          <cell r="D5"/>
          <cell r="E5" t="str">
            <v>2fans,analog thermostat controlled fan module</v>
          </cell>
          <cell r="F5">
            <v>30.25</v>
          </cell>
          <cell r="G5">
            <v>30.25</v>
          </cell>
          <cell r="H5">
            <v>25</v>
          </cell>
          <cell r="I5">
            <v>29.347826086956523</v>
          </cell>
        </row>
        <row r="6">
          <cell r="C6" t="str">
            <v>KFAN4V</v>
          </cell>
          <cell r="D6"/>
          <cell r="E6" t="str">
            <v>4fans,analog thermostat controlled fan module</v>
          </cell>
          <cell r="F6">
            <v>43.45</v>
          </cell>
          <cell r="G6">
            <v>43.45</v>
          </cell>
          <cell r="H6">
            <v>40</v>
          </cell>
          <cell r="I6">
            <v>46.956521739130437</v>
          </cell>
        </row>
        <row r="7">
          <cell r="C7"/>
          <cell r="D7"/>
          <cell r="E7"/>
          <cell r="F7"/>
          <cell r="G7"/>
          <cell r="H7"/>
          <cell r="I7"/>
        </row>
        <row r="8">
          <cell r="C8"/>
          <cell r="D8"/>
          <cell r="E8" t="str">
            <v>1U 19" D=250mm RACK MOUNT SHELF</v>
          </cell>
          <cell r="F8">
            <v>6.05</v>
          </cell>
          <cell r="G8">
            <v>6.05</v>
          </cell>
          <cell r="H8">
            <v>5</v>
          </cell>
          <cell r="I8">
            <v>5.8695652173913047</v>
          </cell>
        </row>
        <row r="9">
          <cell r="C9" t="str">
            <v>KTRAY400MM</v>
          </cell>
          <cell r="D9"/>
          <cell r="E9" t="str">
            <v>1U 19" D=400mm RACK MOUNT SHELF</v>
          </cell>
          <cell r="F9">
            <v>8.25</v>
          </cell>
          <cell r="G9">
            <v>8.25</v>
          </cell>
          <cell r="H9">
            <v>7.65</v>
          </cell>
          <cell r="I9">
            <v>8.9804347826086968</v>
          </cell>
        </row>
        <row r="10">
          <cell r="C10" t="str">
            <v>KTRAY450MM</v>
          </cell>
          <cell r="D10"/>
          <cell r="E10" t="str">
            <v>1U 19" D=450mm RACK MOUNT SHELF</v>
          </cell>
          <cell r="F10" t="str">
            <v>-</v>
          </cell>
          <cell r="G10">
            <v>10.4</v>
          </cell>
          <cell r="H10">
            <v>9</v>
          </cell>
          <cell r="I10">
            <v>10.565217391304349</v>
          </cell>
        </row>
        <row r="11">
          <cell r="C11" t="str">
            <v>KTRAY550MM</v>
          </cell>
          <cell r="D11"/>
          <cell r="E11" t="str">
            <v>2U 19" D=550mm RACK MOUNT SHELF</v>
          </cell>
          <cell r="F11">
            <v>11</v>
          </cell>
          <cell r="G11">
            <v>11</v>
          </cell>
          <cell r="H11">
            <v>10.5</v>
          </cell>
          <cell r="I11">
            <v>12.32608695652174</v>
          </cell>
        </row>
        <row r="12">
          <cell r="C12" t="str">
            <v>KTRAY720MM</v>
          </cell>
          <cell r="D12"/>
          <cell r="E12" t="str">
            <v>D=600 FIXED SHELF DEPTH ADJUSTABLE</v>
          </cell>
          <cell r="F12">
            <v>11</v>
          </cell>
          <cell r="G12">
            <v>11</v>
          </cell>
          <cell r="H12">
            <v>11</v>
          </cell>
          <cell r="I12">
            <v>12.913043478260871</v>
          </cell>
        </row>
        <row r="13">
          <cell r="C13" t="str">
            <v>KTRAYSLID720MM</v>
          </cell>
          <cell r="D13"/>
          <cell r="E13" t="str">
            <v>D=600 SLIDING SHELF DEPTH ADJUSTABLE</v>
          </cell>
          <cell r="F13">
            <v>16.5</v>
          </cell>
          <cell r="G13">
            <v>16.5</v>
          </cell>
          <cell r="H13">
            <v>16.5</v>
          </cell>
          <cell r="I13">
            <v>19.369565217391308</v>
          </cell>
        </row>
        <row r="14">
          <cell r="C14" t="str">
            <v>KTRAY920MM</v>
          </cell>
          <cell r="D14"/>
          <cell r="E14" t="str">
            <v>D=800 FIXED SHELF DEPTH ADJUSTABLE</v>
          </cell>
          <cell r="F14">
            <v>13.75</v>
          </cell>
          <cell r="G14">
            <v>13.75</v>
          </cell>
          <cell r="H14">
            <v>13.75</v>
          </cell>
          <cell r="I14">
            <v>16.14130434782609</v>
          </cell>
        </row>
        <row r="15">
          <cell r="C15" t="str">
            <v>KTRAY1000MM</v>
          </cell>
          <cell r="D15"/>
          <cell r="E15" t="str">
            <v>19 "D = 1000 4 POINT CONNECTED SIDE HANDLE FIXED SHELF BLACK</v>
          </cell>
          <cell r="F15"/>
          <cell r="G15"/>
          <cell r="H15">
            <v>16.5</v>
          </cell>
          <cell r="I15">
            <v>19.369565217391308</v>
          </cell>
        </row>
        <row r="16">
          <cell r="C16" t="str">
            <v>KTRAYSLID350MM</v>
          </cell>
          <cell r="D16"/>
          <cell r="E16" t="str">
            <v>D=350 SLIDING SHELF DEPTH ADJUSTABLE</v>
          </cell>
          <cell r="F16" t="str">
            <v>-</v>
          </cell>
          <cell r="G16">
            <v>15.8</v>
          </cell>
          <cell r="H16">
            <v>15</v>
          </cell>
          <cell r="I16">
            <v>17.608695652173914</v>
          </cell>
        </row>
        <row r="17">
          <cell r="C17" t="str">
            <v>KTRAYSLID550MM</v>
          </cell>
          <cell r="D17"/>
          <cell r="E17" t="str">
            <v>D=550 SLIDING SHELF DEPTH ADJUSTABLE</v>
          </cell>
          <cell r="F17" t="str">
            <v>-</v>
          </cell>
          <cell r="G17">
            <v>18.600000000000001</v>
          </cell>
          <cell r="H17">
            <v>18</v>
          </cell>
          <cell r="I17">
            <v>21.130434782608699</v>
          </cell>
        </row>
        <row r="18">
          <cell r="C18"/>
          <cell r="D18"/>
          <cell r="E18" t="str">
            <v>D=600 L-Type installation support part, galvanized, 1set= 2pcs</v>
          </cell>
          <cell r="F18">
            <v>11.5</v>
          </cell>
          <cell r="G18">
            <v>11.5</v>
          </cell>
          <cell r="H18">
            <v>10</v>
          </cell>
          <cell r="I18">
            <v>11.739130434782609</v>
          </cell>
        </row>
        <row r="19">
          <cell r="C19"/>
          <cell r="D19"/>
          <cell r="E19" t="str">
            <v>D=800 L-Type installation support part, galvanized, 1set= 2pcs</v>
          </cell>
          <cell r="F19">
            <v>13.8</v>
          </cell>
          <cell r="G19">
            <v>13.8</v>
          </cell>
          <cell r="H19">
            <v>12</v>
          </cell>
          <cell r="I19">
            <v>14.086956521739134</v>
          </cell>
        </row>
        <row r="20">
          <cell r="C20" t="str">
            <v>KLEDPAN1U</v>
          </cell>
          <cell r="D20"/>
          <cell r="E20" t="str">
            <v>1U 19" led lighting module, manuel on/off switch</v>
          </cell>
          <cell r="F20">
            <v>16.5</v>
          </cell>
          <cell r="G20">
            <v>16.5</v>
          </cell>
          <cell r="H20">
            <v>15</v>
          </cell>
          <cell r="I20">
            <v>17.608695652173914</v>
          </cell>
        </row>
        <row r="21">
          <cell r="C21" t="str">
            <v>KGRND</v>
          </cell>
          <cell r="D21"/>
          <cell r="E21" t="str">
            <v>6 Earthing points, 4 pcs earthing cable, 1 pcs 200mm Busbar earthing set</v>
          </cell>
          <cell r="F21">
            <v>6.05</v>
          </cell>
          <cell r="G21">
            <v>6.05</v>
          </cell>
          <cell r="H21">
            <v>5.85</v>
          </cell>
          <cell r="I21">
            <v>6.8673913043478265</v>
          </cell>
        </row>
        <row r="22">
          <cell r="C22" t="str">
            <v>KIT6RINGS</v>
          </cell>
          <cell r="D22"/>
          <cell r="E22" t="str">
            <v>CABLE ORGANIZER SET (HOOK TYPE), ALUMINIUM 44X60MM, 1SET =1PCS</v>
          </cell>
          <cell r="F22" t="str">
            <v>-</v>
          </cell>
          <cell r="G22">
            <v>1.8</v>
          </cell>
          <cell r="H22">
            <v>1.6</v>
          </cell>
          <cell r="I22">
            <v>1.8782608695652177</v>
          </cell>
        </row>
        <row r="23">
          <cell r="C23" t="str">
            <v>KITSCRW50</v>
          </cell>
          <cell r="D23"/>
          <cell r="E23" t="str">
            <v>M6 cage nut set and mounting screws, 1set= 50pcs</v>
          </cell>
          <cell r="F23">
            <v>6.6</v>
          </cell>
          <cell r="G23">
            <v>6.6</v>
          </cell>
          <cell r="H23">
            <v>4.5</v>
          </cell>
          <cell r="I23">
            <v>5.2826086956521747</v>
          </cell>
        </row>
        <row r="24">
          <cell r="C24" t="str">
            <v>KBLANK1U</v>
          </cell>
          <cell r="D24"/>
          <cell r="E24" t="str">
            <v>1U 19" screw type blank panel</v>
          </cell>
          <cell r="F24">
            <v>2.2000000000000002</v>
          </cell>
          <cell r="G24">
            <v>2.2000000000000002</v>
          </cell>
          <cell r="H24">
            <v>2</v>
          </cell>
          <cell r="I24">
            <v>2.347826086956522</v>
          </cell>
        </row>
        <row r="25">
          <cell r="C25" t="str">
            <v>KBLANK2U</v>
          </cell>
          <cell r="D25"/>
          <cell r="E25" t="str">
            <v>2U 19" screw type blank panel</v>
          </cell>
          <cell r="F25">
            <v>2.75</v>
          </cell>
          <cell r="G25">
            <v>2.75</v>
          </cell>
          <cell r="H25">
            <v>2.5</v>
          </cell>
          <cell r="I25">
            <v>2.9347826086956523</v>
          </cell>
        </row>
        <row r="26">
          <cell r="C26" t="str">
            <v>KBLANK3U</v>
          </cell>
          <cell r="D26"/>
          <cell r="E26" t="str">
            <v>3U 19" screw type blank panel</v>
          </cell>
          <cell r="F26">
            <v>3.3</v>
          </cell>
          <cell r="G26">
            <v>3.3</v>
          </cell>
          <cell r="H26">
            <v>3</v>
          </cell>
          <cell r="I26">
            <v>3.5217391304347836</v>
          </cell>
        </row>
        <row r="27">
          <cell r="C27" t="str">
            <v>KBLANK5U</v>
          </cell>
          <cell r="D27"/>
          <cell r="E27" t="str">
            <v>5U 19" screw type blank panel</v>
          </cell>
          <cell r="F27">
            <v>4.4000000000000004</v>
          </cell>
          <cell r="G27">
            <v>4.4000000000000004</v>
          </cell>
          <cell r="H27">
            <v>4.0999999999999996</v>
          </cell>
          <cell r="I27">
            <v>4.8130434782608704</v>
          </cell>
        </row>
        <row r="28">
          <cell r="C28"/>
          <cell r="D28"/>
          <cell r="E28" t="str">
            <v xml:space="preserve">1U 19" cable organizer panel, 5 pcs hook </v>
          </cell>
          <cell r="F28">
            <v>3.85</v>
          </cell>
          <cell r="G28">
            <v>3.85</v>
          </cell>
          <cell r="H28">
            <v>3.5</v>
          </cell>
          <cell r="I28">
            <v>4.108695652173914</v>
          </cell>
        </row>
        <row r="29">
          <cell r="C29"/>
          <cell r="D29"/>
          <cell r="E29"/>
          <cell r="F29"/>
          <cell r="G29"/>
          <cell r="H29"/>
          <cell r="I29"/>
        </row>
        <row r="30">
          <cell r="C30" t="str">
            <v>KPLINT66</v>
          </cell>
          <cell r="D30"/>
          <cell r="E30" t="str">
            <v>W=600 D=600 H=100mm plinth module</v>
          </cell>
          <cell r="F30">
            <v>34.65</v>
          </cell>
          <cell r="G30">
            <v>34.65</v>
          </cell>
          <cell r="H30">
            <v>32</v>
          </cell>
          <cell r="I30">
            <v>37.565217391304351</v>
          </cell>
        </row>
        <row r="31">
          <cell r="C31" t="str">
            <v>KPLINT68</v>
          </cell>
          <cell r="D31"/>
          <cell r="E31" t="str">
            <v>W=600 D=800 H=100mm plinth module</v>
          </cell>
          <cell r="F31">
            <v>36.299999999999997</v>
          </cell>
          <cell r="G31">
            <v>36.299999999999997</v>
          </cell>
          <cell r="H31">
            <v>35</v>
          </cell>
          <cell r="I31">
            <v>41.086956521739133</v>
          </cell>
        </row>
        <row r="32">
          <cell r="C32" t="str">
            <v>KPLINT86</v>
          </cell>
          <cell r="D32"/>
          <cell r="E32" t="str">
            <v>W=800 D=600 H=100mm plinth module</v>
          </cell>
          <cell r="F32">
            <v>39.6</v>
          </cell>
          <cell r="G32">
            <v>39.6</v>
          </cell>
          <cell r="H32">
            <v>35</v>
          </cell>
          <cell r="I32">
            <v>41.086956521739133</v>
          </cell>
        </row>
        <row r="33">
          <cell r="C33" t="str">
            <v>KPLINT88</v>
          </cell>
          <cell r="D33"/>
          <cell r="E33" t="str">
            <v>W=800 D=800 H=100mm plinth module</v>
          </cell>
          <cell r="F33">
            <v>42.35</v>
          </cell>
          <cell r="G33">
            <v>42.35</v>
          </cell>
          <cell r="H33">
            <v>40</v>
          </cell>
          <cell r="I33">
            <v>46.956521739130437</v>
          </cell>
        </row>
        <row r="34">
          <cell r="C34" t="str">
            <v>KPLINT610</v>
          </cell>
          <cell r="D34"/>
          <cell r="E34" t="str">
            <v>W=600 D=1000 H=100mm plinth module</v>
          </cell>
          <cell r="F34">
            <v>37.950000000000003</v>
          </cell>
          <cell r="G34">
            <v>37.950000000000003</v>
          </cell>
          <cell r="H34">
            <v>35</v>
          </cell>
          <cell r="I34">
            <v>41.086956521739133</v>
          </cell>
        </row>
        <row r="35">
          <cell r="C35" t="str">
            <v>KPLINT810</v>
          </cell>
          <cell r="D35"/>
          <cell r="E35" t="str">
            <v>W=800 D=1000 H=100mm plinth module</v>
          </cell>
          <cell r="F35">
            <v>47.85</v>
          </cell>
          <cell r="G35">
            <v>47.85</v>
          </cell>
          <cell r="H35">
            <v>45</v>
          </cell>
          <cell r="I35">
            <v>52.826086956521749</v>
          </cell>
        </row>
        <row r="36">
          <cell r="C36" t="str">
            <v>KPLINT812</v>
          </cell>
          <cell r="D36"/>
          <cell r="E36" t="str">
            <v>W=800 D=1200 H=100mm plinth module</v>
          </cell>
          <cell r="F36" t="str">
            <v>-</v>
          </cell>
          <cell r="G36" t="str">
            <v>-</v>
          </cell>
          <cell r="H36">
            <v>50</v>
          </cell>
          <cell r="I36">
            <v>58.695652173913047</v>
          </cell>
        </row>
        <row r="37">
          <cell r="C37"/>
          <cell r="D37"/>
          <cell r="E37"/>
          <cell r="F37"/>
          <cell r="G37"/>
          <cell r="H37"/>
          <cell r="I37"/>
        </row>
        <row r="38">
          <cell r="C38"/>
          <cell r="D38"/>
          <cell r="E38" t="str">
            <v>-</v>
          </cell>
          <cell r="F38"/>
          <cell r="G38">
            <v>15.8</v>
          </cell>
          <cell r="H38">
            <v>15</v>
          </cell>
          <cell r="I38">
            <v>17.608695652173914</v>
          </cell>
        </row>
        <row r="39">
          <cell r="C39"/>
          <cell r="D39"/>
          <cell r="E39" t="str">
            <v>-</v>
          </cell>
          <cell r="F39"/>
          <cell r="G39">
            <v>18.7</v>
          </cell>
          <cell r="H39">
            <v>17.649999999999999</v>
          </cell>
          <cell r="I39">
            <v>20.719565217391306</v>
          </cell>
        </row>
        <row r="40">
          <cell r="C40"/>
          <cell r="D40"/>
          <cell r="E40" t="str">
            <v>-</v>
          </cell>
          <cell r="F40"/>
          <cell r="G40">
            <v>18.7</v>
          </cell>
          <cell r="H40">
            <v>17.649999999999999</v>
          </cell>
          <cell r="I40">
            <v>20.719565217391306</v>
          </cell>
        </row>
        <row r="41">
          <cell r="C41"/>
          <cell r="D41"/>
          <cell r="E41"/>
          <cell r="F41"/>
          <cell r="G41">
            <v>37.697459256107706</v>
          </cell>
          <cell r="H41">
            <v>30</v>
          </cell>
          <cell r="I41">
            <v>35.217391304347828</v>
          </cell>
        </row>
        <row r="42">
          <cell r="C42"/>
          <cell r="D42"/>
          <cell r="E42"/>
          <cell r="F42"/>
          <cell r="G42">
            <v>43.8</v>
          </cell>
          <cell r="H42">
            <v>35</v>
          </cell>
          <cell r="I42">
            <v>41.086956521739133</v>
          </cell>
        </row>
        <row r="43">
          <cell r="C43"/>
          <cell r="D43"/>
          <cell r="E43"/>
          <cell r="F43"/>
          <cell r="G43">
            <v>47.902441435566317</v>
          </cell>
          <cell r="H43">
            <v>40</v>
          </cell>
          <cell r="I43">
            <v>46.956521739130437</v>
          </cell>
        </row>
        <row r="44">
          <cell r="C44"/>
          <cell r="D44"/>
          <cell r="E44"/>
          <cell r="F44"/>
          <cell r="G44">
            <v>41.299705699457398</v>
          </cell>
          <cell r="H44">
            <v>35</v>
          </cell>
          <cell r="I44">
            <v>41.086956521739133</v>
          </cell>
        </row>
        <row r="45">
          <cell r="C45" t="str">
            <v>KCH881628</v>
          </cell>
          <cell r="D45"/>
          <cell r="E45"/>
          <cell r="F45"/>
          <cell r="G45">
            <v>60.7</v>
          </cell>
          <cell r="H45">
            <v>58.5</v>
          </cell>
          <cell r="I45">
            <v>68.673913043478279</v>
          </cell>
        </row>
        <row r="46">
          <cell r="C46" t="str">
            <v>KCH882852</v>
          </cell>
          <cell r="D46"/>
          <cell r="E46"/>
          <cell r="F46"/>
          <cell r="G46">
            <v>65.599999999999994</v>
          </cell>
          <cell r="H46">
            <v>63.5</v>
          </cell>
          <cell r="I46">
            <v>74.543478260869577</v>
          </cell>
        </row>
        <row r="47">
          <cell r="C47" t="str">
            <v>KCH8101628</v>
          </cell>
          <cell r="D47"/>
          <cell r="E47"/>
          <cell r="F47"/>
          <cell r="G47">
            <v>66.900000000000006</v>
          </cell>
          <cell r="H47">
            <v>65</v>
          </cell>
          <cell r="I47">
            <v>76.304347826086968</v>
          </cell>
        </row>
        <row r="48">
          <cell r="C48" t="str">
            <v>KCH8102852</v>
          </cell>
          <cell r="D48"/>
          <cell r="E48"/>
          <cell r="F48"/>
          <cell r="G48">
            <v>72</v>
          </cell>
          <cell r="H48">
            <v>70</v>
          </cell>
          <cell r="I48">
            <v>82.173913043478265</v>
          </cell>
        </row>
        <row r="49">
          <cell r="C49" t="str">
            <v>KCH661628</v>
          </cell>
          <cell r="D49"/>
          <cell r="E49"/>
          <cell r="F49"/>
          <cell r="G49">
            <v>73.5</v>
          </cell>
          <cell r="H49">
            <v>71</v>
          </cell>
          <cell r="I49">
            <v>83.34782608695653</v>
          </cell>
        </row>
        <row r="50">
          <cell r="C50" t="str">
            <v>KCH662852</v>
          </cell>
          <cell r="D50"/>
          <cell r="E50"/>
          <cell r="F50"/>
          <cell r="G50">
            <v>78.5</v>
          </cell>
          <cell r="H50">
            <v>76</v>
          </cell>
          <cell r="I50">
            <v>89.217391304347842</v>
          </cell>
        </row>
        <row r="51">
          <cell r="C51" t="str">
            <v>KCH681628</v>
          </cell>
          <cell r="D51"/>
          <cell r="E51"/>
          <cell r="F51"/>
          <cell r="G51">
            <v>74.996904170039528</v>
          </cell>
          <cell r="H51">
            <v>72.5</v>
          </cell>
          <cell r="I51">
            <v>85.108695652173921</v>
          </cell>
        </row>
        <row r="52">
          <cell r="C52" t="str">
            <v>KCH682852</v>
          </cell>
          <cell r="D52"/>
          <cell r="E52"/>
          <cell r="F52"/>
          <cell r="G52">
            <v>80.099999999999994</v>
          </cell>
          <cell r="H52">
            <v>77.5</v>
          </cell>
          <cell r="I52">
            <v>90.978260869565219</v>
          </cell>
        </row>
        <row r="53">
          <cell r="C53" t="str">
            <v>KCH6101628</v>
          </cell>
          <cell r="D53"/>
          <cell r="E53"/>
          <cell r="F53"/>
          <cell r="G53">
            <v>82.8</v>
          </cell>
          <cell r="H53">
            <v>80</v>
          </cell>
          <cell r="I53">
            <v>93.913043478260875</v>
          </cell>
        </row>
        <row r="54">
          <cell r="C54" t="str">
            <v>KCH6102852</v>
          </cell>
          <cell r="D54"/>
          <cell r="E54"/>
          <cell r="F54"/>
          <cell r="G54">
            <v>87.79895557810309</v>
          </cell>
          <cell r="H54">
            <v>85</v>
          </cell>
          <cell r="I54">
            <v>99.7826086956522</v>
          </cell>
        </row>
        <row r="55">
          <cell r="C55"/>
          <cell r="D55"/>
          <cell r="E55"/>
          <cell r="F55"/>
          <cell r="G55"/>
          <cell r="H55">
            <v>89.9</v>
          </cell>
          <cell r="I55">
            <v>105.53478260869566</v>
          </cell>
        </row>
        <row r="56">
          <cell r="C56"/>
          <cell r="D56"/>
          <cell r="E56"/>
          <cell r="F56"/>
          <cell r="G56"/>
          <cell r="H56">
            <v>95.6</v>
          </cell>
          <cell r="I56">
            <v>112.22608695652175</v>
          </cell>
        </row>
        <row r="57">
          <cell r="C57" t="str">
            <v>KCASTOR4</v>
          </cell>
          <cell r="D57"/>
          <cell r="E57" t="str">
            <v>Free standing type caster group, 4 point connection1set= 4pcs. (2 with brakes)</v>
          </cell>
          <cell r="F57">
            <v>19.8</v>
          </cell>
          <cell r="G57">
            <v>19.8</v>
          </cell>
          <cell r="H57">
            <v>18.649999999999999</v>
          </cell>
          <cell r="I57">
            <v>21.893478260869564</v>
          </cell>
        </row>
        <row r="58">
          <cell r="C58" t="str">
            <v>KFEET4</v>
          </cell>
          <cell r="E58" t="str">
            <v>PVC  body, pinion feet, 1set= 4pcs.</v>
          </cell>
          <cell r="F58">
            <v>2.75</v>
          </cell>
          <cell r="G58">
            <v>2.75</v>
          </cell>
          <cell r="H58">
            <v>2.75</v>
          </cell>
          <cell r="I58">
            <v>3.2282608695652177</v>
          </cell>
        </row>
        <row r="59">
          <cell r="C59"/>
          <cell r="D59"/>
          <cell r="E59"/>
          <cell r="F59"/>
          <cell r="G59">
            <v>4.3</v>
          </cell>
          <cell r="H59">
            <v>3.9</v>
          </cell>
          <cell r="I59">
            <v>4.5782608695652183</v>
          </cell>
        </row>
        <row r="60">
          <cell r="C60"/>
          <cell r="D60"/>
          <cell r="E60"/>
          <cell r="F60"/>
          <cell r="G60">
            <v>3.2</v>
          </cell>
          <cell r="H60">
            <v>2.85</v>
          </cell>
          <cell r="I60">
            <v>3.3456521739130443</v>
          </cell>
        </row>
        <row r="61">
          <cell r="C61"/>
          <cell r="D61"/>
          <cell r="E61"/>
          <cell r="F61"/>
          <cell r="G61">
            <v>5.0999999999999996</v>
          </cell>
          <cell r="H61">
            <v>4.5</v>
          </cell>
          <cell r="I61">
            <v>5.2826086956521747</v>
          </cell>
        </row>
        <row r="62">
          <cell r="C62"/>
          <cell r="D62"/>
          <cell r="E62"/>
          <cell r="F62"/>
          <cell r="G62">
            <v>66.400000000000006</v>
          </cell>
          <cell r="H62">
            <v>60</v>
          </cell>
          <cell r="I62">
            <v>70.434782608695656</v>
          </cell>
        </row>
        <row r="63">
          <cell r="C63"/>
          <cell r="D63"/>
          <cell r="E63"/>
          <cell r="F63"/>
          <cell r="G63">
            <v>55.1</v>
          </cell>
          <cell r="H63">
            <v>50</v>
          </cell>
          <cell r="I63">
            <v>58.695652173913047</v>
          </cell>
        </row>
      </sheetData>
      <sheetData sheetId="6"/>
      <sheetData sheetId="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896E45D-1990-43C1-8EB5-4DBAE0ECE57C}">
    <nsvFilter filterId="{00000000-0001-0000-0000-000000000000}" ref="A13:BE1067" tableId="0"/>
  </namedSheetView>
  <namedSheetView name="View2" id="{FCA54956-0BF2-4C69-8693-EFFB340AF54A}">
    <nsvFilter filterId="{00000000-0001-0000-0000-000000000000}" ref="A13:BE1067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075ACBB-1F2E-44BC-8480-E5D7E729A371}">
    <nsvFilter filterId="{00000000-0001-0000-0000-000000000000}" ref="A13:J228" tableId="0"/>
  </namedSheetView>
  <namedSheetView name="View2" id="{D593C1A3-BE1F-4B87-82B9-C8D0AE05934C}">
    <nsvFilter filterId="{00000000-0001-0000-0000-000000000000}" ref="A13:J228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A39B0DD-44E8-46CE-956A-15610B8FCC80}">
    <nsvFilter filterId="{00000000-0001-0000-0000-000000000000}" ref="A13:J225" tableId="0"/>
  </namedSheetView>
  <namedSheetView name="View2" id="{9F30C90A-9B7D-435A-84C3-3307BF81855F}">
    <nsvFilter filterId="{00000000-0001-0000-0000-000000000000}" ref="A13:J225" tableId="0"/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95138C7-1638-4A59-A3C0-CE3EF9DF9F65}">
    <nsvFilter filterId="{00000000-0001-0000-0000-000000000000}" ref="A13:G544" tableId="0"/>
  </namedSheetView>
  <namedSheetView name="View2" id="{DF494C7F-78DA-49F9-A36D-DB9B909A7010}">
    <nsvFilter filterId="{00000000-0001-0000-0000-000000000000}" ref="A13:G544" tableId="0"/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37DB1A5-AD2E-4D82-B645-6226336A7E1E}">
    <nsvFilter filterId="{00000000-0001-0000-0000-000000000000}" ref="A13:W605" tableId="0"/>
  </namedSheetView>
  <namedSheetView name="View2" id="{CF65E131-59F0-452E-9C9F-56C6A478B0FC}">
    <nsvFilter filterId="{00000000-0001-0000-0000-000000000000}" ref="A13:W605" tableId="0"/>
  </namedSheetView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B9E6BD7-461D-4255-A348-AC447EE47B48}">
    <nsvFilter filterId="{00000000-0001-0000-0000-000000000000}" ref="A10:W566" tableId="0"/>
  </namedSheetView>
  <namedSheetView name="View2" id="{5F5F2F21-890D-4F06-9CC3-0B68B70F6FC5}">
    <nsvFilter filterId="{00000000-0001-0000-0000-000000000000}" ref="A10:W566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Cheng Carina" id="{22568D2E-6AC0-4281-A6D6-14DEDFD03637}" userId="ce461d36c717c887" providerId="Windows Live"/>
  <person displayName="Rita Zhou" id="{A61469B7-FD55-4298-82E9-A8F14FBA3444}" userId="S::rita@symea-group.com::03701f10-e0f3-4356-8e57-a2279445f7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07" dT="2024-06-28T03:30:56.34" personId="{A61469B7-FD55-4298-82E9-A8F14FBA3444}" id="{D0EB0DDD-D0DA-4901-893C-05A252FAA1F2}">
    <text>Real production 3P0.53/0.58</text>
  </threadedComment>
  <threadedComment ref="AY108" dT="2024-06-28T03:30:56.34" personId="{A61469B7-FD55-4298-82E9-A8F14FBA3444}" id="{A9CF091E-5CC8-439A-BAA4-5EE67BDC8BE7}">
    <text>Real production 3P0.53/0.58</text>
  </threadedComment>
  <threadedComment ref="AY109" dT="2024-06-28T03:30:56.34" personId="{A61469B7-FD55-4298-82E9-A8F14FBA3444}" id="{FD1DFBA3-6BBE-4A9D-B63E-503085CC219B}">
    <text>Real production 3P0.53/0.58</text>
  </threadedComment>
  <threadedComment ref="AY110" dT="2024-06-28T03:30:56.34" personId="{A61469B7-FD55-4298-82E9-A8F14FBA3444}" id="{A37CF90F-877C-43BD-A8FB-050158D21377}">
    <text>Real production 3P0.53/0.58</text>
  </threadedComment>
  <threadedComment ref="AY111" dT="2024-06-28T03:30:56.34" personId="{A61469B7-FD55-4298-82E9-A8F14FBA3444}" id="{97E7ADD0-FD25-492C-B76E-44FE35931BDC}">
    <text>Real production 3P0.53/0.58</text>
  </threadedComment>
  <threadedComment ref="AY112" dT="2024-06-28T03:30:56.34" personId="{A61469B7-FD55-4298-82E9-A8F14FBA3444}" id="{CC8F7897-CAEB-48BA-AB07-FEA5D52D5132}">
    <text>Real production 3P0.53/0.58</text>
  </threadedComment>
  <threadedComment ref="AY113" dT="2024-06-28T03:30:56.34" personId="{A61469B7-FD55-4298-82E9-A8F14FBA3444}" id="{85732935-D25A-46A1-85CA-8A7F460B5770}">
    <text>Real production 3P0.53/0.58</text>
  </threadedComment>
  <threadedComment ref="AY114" dT="2024-06-28T03:30:56.34" personId="{A61469B7-FD55-4298-82E9-A8F14FBA3444}" id="{7B6D0AFF-AB39-4545-8EB6-707CD1E9E998}">
    <text>Real production 3P0.53/0.58</text>
  </threadedComment>
  <threadedComment ref="AV288" dT="2025-03-05T10:35:58.56" personId="{22568D2E-6AC0-4281-A6D6-14DEDFD03637}" id="{26753CB1-31C0-4406-A183-73E86ACF7B85}">
    <text>Extra cost RMB 8.8/PC will be added to improve black coating.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9/04/relationships/namedSheetView" Target="../namedSheetViews/namedSheetView5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5" Type="http://schemas.microsoft.com/office/2019/04/relationships/namedSheetView" Target="../namedSheetViews/namedSheetView6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G1141"/>
  <sheetViews>
    <sheetView tabSelected="1" zoomScale="80" zoomScaleNormal="80" workbookViewId="0">
      <pane xSplit="9" topLeftCell="R1" activePane="topRight" state="frozen"/>
      <selection pane="topRight" activeCell="S1088" sqref="S1088:S1089"/>
    </sheetView>
  </sheetViews>
  <sheetFormatPr baseColWidth="10" defaultColWidth="9.140625" defaultRowHeight="14.25" outlineLevelCol="1"/>
  <cols>
    <col min="1" max="1" width="8.85546875" style="1" bestFit="1" customWidth="1"/>
    <col min="2" max="2" width="8.28515625" style="1" customWidth="1"/>
    <col min="3" max="3" width="6.28515625" style="1" customWidth="1"/>
    <col min="4" max="4" width="20.85546875" style="1" customWidth="1"/>
    <col min="5" max="5" width="29" style="1" customWidth="1"/>
    <col min="6" max="6" width="27.140625" style="4" customWidth="1"/>
    <col min="7" max="7" width="11.85546875" style="6" customWidth="1"/>
    <col min="8" max="8" width="15.140625" style="6" customWidth="1"/>
    <col min="9" max="9" width="27.85546875" style="104" bestFit="1" customWidth="1"/>
    <col min="10" max="10" width="12.140625" style="104" bestFit="1" customWidth="1"/>
    <col min="11" max="11" width="42" style="4" customWidth="1" outlineLevel="1"/>
    <col min="12" max="12" width="49.42578125" style="4" customWidth="1" outlineLevel="1"/>
    <col min="13" max="13" width="16.85546875" style="6" customWidth="1"/>
    <col min="14" max="14" width="9.140625" style="4" customWidth="1"/>
    <col min="15" max="15" width="15.85546875" style="6" customWidth="1"/>
    <col min="16" max="16" width="18.85546875" style="1" customWidth="1"/>
    <col min="17" max="17" width="21.85546875" style="6" customWidth="1"/>
    <col min="18" max="18" width="15.140625" style="6" customWidth="1"/>
    <col min="19" max="19" width="29.85546875" style="6" customWidth="1" outlineLevel="1"/>
    <col min="20" max="20" width="13.140625" style="7" customWidth="1" outlineLevel="1"/>
    <col min="21" max="21" width="18.140625" style="8" customWidth="1" outlineLevel="1"/>
    <col min="22" max="22" width="14.85546875" style="7" customWidth="1" outlineLevel="1"/>
    <col min="23" max="25" width="21.140625" style="7" customWidth="1" outlineLevel="1"/>
    <col min="26" max="26" width="20.140625" style="6" customWidth="1" outlineLevel="1"/>
    <col min="27" max="27" width="18.85546875" style="6" customWidth="1" outlineLevel="1"/>
    <col min="28" max="29" width="19" style="6" customWidth="1" outlineLevel="1"/>
    <col min="30" max="30" width="14.85546875" style="6" customWidth="1" outlineLevel="1"/>
    <col min="31" max="31" width="15.85546875" style="6" customWidth="1" outlineLevel="1"/>
    <col min="32" max="32" width="17.140625" style="6" customWidth="1" outlineLevel="1"/>
    <col min="33" max="33" width="15.140625" style="6" customWidth="1" outlineLevel="1"/>
    <col min="34" max="34" width="14.85546875" style="6" customWidth="1" outlineLevel="1"/>
    <col min="35" max="35" width="18.140625" style="6" customWidth="1" outlineLevel="1"/>
    <col min="36" max="36" width="10.140625" style="441" customWidth="1" outlineLevel="1"/>
    <col min="37" max="37" width="18" style="6" customWidth="1" outlineLevel="1"/>
    <col min="38" max="38" width="17.85546875" style="6" customWidth="1" outlineLevel="1"/>
    <col min="39" max="39" width="15" style="8" customWidth="1" outlineLevel="1"/>
    <col min="40" max="40" width="15.140625" style="8" customWidth="1" outlineLevel="1"/>
    <col min="41" max="41" width="6.140625" style="4" customWidth="1" outlineLevel="1"/>
    <col min="42" max="42" width="16.140625" style="59" customWidth="1"/>
    <col min="43" max="44" width="12" style="9" customWidth="1"/>
    <col min="45" max="45" width="17.140625" style="9" customWidth="1"/>
    <col min="46" max="46" width="12" style="15" customWidth="1"/>
    <col min="47" max="47" width="16.140625" style="9" customWidth="1"/>
    <col min="48" max="48" width="12.140625" style="56" customWidth="1"/>
    <col min="49" max="49" width="21.140625" style="16" customWidth="1"/>
    <col min="50" max="50" width="12" style="10" customWidth="1"/>
    <col min="51" max="51" width="92.140625" style="54" customWidth="1"/>
    <col min="52" max="52" width="15.140625" style="6" customWidth="1"/>
    <col min="53" max="53" width="9.140625" style="1" customWidth="1"/>
    <col min="54" max="57" width="31.85546875" style="6" customWidth="1" outlineLevel="1"/>
    <col min="58" max="58" width="11.42578125" style="1" bestFit="1" customWidth="1"/>
    <col min="59" max="16384" width="9.140625" style="1"/>
  </cols>
  <sheetData>
    <row r="1" spans="1:57" ht="15" thickBot="1">
      <c r="E1" s="2" t="s">
        <v>0</v>
      </c>
      <c r="F1" s="50" t="s">
        <v>3855</v>
      </c>
      <c r="G1" s="3"/>
      <c r="H1" s="3" t="s">
        <v>1</v>
      </c>
      <c r="K1" s="5"/>
      <c r="L1" s="5"/>
      <c r="M1" s="221"/>
      <c r="N1" s="5"/>
      <c r="S1" s="1"/>
      <c r="AR1" s="10"/>
      <c r="AS1" s="10"/>
      <c r="AT1" s="11"/>
      <c r="AW1" s="10"/>
    </row>
    <row r="2" spans="1:57" ht="15" thickBot="1">
      <c r="E2" s="2" t="s">
        <v>2</v>
      </c>
      <c r="F2" s="43">
        <v>102000</v>
      </c>
      <c r="G2" s="12"/>
      <c r="H2" s="12"/>
      <c r="K2" s="5"/>
      <c r="L2" s="5"/>
      <c r="M2" s="221"/>
      <c r="N2" s="5"/>
      <c r="AG2" s="95" t="s">
        <v>3</v>
      </c>
      <c r="AH2" s="96"/>
      <c r="AR2" s="10"/>
      <c r="AS2" s="10"/>
      <c r="AT2" s="11"/>
      <c r="AW2" s="10"/>
    </row>
    <row r="3" spans="1:57">
      <c r="E3" s="2" t="s">
        <v>4</v>
      </c>
      <c r="F3" s="44">
        <f>F4*F6</f>
        <v>13045.5</v>
      </c>
      <c r="G3" s="13"/>
      <c r="H3" s="13"/>
      <c r="K3" s="5"/>
      <c r="L3" s="5"/>
      <c r="M3" s="221"/>
      <c r="N3" s="5"/>
      <c r="AG3" s="97" t="s">
        <v>5</v>
      </c>
      <c r="AH3" s="98">
        <v>0.1</v>
      </c>
      <c r="AR3" s="10"/>
      <c r="AS3" s="10"/>
      <c r="AT3" s="11"/>
      <c r="AW3" s="10"/>
    </row>
    <row r="4" spans="1:57">
      <c r="E4" s="2" t="s">
        <v>6</v>
      </c>
      <c r="F4" s="45">
        <v>11150</v>
      </c>
      <c r="G4" s="13"/>
      <c r="H4" s="14"/>
      <c r="K4" s="5"/>
      <c r="L4" s="5"/>
      <c r="M4" s="221"/>
      <c r="N4" s="5"/>
      <c r="AG4" s="97" t="s">
        <v>7</v>
      </c>
      <c r="AH4" s="98">
        <v>0.05</v>
      </c>
      <c r="AS4" s="10"/>
      <c r="AT4" s="11"/>
      <c r="AV4" s="101"/>
      <c r="AW4" s="101"/>
      <c r="AX4" s="101"/>
    </row>
    <row r="5" spans="1:57" ht="15" thickBot="1">
      <c r="E5" s="2" t="s">
        <v>8</v>
      </c>
      <c r="F5" s="68">
        <f>ROUND(7.04*0.995,2)</f>
        <v>7</v>
      </c>
      <c r="G5" s="18"/>
      <c r="H5" s="14"/>
      <c r="K5" s="5"/>
      <c r="L5" s="5"/>
      <c r="M5" s="221"/>
      <c r="N5" s="5"/>
      <c r="AG5" s="99" t="s">
        <v>9</v>
      </c>
      <c r="AH5" s="100">
        <v>0</v>
      </c>
    </row>
    <row r="6" spans="1:57" ht="15" thickBot="1">
      <c r="A6" s="17"/>
      <c r="B6" s="17"/>
      <c r="C6" s="172"/>
      <c r="D6" s="17" t="s">
        <v>1304</v>
      </c>
      <c r="E6" s="2" t="s">
        <v>10</v>
      </c>
      <c r="F6" s="46">
        <f>ROUND(1.17,2)</f>
        <v>1.17</v>
      </c>
      <c r="G6" s="113"/>
      <c r="H6" s="18"/>
      <c r="AG6" s="93" t="s">
        <v>1300</v>
      </c>
      <c r="AH6" s="94">
        <v>0.03</v>
      </c>
      <c r="AI6" s="48" t="s">
        <v>1458</v>
      </c>
      <c r="AW6" s="574"/>
    </row>
    <row r="7" spans="1:57">
      <c r="A7" s="17"/>
      <c r="B7" s="17"/>
      <c r="C7" s="172"/>
      <c r="D7" s="19" t="s">
        <v>2798</v>
      </c>
      <c r="E7" s="2" t="s">
        <v>1332</v>
      </c>
      <c r="F7" s="68">
        <f>F6*F5</f>
        <v>8.19</v>
      </c>
      <c r="G7" s="113"/>
      <c r="H7" s="18"/>
      <c r="AI7" s="48"/>
      <c r="AW7" s="574"/>
    </row>
    <row r="8" spans="1:57">
      <c r="A8" s="19"/>
      <c r="B8" s="19"/>
      <c r="C8" s="129"/>
      <c r="E8" s="2" t="s">
        <v>1329</v>
      </c>
      <c r="F8" s="440">
        <v>2500</v>
      </c>
      <c r="G8" s="20">
        <f>H8-F8</f>
        <v>0</v>
      </c>
      <c r="H8" s="20">
        <v>2500</v>
      </c>
      <c r="I8" s="2"/>
      <c r="J8" s="2"/>
      <c r="K8" s="21"/>
      <c r="L8" s="21"/>
      <c r="AQ8" s="22"/>
      <c r="AR8" s="22"/>
    </row>
    <row r="9" spans="1:57">
      <c r="E9" s="2" t="s">
        <v>1328</v>
      </c>
      <c r="F9" s="440">
        <v>3500</v>
      </c>
      <c r="G9" s="20">
        <f>H9-F9</f>
        <v>0</v>
      </c>
      <c r="H9" s="20">
        <v>3500</v>
      </c>
      <c r="I9" s="2"/>
      <c r="J9" s="2"/>
      <c r="K9" s="21"/>
      <c r="O9" s="23"/>
      <c r="AB9" s="454"/>
      <c r="AS9" s="22"/>
      <c r="AT9" s="24"/>
      <c r="AU9" s="24"/>
      <c r="AV9" s="57"/>
    </row>
    <row r="10" spans="1:57">
      <c r="E10" s="2" t="s">
        <v>1330</v>
      </c>
      <c r="F10" s="440">
        <v>3000</v>
      </c>
      <c r="G10" s="20">
        <f>H10-F10</f>
        <v>0</v>
      </c>
      <c r="H10" s="20">
        <v>3000</v>
      </c>
      <c r="I10" s="2"/>
      <c r="J10" s="2"/>
      <c r="K10" s="38"/>
      <c r="L10" s="21"/>
      <c r="O10" s="23"/>
      <c r="AC10" s="453"/>
      <c r="AR10" s="383"/>
      <c r="AT10" s="24"/>
      <c r="AU10" s="24"/>
      <c r="AV10" s="57"/>
    </row>
    <row r="11" spans="1:57" s="39" customFormat="1" ht="15" thickBot="1">
      <c r="E11" s="2" t="s">
        <v>1301</v>
      </c>
      <c r="F11" s="440">
        <v>350</v>
      </c>
      <c r="G11" s="20"/>
      <c r="H11" s="2"/>
      <c r="I11" s="110"/>
      <c r="J11" s="110"/>
      <c r="L11" s="38"/>
      <c r="M11" s="38"/>
      <c r="N11" s="38"/>
      <c r="O11" s="38"/>
      <c r="Q11" s="38"/>
      <c r="R11" s="38"/>
      <c r="S11" s="38"/>
      <c r="T11" s="38"/>
      <c r="U11" s="38"/>
      <c r="V11" s="38"/>
      <c r="W11" s="38"/>
      <c r="X11" s="38"/>
      <c r="Y11" s="48"/>
      <c r="Z11" s="48"/>
      <c r="AA11" s="48"/>
      <c r="AB11" s="48"/>
      <c r="AC11" s="48"/>
      <c r="AD11" s="38"/>
      <c r="AE11" s="38"/>
      <c r="AF11" s="38"/>
      <c r="AG11" s="38"/>
      <c r="AH11" s="38"/>
      <c r="AI11" s="38"/>
      <c r="AJ11" s="442"/>
      <c r="AK11" s="48"/>
      <c r="AL11" s="38"/>
      <c r="AM11" s="38"/>
      <c r="AN11" s="38"/>
      <c r="AO11" s="72"/>
      <c r="AP11" s="112"/>
      <c r="AQ11" s="49"/>
      <c r="AR11" s="383"/>
      <c r="AU11" s="24"/>
      <c r="BB11" s="48"/>
      <c r="BC11" s="48"/>
      <c r="BD11" s="48"/>
      <c r="BE11" s="48"/>
    </row>
    <row r="12" spans="1:57" ht="15" thickBot="1">
      <c r="AD12" s="582" t="s">
        <v>11</v>
      </c>
      <c r="AE12" s="583"/>
      <c r="AK12" s="329" t="s">
        <v>12</v>
      </c>
      <c r="AL12" s="330"/>
      <c r="AM12" s="330"/>
      <c r="AN12" s="331"/>
      <c r="AQ12" s="580" t="s">
        <v>13</v>
      </c>
      <c r="AR12" s="580"/>
      <c r="AS12" s="580"/>
      <c r="AT12" s="580"/>
      <c r="AU12" s="580"/>
      <c r="AV12" s="581"/>
      <c r="AW12" s="580"/>
      <c r="AX12" s="580"/>
      <c r="AZ12" s="25"/>
    </row>
    <row r="13" spans="1:57" ht="35.1" customHeight="1">
      <c r="A13" s="74" t="s">
        <v>1305</v>
      </c>
      <c r="B13" s="235" t="s">
        <v>2813</v>
      </c>
      <c r="C13" s="438" t="s">
        <v>2814</v>
      </c>
      <c r="D13" s="74" t="s">
        <v>3783</v>
      </c>
      <c r="E13" s="75" t="s">
        <v>15</v>
      </c>
      <c r="F13" s="75" t="s">
        <v>16</v>
      </c>
      <c r="G13" s="76" t="s">
        <v>17</v>
      </c>
      <c r="H13" s="76" t="s">
        <v>3253</v>
      </c>
      <c r="I13" s="75" t="s">
        <v>19</v>
      </c>
      <c r="J13" s="75" t="s">
        <v>2408</v>
      </c>
      <c r="K13" s="75" t="s">
        <v>20</v>
      </c>
      <c r="L13" s="75" t="s">
        <v>21</v>
      </c>
      <c r="M13" s="76" t="s">
        <v>22</v>
      </c>
      <c r="N13" s="75" t="s">
        <v>23</v>
      </c>
      <c r="O13" s="77" t="s">
        <v>24</v>
      </c>
      <c r="P13" s="111" t="s">
        <v>25</v>
      </c>
      <c r="Q13" s="76" t="s">
        <v>26</v>
      </c>
      <c r="R13" s="77" t="s">
        <v>27</v>
      </c>
      <c r="S13" s="77" t="s">
        <v>28</v>
      </c>
      <c r="T13" s="78" t="s">
        <v>29</v>
      </c>
      <c r="U13" s="79" t="s">
        <v>30</v>
      </c>
      <c r="V13" s="78" t="s">
        <v>31</v>
      </c>
      <c r="W13" s="78" t="s">
        <v>32</v>
      </c>
      <c r="X13" s="78" t="s">
        <v>33</v>
      </c>
      <c r="Y13" s="78" t="s">
        <v>34</v>
      </c>
      <c r="Z13" s="80" t="s">
        <v>35</v>
      </c>
      <c r="AA13" s="452" t="s">
        <v>3857</v>
      </c>
      <c r="AB13" s="80" t="s">
        <v>36</v>
      </c>
      <c r="AC13" s="452" t="s">
        <v>3856</v>
      </c>
      <c r="AD13" s="81" t="s">
        <v>37</v>
      </c>
      <c r="AE13" s="82" t="s">
        <v>38</v>
      </c>
      <c r="AF13" s="83" t="s">
        <v>39</v>
      </c>
      <c r="AG13" s="80" t="s">
        <v>40</v>
      </c>
      <c r="AH13" s="80" t="s">
        <v>41</v>
      </c>
      <c r="AI13" s="84" t="s">
        <v>42</v>
      </c>
      <c r="AJ13" s="443"/>
      <c r="AK13" s="102" t="s">
        <v>43</v>
      </c>
      <c r="AL13" s="102" t="s">
        <v>44</v>
      </c>
      <c r="AM13" s="103" t="s">
        <v>45</v>
      </c>
      <c r="AN13" s="103" t="s">
        <v>46</v>
      </c>
      <c r="AO13" s="73"/>
      <c r="AP13" s="59" t="s">
        <v>47</v>
      </c>
      <c r="AQ13" s="42" t="s">
        <v>48</v>
      </c>
      <c r="AR13" s="42" t="s">
        <v>49</v>
      </c>
      <c r="AS13" s="42" t="s">
        <v>50</v>
      </c>
      <c r="AT13" s="42" t="s">
        <v>51</v>
      </c>
      <c r="AU13" s="42" t="s">
        <v>52</v>
      </c>
      <c r="AV13" s="58" t="s">
        <v>53</v>
      </c>
      <c r="AW13" s="40" t="s">
        <v>1459</v>
      </c>
      <c r="AX13" s="41" t="s">
        <v>1331</v>
      </c>
      <c r="AY13" s="104" t="s">
        <v>3170</v>
      </c>
      <c r="AZ13" s="31" t="s">
        <v>54</v>
      </c>
      <c r="BB13" s="80" t="s">
        <v>2794</v>
      </c>
      <c r="BC13" s="80" t="s">
        <v>2795</v>
      </c>
      <c r="BD13" s="80" t="s">
        <v>2796</v>
      </c>
      <c r="BE13" s="80" t="s">
        <v>2797</v>
      </c>
    </row>
    <row r="14" spans="1:57" s="129" customFormat="1" hidden="1">
      <c r="A14" s="88" t="s">
        <v>1302</v>
      </c>
      <c r="B14" s="88" t="s">
        <v>1317</v>
      </c>
      <c r="C14" s="88" t="s">
        <v>1317</v>
      </c>
      <c r="D14" s="88" t="s">
        <v>55</v>
      </c>
      <c r="E14" s="89" t="s">
        <v>56</v>
      </c>
      <c r="F14" s="90" t="s">
        <v>57</v>
      </c>
      <c r="G14" s="131" t="s">
        <v>58</v>
      </c>
      <c r="H14" s="131">
        <v>24</v>
      </c>
      <c r="I14" s="132" t="s">
        <v>1289</v>
      </c>
      <c r="J14" s="132" t="str">
        <f>_xlfn.XLOOKUP(I14,[1]Sheet1!$A:$A,[1]Sheet1!$B:$B,"")</f>
        <v/>
      </c>
      <c r="K14" s="90" t="s">
        <v>1497</v>
      </c>
      <c r="L14" s="90" t="s">
        <v>1555</v>
      </c>
      <c r="M14" s="131" t="s">
        <v>59</v>
      </c>
      <c r="N14" s="91" t="s">
        <v>60</v>
      </c>
      <c r="O14" s="92">
        <v>13.9</v>
      </c>
      <c r="P14" s="88" t="s">
        <v>61</v>
      </c>
      <c r="Q14" s="92" t="s">
        <v>62</v>
      </c>
      <c r="R14" s="92">
        <v>12</v>
      </c>
      <c r="S14" s="123" t="e">
        <v>#N/A</v>
      </c>
      <c r="T14" s="131" t="s">
        <v>159</v>
      </c>
      <c r="U14" s="155">
        <v>0</v>
      </c>
      <c r="V14" s="207">
        <v>45</v>
      </c>
      <c r="W14" s="207">
        <v>45</v>
      </c>
      <c r="X14" s="207">
        <v>55</v>
      </c>
      <c r="Y14" s="207" t="s">
        <v>64</v>
      </c>
      <c r="Z14" s="133">
        <f>AW14/(1-(AF14+2%))</f>
        <v>295.58812615955475</v>
      </c>
      <c r="AA14" s="133">
        <f>VLOOKUP(I14,'[2]PO &amp; SC Sept 2025'!$I$14:$BK$686,55,FALSE)+(($F$3/1000)-1.5)*O14</f>
        <v>288.84372814223946</v>
      </c>
      <c r="AB14" s="124">
        <f>AX14/(1-AF14)</f>
        <v>255.47344708737114</v>
      </c>
      <c r="AC14" s="134">
        <f>VLOOKUP(I14,'[2]PO &amp; SC Sept 2025'!$I$14:$BE$686,49,FALSE)+(O14*(($F$4/1000)-1.5))</f>
        <v>253.73021150661691</v>
      </c>
      <c r="AD14" s="213">
        <v>0.09</v>
      </c>
      <c r="AE14" s="213">
        <v>0.09</v>
      </c>
      <c r="AF14" s="215">
        <v>0.21</v>
      </c>
      <c r="AG14" s="216" t="s">
        <v>9</v>
      </c>
      <c r="AH14" s="148">
        <f>AB14</f>
        <v>255.47344708737114</v>
      </c>
      <c r="AI14" s="149">
        <f>1-(AX14/AH14)</f>
        <v>0.20999999999999996</v>
      </c>
      <c r="AJ14" s="444"/>
      <c r="AK14" s="150">
        <f>AW14/(1-AD14)</f>
        <v>250.11302982731553</v>
      </c>
      <c r="AL14" s="148">
        <f>AX14/(1-AE14)</f>
        <v>221.78464087804747</v>
      </c>
      <c r="AM14" s="125">
        <f>1-(AK14/Z14)</f>
        <v>0.15384615384615397</v>
      </c>
      <c r="AN14" s="125">
        <f>1-(AL14/AB14)</f>
        <v>0.13186813186813184</v>
      </c>
      <c r="AO14" s="140"/>
      <c r="AP14" s="17" t="s">
        <v>65</v>
      </c>
      <c r="AQ14" s="141">
        <f>6.53*2</f>
        <v>13.06</v>
      </c>
      <c r="AR14" s="141">
        <v>1170.3</v>
      </c>
      <c r="AS14" s="141"/>
      <c r="AT14" s="141">
        <v>5</v>
      </c>
      <c r="AU14" s="141">
        <f>($F$2-70000)/1000*AQ14+AR14</f>
        <v>1588.22</v>
      </c>
      <c r="AV14" s="141">
        <f t="shared" ref="AV14:AV139" si="0">AT14+AU14</f>
        <v>1593.22</v>
      </c>
      <c r="AW14" s="142">
        <f>(AT14+AU14)/$F$5</f>
        <v>227.60285714285715</v>
      </c>
      <c r="AX14" s="126">
        <f>(AW14/$F$6)+(($F$9+$G$9)/40/R14)+AW14*U14</f>
        <v>201.8240231990232</v>
      </c>
      <c r="AY14" s="127"/>
      <c r="AZ14" s="128" t="s">
        <v>63</v>
      </c>
      <c r="BB14" s="124">
        <f>AB14/0.3</f>
        <v>851.57815695790384</v>
      </c>
      <c r="BC14" s="124">
        <f>BB14*0.6</f>
        <v>510.94689417474228</v>
      </c>
      <c r="BD14" s="124">
        <f>BB14*0.5</f>
        <v>425.78907847895192</v>
      </c>
      <c r="BE14" s="124">
        <f>BB14*0.4</f>
        <v>340.63126278316156</v>
      </c>
    </row>
    <row r="15" spans="1:57" s="129" customFormat="1" hidden="1">
      <c r="A15" s="88" t="s">
        <v>1302</v>
      </c>
      <c r="B15" s="88" t="s">
        <v>1317</v>
      </c>
      <c r="C15" s="88" t="s">
        <v>1317</v>
      </c>
      <c r="D15" s="88" t="s">
        <v>55</v>
      </c>
      <c r="E15" s="89" t="s">
        <v>56</v>
      </c>
      <c r="F15" s="90" t="s">
        <v>57</v>
      </c>
      <c r="G15" s="131" t="s">
        <v>58</v>
      </c>
      <c r="H15" s="131">
        <v>24</v>
      </c>
      <c r="I15" s="132" t="s">
        <v>66</v>
      </c>
      <c r="J15" s="132" t="str">
        <f>_xlfn.XLOOKUP(I15,[1]Sheet1!$A:$A,[1]Sheet1!$B:$B,"")</f>
        <v>U0101004</v>
      </c>
      <c r="K15" s="90" t="s">
        <v>67</v>
      </c>
      <c r="L15" s="90" t="s">
        <v>68</v>
      </c>
      <c r="M15" s="131" t="s">
        <v>69</v>
      </c>
      <c r="N15" s="91" t="s">
        <v>60</v>
      </c>
      <c r="O15" s="92">
        <v>13.9</v>
      </c>
      <c r="P15" s="88" t="s">
        <v>61</v>
      </c>
      <c r="Q15" s="92" t="s">
        <v>62</v>
      </c>
      <c r="R15" s="92">
        <v>12</v>
      </c>
      <c r="S15" s="123" t="e">
        <v>#N/A</v>
      </c>
      <c r="T15" s="131" t="s">
        <v>159</v>
      </c>
      <c r="U15" s="155">
        <v>0</v>
      </c>
      <c r="V15" s="207">
        <v>45</v>
      </c>
      <c r="W15" s="207">
        <v>45</v>
      </c>
      <c r="X15" s="207">
        <v>55</v>
      </c>
      <c r="Y15" s="207" t="s">
        <v>64</v>
      </c>
      <c r="Z15" s="133">
        <f t="shared" ref="Z15:Z125" si="1">AW15/(1-(AF15+2%))</f>
        <v>309.7763157894737</v>
      </c>
      <c r="AA15" s="133">
        <f>VLOOKUP(I15,'[2]PO &amp; SC Sept 2025'!$I$14:$BK$686,55,FALSE)+(($F$3/1000)-1.5)*O15</f>
        <v>302.43634282341827</v>
      </c>
      <c r="AB15" s="124">
        <f t="shared" ref="AB15:AB141" si="2">AX15/(1-AF15)</f>
        <v>267.32549857549856</v>
      </c>
      <c r="AC15" s="134">
        <f>VLOOKUP(I15,'[2]PO &amp; SC Sept 2025'!$I$14:$BE$686,49,FALSE)+(O15*(($F$4/1000)-1.5))</f>
        <v>265.31114675425988</v>
      </c>
      <c r="AD15" s="213">
        <v>0.09</v>
      </c>
      <c r="AE15" s="213">
        <v>0.09</v>
      </c>
      <c r="AF15" s="215">
        <v>0.22</v>
      </c>
      <c r="AG15" s="216" t="s">
        <v>9</v>
      </c>
      <c r="AH15" s="148">
        <f t="shared" ref="AH15:AH91" si="3">AB15</f>
        <v>267.32549857549856</v>
      </c>
      <c r="AI15" s="149">
        <f t="shared" ref="AI15:AI112" si="4">1-(AX15/AH15)</f>
        <v>0.21999999999999997</v>
      </c>
      <c r="AJ15" s="444"/>
      <c r="AK15" s="150">
        <f t="shared" ref="AK15:AK141" si="5">AW15/(1-AD15)</f>
        <v>258.71428571428572</v>
      </c>
      <c r="AL15" s="148">
        <f t="shared" ref="AL15:AL141" si="6">AX15/(1-AE15)</f>
        <v>229.13614163614162</v>
      </c>
      <c r="AM15" s="125">
        <f t="shared" ref="AM15:AM141" si="7">1-(AK15/Z15)</f>
        <v>0.1648351648351648</v>
      </c>
      <c r="AN15" s="125">
        <f t="shared" ref="AN15:AN81" si="8">1-(AL15/AB15)</f>
        <v>0.1428571428571429</v>
      </c>
      <c r="AO15" s="140"/>
      <c r="AP15" s="17" t="s">
        <v>65</v>
      </c>
      <c r="AQ15" s="141">
        <f>6.53*2</f>
        <v>13.06</v>
      </c>
      <c r="AR15" s="141">
        <v>1225.0899999999999</v>
      </c>
      <c r="AS15" s="141"/>
      <c r="AT15" s="141">
        <v>5</v>
      </c>
      <c r="AU15" s="141">
        <f t="shared" ref="AU15:AU81" si="9">($F$2-70000)/1000*AQ15+AR15</f>
        <v>1643.01</v>
      </c>
      <c r="AV15" s="141">
        <f t="shared" si="0"/>
        <v>1648.01</v>
      </c>
      <c r="AW15" s="142">
        <f>(AT15+AU15)/$F$5</f>
        <v>235.43</v>
      </c>
      <c r="AX15" s="126">
        <f t="shared" ref="AX15:AX81" si="10">(AW15/$F$6)+(($F$9+$G$9)/40/R15)+AW15*U15</f>
        <v>208.51388888888889</v>
      </c>
      <c r="AY15" s="127"/>
      <c r="AZ15" s="128" t="s">
        <v>63</v>
      </c>
      <c r="BB15" s="124">
        <f t="shared" ref="BB15:BB91" si="11">AB15/0.3</f>
        <v>891.08499525166189</v>
      </c>
      <c r="BC15" s="124">
        <f t="shared" ref="BC15:BC91" si="12">BB15*0.6</f>
        <v>534.65099715099711</v>
      </c>
      <c r="BD15" s="124">
        <f t="shared" ref="BD15:BD91" si="13">BB15*0.5</f>
        <v>445.54249762583095</v>
      </c>
      <c r="BE15" s="124">
        <f t="shared" ref="BE15:BE91" si="14">BB15*0.4</f>
        <v>356.43399810066478</v>
      </c>
    </row>
    <row r="16" spans="1:57" s="129" customFormat="1" hidden="1">
      <c r="A16" s="88" t="s">
        <v>1302</v>
      </c>
      <c r="B16" s="88" t="s">
        <v>1317</v>
      </c>
      <c r="C16" s="88" t="s">
        <v>1317</v>
      </c>
      <c r="D16" s="88" t="s">
        <v>55</v>
      </c>
      <c r="E16" s="89" t="s">
        <v>56</v>
      </c>
      <c r="F16" s="90" t="s">
        <v>57</v>
      </c>
      <c r="G16" s="131" t="s">
        <v>70</v>
      </c>
      <c r="H16" s="131">
        <v>24</v>
      </c>
      <c r="I16" s="132" t="s">
        <v>1288</v>
      </c>
      <c r="J16" s="132" t="str">
        <f>_xlfn.XLOOKUP(I16,[1]Sheet1!$A:$A,[1]Sheet1!$B:$B,"")</f>
        <v/>
      </c>
      <c r="K16" s="90" t="s">
        <v>71</v>
      </c>
      <c r="L16" s="90" t="s">
        <v>72</v>
      </c>
      <c r="M16" s="131" t="s">
        <v>59</v>
      </c>
      <c r="N16" s="91" t="s">
        <v>60</v>
      </c>
      <c r="O16" s="92">
        <v>15.5</v>
      </c>
      <c r="P16" s="88" t="s">
        <v>61</v>
      </c>
      <c r="Q16" s="92" t="s">
        <v>62</v>
      </c>
      <c r="R16" s="92">
        <v>15</v>
      </c>
      <c r="S16" s="123" t="e">
        <v>#N/A</v>
      </c>
      <c r="T16" s="131" t="s">
        <v>159</v>
      </c>
      <c r="U16" s="155">
        <v>0</v>
      </c>
      <c r="V16" s="207">
        <v>45</v>
      </c>
      <c r="W16" s="207">
        <v>45</v>
      </c>
      <c r="X16" s="207">
        <v>55</v>
      </c>
      <c r="Y16" s="207" t="s">
        <v>64</v>
      </c>
      <c r="Z16" s="133">
        <f t="shared" si="1"/>
        <v>399.47104247104249</v>
      </c>
      <c r="AA16" s="133">
        <f>VLOOKUP(I16,'[2]PO &amp; SC Sept 2025'!$I$14:$BK$686,55,FALSE)+(($F$3/1000)-1.5)*O16</f>
        <v>383.38319200395824</v>
      </c>
      <c r="AB16" s="124">
        <f t="shared" si="2"/>
        <v>340.11872630293686</v>
      </c>
      <c r="AC16" s="134">
        <f>VLOOKUP(I16,'[2]PO &amp; SC Sept 2025'!$I$14:$BE$686,49,FALSE)+(O16*(($F$4/1000)-1.5))</f>
        <v>331.54536444006521</v>
      </c>
      <c r="AD16" s="213">
        <v>0.09</v>
      </c>
      <c r="AE16" s="213">
        <v>0.09</v>
      </c>
      <c r="AF16" s="215">
        <v>0.24</v>
      </c>
      <c r="AG16" s="216" t="s">
        <v>9</v>
      </c>
      <c r="AH16" s="148">
        <f t="shared" si="3"/>
        <v>340.11872630293686</v>
      </c>
      <c r="AI16" s="149">
        <f t="shared" si="4"/>
        <v>0.24</v>
      </c>
      <c r="AJ16" s="444"/>
      <c r="AK16" s="150">
        <f t="shared" si="5"/>
        <v>324.84458398744113</v>
      </c>
      <c r="AL16" s="148">
        <f t="shared" si="6"/>
        <v>284.05519998926593</v>
      </c>
      <c r="AM16" s="125">
        <f t="shared" si="7"/>
        <v>0.18681318681318682</v>
      </c>
      <c r="AN16" s="125">
        <f t="shared" si="8"/>
        <v>0.16483516483516492</v>
      </c>
      <c r="AO16" s="140"/>
      <c r="AP16" s="17" t="s">
        <v>65</v>
      </c>
      <c r="AQ16" s="141">
        <f>8.06*2</f>
        <v>16.12</v>
      </c>
      <c r="AR16" s="141">
        <v>1548.42</v>
      </c>
      <c r="AS16" s="141"/>
      <c r="AT16" s="141">
        <v>5</v>
      </c>
      <c r="AU16" s="141">
        <f t="shared" si="9"/>
        <v>2064.2600000000002</v>
      </c>
      <c r="AV16" s="141">
        <f t="shared" si="0"/>
        <v>2069.2600000000002</v>
      </c>
      <c r="AW16" s="142">
        <f>(AT16+AU16)/$F$5</f>
        <v>295.60857142857145</v>
      </c>
      <c r="AX16" s="126">
        <f t="shared" si="10"/>
        <v>258.49023199023202</v>
      </c>
      <c r="AY16" s="127"/>
      <c r="AZ16" s="128" t="s">
        <v>63</v>
      </c>
      <c r="BB16" s="124">
        <f t="shared" si="11"/>
        <v>1133.7290876764562</v>
      </c>
      <c r="BC16" s="124">
        <f t="shared" si="12"/>
        <v>680.23745260587373</v>
      </c>
      <c r="BD16" s="124">
        <f t="shared" si="13"/>
        <v>566.86454383822809</v>
      </c>
      <c r="BE16" s="124">
        <f t="shared" si="14"/>
        <v>453.4916350705825</v>
      </c>
    </row>
    <row r="17" spans="1:57" s="129" customFormat="1" hidden="1">
      <c r="A17" s="88" t="s">
        <v>1302</v>
      </c>
      <c r="B17" s="88" t="s">
        <v>1317</v>
      </c>
      <c r="C17" s="88" t="s">
        <v>1317</v>
      </c>
      <c r="D17" s="88" t="s">
        <v>55</v>
      </c>
      <c r="E17" s="89" t="s">
        <v>56</v>
      </c>
      <c r="F17" s="90" t="s">
        <v>57</v>
      </c>
      <c r="G17" s="131" t="s">
        <v>70</v>
      </c>
      <c r="H17" s="131">
        <v>24</v>
      </c>
      <c r="I17" s="132" t="s">
        <v>4018</v>
      </c>
      <c r="J17" s="132" t="str">
        <f>_xlfn.XLOOKUP(I17,[1]Sheet1!$A:$A,[1]Sheet1!$B:$B,"")</f>
        <v>U0101002</v>
      </c>
      <c r="K17" s="90" t="s">
        <v>73</v>
      </c>
      <c r="L17" s="90" t="s">
        <v>74</v>
      </c>
      <c r="M17" s="131" t="s">
        <v>69</v>
      </c>
      <c r="N17" s="91" t="s">
        <v>60</v>
      </c>
      <c r="O17" s="92">
        <v>15.5</v>
      </c>
      <c r="P17" s="88" t="s">
        <v>61</v>
      </c>
      <c r="Q17" s="92" t="s">
        <v>62</v>
      </c>
      <c r="R17" s="92">
        <v>15</v>
      </c>
      <c r="S17" s="123" t="e">
        <v>#N/A</v>
      </c>
      <c r="T17" s="131" t="s">
        <v>159</v>
      </c>
      <c r="U17" s="155">
        <v>0</v>
      </c>
      <c r="V17" s="207">
        <v>45</v>
      </c>
      <c r="W17" s="207">
        <v>45</v>
      </c>
      <c r="X17" s="207">
        <v>55</v>
      </c>
      <c r="Y17" s="207" t="s">
        <v>64</v>
      </c>
      <c r="Z17" s="133">
        <f>AW17/(1-(AF17+2%))</f>
        <v>412.57915057915051</v>
      </c>
      <c r="AA17" s="133">
        <f>VLOOKUP(I17,'[2]PO &amp; SC Sept 2025'!$I$14:$BK$686,55,FALSE)+(($F$3/1000)-1.5)*O17</f>
        <v>396.55793685241957</v>
      </c>
      <c r="AB17" s="124">
        <f t="shared" si="2"/>
        <v>351.02740826425031</v>
      </c>
      <c r="AC17" s="134">
        <f>VLOOKUP(I17,'[2]PO &amp; SC Sept 2025'!$I$14:$BE$686,49,FALSE)+(O17*(($F$4/1000)-1.5))</f>
        <v>342.69616297847301</v>
      </c>
      <c r="AD17" s="213">
        <v>0.09</v>
      </c>
      <c r="AE17" s="213">
        <v>0.09</v>
      </c>
      <c r="AF17" s="215">
        <v>0.24</v>
      </c>
      <c r="AG17" s="216" t="s">
        <v>9</v>
      </c>
      <c r="AH17" s="148">
        <f t="shared" si="3"/>
        <v>351.02740826425031</v>
      </c>
      <c r="AI17" s="149">
        <f t="shared" si="4"/>
        <v>0.24</v>
      </c>
      <c r="AJ17" s="444"/>
      <c r="AK17" s="150">
        <f t="shared" si="5"/>
        <v>335.50392464678174</v>
      </c>
      <c r="AL17" s="148">
        <f t="shared" si="6"/>
        <v>293.16574756135191</v>
      </c>
      <c r="AM17" s="125">
        <f t="shared" si="7"/>
        <v>0.18681318681318682</v>
      </c>
      <c r="AN17" s="125">
        <f t="shared" si="8"/>
        <v>0.1648351648351648</v>
      </c>
      <c r="AO17" s="140"/>
      <c r="AP17" s="17" t="s">
        <v>65</v>
      </c>
      <c r="AQ17" s="141">
        <f>8.06*2</f>
        <v>16.12</v>
      </c>
      <c r="AR17" s="141">
        <v>1616.32</v>
      </c>
      <c r="AS17" s="141"/>
      <c r="AT17" s="141">
        <v>5</v>
      </c>
      <c r="AU17" s="141">
        <f t="shared" si="9"/>
        <v>2132.16</v>
      </c>
      <c r="AV17" s="141">
        <f t="shared" si="0"/>
        <v>2137.16</v>
      </c>
      <c r="AW17" s="142">
        <f>(AT17+AU17)/$F$5</f>
        <v>305.30857142857138</v>
      </c>
      <c r="AX17" s="126">
        <f t="shared" si="10"/>
        <v>266.78083028083023</v>
      </c>
      <c r="AY17" s="127"/>
      <c r="AZ17" s="128" t="s">
        <v>63</v>
      </c>
      <c r="BB17" s="124">
        <f t="shared" si="11"/>
        <v>1170.0913608808344</v>
      </c>
      <c r="BC17" s="124">
        <f t="shared" si="12"/>
        <v>702.05481652850062</v>
      </c>
      <c r="BD17" s="124">
        <f t="shared" si="13"/>
        <v>585.04568044041719</v>
      </c>
      <c r="BE17" s="124">
        <f t="shared" si="14"/>
        <v>468.03654435233375</v>
      </c>
    </row>
    <row r="18" spans="1:57" s="129" customFormat="1" hidden="1">
      <c r="A18" s="88" t="s">
        <v>1302</v>
      </c>
      <c r="B18" s="88" t="s">
        <v>1317</v>
      </c>
      <c r="C18" s="88" t="s">
        <v>1317</v>
      </c>
      <c r="D18" s="88" t="s">
        <v>55</v>
      </c>
      <c r="E18" s="89" t="s">
        <v>56</v>
      </c>
      <c r="F18" s="90" t="s">
        <v>57</v>
      </c>
      <c r="G18" s="131" t="s">
        <v>75</v>
      </c>
      <c r="H18" s="131">
        <v>24</v>
      </c>
      <c r="I18" s="132" t="s">
        <v>76</v>
      </c>
      <c r="J18" s="132" t="str">
        <f>_xlfn.XLOOKUP(I18,[1]Sheet1!$A:$A,[1]Sheet1!$B:$B,"")</f>
        <v>U0101003</v>
      </c>
      <c r="K18" s="90" t="s">
        <v>77</v>
      </c>
      <c r="L18" s="90" t="s">
        <v>74</v>
      </c>
      <c r="M18" s="131" t="s">
        <v>69</v>
      </c>
      <c r="N18" s="91" t="s">
        <v>60</v>
      </c>
      <c r="O18" s="92">
        <v>15.5</v>
      </c>
      <c r="P18" s="88" t="s">
        <v>61</v>
      </c>
      <c r="Q18" s="92" t="s">
        <v>62</v>
      </c>
      <c r="R18" s="92">
        <v>15.5</v>
      </c>
      <c r="S18" s="123" t="e">
        <v>#N/A</v>
      </c>
      <c r="T18" s="131" t="s">
        <v>159</v>
      </c>
      <c r="U18" s="155">
        <v>0</v>
      </c>
      <c r="V18" s="207">
        <v>45</v>
      </c>
      <c r="W18" s="207">
        <v>45</v>
      </c>
      <c r="X18" s="207">
        <v>55</v>
      </c>
      <c r="Y18" s="207" t="s">
        <v>64</v>
      </c>
      <c r="Z18" s="133">
        <f t="shared" si="1"/>
        <v>732.91666666666663</v>
      </c>
      <c r="AA18" s="133">
        <f>VLOOKUP(I18,'[2]PO &amp; SC Sept 2025'!$I$14:$BK$686,55,FALSE)+(($F$3/1000)-1.5)*O18</f>
        <v>667.44653047320742</v>
      </c>
      <c r="AB18" s="124">
        <f t="shared" si="2"/>
        <v>617.12270583238319</v>
      </c>
      <c r="AC18" s="134">
        <f>VLOOKUP(I18,'[2]PO &amp; SC Sept 2025'!$I$14:$BE$686,49,FALSE)+(O18*(($F$4/1000)-1.5))</f>
        <v>571.52710122059204</v>
      </c>
      <c r="AD18" s="213">
        <v>0.09</v>
      </c>
      <c r="AE18" s="213">
        <v>0.09</v>
      </c>
      <c r="AF18" s="215">
        <v>0.26</v>
      </c>
      <c r="AG18" s="216" t="s">
        <v>9</v>
      </c>
      <c r="AH18" s="148">
        <f t="shared" si="3"/>
        <v>617.12270583238319</v>
      </c>
      <c r="AI18" s="149">
        <f t="shared" si="4"/>
        <v>0.26</v>
      </c>
      <c r="AJ18" s="444"/>
      <c r="AK18" s="150">
        <f t="shared" si="5"/>
        <v>579.89010989010978</v>
      </c>
      <c r="AL18" s="148">
        <f t="shared" si="6"/>
        <v>501.83604650105883</v>
      </c>
      <c r="AM18" s="125">
        <f t="shared" si="7"/>
        <v>0.20879120879120894</v>
      </c>
      <c r="AN18" s="125">
        <f t="shared" si="8"/>
        <v>0.18681318681318682</v>
      </c>
      <c r="AO18" s="140"/>
      <c r="AP18" s="17" t="s">
        <v>65</v>
      </c>
      <c r="AQ18" s="141">
        <f>13.69*2</f>
        <v>27.38</v>
      </c>
      <c r="AR18" s="141">
        <v>2812.74</v>
      </c>
      <c r="AS18" s="141"/>
      <c r="AT18" s="141">
        <v>5</v>
      </c>
      <c r="AU18" s="141">
        <f t="shared" si="9"/>
        <v>3688.8999999999996</v>
      </c>
      <c r="AV18" s="141">
        <f t="shared" si="0"/>
        <v>3693.8999999999996</v>
      </c>
      <c r="AW18" s="142">
        <f>(AT18+AU18)/$F$5</f>
        <v>527.69999999999993</v>
      </c>
      <c r="AX18" s="126">
        <f t="shared" si="10"/>
        <v>456.67080231596356</v>
      </c>
      <c r="AY18" s="127"/>
      <c r="AZ18" s="128" t="s">
        <v>63</v>
      </c>
      <c r="BB18" s="124">
        <f t="shared" si="11"/>
        <v>2057.075686107944</v>
      </c>
      <c r="BC18" s="124">
        <f t="shared" si="12"/>
        <v>1234.2454116647664</v>
      </c>
      <c r="BD18" s="124">
        <f t="shared" si="13"/>
        <v>1028.537843053972</v>
      </c>
      <c r="BE18" s="124">
        <f t="shared" si="14"/>
        <v>822.83027444317759</v>
      </c>
    </row>
    <row r="19" spans="1:57" s="129" customFormat="1" hidden="1">
      <c r="A19" s="88" t="s">
        <v>1302</v>
      </c>
      <c r="B19" s="88" t="s">
        <v>1317</v>
      </c>
      <c r="C19" s="88" t="s">
        <v>1318</v>
      </c>
      <c r="D19" s="88" t="s">
        <v>55</v>
      </c>
      <c r="E19" s="89" t="s">
        <v>56</v>
      </c>
      <c r="F19" s="90" t="s">
        <v>78</v>
      </c>
      <c r="G19" s="131" t="s">
        <v>58</v>
      </c>
      <c r="H19" s="131">
        <v>24</v>
      </c>
      <c r="I19" s="132" t="s">
        <v>1274</v>
      </c>
      <c r="J19" s="132" t="str">
        <f>_xlfn.XLOOKUP(I19,[1]Sheet1!$A:$A,[1]Sheet1!$B:$B,"")</f>
        <v/>
      </c>
      <c r="K19" s="90" t="s">
        <v>3709</v>
      </c>
      <c r="L19" s="90" t="s">
        <v>1226</v>
      </c>
      <c r="M19" s="131" t="s">
        <v>1277</v>
      </c>
      <c r="N19" s="91" t="s">
        <v>60</v>
      </c>
      <c r="O19" s="92">
        <v>15.12</v>
      </c>
      <c r="P19" s="88" t="s">
        <v>61</v>
      </c>
      <c r="Q19" s="92" t="s">
        <v>62</v>
      </c>
      <c r="R19" s="92">
        <v>12</v>
      </c>
      <c r="S19" s="123"/>
      <c r="T19" s="131" t="s">
        <v>159</v>
      </c>
      <c r="U19" s="155">
        <v>0</v>
      </c>
      <c r="V19" s="207">
        <v>45</v>
      </c>
      <c r="W19" s="207">
        <v>45</v>
      </c>
      <c r="X19" s="207">
        <v>55</v>
      </c>
      <c r="Y19" s="207" t="s">
        <v>64</v>
      </c>
      <c r="Z19" s="133">
        <f>AW19/(1-(AF19+2%))</f>
        <v>344.70871985157697</v>
      </c>
      <c r="AA19" s="133">
        <f>VLOOKUP(I19,'[2]PO &amp; SC Sept 2025'!$I$14:$BK$686,55,FALSE)+(($F$3/1000)-1.5)*O19</f>
        <v>344.69917522088656</v>
      </c>
      <c r="AB19" s="124">
        <f t="shared" ref="AB19:AB20" si="15">AX19/(1-AF19)</f>
        <v>296.39398927373605</v>
      </c>
      <c r="AC19" s="134">
        <f>VLOOKUP(I19,'[2]PO &amp; SC Sept 2025'!$I$14:$BE$686,49,FALSE)+(O19*(($F$4/1000)-1.5))</f>
        <v>301.01508535101766</v>
      </c>
      <c r="AD19" s="213">
        <v>0.09</v>
      </c>
      <c r="AE19" s="213">
        <v>0.09</v>
      </c>
      <c r="AF19" s="215">
        <v>0.21</v>
      </c>
      <c r="AG19" s="216" t="s">
        <v>9</v>
      </c>
      <c r="AH19" s="148">
        <f t="shared" si="3"/>
        <v>296.39398927373605</v>
      </c>
      <c r="AI19" s="149">
        <f t="shared" ref="AI19:AI20" si="16">1-(AX19/AH19)</f>
        <v>0.20999999999999985</v>
      </c>
      <c r="AJ19" s="444"/>
      <c r="AK19" s="150">
        <f t="shared" si="5"/>
        <v>291.67660910518049</v>
      </c>
      <c r="AL19" s="148">
        <f t="shared" ref="AL19" si="17">AX19/(1-AE19)</f>
        <v>257.30906761126539</v>
      </c>
      <c r="AM19" s="125">
        <f t="shared" ref="AM19:AM20" si="18">1-(AK19/Z19)</f>
        <v>0.15384615384615397</v>
      </c>
      <c r="AN19" s="125">
        <f t="shared" ref="AN19:AN20" si="19">1-(AL19/AB19)</f>
        <v>0.13186813186813173</v>
      </c>
      <c r="AO19" s="140"/>
      <c r="AP19" s="17" t="s">
        <v>81</v>
      </c>
      <c r="AQ19" s="141">
        <f>ROUND(AQ21*0.98,2)</f>
        <v>14.34</v>
      </c>
      <c r="AR19" s="141">
        <f>ROUND(AR21*0.98,2)</f>
        <v>1394.1</v>
      </c>
      <c r="AS19" s="141"/>
      <c r="AT19" s="141">
        <v>5</v>
      </c>
      <c r="AU19" s="141">
        <f t="shared" ref="AU19:AU20" si="20">($F$2-70000)/1000*AQ19+AR19</f>
        <v>1852.98</v>
      </c>
      <c r="AV19" s="141">
        <f t="shared" ref="AV19:AV20" si="21">AT19+AU19</f>
        <v>1857.98</v>
      </c>
      <c r="AW19" s="142">
        <f t="shared" ref="AW19" si="22">(AT19+AU19)/$F$5</f>
        <v>265.42571428571426</v>
      </c>
      <c r="AX19" s="126">
        <f>(AW19/$F$6)+(($F$9+$G$9)/40/R19)+AW19*U19</f>
        <v>234.15125152625151</v>
      </c>
      <c r="AY19" s="130" t="s">
        <v>1843</v>
      </c>
      <c r="AZ19" s="128" t="s">
        <v>63</v>
      </c>
      <c r="BB19" s="124">
        <f t="shared" si="11"/>
        <v>987.97996424578685</v>
      </c>
      <c r="BC19" s="124">
        <f t="shared" si="12"/>
        <v>592.78797854747211</v>
      </c>
      <c r="BD19" s="124">
        <f t="shared" si="13"/>
        <v>493.98998212289342</v>
      </c>
      <c r="BE19" s="124">
        <f t="shared" si="14"/>
        <v>395.19198569831474</v>
      </c>
    </row>
    <row r="20" spans="1:57" s="129" customFormat="1" hidden="1">
      <c r="A20" s="88" t="s">
        <v>1302</v>
      </c>
      <c r="B20" s="88" t="s">
        <v>1317</v>
      </c>
      <c r="C20" s="88" t="s">
        <v>1318</v>
      </c>
      <c r="D20" s="88" t="s">
        <v>55</v>
      </c>
      <c r="E20" s="89" t="s">
        <v>56</v>
      </c>
      <c r="F20" s="90" t="s">
        <v>78</v>
      </c>
      <c r="G20" s="131" t="s">
        <v>58</v>
      </c>
      <c r="H20" s="131">
        <v>24</v>
      </c>
      <c r="I20" s="132" t="s">
        <v>3473</v>
      </c>
      <c r="J20" s="132" t="str">
        <f>_xlfn.XLOOKUP(I20,[1]Sheet1!$A:$A,[1]Sheet1!$B:$B,"")</f>
        <v>U0102005</v>
      </c>
      <c r="K20" s="90" t="s">
        <v>1275</v>
      </c>
      <c r="L20" s="90" t="s">
        <v>1227</v>
      </c>
      <c r="M20" s="131" t="s">
        <v>1277</v>
      </c>
      <c r="N20" s="91" t="s">
        <v>60</v>
      </c>
      <c r="O20" s="92">
        <v>15.12</v>
      </c>
      <c r="P20" s="88" t="s">
        <v>84</v>
      </c>
      <c r="Q20" s="92" t="s">
        <v>62</v>
      </c>
      <c r="R20" s="92">
        <v>9.15</v>
      </c>
      <c r="S20" s="123"/>
      <c r="T20" s="131" t="s">
        <v>159</v>
      </c>
      <c r="U20" s="155">
        <v>0</v>
      </c>
      <c r="V20" s="207">
        <v>45</v>
      </c>
      <c r="W20" s="207">
        <v>45</v>
      </c>
      <c r="X20" s="207">
        <v>55</v>
      </c>
      <c r="Y20" s="207" t="s">
        <v>64</v>
      </c>
      <c r="Z20" s="133">
        <f t="shared" si="1"/>
        <v>350.61116367076636</v>
      </c>
      <c r="AA20" s="133">
        <f>VLOOKUP(I20,'[2]PO &amp; SC Sept 2025'!$I$14:$BK$686,55,FALSE)+(($F$3/1000)-1.5)*O20</f>
        <v>351.91690995278566</v>
      </c>
      <c r="AB20" s="124">
        <f t="shared" si="15"/>
        <v>304.27345261824377</v>
      </c>
      <c r="AC20" s="134">
        <f>VLOOKUP(I20,'[2]PO &amp; SC Sept 2025'!$I$14:$BE$686,49,FALSE)+(O20*(($F$4/1000)-1.5))</f>
        <v>310.74309985538741</v>
      </c>
      <c r="AD20" s="213">
        <v>0.09</v>
      </c>
      <c r="AE20" s="213">
        <v>0.09</v>
      </c>
      <c r="AF20" s="215">
        <v>0.22500000000000001</v>
      </c>
      <c r="AG20" s="216" t="s">
        <v>9</v>
      </c>
      <c r="AH20" s="148">
        <f t="shared" si="3"/>
        <v>304.27345261824377</v>
      </c>
      <c r="AI20" s="149">
        <f t="shared" si="16"/>
        <v>0.22499999999999998</v>
      </c>
      <c r="AJ20" s="444"/>
      <c r="AK20" s="150">
        <f>AW20/(1-AD20)</f>
        <v>290.89167974882264</v>
      </c>
      <c r="AL20" s="148">
        <f>AX20/(1-AE20)</f>
        <v>259.13398437268012</v>
      </c>
      <c r="AM20" s="125">
        <f t="shared" si="18"/>
        <v>0.17032967032967028</v>
      </c>
      <c r="AN20" s="125">
        <f t="shared" si="19"/>
        <v>0.14835164835164838</v>
      </c>
      <c r="AO20" s="140"/>
      <c r="AP20" s="17" t="s">
        <v>81</v>
      </c>
      <c r="AQ20" s="141">
        <f>ROUND(AQ22*0.98,2)</f>
        <v>14.34</v>
      </c>
      <c r="AR20" s="141">
        <f>ROUND(AR22*0.98,2)</f>
        <v>1394.1</v>
      </c>
      <c r="AS20" s="141"/>
      <c r="AT20" s="141">
        <v>0</v>
      </c>
      <c r="AU20" s="141">
        <f t="shared" si="20"/>
        <v>1852.98</v>
      </c>
      <c r="AV20" s="141">
        <f t="shared" si="21"/>
        <v>1852.98</v>
      </c>
      <c r="AW20" s="142">
        <f>(AT20+AU20)/$F$5</f>
        <v>264.7114285714286</v>
      </c>
      <c r="AX20" s="126">
        <f t="shared" ref="AX20" si="23">(AW20/$F$6)+(($F$9+$G$9)/40/R20)+AW20*U20</f>
        <v>235.81192577913893</v>
      </c>
      <c r="AY20" s="130" t="s">
        <v>1842</v>
      </c>
      <c r="AZ20" s="128" t="s">
        <v>63</v>
      </c>
      <c r="BB20" s="124">
        <f t="shared" si="11"/>
        <v>1014.2448420608126</v>
      </c>
      <c r="BC20" s="124">
        <f t="shared" si="12"/>
        <v>608.54690523648753</v>
      </c>
      <c r="BD20" s="124">
        <f t="shared" si="13"/>
        <v>507.12242103040631</v>
      </c>
      <c r="BE20" s="124">
        <f t="shared" si="14"/>
        <v>405.6979368243251</v>
      </c>
    </row>
    <row r="21" spans="1:57" s="129" customFormat="1" hidden="1">
      <c r="A21" s="88" t="s">
        <v>1302</v>
      </c>
      <c r="B21" s="88" t="s">
        <v>1317</v>
      </c>
      <c r="C21" s="88" t="s">
        <v>1318</v>
      </c>
      <c r="D21" s="88" t="s">
        <v>55</v>
      </c>
      <c r="E21" s="89" t="s">
        <v>56</v>
      </c>
      <c r="F21" s="90" t="s">
        <v>78</v>
      </c>
      <c r="G21" s="131" t="s">
        <v>58</v>
      </c>
      <c r="H21" s="131">
        <v>24</v>
      </c>
      <c r="I21" s="132" t="s">
        <v>2210</v>
      </c>
      <c r="J21" s="132" t="str">
        <f>_xlfn.XLOOKUP(I21,[1]Sheet1!$A:$A,[1]Sheet1!$B:$B,"")</f>
        <v>U0102006</v>
      </c>
      <c r="K21" s="90" t="s">
        <v>79</v>
      </c>
      <c r="L21" s="90" t="s">
        <v>1841</v>
      </c>
      <c r="M21" s="131" t="s">
        <v>69</v>
      </c>
      <c r="N21" s="91" t="s">
        <v>60</v>
      </c>
      <c r="O21" s="92">
        <v>15.12</v>
      </c>
      <c r="P21" s="88" t="s">
        <v>61</v>
      </c>
      <c r="Q21" s="92" t="s">
        <v>62</v>
      </c>
      <c r="R21" s="92">
        <v>12</v>
      </c>
      <c r="S21" s="123" t="s">
        <v>80</v>
      </c>
      <c r="T21" s="131" t="s">
        <v>159</v>
      </c>
      <c r="U21" s="155">
        <v>0</v>
      </c>
      <c r="V21" s="207">
        <v>45</v>
      </c>
      <c r="W21" s="207">
        <v>45</v>
      </c>
      <c r="X21" s="207">
        <v>55</v>
      </c>
      <c r="Y21" s="207" t="s">
        <v>64</v>
      </c>
      <c r="Z21" s="133">
        <f t="shared" si="1"/>
        <v>358.69631031220439</v>
      </c>
      <c r="AA21" s="133">
        <f>VLOOKUP(I21,'[2]PO &amp; SC Sept 2025'!$I$14:$BK$686,55,FALSE)+(($F$3/1000)-1.5)*O21</f>
        <v>359.06791719231978</v>
      </c>
      <c r="AB21" s="124">
        <f t="shared" si="2"/>
        <v>308.07495372011505</v>
      </c>
      <c r="AC21" s="134">
        <f>VLOOKUP(I21,'[2]PO &amp; SC Sept 2025'!$I$14:$BE$686,49,FALSE)+(O21*(($F$4/1000)-1.5))</f>
        <v>313.28569977885263</v>
      </c>
      <c r="AD21" s="213">
        <v>0.09</v>
      </c>
      <c r="AE21" s="213">
        <v>0.09</v>
      </c>
      <c r="AF21" s="215">
        <v>0.22500000000000001</v>
      </c>
      <c r="AG21" s="216" t="s">
        <v>9</v>
      </c>
      <c r="AH21" s="148">
        <f t="shared" si="3"/>
        <v>308.07495372011505</v>
      </c>
      <c r="AI21" s="149">
        <f t="shared" si="4"/>
        <v>0.22499999999999998</v>
      </c>
      <c r="AJ21" s="444"/>
      <c r="AK21" s="150">
        <f>AW21/(1-AD21)</f>
        <v>297.59968602825745</v>
      </c>
      <c r="AL21" s="148">
        <f t="shared" si="6"/>
        <v>262.37152651987816</v>
      </c>
      <c r="AM21" s="125">
        <f t="shared" si="7"/>
        <v>0.17032967032967039</v>
      </c>
      <c r="AN21" s="125">
        <f t="shared" si="8"/>
        <v>0.14835164835164849</v>
      </c>
      <c r="AO21" s="140"/>
      <c r="AP21" s="17" t="s">
        <v>81</v>
      </c>
      <c r="AQ21" s="141">
        <v>14.63</v>
      </c>
      <c r="AR21" s="141">
        <v>1422.55</v>
      </c>
      <c r="AS21" s="141"/>
      <c r="AT21" s="141">
        <v>5</v>
      </c>
      <c r="AU21" s="141">
        <f t="shared" si="9"/>
        <v>1890.71</v>
      </c>
      <c r="AV21" s="141">
        <f t="shared" si="0"/>
        <v>1895.71</v>
      </c>
      <c r="AW21" s="142">
        <f>(AT21+AU21)/$F$5</f>
        <v>270.81571428571431</v>
      </c>
      <c r="AX21" s="126">
        <f>(AW21/$F$6)+(($F$9+$G$9)/40/R21)+AW21*U21</f>
        <v>238.75808913308916</v>
      </c>
      <c r="AY21" s="130" t="s">
        <v>1842</v>
      </c>
      <c r="AZ21" s="128" t="s">
        <v>63</v>
      </c>
      <c r="BB21" s="124">
        <f t="shared" si="11"/>
        <v>1026.9165124003835</v>
      </c>
      <c r="BC21" s="124">
        <f t="shared" si="12"/>
        <v>616.14990744023009</v>
      </c>
      <c r="BD21" s="124">
        <f t="shared" si="13"/>
        <v>513.45825620019173</v>
      </c>
      <c r="BE21" s="124">
        <f t="shared" si="14"/>
        <v>410.76660496015342</v>
      </c>
    </row>
    <row r="22" spans="1:57" s="129" customFormat="1" hidden="1">
      <c r="A22" s="88" t="s">
        <v>1302</v>
      </c>
      <c r="B22" s="88" t="s">
        <v>1317</v>
      </c>
      <c r="C22" s="88" t="s">
        <v>1318</v>
      </c>
      <c r="D22" s="88" t="s">
        <v>55</v>
      </c>
      <c r="E22" s="89" t="s">
        <v>56</v>
      </c>
      <c r="F22" s="90" t="s">
        <v>78</v>
      </c>
      <c r="G22" s="131" t="s">
        <v>58</v>
      </c>
      <c r="H22" s="131">
        <v>24</v>
      </c>
      <c r="I22" s="132" t="s">
        <v>3858</v>
      </c>
      <c r="J22" s="132" t="str">
        <f>_xlfn.XLOOKUP(I22,[1]Sheet1!$A:$A,[1]Sheet1!$B:$B,"")</f>
        <v>U0102007</v>
      </c>
      <c r="K22" s="90" t="s">
        <v>82</v>
      </c>
      <c r="L22" s="90" t="s">
        <v>83</v>
      </c>
      <c r="M22" s="131" t="s">
        <v>69</v>
      </c>
      <c r="N22" s="91" t="s">
        <v>60</v>
      </c>
      <c r="O22" s="92">
        <v>15.12</v>
      </c>
      <c r="P22" s="88" t="s">
        <v>84</v>
      </c>
      <c r="Q22" s="92" t="s">
        <v>62</v>
      </c>
      <c r="R22" s="92">
        <v>9.15</v>
      </c>
      <c r="S22" s="123" t="s">
        <v>85</v>
      </c>
      <c r="T22" s="131" t="s">
        <v>159</v>
      </c>
      <c r="U22" s="155">
        <v>0</v>
      </c>
      <c r="V22" s="207">
        <v>45</v>
      </c>
      <c r="W22" s="207">
        <v>45</v>
      </c>
      <c r="X22" s="207">
        <v>55</v>
      </c>
      <c r="Y22" s="207" t="s">
        <v>64</v>
      </c>
      <c r="Z22" s="133">
        <f t="shared" si="1"/>
        <v>362.55225311601151</v>
      </c>
      <c r="AA22" s="133">
        <f>VLOOKUP(I22,'[2]PO &amp; SC Sept 2025'!$I$14:$BK$686,55,FALSE)+(($F$3/1000)-1.5)*O22</f>
        <v>366.90240840145691</v>
      </c>
      <c r="AB22" s="124">
        <f t="shared" si="2"/>
        <v>314.27289331500197</v>
      </c>
      <c r="AC22" s="134">
        <f>VLOOKUP(I22,'[2]PO &amp; SC Sept 2025'!$I$14:$BE$686,49,FALSE)+(O22*(($F$4/1000)-1.5))</f>
        <v>323.62478730911698</v>
      </c>
      <c r="AD22" s="213">
        <v>0.09</v>
      </c>
      <c r="AE22" s="213">
        <v>0.09</v>
      </c>
      <c r="AF22" s="215">
        <v>0.23499999999999999</v>
      </c>
      <c r="AG22" s="216" t="s">
        <v>9</v>
      </c>
      <c r="AH22" s="148">
        <f t="shared" si="3"/>
        <v>314.27289331500197</v>
      </c>
      <c r="AI22" s="149">
        <f t="shared" si="4"/>
        <v>0.23499999999999999</v>
      </c>
      <c r="AJ22" s="444"/>
      <c r="AK22" s="150">
        <f t="shared" si="5"/>
        <v>296.81475667189954</v>
      </c>
      <c r="AL22" s="148">
        <f t="shared" si="6"/>
        <v>264.19644328129289</v>
      </c>
      <c r="AM22" s="125">
        <f t="shared" si="7"/>
        <v>0.18131868131868134</v>
      </c>
      <c r="AN22" s="125">
        <f t="shared" si="8"/>
        <v>0.15934065934065922</v>
      </c>
      <c r="AO22" s="140"/>
      <c r="AP22" s="17" t="s">
        <v>81</v>
      </c>
      <c r="AQ22" s="141">
        <v>14.63</v>
      </c>
      <c r="AR22" s="141">
        <v>1422.55</v>
      </c>
      <c r="AS22" s="141"/>
      <c r="AT22" s="141">
        <v>0</v>
      </c>
      <c r="AU22" s="141">
        <f t="shared" si="9"/>
        <v>1890.71</v>
      </c>
      <c r="AV22" s="141">
        <f t="shared" si="0"/>
        <v>1890.71</v>
      </c>
      <c r="AW22" s="142">
        <f t="shared" ref="AW22:AW42" si="24">(AT22+AU22)/$F$5</f>
        <v>270.10142857142858</v>
      </c>
      <c r="AX22" s="126">
        <f t="shared" si="10"/>
        <v>240.41876338597652</v>
      </c>
      <c r="AY22" s="130" t="s">
        <v>1842</v>
      </c>
      <c r="AZ22" s="128" t="s">
        <v>63</v>
      </c>
      <c r="BB22" s="124">
        <f t="shared" si="11"/>
        <v>1047.5763110500066</v>
      </c>
      <c r="BC22" s="124">
        <f t="shared" si="12"/>
        <v>628.54578663000393</v>
      </c>
      <c r="BD22" s="124">
        <f t="shared" si="13"/>
        <v>523.78815552500328</v>
      </c>
      <c r="BE22" s="124">
        <f t="shared" si="14"/>
        <v>419.03052442000262</v>
      </c>
    </row>
    <row r="23" spans="1:57" s="129" customFormat="1" hidden="1">
      <c r="A23" s="88" t="s">
        <v>1276</v>
      </c>
      <c r="B23" s="88" t="s">
        <v>1317</v>
      </c>
      <c r="C23" s="88" t="s">
        <v>1318</v>
      </c>
      <c r="D23" s="88" t="s">
        <v>55</v>
      </c>
      <c r="E23" s="89" t="s">
        <v>56</v>
      </c>
      <c r="F23" s="90" t="s">
        <v>78</v>
      </c>
      <c r="G23" s="131" t="s">
        <v>58</v>
      </c>
      <c r="H23" s="131">
        <v>24</v>
      </c>
      <c r="I23" s="132" t="s">
        <v>3454</v>
      </c>
      <c r="J23" s="132" t="str">
        <f>_xlfn.XLOOKUP(I23,[1]Sheet1!$A:$A,[1]Sheet1!$B:$B,"")</f>
        <v/>
      </c>
      <c r="K23" s="90" t="s">
        <v>2559</v>
      </c>
      <c r="L23" s="90" t="s">
        <v>2558</v>
      </c>
      <c r="M23" s="131" t="s">
        <v>1277</v>
      </c>
      <c r="N23" s="91" t="s">
        <v>2230</v>
      </c>
      <c r="O23" s="92">
        <v>17</v>
      </c>
      <c r="P23" s="88" t="s">
        <v>61</v>
      </c>
      <c r="Q23" s="92" t="s">
        <v>62</v>
      </c>
      <c r="R23" s="92">
        <v>12</v>
      </c>
      <c r="S23" s="123"/>
      <c r="T23" s="131" t="s">
        <v>159</v>
      </c>
      <c r="U23" s="155">
        <v>0</v>
      </c>
      <c r="V23" s="207">
        <v>60</v>
      </c>
      <c r="W23" s="207">
        <v>14</v>
      </c>
      <c r="X23" s="207">
        <v>14</v>
      </c>
      <c r="Y23" s="207" t="s">
        <v>1224</v>
      </c>
      <c r="Z23" s="133">
        <f>(AW23/(1-(AF23+2%)))*$F$6</f>
        <v>401.76964285714291</v>
      </c>
      <c r="AA23" s="133">
        <f>VLOOKUP(I23,'[2]PO &amp; SC Sept 2025'!$I$14:$BK$686,55,FALSE)+(($F$3/1000)-1.5)*O23</f>
        <v>396.95215853658533</v>
      </c>
      <c r="AB23" s="124">
        <f>AX23/(1-AF23)</f>
        <v>341.61846551381444</v>
      </c>
      <c r="AC23" s="134">
        <f>VLOOKUP(I23,'[2]PO &amp; SC Sept 2025'!$I$14:$BE$686,49,FALSE)+(O23*(($F$4/1000)-1.5))</f>
        <v>341.28188405797107</v>
      </c>
      <c r="AD23" s="213">
        <f>AE23</f>
        <v>7.0000000000000007E-2</v>
      </c>
      <c r="AE23" s="213">
        <v>7.0000000000000007E-2</v>
      </c>
      <c r="AF23" s="215">
        <v>0.14000000000000001</v>
      </c>
      <c r="AG23" s="215" t="s">
        <v>9</v>
      </c>
      <c r="AH23" s="148">
        <f>AB23</f>
        <v>341.61846551381444</v>
      </c>
      <c r="AI23" s="122">
        <f>1-(AX23/AH23)</f>
        <v>0.14000000000000001</v>
      </c>
      <c r="AJ23" s="444"/>
      <c r="AK23" s="150">
        <f>AW23/(1-AD23)*$F$6</f>
        <v>362.8887096774194</v>
      </c>
      <c r="AL23" s="148">
        <f>AX23/(1-AE23)</f>
        <v>315.90524767944135</v>
      </c>
      <c r="AM23" s="125">
        <f>1-(AK23/Z23)</f>
        <v>9.6774193548387122E-2</v>
      </c>
      <c r="AN23" s="125">
        <f>1-(AL23/AB23)</f>
        <v>7.5268817204301008E-2</v>
      </c>
      <c r="AO23" s="140"/>
      <c r="AP23" s="17" t="s">
        <v>160</v>
      </c>
      <c r="AQ23" s="141"/>
      <c r="AR23" s="141"/>
      <c r="AS23" s="326">
        <v>124.4</v>
      </c>
      <c r="AT23" s="141"/>
      <c r="AU23" s="141"/>
      <c r="AV23" s="141"/>
      <c r="AW23" s="154">
        <f>AS23+($F$4-1500)/1000*O23</f>
        <v>288.45000000000005</v>
      </c>
      <c r="AX23" s="126">
        <f>(AS23+($F$4-1500)/1000*O23)+($F$10/40/R23/$F$6)</f>
        <v>293.79188034188041</v>
      </c>
      <c r="AY23" s="130"/>
      <c r="AZ23" s="128"/>
      <c r="BB23" s="124">
        <f>AB23/0.3</f>
        <v>1138.7282183793816</v>
      </c>
      <c r="BC23" s="124">
        <f>BB23*0.6</f>
        <v>683.23693102762888</v>
      </c>
      <c r="BD23" s="124">
        <f>BB23*0.5</f>
        <v>569.36410918969079</v>
      </c>
      <c r="BE23" s="124">
        <f>BB23*0.4</f>
        <v>455.49128735175265</v>
      </c>
    </row>
    <row r="24" spans="1:57" s="129" customFormat="1" hidden="1">
      <c r="A24" s="88" t="s">
        <v>1276</v>
      </c>
      <c r="B24" s="88" t="s">
        <v>1317</v>
      </c>
      <c r="C24" s="88" t="s">
        <v>1318</v>
      </c>
      <c r="D24" s="88" t="s">
        <v>55</v>
      </c>
      <c r="E24" s="89" t="s">
        <v>56</v>
      </c>
      <c r="F24" s="90" t="s">
        <v>78</v>
      </c>
      <c r="G24" s="131" t="s">
        <v>58</v>
      </c>
      <c r="H24" s="131">
        <v>23</v>
      </c>
      <c r="I24" s="132" t="s">
        <v>2231</v>
      </c>
      <c r="J24" s="132" t="str">
        <f>_xlfn.XLOOKUP(I24,[1]Sheet1!$A:$A,[1]Sheet1!$B:$B,"")</f>
        <v>U0102008</v>
      </c>
      <c r="K24" s="90" t="s">
        <v>99</v>
      </c>
      <c r="L24" s="90" t="s">
        <v>100</v>
      </c>
      <c r="M24" s="131" t="s">
        <v>69</v>
      </c>
      <c r="N24" s="91" t="s">
        <v>2230</v>
      </c>
      <c r="O24" s="92">
        <v>17</v>
      </c>
      <c r="P24" s="88" t="s">
        <v>61</v>
      </c>
      <c r="Q24" s="92" t="s">
        <v>62</v>
      </c>
      <c r="R24" s="92">
        <v>9</v>
      </c>
      <c r="S24" s="123"/>
      <c r="T24" s="131" t="s">
        <v>159</v>
      </c>
      <c r="U24" s="155">
        <v>0</v>
      </c>
      <c r="V24" s="207">
        <v>60</v>
      </c>
      <c r="W24" s="207">
        <v>14</v>
      </c>
      <c r="X24" s="207">
        <v>14</v>
      </c>
      <c r="Y24" s="207" t="s">
        <v>1224</v>
      </c>
      <c r="Z24" s="133">
        <f>(AW24/(1-(AF24+2%)))*$F$6</f>
        <v>410.27530120481919</v>
      </c>
      <c r="AA24" s="133">
        <f>VLOOKUP(I24,'[2]PO &amp; SC Sept 2025'!$I$14:$BK$686,55,FALSE)+(($F$3/1000)-1.5)*O24</f>
        <v>411.67776829268291</v>
      </c>
      <c r="AB24" s="124">
        <f t="shared" si="2"/>
        <v>350.79118485000839</v>
      </c>
      <c r="AC24" s="134">
        <f>VLOOKUP(I24,'[2]PO &amp; SC Sept 2025'!$I$14:$BE$686,49,FALSE)+(O24*(($F$4/1000)-1.5))</f>
        <v>353.78188405797107</v>
      </c>
      <c r="AD24" s="213">
        <f t="shared" ref="AD24:AD26" si="25">AE24</f>
        <v>7.0000000000000007E-2</v>
      </c>
      <c r="AE24" s="213">
        <v>7.0000000000000007E-2</v>
      </c>
      <c r="AF24" s="215">
        <v>0.15</v>
      </c>
      <c r="AG24" s="215" t="s">
        <v>9</v>
      </c>
      <c r="AH24" s="148">
        <f t="shared" si="3"/>
        <v>350.79118485000839</v>
      </c>
      <c r="AI24" s="122">
        <f t="shared" si="4"/>
        <v>0.15000000000000002</v>
      </c>
      <c r="AJ24" s="444"/>
      <c r="AK24" s="150">
        <f>AW24/(1-AD24)*$F$6</f>
        <v>366.15967741935486</v>
      </c>
      <c r="AL24" s="148">
        <f t="shared" si="6"/>
        <v>320.6155990564593</v>
      </c>
      <c r="AM24" s="125">
        <f t="shared" si="7"/>
        <v>0.1075268817204299</v>
      </c>
      <c r="AN24" s="125">
        <f t="shared" si="8"/>
        <v>8.602150537634401E-2</v>
      </c>
      <c r="AO24" s="140"/>
      <c r="AP24" s="17" t="s">
        <v>160</v>
      </c>
      <c r="AQ24" s="141"/>
      <c r="AR24" s="141"/>
      <c r="AS24" s="153">
        <v>127</v>
      </c>
      <c r="AT24" s="141"/>
      <c r="AU24" s="141"/>
      <c r="AV24" s="141"/>
      <c r="AW24" s="154">
        <f t="shared" ref="AW24:AW25" si="26">AS24+($F$4-1500)/1000*O24</f>
        <v>291.05</v>
      </c>
      <c r="AX24" s="126">
        <f>(AS24+($F$4-1500)/1000*O24)+($F$10/40/R24/$F$6)</f>
        <v>298.17250712250711</v>
      </c>
      <c r="AY24" s="130"/>
      <c r="AZ24" s="128"/>
      <c r="BB24" s="124">
        <f t="shared" si="11"/>
        <v>1169.303949500028</v>
      </c>
      <c r="BC24" s="124">
        <f t="shared" si="12"/>
        <v>701.58236970001678</v>
      </c>
      <c r="BD24" s="124">
        <f t="shared" si="13"/>
        <v>584.65197475001401</v>
      </c>
      <c r="BE24" s="124">
        <f t="shared" si="14"/>
        <v>467.72157980001123</v>
      </c>
    </row>
    <row r="25" spans="1:57" s="129" customFormat="1" hidden="1">
      <c r="A25" s="88" t="s">
        <v>1276</v>
      </c>
      <c r="B25" s="88" t="s">
        <v>1317</v>
      </c>
      <c r="C25" s="88" t="s">
        <v>1318</v>
      </c>
      <c r="D25" s="88" t="s">
        <v>55</v>
      </c>
      <c r="E25" s="89" t="s">
        <v>56</v>
      </c>
      <c r="F25" s="90" t="s">
        <v>78</v>
      </c>
      <c r="G25" s="131" t="s">
        <v>58</v>
      </c>
      <c r="H25" s="131">
        <v>23</v>
      </c>
      <c r="I25" s="132" t="s">
        <v>102</v>
      </c>
      <c r="J25" s="132" t="str">
        <f>_xlfn.XLOOKUP(I25,[1]Sheet1!$A:$A,[1]Sheet1!$B:$B,"")</f>
        <v>U0102009</v>
      </c>
      <c r="K25" s="90" t="s">
        <v>103</v>
      </c>
      <c r="L25" s="90" t="s">
        <v>104</v>
      </c>
      <c r="M25" s="131" t="s">
        <v>69</v>
      </c>
      <c r="N25" s="91" t="s">
        <v>2230</v>
      </c>
      <c r="O25" s="92">
        <v>17</v>
      </c>
      <c r="P25" s="88" t="s">
        <v>84</v>
      </c>
      <c r="Q25" s="92" t="s">
        <v>62</v>
      </c>
      <c r="R25" s="92">
        <v>7.3</v>
      </c>
      <c r="S25" s="123"/>
      <c r="T25" s="131" t="s">
        <v>159</v>
      </c>
      <c r="U25" s="155">
        <v>0</v>
      </c>
      <c r="V25" s="207">
        <v>60</v>
      </c>
      <c r="W25" s="207">
        <v>14</v>
      </c>
      <c r="X25" s="207">
        <v>14</v>
      </c>
      <c r="Y25" s="207" t="s">
        <v>1224</v>
      </c>
      <c r="Z25" s="133">
        <f t="shared" ref="Z25:Z26" si="27">(AW25/(1-(AF25+2%)))*$F$6</f>
        <v>428.6006024096385</v>
      </c>
      <c r="AA25" s="133">
        <f>VLOOKUP(I25,'[2]PO &amp; SC Sept 2025'!$I$14:$BK$686,55,FALSE)+(($F$3/1000)-1.5)*O25</f>
        <v>426.54362195121951</v>
      </c>
      <c r="AB25" s="124">
        <f t="shared" si="2"/>
        <v>368.03667431145271</v>
      </c>
      <c r="AC25" s="134">
        <f>VLOOKUP(I25,'[2]PO &amp; SC Sept 2025'!$I$14:$BE$686,49,FALSE)+(O25*(($F$4/1000)-1.5))</f>
        <v>368.41617112989178</v>
      </c>
      <c r="AD25" s="213">
        <f t="shared" si="25"/>
        <v>7.0000000000000007E-2</v>
      </c>
      <c r="AE25" s="213">
        <v>7.0000000000000007E-2</v>
      </c>
      <c r="AF25" s="215">
        <v>0.15</v>
      </c>
      <c r="AG25" s="215" t="s">
        <v>9</v>
      </c>
      <c r="AH25" s="148">
        <f t="shared" si="3"/>
        <v>368.03667431145271</v>
      </c>
      <c r="AI25" s="122">
        <f t="shared" si="4"/>
        <v>0.14999999999999991</v>
      </c>
      <c r="AJ25" s="444"/>
      <c r="AK25" s="150">
        <f>AW25/(1-AD25)*$F$6</f>
        <v>382.5145161290323</v>
      </c>
      <c r="AL25" s="148">
        <f t="shared" si="6"/>
        <v>336.3776055534783</v>
      </c>
      <c r="AM25" s="125">
        <f t="shared" si="7"/>
        <v>0.1075268817204299</v>
      </c>
      <c r="AN25" s="125">
        <f t="shared" si="8"/>
        <v>8.602150537634401E-2</v>
      </c>
      <c r="AO25" s="140"/>
      <c r="AP25" s="17" t="s">
        <v>160</v>
      </c>
      <c r="AQ25" s="141"/>
      <c r="AR25" s="141"/>
      <c r="AS25" s="153">
        <v>140</v>
      </c>
      <c r="AT25" s="141"/>
      <c r="AU25" s="141"/>
      <c r="AV25" s="141"/>
      <c r="AW25" s="154">
        <f t="shared" si="26"/>
        <v>304.05</v>
      </c>
      <c r="AX25" s="126">
        <f>(AS25+($F$4-1500)/1000*O25)+($F$10/40/R25/$F$6)</f>
        <v>312.83117316473482</v>
      </c>
      <c r="AY25" s="130"/>
      <c r="AZ25" s="128"/>
      <c r="BB25" s="124">
        <f t="shared" si="11"/>
        <v>1226.788914371509</v>
      </c>
      <c r="BC25" s="124">
        <f t="shared" si="12"/>
        <v>736.07334862290543</v>
      </c>
      <c r="BD25" s="124">
        <f t="shared" si="13"/>
        <v>613.3944571857545</v>
      </c>
      <c r="BE25" s="124">
        <f t="shared" si="14"/>
        <v>490.71556574860364</v>
      </c>
    </row>
    <row r="26" spans="1:57" s="129" customFormat="1" hidden="1">
      <c r="A26" s="88" t="s">
        <v>1276</v>
      </c>
      <c r="B26" s="88" t="s">
        <v>1317</v>
      </c>
      <c r="C26" s="88" t="s">
        <v>1318</v>
      </c>
      <c r="D26" s="88" t="s">
        <v>55</v>
      </c>
      <c r="E26" s="89" t="s">
        <v>56</v>
      </c>
      <c r="F26" s="90" t="s">
        <v>78</v>
      </c>
      <c r="G26" s="131" t="s">
        <v>58</v>
      </c>
      <c r="H26" s="131">
        <v>23</v>
      </c>
      <c r="I26" s="132" t="s">
        <v>2232</v>
      </c>
      <c r="J26" s="132" t="str">
        <f>_xlfn.XLOOKUP(I26,[1]Sheet1!$A:$A,[1]Sheet1!$B:$B,"")</f>
        <v/>
      </c>
      <c r="K26" s="90" t="s">
        <v>2799</v>
      </c>
      <c r="L26" s="90" t="s">
        <v>2571</v>
      </c>
      <c r="M26" s="131" t="s">
        <v>2233</v>
      </c>
      <c r="N26" s="91" t="s">
        <v>2230</v>
      </c>
      <c r="O26" s="92">
        <v>17</v>
      </c>
      <c r="P26" s="88" t="s">
        <v>61</v>
      </c>
      <c r="Q26" s="92" t="s">
        <v>62</v>
      </c>
      <c r="R26" s="92">
        <v>9</v>
      </c>
      <c r="S26" s="123"/>
      <c r="T26" s="131" t="s">
        <v>159</v>
      </c>
      <c r="U26" s="155">
        <v>0</v>
      </c>
      <c r="V26" s="207">
        <v>60</v>
      </c>
      <c r="W26" s="207">
        <v>14</v>
      </c>
      <c r="X26" s="207">
        <v>14</v>
      </c>
      <c r="Y26" s="207" t="s">
        <v>1224</v>
      </c>
      <c r="Z26" s="133">
        <f t="shared" si="27"/>
        <v>418.73313253012049</v>
      </c>
      <c r="AA26" s="133">
        <f>VLOOKUP(I26,'[2]PO &amp; SC Sept 2025'!$I$14:$BK$686,55,FALSE)+(($F$3/1000)-1.5)*O26</f>
        <v>422.19606097560973</v>
      </c>
      <c r="AB26" s="124">
        <f t="shared" ref="AB26" si="28">AX26/(1-AF26)</f>
        <v>357.85000837942016</v>
      </c>
      <c r="AC26" s="134">
        <f>VLOOKUP(I26,'[2]PO &amp; SC Sept 2025'!$I$14:$BE$686,49,FALSE)+(O26*(($F$4/1000)-1.5))</f>
        <v>362.7104554865424</v>
      </c>
      <c r="AD26" s="213">
        <f t="shared" si="25"/>
        <v>7.0000000000000007E-2</v>
      </c>
      <c r="AE26" s="213">
        <v>7.0000000000000007E-2</v>
      </c>
      <c r="AF26" s="215">
        <v>0.15</v>
      </c>
      <c r="AG26" s="215" t="s">
        <v>9</v>
      </c>
      <c r="AH26" s="148">
        <f t="shared" si="3"/>
        <v>357.85000837942016</v>
      </c>
      <c r="AI26" s="122">
        <f t="shared" ref="AI26" si="29">1-(AX26/AH26)</f>
        <v>0.15000000000000002</v>
      </c>
      <c r="AJ26" s="444"/>
      <c r="AK26" s="150">
        <f>AW26/(1-AD26)*$F$6</f>
        <v>373.70806451612901</v>
      </c>
      <c r="AL26" s="148">
        <f t="shared" si="6"/>
        <v>327.0672119596851</v>
      </c>
      <c r="AM26" s="125">
        <f t="shared" ref="AM26" si="30">1-(AK26/Z26)</f>
        <v>0.10752688172043012</v>
      </c>
      <c r="AN26" s="125">
        <f t="shared" ref="AN26" si="31">1-(AL26/AB26)</f>
        <v>8.6021505376344121E-2</v>
      </c>
      <c r="AO26" s="140"/>
      <c r="AP26" s="17" t="s">
        <v>160</v>
      </c>
      <c r="AQ26" s="141"/>
      <c r="AR26" s="141"/>
      <c r="AS26" s="153">
        <v>133</v>
      </c>
      <c r="AT26" s="141"/>
      <c r="AU26" s="141"/>
      <c r="AV26" s="141"/>
      <c r="AW26" s="154">
        <f t="shared" ref="AW26" si="32">AS26+($F$4-1500)/1000*O26</f>
        <v>297.05</v>
      </c>
      <c r="AX26" s="126">
        <f>(AS26+($F$4-1500)/1000*O26)+($F$10/40/R26/$F$6)</f>
        <v>304.17250712250711</v>
      </c>
      <c r="AY26" s="130"/>
      <c r="AZ26" s="128"/>
      <c r="BB26" s="134">
        <f t="shared" si="11"/>
        <v>1192.8333612647339</v>
      </c>
      <c r="BC26" s="134">
        <f t="shared" si="12"/>
        <v>715.70001675884032</v>
      </c>
      <c r="BD26" s="134">
        <f t="shared" si="13"/>
        <v>596.41668063236693</v>
      </c>
      <c r="BE26" s="134">
        <f t="shared" si="14"/>
        <v>477.13334450589355</v>
      </c>
    </row>
    <row r="27" spans="1:57" s="129" customFormat="1" hidden="1">
      <c r="A27" s="88" t="s">
        <v>1302</v>
      </c>
      <c r="B27" s="88" t="s">
        <v>1318</v>
      </c>
      <c r="C27" s="88" t="s">
        <v>1318</v>
      </c>
      <c r="D27" s="88" t="s">
        <v>55</v>
      </c>
      <c r="E27" s="89" t="s">
        <v>56</v>
      </c>
      <c r="F27" s="90" t="s">
        <v>78</v>
      </c>
      <c r="G27" s="131" t="s">
        <v>70</v>
      </c>
      <c r="H27" s="131">
        <v>23</v>
      </c>
      <c r="I27" s="132" t="s">
        <v>86</v>
      </c>
      <c r="J27" s="132" t="str">
        <f>_xlfn.XLOOKUP(I27,[1]Sheet1!$A:$A,[1]Sheet1!$B:$B,"")</f>
        <v>U0102001</v>
      </c>
      <c r="K27" s="90" t="s">
        <v>87</v>
      </c>
      <c r="L27" s="90" t="s">
        <v>88</v>
      </c>
      <c r="M27" s="131" t="s">
        <v>69</v>
      </c>
      <c r="N27" s="91" t="s">
        <v>60</v>
      </c>
      <c r="O27" s="92">
        <v>17.5</v>
      </c>
      <c r="P27" s="88" t="s">
        <v>61</v>
      </c>
      <c r="Q27" s="92" t="s">
        <v>62</v>
      </c>
      <c r="R27" s="92">
        <v>9</v>
      </c>
      <c r="S27" s="123" t="s">
        <v>89</v>
      </c>
      <c r="T27" s="131" t="s">
        <v>159</v>
      </c>
      <c r="U27" s="155">
        <v>0</v>
      </c>
      <c r="V27" s="207">
        <v>45</v>
      </c>
      <c r="W27" s="207">
        <v>45</v>
      </c>
      <c r="X27" s="207">
        <v>55</v>
      </c>
      <c r="Y27" s="207" t="s">
        <v>64</v>
      </c>
      <c r="Z27" s="133">
        <f t="shared" si="1"/>
        <v>473.45027124773964</v>
      </c>
      <c r="AA27" s="133">
        <f>VLOOKUP(I27,'[2]PO &amp; SC Sept 2025'!$I$14:$BK$686,55,FALSE)+(($F$3/1000)-1.5)*O27</f>
        <v>461.36682183845426</v>
      </c>
      <c r="AB27" s="124">
        <f t="shared" si="2"/>
        <v>406.66953074360487</v>
      </c>
      <c r="AC27" s="134">
        <f>VLOOKUP(I27,'[2]PO &amp; SC Sept 2025'!$I$14:$BE$686,49,FALSE)+(O27*(($F$4/1000)-1.5))</f>
        <v>402.89844979540442</v>
      </c>
      <c r="AD27" s="213">
        <v>0.09</v>
      </c>
      <c r="AE27" s="213">
        <v>0.09</v>
      </c>
      <c r="AF27" s="215">
        <v>0.19</v>
      </c>
      <c r="AG27" s="216" t="s">
        <v>9</v>
      </c>
      <c r="AH27" s="148">
        <f t="shared" si="3"/>
        <v>406.66953074360487</v>
      </c>
      <c r="AI27" s="149">
        <f t="shared" si="4"/>
        <v>0.18999999999999995</v>
      </c>
      <c r="AJ27" s="444"/>
      <c r="AK27" s="150">
        <f t="shared" si="5"/>
        <v>411.01726844583993</v>
      </c>
      <c r="AL27" s="148">
        <f t="shared" si="6"/>
        <v>361.98057132123068</v>
      </c>
      <c r="AM27" s="125">
        <f t="shared" si="7"/>
        <v>0.13186813186813184</v>
      </c>
      <c r="AN27" s="125">
        <f t="shared" si="8"/>
        <v>0.10989010989010994</v>
      </c>
      <c r="AO27" s="140"/>
      <c r="AP27" s="17" t="s">
        <v>81</v>
      </c>
      <c r="AQ27" s="141">
        <v>17.850000000000001</v>
      </c>
      <c r="AR27" s="141">
        <v>2041.98</v>
      </c>
      <c r="AS27" s="141"/>
      <c r="AT27" s="141">
        <v>5</v>
      </c>
      <c r="AU27" s="141">
        <f t="shared" si="9"/>
        <v>2613.1800000000003</v>
      </c>
      <c r="AV27" s="141">
        <f t="shared" si="0"/>
        <v>2618.1800000000003</v>
      </c>
      <c r="AW27" s="142">
        <f t="shared" si="24"/>
        <v>374.02571428571434</v>
      </c>
      <c r="AX27" s="126">
        <f t="shared" si="10"/>
        <v>329.40231990231996</v>
      </c>
      <c r="AY27" s="17"/>
      <c r="AZ27" s="128" t="s">
        <v>63</v>
      </c>
      <c r="BB27" s="124">
        <f t="shared" si="11"/>
        <v>1355.565102478683</v>
      </c>
      <c r="BC27" s="124">
        <f t="shared" si="12"/>
        <v>813.33906148720973</v>
      </c>
      <c r="BD27" s="124">
        <f t="shared" si="13"/>
        <v>677.7825512393415</v>
      </c>
      <c r="BE27" s="124">
        <f t="shared" si="14"/>
        <v>542.22604099147327</v>
      </c>
    </row>
    <row r="28" spans="1:57" s="129" customFormat="1" hidden="1">
      <c r="A28" s="88" t="s">
        <v>1302</v>
      </c>
      <c r="B28" s="88" t="s">
        <v>1318</v>
      </c>
      <c r="C28" s="88" t="s">
        <v>1318</v>
      </c>
      <c r="D28" s="88" t="s">
        <v>55</v>
      </c>
      <c r="E28" s="89" t="s">
        <v>56</v>
      </c>
      <c r="F28" s="90" t="s">
        <v>78</v>
      </c>
      <c r="G28" s="131" t="s">
        <v>70</v>
      </c>
      <c r="H28" s="131">
        <v>23</v>
      </c>
      <c r="I28" s="132" t="s">
        <v>90</v>
      </c>
      <c r="J28" s="132" t="str">
        <f>_xlfn.XLOOKUP(I28,[1]Sheet1!$A:$A,[1]Sheet1!$B:$B,"")</f>
        <v>U0102003</v>
      </c>
      <c r="K28" s="90" t="s">
        <v>91</v>
      </c>
      <c r="L28" s="90" t="s">
        <v>92</v>
      </c>
      <c r="M28" s="131" t="s">
        <v>69</v>
      </c>
      <c r="N28" s="91" t="s">
        <v>60</v>
      </c>
      <c r="O28" s="92">
        <v>35</v>
      </c>
      <c r="P28" s="88" t="s">
        <v>61</v>
      </c>
      <c r="Q28" s="92" t="s">
        <v>62</v>
      </c>
      <c r="R28" s="92">
        <v>4</v>
      </c>
      <c r="S28" s="123" t="s">
        <v>93</v>
      </c>
      <c r="T28" s="131" t="s">
        <v>159</v>
      </c>
      <c r="U28" s="155">
        <v>0</v>
      </c>
      <c r="V28" s="207">
        <v>45</v>
      </c>
      <c r="W28" s="207">
        <v>45</v>
      </c>
      <c r="X28" s="207">
        <v>55</v>
      </c>
      <c r="Y28" s="207" t="s">
        <v>64</v>
      </c>
      <c r="Z28" s="133">
        <f t="shared" si="1"/>
        <v>966.72142857142853</v>
      </c>
      <c r="AA28" s="133">
        <f>VLOOKUP(I28,'[2]PO &amp; SC Sept 2025'!$I$14:$BK$686,55,FALSE)+(($F$3/1000)-1.5)*O28</f>
        <v>939.43612337289778</v>
      </c>
      <c r="AB28" s="124">
        <f t="shared" si="2"/>
        <v>832.7818353732988</v>
      </c>
      <c r="AC28" s="134">
        <f>VLOOKUP(I28,'[2]PO &amp; SC Sept 2025'!$I$14:$BE$686,49,FALSE)+(O28*(($F$4/1000)-1.5))</f>
        <v>823.26552599526485</v>
      </c>
      <c r="AD28" s="213">
        <v>0.09</v>
      </c>
      <c r="AE28" s="213">
        <v>0.09</v>
      </c>
      <c r="AF28" s="215">
        <v>0.18</v>
      </c>
      <c r="AG28" s="216" t="s">
        <v>9</v>
      </c>
      <c r="AH28" s="148">
        <f t="shared" si="3"/>
        <v>832.7818353732988</v>
      </c>
      <c r="AI28" s="149">
        <f t="shared" si="4"/>
        <v>0.17999999999999994</v>
      </c>
      <c r="AJ28" s="444"/>
      <c r="AK28" s="150">
        <f t="shared" si="5"/>
        <v>849.86499215070637</v>
      </c>
      <c r="AL28" s="148">
        <f t="shared" si="6"/>
        <v>750.41879671000549</v>
      </c>
      <c r="AM28" s="125">
        <f t="shared" si="7"/>
        <v>0.12087912087912089</v>
      </c>
      <c r="AN28" s="125">
        <f t="shared" si="8"/>
        <v>9.8901098901098883E-2</v>
      </c>
      <c r="AO28" s="140"/>
      <c r="AP28" s="17" t="s">
        <v>81</v>
      </c>
      <c r="AQ28" s="141">
        <v>36.93</v>
      </c>
      <c r="AR28" s="191">
        <v>4226.88</v>
      </c>
      <c r="AS28" s="141"/>
      <c r="AT28" s="141">
        <v>5</v>
      </c>
      <c r="AU28" s="141">
        <f t="shared" si="9"/>
        <v>5408.64</v>
      </c>
      <c r="AV28" s="141">
        <f t="shared" si="0"/>
        <v>5413.64</v>
      </c>
      <c r="AW28" s="142">
        <f t="shared" si="24"/>
        <v>773.37714285714287</v>
      </c>
      <c r="AX28" s="126">
        <f t="shared" si="10"/>
        <v>682.88110500610503</v>
      </c>
      <c r="AY28" s="17"/>
      <c r="AZ28" s="128" t="s">
        <v>63</v>
      </c>
      <c r="BB28" s="124">
        <f t="shared" si="11"/>
        <v>2775.9394512443296</v>
      </c>
      <c r="BC28" s="124">
        <f t="shared" si="12"/>
        <v>1665.5636707465976</v>
      </c>
      <c r="BD28" s="124">
        <f t="shared" si="13"/>
        <v>1387.9697256221648</v>
      </c>
      <c r="BE28" s="124">
        <f t="shared" si="14"/>
        <v>1110.375780497732</v>
      </c>
    </row>
    <row r="29" spans="1:57" s="129" customFormat="1" hidden="1">
      <c r="A29" s="88" t="s">
        <v>1302</v>
      </c>
      <c r="B29" s="88" t="s">
        <v>1317</v>
      </c>
      <c r="C29" s="88" t="s">
        <v>1318</v>
      </c>
      <c r="D29" s="88" t="s">
        <v>55</v>
      </c>
      <c r="E29" s="89" t="s">
        <v>56</v>
      </c>
      <c r="F29" s="90" t="s">
        <v>78</v>
      </c>
      <c r="G29" s="131" t="s">
        <v>70</v>
      </c>
      <c r="H29" s="131">
        <v>23</v>
      </c>
      <c r="I29" s="132" t="s">
        <v>94</v>
      </c>
      <c r="J29" s="132" t="str">
        <f>_xlfn.XLOOKUP(I29,[1]Sheet1!$A:$A,[1]Sheet1!$B:$B,"")</f>
        <v>U0102002</v>
      </c>
      <c r="K29" s="90" t="s">
        <v>95</v>
      </c>
      <c r="L29" s="90" t="s">
        <v>96</v>
      </c>
      <c r="M29" s="131" t="s">
        <v>69</v>
      </c>
      <c r="N29" s="91" t="s">
        <v>60</v>
      </c>
      <c r="O29" s="92">
        <v>17.5</v>
      </c>
      <c r="P29" s="88" t="s">
        <v>97</v>
      </c>
      <c r="Q29" s="92" t="s">
        <v>62</v>
      </c>
      <c r="R29" s="92">
        <v>6.8624999999999998</v>
      </c>
      <c r="S29" s="123" t="s">
        <v>98</v>
      </c>
      <c r="T29" s="131" t="s">
        <v>159</v>
      </c>
      <c r="U29" s="155">
        <v>0</v>
      </c>
      <c r="V29" s="207">
        <v>45</v>
      </c>
      <c r="W29" s="207">
        <v>45</v>
      </c>
      <c r="X29" s="207">
        <v>55</v>
      </c>
      <c r="Y29" s="207" t="s">
        <v>64</v>
      </c>
      <c r="Z29" s="133">
        <f t="shared" si="1"/>
        <v>495.50649350649343</v>
      </c>
      <c r="AA29" s="133">
        <f>VLOOKUP(I29,'[2]PO &amp; SC Sept 2025'!$I$14:$BK$686,55,FALSE)+(($F$3/1000)-1.5)*O29</f>
        <v>481.80509337259582</v>
      </c>
      <c r="AB29" s="124">
        <f t="shared" si="2"/>
        <v>428.92787275439269</v>
      </c>
      <c r="AC29" s="134">
        <f>VLOOKUP(I29,'[2]PO &amp; SC Sept 2025'!$I$14:$BE$686,49,FALSE)+(O29*(($F$4/1000)-1.5))</f>
        <v>424.78298473921751</v>
      </c>
      <c r="AD29" s="213">
        <v>0.09</v>
      </c>
      <c r="AE29" s="213">
        <v>0.09</v>
      </c>
      <c r="AF29" s="215">
        <v>0.21</v>
      </c>
      <c r="AG29" s="216" t="s">
        <v>9</v>
      </c>
      <c r="AH29" s="148">
        <f t="shared" si="3"/>
        <v>428.92787275439269</v>
      </c>
      <c r="AI29" s="149">
        <f t="shared" si="4"/>
        <v>0.20999999999999996</v>
      </c>
      <c r="AJ29" s="444"/>
      <c r="AK29" s="150">
        <f t="shared" si="5"/>
        <v>419.2747252747252</v>
      </c>
      <c r="AL29" s="148">
        <f t="shared" si="6"/>
        <v>372.36595546809917</v>
      </c>
      <c r="AM29" s="125">
        <f t="shared" si="7"/>
        <v>0.15384615384615385</v>
      </c>
      <c r="AN29" s="125">
        <f t="shared" si="8"/>
        <v>0.13186813186813184</v>
      </c>
      <c r="AO29" s="140"/>
      <c r="AP29" s="17" t="s">
        <v>81</v>
      </c>
      <c r="AQ29" s="141">
        <v>17.850000000000001</v>
      </c>
      <c r="AR29" s="191">
        <f>AR27+57.6</f>
        <v>2099.58</v>
      </c>
      <c r="AS29" s="141"/>
      <c r="AT29" s="141">
        <v>0</v>
      </c>
      <c r="AU29" s="141">
        <f t="shared" si="9"/>
        <v>2670.7799999999997</v>
      </c>
      <c r="AV29" s="141">
        <f t="shared" si="0"/>
        <v>2670.7799999999997</v>
      </c>
      <c r="AW29" s="142">
        <f t="shared" si="24"/>
        <v>381.53999999999996</v>
      </c>
      <c r="AX29" s="126">
        <f t="shared" si="10"/>
        <v>338.85301947597026</v>
      </c>
      <c r="AY29" s="17"/>
      <c r="AZ29" s="128" t="s">
        <v>63</v>
      </c>
      <c r="BB29" s="124">
        <f t="shared" si="11"/>
        <v>1429.7595758479756</v>
      </c>
      <c r="BC29" s="124">
        <f t="shared" si="12"/>
        <v>857.85574550878539</v>
      </c>
      <c r="BD29" s="124">
        <f t="shared" si="13"/>
        <v>714.87978792398781</v>
      </c>
      <c r="BE29" s="124">
        <f t="shared" si="14"/>
        <v>571.90383033919022</v>
      </c>
    </row>
    <row r="30" spans="1:57" s="129" customFormat="1" hidden="1">
      <c r="A30" s="88" t="s">
        <v>1213</v>
      </c>
      <c r="B30" s="88" t="s">
        <v>1318</v>
      </c>
      <c r="C30" s="88" t="s">
        <v>1317</v>
      </c>
      <c r="D30" s="88" t="s">
        <v>55</v>
      </c>
      <c r="E30" s="89" t="s">
        <v>56</v>
      </c>
      <c r="F30" s="90" t="s">
        <v>78</v>
      </c>
      <c r="G30" s="131" t="s">
        <v>70</v>
      </c>
      <c r="H30" s="131">
        <v>24</v>
      </c>
      <c r="I30" s="132" t="s">
        <v>3784</v>
      </c>
      <c r="J30" s="132" t="str">
        <f>_xlfn.XLOOKUP(I30,[1]Sheet1!$A:$A,[1]Sheet1!$B:$B,"")</f>
        <v/>
      </c>
      <c r="K30" s="90" t="s">
        <v>3785</v>
      </c>
      <c r="L30" s="90" t="s">
        <v>3786</v>
      </c>
      <c r="M30" s="131" t="s">
        <v>69</v>
      </c>
      <c r="N30" s="91" t="s">
        <v>60</v>
      </c>
      <c r="O30" s="92">
        <v>17.5</v>
      </c>
      <c r="P30" s="88" t="s">
        <v>3787</v>
      </c>
      <c r="Q30" s="92" t="s">
        <v>62</v>
      </c>
      <c r="R30" s="92">
        <v>9</v>
      </c>
      <c r="S30" s="123"/>
      <c r="T30" s="131" t="s">
        <v>159</v>
      </c>
      <c r="U30" s="155">
        <v>0</v>
      </c>
      <c r="V30" s="207">
        <v>45</v>
      </c>
      <c r="W30" s="207">
        <v>45</v>
      </c>
      <c r="X30" s="207">
        <v>55</v>
      </c>
      <c r="Y30" s="207" t="s">
        <v>64</v>
      </c>
      <c r="Z30" s="133">
        <f>AW30/(1-(AF30+2%))</f>
        <v>415.63706563706563</v>
      </c>
      <c r="AA30" s="133"/>
      <c r="AB30" s="124">
        <f>AX30/(1-AF30)</f>
        <v>358.68919092603306</v>
      </c>
      <c r="AC30" s="134">
        <f>AC31</f>
        <v>364.18279424577923</v>
      </c>
      <c r="AD30" s="213">
        <v>0.09</v>
      </c>
      <c r="AE30" s="213">
        <v>0.09</v>
      </c>
      <c r="AF30" s="215">
        <v>0.24</v>
      </c>
      <c r="AG30" s="215" t="s">
        <v>9</v>
      </c>
      <c r="AH30" s="148">
        <f t="shared" ref="AH30" si="33">AB30</f>
        <v>358.68919092603306</v>
      </c>
      <c r="AI30" s="135">
        <f t="shared" si="4"/>
        <v>0.24</v>
      </c>
      <c r="AJ30" s="444"/>
      <c r="AK30" s="137">
        <f t="shared" si="5"/>
        <v>337.99058084772366</v>
      </c>
      <c r="AL30" s="138">
        <f t="shared" si="6"/>
        <v>299.56459901514847</v>
      </c>
      <c r="AM30" s="139">
        <f t="shared" si="7"/>
        <v>0.18681318681318693</v>
      </c>
      <c r="AN30" s="139">
        <f t="shared" si="8"/>
        <v>0.16483516483516492</v>
      </c>
      <c r="AO30" s="140"/>
      <c r="AP30" s="17" t="s">
        <v>1687</v>
      </c>
      <c r="AQ30" s="141">
        <v>14</v>
      </c>
      <c r="AR30" s="141">
        <v>1700</v>
      </c>
      <c r="AS30" s="141"/>
      <c r="AT30" s="141">
        <v>5</v>
      </c>
      <c r="AU30" s="141">
        <f>($F$2-70000)/1000*AQ30+AR30</f>
        <v>2148</v>
      </c>
      <c r="AV30" s="141">
        <f t="shared" si="0"/>
        <v>2153</v>
      </c>
      <c r="AW30" s="142">
        <f t="shared" si="24"/>
        <v>307.57142857142856</v>
      </c>
      <c r="AX30" s="126">
        <f t="shared" si="10"/>
        <v>272.60378510378513</v>
      </c>
      <c r="AY30" s="17"/>
      <c r="AZ30" s="128" t="s">
        <v>63</v>
      </c>
      <c r="BB30" s="134">
        <f t="shared" ref="BB30" si="34">AB30/0.3</f>
        <v>1195.6306364201102</v>
      </c>
      <c r="BC30" s="134">
        <f t="shared" ref="BC30" si="35">BB30*0.6</f>
        <v>717.37838185206613</v>
      </c>
      <c r="BD30" s="134">
        <f t="shared" ref="BD30" si="36">BB30*0.5</f>
        <v>597.81531821005512</v>
      </c>
      <c r="BE30" s="134">
        <f t="shared" ref="BE30" si="37">BB30*0.4</f>
        <v>478.25225456804412</v>
      </c>
    </row>
    <row r="31" spans="1:57" s="129" customFormat="1" hidden="1">
      <c r="A31" s="88" t="s">
        <v>1213</v>
      </c>
      <c r="B31" s="88" t="s">
        <v>1318</v>
      </c>
      <c r="C31" s="88" t="s">
        <v>1317</v>
      </c>
      <c r="D31" s="88" t="s">
        <v>55</v>
      </c>
      <c r="E31" s="89" t="s">
        <v>56</v>
      </c>
      <c r="F31" s="90" t="s">
        <v>78</v>
      </c>
      <c r="G31" s="131" t="s">
        <v>70</v>
      </c>
      <c r="H31" s="131">
        <v>24</v>
      </c>
      <c r="I31" s="132" t="s">
        <v>3712</v>
      </c>
      <c r="J31" s="132" t="str">
        <f>_xlfn.XLOOKUP(I31,[1]Sheet1!$A:$A,[1]Sheet1!$B:$B,"")</f>
        <v/>
      </c>
      <c r="K31" s="90" t="s">
        <v>2564</v>
      </c>
      <c r="L31" s="90" t="s">
        <v>2567</v>
      </c>
      <c r="M31" s="131" t="s">
        <v>69</v>
      </c>
      <c r="N31" s="91" t="s">
        <v>60</v>
      </c>
      <c r="O31" s="92">
        <v>17.5</v>
      </c>
      <c r="P31" s="88" t="s">
        <v>61</v>
      </c>
      <c r="Q31" s="92" t="s">
        <v>62</v>
      </c>
      <c r="R31" s="92">
        <v>9</v>
      </c>
      <c r="S31" s="123"/>
      <c r="T31" s="131" t="s">
        <v>159</v>
      </c>
      <c r="U31" s="155">
        <v>0</v>
      </c>
      <c r="V31" s="207">
        <v>45</v>
      </c>
      <c r="W31" s="207">
        <v>45</v>
      </c>
      <c r="X31" s="207">
        <v>55</v>
      </c>
      <c r="Y31" s="207" t="s">
        <v>64</v>
      </c>
      <c r="Z31" s="133">
        <f>AW31/(1-(AF31+2%))</f>
        <v>415.63706563706563</v>
      </c>
      <c r="AA31" s="133">
        <f>VLOOKUP(I31,'[2]PO &amp; SC Sept 2025'!$I$14:$BK$686,55,FALSE)+(($F$3/1000)-1.5)*O31</f>
        <v>415.22203049206416</v>
      </c>
      <c r="AB31" s="124">
        <f>AX31/(1-AF31)</f>
        <v>358.68919092603306</v>
      </c>
      <c r="AC31" s="134">
        <f>VLOOKUP(I31,'[2]PO &amp; SC Sept 2025'!$I$14:$BE$686,49,FALSE)+(O31*(($F$4/1000)-1.5))</f>
        <v>364.18279424577923</v>
      </c>
      <c r="AD31" s="213">
        <v>0.09</v>
      </c>
      <c r="AE31" s="213">
        <v>0.09</v>
      </c>
      <c r="AF31" s="215">
        <v>0.24</v>
      </c>
      <c r="AG31" s="215" t="s">
        <v>9</v>
      </c>
      <c r="AH31" s="148">
        <f t="shared" si="3"/>
        <v>358.68919092603306</v>
      </c>
      <c r="AI31" s="135">
        <f t="shared" ref="AI31:AI32" si="38">1-(AX31/AH31)</f>
        <v>0.24</v>
      </c>
      <c r="AJ31" s="444"/>
      <c r="AK31" s="137">
        <f t="shared" ref="AK31:AK32" si="39">AW31/(1-AD31)</f>
        <v>337.99058084772366</v>
      </c>
      <c r="AL31" s="138">
        <f t="shared" ref="AL31:AL32" si="40">AX31/(1-AE31)</f>
        <v>299.56459901514847</v>
      </c>
      <c r="AM31" s="139">
        <f t="shared" ref="AM31:AM32" si="41">1-(AK31/Z31)</f>
        <v>0.18681318681318693</v>
      </c>
      <c r="AN31" s="139">
        <f t="shared" ref="AN31:AN32" si="42">1-(AL31/AB31)</f>
        <v>0.16483516483516492</v>
      </c>
      <c r="AO31" s="140"/>
      <c r="AP31" s="17" t="s">
        <v>1687</v>
      </c>
      <c r="AQ31" s="141">
        <v>14</v>
      </c>
      <c r="AR31" s="141">
        <v>1700</v>
      </c>
      <c r="AS31" s="141"/>
      <c r="AT31" s="141">
        <v>5</v>
      </c>
      <c r="AU31" s="141">
        <f>($F$2-70000)/1000*AQ31+AR31</f>
        <v>2148</v>
      </c>
      <c r="AV31" s="141">
        <f t="shared" ref="AV31:AV32" si="43">AT31+AU31</f>
        <v>2153</v>
      </c>
      <c r="AW31" s="142">
        <f t="shared" ref="AW31:AW32" si="44">(AT31+AU31)/$F$5</f>
        <v>307.57142857142856</v>
      </c>
      <c r="AX31" s="126">
        <f t="shared" ref="AX31:AX32" si="45">(AW31/$F$6)+(($F$9+$G$9)/40/R31)+AW31*U31</f>
        <v>272.60378510378513</v>
      </c>
      <c r="AY31" s="17"/>
      <c r="AZ31" s="128" t="s">
        <v>63</v>
      </c>
      <c r="BB31" s="134">
        <f t="shared" si="11"/>
        <v>1195.6306364201102</v>
      </c>
      <c r="BC31" s="134">
        <f t="shared" si="12"/>
        <v>717.37838185206613</v>
      </c>
      <c r="BD31" s="134">
        <f t="shared" si="13"/>
        <v>597.81531821005512</v>
      </c>
      <c r="BE31" s="134">
        <f t="shared" si="14"/>
        <v>478.25225456804412</v>
      </c>
    </row>
    <row r="32" spans="1:57" s="129" customFormat="1" hidden="1">
      <c r="A32" s="88" t="s">
        <v>1213</v>
      </c>
      <c r="B32" s="88" t="s">
        <v>1318</v>
      </c>
      <c r="C32" s="88" t="s">
        <v>1317</v>
      </c>
      <c r="D32" s="88" t="s">
        <v>55</v>
      </c>
      <c r="E32" s="89" t="s">
        <v>56</v>
      </c>
      <c r="F32" s="90" t="s">
        <v>78</v>
      </c>
      <c r="G32" s="131" t="s">
        <v>70</v>
      </c>
      <c r="H32" s="131">
        <v>24</v>
      </c>
      <c r="I32" s="132" t="s">
        <v>1689</v>
      </c>
      <c r="J32" s="132" t="str">
        <f>_xlfn.XLOOKUP(I32,[1]Sheet1!$A:$A,[1]Sheet1!$B:$B,"")</f>
        <v/>
      </c>
      <c r="K32" s="90" t="s">
        <v>2566</v>
      </c>
      <c r="L32" s="90" t="s">
        <v>2568</v>
      </c>
      <c r="M32" s="131" t="s">
        <v>69</v>
      </c>
      <c r="N32" s="91" t="s">
        <v>60</v>
      </c>
      <c r="O32" s="92">
        <v>17.5</v>
      </c>
      <c r="P32" s="88" t="s">
        <v>97</v>
      </c>
      <c r="Q32" s="92" t="s">
        <v>62</v>
      </c>
      <c r="R32" s="92">
        <v>6.8624999999999998</v>
      </c>
      <c r="S32" s="123"/>
      <c r="T32" s="131" t="s">
        <v>159</v>
      </c>
      <c r="U32" s="155">
        <v>0</v>
      </c>
      <c r="V32" s="207">
        <v>45</v>
      </c>
      <c r="W32" s="207">
        <v>45</v>
      </c>
      <c r="X32" s="207">
        <v>55</v>
      </c>
      <c r="Y32" s="207" t="s">
        <v>64</v>
      </c>
      <c r="Z32" s="133">
        <f t="shared" ref="Z32" si="46">AW32/(1-(AF32+2%))</f>
        <v>415.5263157894737</v>
      </c>
      <c r="AA32" s="133">
        <f>VLOOKUP(I32,'[2]PO &amp; SC Sept 2025'!$I$14:$BK$686,55,FALSE)+(($F$3/1000)-1.5)*O32</f>
        <v>416.55386331444765</v>
      </c>
      <c r="AB32" s="124">
        <f t="shared" ref="AB32" si="47">AX32/(1-AF32)</f>
        <v>362.3910067794053</v>
      </c>
      <c r="AC32" s="134">
        <f>VLOOKUP(I32,'[2]PO &amp; SC Sept 2025'!$I$14:$BE$686,49,FALSE)+(O32*(($F$4/1000)-1.5))</f>
        <v>369.6362380956985</v>
      </c>
      <c r="AD32" s="213">
        <v>0.09</v>
      </c>
      <c r="AE32" s="213">
        <v>0.09</v>
      </c>
      <c r="AF32" s="215">
        <v>0.22</v>
      </c>
      <c r="AG32" s="215" t="s">
        <v>9</v>
      </c>
      <c r="AH32" s="148">
        <f t="shared" si="3"/>
        <v>362.3910067794053</v>
      </c>
      <c r="AI32" s="143">
        <f t="shared" si="38"/>
        <v>0.21999999999999997</v>
      </c>
      <c r="AJ32" s="444"/>
      <c r="AK32" s="144">
        <f t="shared" si="39"/>
        <v>347.03296703296701</v>
      </c>
      <c r="AL32" s="145">
        <f t="shared" si="40"/>
        <v>310.62086295377594</v>
      </c>
      <c r="AM32" s="146">
        <f t="shared" si="41"/>
        <v>0.16483516483516492</v>
      </c>
      <c r="AN32" s="146">
        <f t="shared" si="42"/>
        <v>0.1428571428571429</v>
      </c>
      <c r="AO32" s="140"/>
      <c r="AP32" s="17" t="s">
        <v>1687</v>
      </c>
      <c r="AQ32" s="141">
        <v>14</v>
      </c>
      <c r="AR32" s="141">
        <v>1757.6</v>
      </c>
      <c r="AS32" s="141"/>
      <c r="AT32" s="141">
        <v>5</v>
      </c>
      <c r="AU32" s="141">
        <f t="shared" ref="AU32" si="48">($F$2-70000)/1000*AQ32+AR32</f>
        <v>2205.6</v>
      </c>
      <c r="AV32" s="141">
        <f t="shared" si="43"/>
        <v>2210.6</v>
      </c>
      <c r="AW32" s="142">
        <f t="shared" si="44"/>
        <v>315.8</v>
      </c>
      <c r="AX32" s="126">
        <f t="shared" si="45"/>
        <v>282.66498528793613</v>
      </c>
      <c r="AY32" s="17"/>
      <c r="AZ32" s="128" t="s">
        <v>63</v>
      </c>
      <c r="BB32" s="134">
        <f t="shared" si="11"/>
        <v>1207.9700225980177</v>
      </c>
      <c r="BC32" s="134">
        <f t="shared" si="12"/>
        <v>724.7820135588106</v>
      </c>
      <c r="BD32" s="134">
        <f t="shared" si="13"/>
        <v>603.98501129900887</v>
      </c>
      <c r="BE32" s="134">
        <f t="shared" si="14"/>
        <v>483.18800903920715</v>
      </c>
    </row>
    <row r="33" spans="1:59" s="129" customFormat="1" hidden="1">
      <c r="A33" s="88" t="s">
        <v>1302</v>
      </c>
      <c r="B33" s="88" t="s">
        <v>1317</v>
      </c>
      <c r="C33" s="88" t="s">
        <v>1318</v>
      </c>
      <c r="D33" s="88" t="s">
        <v>55</v>
      </c>
      <c r="E33" s="89" t="s">
        <v>56</v>
      </c>
      <c r="F33" s="90" t="s">
        <v>78</v>
      </c>
      <c r="G33" s="131" t="s">
        <v>58</v>
      </c>
      <c r="H33" s="131">
        <v>23</v>
      </c>
      <c r="I33" s="132" t="s">
        <v>3704</v>
      </c>
      <c r="J33" s="132" t="str">
        <f>_xlfn.XLOOKUP(I33,[1]Sheet1!$A:$A,[1]Sheet1!$B:$B,"")</f>
        <v>U0102008</v>
      </c>
      <c r="K33" s="90" t="s">
        <v>3169</v>
      </c>
      <c r="L33" s="90" t="s">
        <v>100</v>
      </c>
      <c r="M33" s="131" t="s">
        <v>69</v>
      </c>
      <c r="N33" s="91" t="s">
        <v>60</v>
      </c>
      <c r="O33" s="92">
        <v>15.8</v>
      </c>
      <c r="P33" s="88" t="s">
        <v>61</v>
      </c>
      <c r="Q33" s="92" t="s">
        <v>62</v>
      </c>
      <c r="R33" s="92">
        <v>12</v>
      </c>
      <c r="S33" s="123" t="e">
        <v>#N/A</v>
      </c>
      <c r="T33" s="131" t="s">
        <v>159</v>
      </c>
      <c r="U33" s="155">
        <v>0</v>
      </c>
      <c r="V33" s="207">
        <v>45</v>
      </c>
      <c r="W33" s="207">
        <v>45</v>
      </c>
      <c r="X33" s="207">
        <v>55</v>
      </c>
      <c r="Y33" s="207" t="s">
        <v>64</v>
      </c>
      <c r="Z33" s="133">
        <f t="shared" si="1"/>
        <v>383.87809523809528</v>
      </c>
      <c r="AA33" s="133">
        <f>VLOOKUP(I33,'[2]PO &amp; SC Sept 2025'!$I$14:$BK$686,55,FALSE)+(($F$3/1000)-1.5)*O33</f>
        <v>397.82316829268291</v>
      </c>
      <c r="AB33" s="124">
        <f t="shared" si="2"/>
        <v>329.04853083424513</v>
      </c>
      <c r="AC33" s="134">
        <f>VLOOKUP(I33,'[2]PO &amp; SC Sept 2025'!$I$14:$BE$686,49,FALSE)+(O33*(($F$4/1000)-1.5))</f>
        <v>342.20188405797103</v>
      </c>
      <c r="AD33" s="213">
        <v>0.09</v>
      </c>
      <c r="AE33" s="213">
        <v>0.09</v>
      </c>
      <c r="AF33" s="215">
        <v>0.22999999999999998</v>
      </c>
      <c r="AG33" s="216" t="s">
        <v>9</v>
      </c>
      <c r="AH33" s="148">
        <f t="shared" si="3"/>
        <v>329.04853083424513</v>
      </c>
      <c r="AI33" s="149">
        <f t="shared" si="4"/>
        <v>0.22999999999999998</v>
      </c>
      <c r="AJ33" s="444"/>
      <c r="AK33" s="150">
        <f t="shared" si="5"/>
        <v>316.38304552590267</v>
      </c>
      <c r="AL33" s="148">
        <f t="shared" si="6"/>
        <v>278.42567993666898</v>
      </c>
      <c r="AM33" s="125">
        <f t="shared" si="7"/>
        <v>0.17582417582417587</v>
      </c>
      <c r="AN33" s="125">
        <f t="shared" si="8"/>
        <v>0.15384615384615374</v>
      </c>
      <c r="AO33" s="140"/>
      <c r="AP33" s="17" t="s">
        <v>101</v>
      </c>
      <c r="AQ33" s="141">
        <v>15.24</v>
      </c>
      <c r="AR33" s="141">
        <v>1522.68</v>
      </c>
      <c r="AS33" s="141"/>
      <c r="AT33" s="141">
        <v>5</v>
      </c>
      <c r="AU33" s="141">
        <f t="shared" si="9"/>
        <v>2010.3600000000001</v>
      </c>
      <c r="AV33" s="141">
        <f t="shared" si="0"/>
        <v>2015.3600000000001</v>
      </c>
      <c r="AW33" s="142">
        <f t="shared" si="24"/>
        <v>287.90857142857146</v>
      </c>
      <c r="AX33" s="126">
        <f t="shared" si="10"/>
        <v>253.36736874236877</v>
      </c>
      <c r="AY33" s="127"/>
      <c r="AZ33" s="128" t="s">
        <v>63</v>
      </c>
      <c r="BB33" s="124">
        <f t="shared" si="11"/>
        <v>1096.8284361141505</v>
      </c>
      <c r="BC33" s="124">
        <f t="shared" si="12"/>
        <v>658.09706166849026</v>
      </c>
      <c r="BD33" s="124">
        <f t="shared" si="13"/>
        <v>548.41421805707523</v>
      </c>
      <c r="BE33" s="124">
        <f t="shared" si="14"/>
        <v>438.73137444566021</v>
      </c>
    </row>
    <row r="34" spans="1:59" s="129" customFormat="1" hidden="1">
      <c r="A34" s="88" t="s">
        <v>1302</v>
      </c>
      <c r="B34" s="88" t="s">
        <v>1317</v>
      </c>
      <c r="C34" s="88" t="s">
        <v>1318</v>
      </c>
      <c r="D34" s="88" t="s">
        <v>55</v>
      </c>
      <c r="E34" s="89" t="s">
        <v>56</v>
      </c>
      <c r="F34" s="90" t="s">
        <v>78</v>
      </c>
      <c r="G34" s="131" t="s">
        <v>58</v>
      </c>
      <c r="H34" s="131">
        <v>23</v>
      </c>
      <c r="I34" s="132" t="s">
        <v>102</v>
      </c>
      <c r="J34" s="132" t="str">
        <f>_xlfn.XLOOKUP(I34,[1]Sheet1!$A:$A,[1]Sheet1!$B:$B,"")</f>
        <v>U0102009</v>
      </c>
      <c r="K34" s="90" t="s">
        <v>103</v>
      </c>
      <c r="L34" s="90" t="s">
        <v>104</v>
      </c>
      <c r="M34" s="131" t="s">
        <v>69</v>
      </c>
      <c r="N34" s="91" t="s">
        <v>60</v>
      </c>
      <c r="O34" s="92">
        <v>15.8</v>
      </c>
      <c r="P34" s="88" t="s">
        <v>84</v>
      </c>
      <c r="Q34" s="92" t="s">
        <v>62</v>
      </c>
      <c r="R34" s="92">
        <v>6.1</v>
      </c>
      <c r="S34" s="123" t="e">
        <v>#N/A</v>
      </c>
      <c r="T34" s="131" t="s">
        <v>159</v>
      </c>
      <c r="U34" s="155">
        <v>0</v>
      </c>
      <c r="V34" s="207">
        <v>45</v>
      </c>
      <c r="W34" s="207">
        <v>45</v>
      </c>
      <c r="X34" s="207">
        <v>55</v>
      </c>
      <c r="Y34" s="207" t="s">
        <v>64</v>
      </c>
      <c r="Z34" s="133">
        <f t="shared" si="1"/>
        <v>382.92571428571432</v>
      </c>
      <c r="AA34" s="133">
        <f>VLOOKUP(I34,'[2]PO &amp; SC Sept 2025'!$I$14:$BK$686,55,FALSE)+(($F$3/1000)-1.5)*O34</f>
        <v>412.6890219512195</v>
      </c>
      <c r="AB34" s="124">
        <f t="shared" si="2"/>
        <v>337.41488800036808</v>
      </c>
      <c r="AC34" s="134">
        <f>VLOOKUP(I34,'[2]PO &amp; SC Sept 2025'!$I$14:$BE$686,49,FALSE)+(O34*(($F$4/1000)-1.5))</f>
        <v>356.8361711298918</v>
      </c>
      <c r="AD34" s="213">
        <v>0.09</v>
      </c>
      <c r="AE34" s="213">
        <v>0.09</v>
      </c>
      <c r="AF34" s="215">
        <v>0.22999999999999998</v>
      </c>
      <c r="AG34" s="216" t="s">
        <v>9</v>
      </c>
      <c r="AH34" s="148">
        <f t="shared" si="3"/>
        <v>337.41488800036808</v>
      </c>
      <c r="AI34" s="149">
        <f t="shared" si="4"/>
        <v>0.22999999999999987</v>
      </c>
      <c r="AJ34" s="444"/>
      <c r="AK34" s="150">
        <f t="shared" si="5"/>
        <v>315.59811616954477</v>
      </c>
      <c r="AL34" s="148">
        <f t="shared" si="6"/>
        <v>285.50490523108073</v>
      </c>
      <c r="AM34" s="125">
        <f t="shared" si="7"/>
        <v>0.17582417582417587</v>
      </c>
      <c r="AN34" s="125">
        <f t="shared" si="8"/>
        <v>0.15384615384615374</v>
      </c>
      <c r="AO34" s="140"/>
      <c r="AP34" s="17" t="s">
        <v>101</v>
      </c>
      <c r="AQ34" s="141">
        <v>15.24</v>
      </c>
      <c r="AR34" s="141">
        <v>1522.68</v>
      </c>
      <c r="AS34" s="141"/>
      <c r="AT34" s="141">
        <v>0</v>
      </c>
      <c r="AU34" s="141">
        <f t="shared" si="9"/>
        <v>2010.3600000000001</v>
      </c>
      <c r="AV34" s="141">
        <f t="shared" si="0"/>
        <v>2010.3600000000001</v>
      </c>
      <c r="AW34" s="142">
        <f>(AT34+AU34)/$F$5</f>
        <v>287.19428571428574</v>
      </c>
      <c r="AX34" s="126">
        <f t="shared" si="10"/>
        <v>259.80946376028345</v>
      </c>
      <c r="AY34" s="127"/>
      <c r="AZ34" s="128" t="s">
        <v>63</v>
      </c>
      <c r="BB34" s="124">
        <f t="shared" si="11"/>
        <v>1124.7162933345603</v>
      </c>
      <c r="BC34" s="124">
        <f t="shared" si="12"/>
        <v>674.82977600073616</v>
      </c>
      <c r="BD34" s="124">
        <f t="shared" si="13"/>
        <v>562.35814666728015</v>
      </c>
      <c r="BE34" s="124">
        <f t="shared" si="14"/>
        <v>449.88651733382414</v>
      </c>
    </row>
    <row r="35" spans="1:59" s="377" customFormat="1" hidden="1">
      <c r="A35" s="310" t="s">
        <v>1276</v>
      </c>
      <c r="B35" s="310" t="s">
        <v>1317</v>
      </c>
      <c r="C35" s="310" t="s">
        <v>1318</v>
      </c>
      <c r="D35" s="310" t="s">
        <v>55</v>
      </c>
      <c r="E35" s="366" t="s">
        <v>56</v>
      </c>
      <c r="F35" s="367" t="s">
        <v>78</v>
      </c>
      <c r="G35" s="368" t="s">
        <v>58</v>
      </c>
      <c r="H35" s="368">
        <v>23</v>
      </c>
      <c r="I35" s="321" t="s">
        <v>3703</v>
      </c>
      <c r="J35" s="321" t="str">
        <f>_xlfn.XLOOKUP(I35,[1]Sheet1!$A:$A,[1]Sheet1!$B:$B,"")</f>
        <v/>
      </c>
      <c r="K35" s="367" t="s">
        <v>2799</v>
      </c>
      <c r="L35" s="367" t="s">
        <v>2571</v>
      </c>
      <c r="M35" s="368" t="s">
        <v>1666</v>
      </c>
      <c r="N35" s="369" t="s">
        <v>1295</v>
      </c>
      <c r="O35" s="311">
        <v>15.8</v>
      </c>
      <c r="P35" s="310" t="s">
        <v>61</v>
      </c>
      <c r="Q35" s="311" t="s">
        <v>62</v>
      </c>
      <c r="R35" s="311">
        <v>9</v>
      </c>
      <c r="S35" s="370"/>
      <c r="T35" s="368" t="s">
        <v>159</v>
      </c>
      <c r="U35" s="312">
        <v>0</v>
      </c>
      <c r="V35" s="313">
        <v>45</v>
      </c>
      <c r="W35" s="313">
        <v>45</v>
      </c>
      <c r="X35" s="313">
        <v>55</v>
      </c>
      <c r="Y35" s="313" t="s">
        <v>64</v>
      </c>
      <c r="Z35" s="314">
        <f t="shared" ref="Z35:Z36" si="49">AW35/(1-(AF35+2%))</f>
        <v>437.58512720156557</v>
      </c>
      <c r="AA35" s="133"/>
      <c r="AB35" s="315">
        <f>AX35/(1-AF35)</f>
        <v>376.99389499389503</v>
      </c>
      <c r="AC35" s="134"/>
      <c r="AD35" s="316">
        <v>0.09</v>
      </c>
      <c r="AE35" s="316">
        <v>0.09</v>
      </c>
      <c r="AF35" s="316">
        <v>0.25</v>
      </c>
      <c r="AG35" s="378" t="s">
        <v>9</v>
      </c>
      <c r="AH35" s="317">
        <f t="shared" ref="AH35:AH36" si="50">AB35</f>
        <v>376.99389499389503</v>
      </c>
      <c r="AI35" s="379">
        <f>1-(AX35/AH35)</f>
        <v>0.25</v>
      </c>
      <c r="AJ35" s="444"/>
      <c r="AK35" s="318">
        <f t="shared" ref="AK35:AK36" si="51">AW35/(1-AD35)</f>
        <v>351.02982731554158</v>
      </c>
      <c r="AL35" s="317">
        <f t="shared" ref="AL35:AL36" si="52">AX35/(1-AE35)</f>
        <v>310.7092541158475</v>
      </c>
      <c r="AM35" s="319">
        <f>1-(AK35/Z35)</f>
        <v>0.19780219780219788</v>
      </c>
      <c r="AN35" s="319">
        <f>1-(AL35/AB35)</f>
        <v>0.17582417582417598</v>
      </c>
      <c r="AO35" s="371"/>
      <c r="AP35" s="372" t="s">
        <v>81</v>
      </c>
      <c r="AQ35" s="373">
        <v>15.8</v>
      </c>
      <c r="AR35" s="373">
        <v>1725.46</v>
      </c>
      <c r="AS35" s="373"/>
      <c r="AT35" s="373">
        <v>5</v>
      </c>
      <c r="AU35" s="373">
        <f t="shared" ref="AU35:AU36" si="53">($F$2-70000)/1000*AQ35+AR35</f>
        <v>2231.06</v>
      </c>
      <c r="AV35" s="373">
        <f t="shared" ref="AV35:AV36" si="54">AT35+AU35</f>
        <v>2236.06</v>
      </c>
      <c r="AW35" s="380">
        <f t="shared" ref="AW35:AW36" si="55">(AT35+AU35)/$F$5</f>
        <v>319.43714285714287</v>
      </c>
      <c r="AX35" s="374">
        <f t="shared" ref="AX35:AX36" si="56">(AW35/$F$6)+(($F$9+$G$9)/40/R35)+AW35*U35</f>
        <v>282.74542124542126</v>
      </c>
      <c r="AY35" s="375"/>
      <c r="AZ35" s="376" t="s">
        <v>63</v>
      </c>
      <c r="BB35" s="315">
        <f t="shared" ref="BB35:BB36" si="57">AB35/0.3</f>
        <v>1256.6463166463168</v>
      </c>
      <c r="BC35" s="315">
        <f t="shared" ref="BC35:BC36" si="58">BB35*0.6</f>
        <v>753.98778998779005</v>
      </c>
      <c r="BD35" s="315">
        <f t="shared" ref="BD35:BD36" si="59">BB35*0.5</f>
        <v>628.3231583231584</v>
      </c>
      <c r="BE35" s="315">
        <f t="shared" ref="BE35:BE36" si="60">BB35*0.4</f>
        <v>502.65852665852674</v>
      </c>
      <c r="BF35" s="129"/>
      <c r="BG35" s="129"/>
    </row>
    <row r="36" spans="1:59" s="377" customFormat="1" hidden="1">
      <c r="A36" s="310" t="s">
        <v>1276</v>
      </c>
      <c r="B36" s="310" t="s">
        <v>1317</v>
      </c>
      <c r="C36" s="310" t="s">
        <v>1318</v>
      </c>
      <c r="D36" s="310" t="s">
        <v>55</v>
      </c>
      <c r="E36" s="366" t="s">
        <v>56</v>
      </c>
      <c r="F36" s="367" t="s">
        <v>78</v>
      </c>
      <c r="G36" s="368" t="s">
        <v>58</v>
      </c>
      <c r="H36" s="368">
        <v>23</v>
      </c>
      <c r="I36" s="321" t="s">
        <v>3659</v>
      </c>
      <c r="J36" s="321" t="str">
        <f>_xlfn.XLOOKUP(I36,[1]Sheet1!$A:$A,[1]Sheet1!$B:$B,"")</f>
        <v/>
      </c>
      <c r="K36" s="367" t="s">
        <v>3660</v>
      </c>
      <c r="L36" s="367" t="s">
        <v>3661</v>
      </c>
      <c r="M36" s="368" t="s">
        <v>3668</v>
      </c>
      <c r="N36" s="369" t="s">
        <v>1295</v>
      </c>
      <c r="O36" s="311">
        <v>15.8</v>
      </c>
      <c r="P36" s="310" t="s">
        <v>61</v>
      </c>
      <c r="Q36" s="311" t="s">
        <v>62</v>
      </c>
      <c r="R36" s="311">
        <v>9</v>
      </c>
      <c r="S36" s="370"/>
      <c r="T36" s="368" t="s">
        <v>159</v>
      </c>
      <c r="U36" s="312">
        <v>0</v>
      </c>
      <c r="V36" s="313">
        <v>45</v>
      </c>
      <c r="W36" s="313">
        <v>45</v>
      </c>
      <c r="X36" s="313">
        <v>55</v>
      </c>
      <c r="Y36" s="313" t="s">
        <v>64</v>
      </c>
      <c r="Z36" s="314">
        <f t="shared" si="49"/>
        <v>447.82974559686886</v>
      </c>
      <c r="AA36" s="133"/>
      <c r="AB36" s="315">
        <f>AX36/(1-AF36)</f>
        <v>385.5164835164835</v>
      </c>
      <c r="AC36" s="134"/>
      <c r="AD36" s="316">
        <v>0.09</v>
      </c>
      <c r="AE36" s="316">
        <v>0.09</v>
      </c>
      <c r="AF36" s="316">
        <v>0.25</v>
      </c>
      <c r="AG36" s="378" t="s">
        <v>9</v>
      </c>
      <c r="AH36" s="317">
        <f t="shared" si="50"/>
        <v>385.5164835164835</v>
      </c>
      <c r="AI36" s="379">
        <f>1-(AX36/AH36)</f>
        <v>0.25</v>
      </c>
      <c r="AJ36" s="444"/>
      <c r="AK36" s="318">
        <f t="shared" si="51"/>
        <v>359.2480376766091</v>
      </c>
      <c r="AL36" s="317">
        <f t="shared" si="52"/>
        <v>317.73336553556334</v>
      </c>
      <c r="AM36" s="319">
        <f>1-(AK36/Z36)</f>
        <v>0.19780219780219777</v>
      </c>
      <c r="AN36" s="319">
        <f>1-(AL36/AB36)</f>
        <v>0.17582417582417575</v>
      </c>
      <c r="AO36" s="371"/>
      <c r="AP36" s="372" t="s">
        <v>81</v>
      </c>
      <c r="AQ36" s="373">
        <v>15.8</v>
      </c>
      <c r="AR36" s="373">
        <v>1777.81</v>
      </c>
      <c r="AS36" s="373"/>
      <c r="AT36" s="373">
        <v>5</v>
      </c>
      <c r="AU36" s="373">
        <f t="shared" si="53"/>
        <v>2283.41</v>
      </c>
      <c r="AV36" s="373">
        <f t="shared" si="54"/>
        <v>2288.41</v>
      </c>
      <c r="AW36" s="380">
        <f t="shared" si="55"/>
        <v>326.91571428571427</v>
      </c>
      <c r="AX36" s="374">
        <f t="shared" si="56"/>
        <v>289.13736263736263</v>
      </c>
      <c r="AY36" s="375"/>
      <c r="AZ36" s="376" t="s">
        <v>63</v>
      </c>
      <c r="BB36" s="315">
        <f t="shared" si="57"/>
        <v>1285.0549450549452</v>
      </c>
      <c r="BC36" s="315">
        <f t="shared" si="58"/>
        <v>771.03296703296712</v>
      </c>
      <c r="BD36" s="315">
        <f t="shared" si="59"/>
        <v>642.52747252747258</v>
      </c>
      <c r="BE36" s="315">
        <f t="shared" si="60"/>
        <v>514.02197802197804</v>
      </c>
      <c r="BF36" s="129"/>
      <c r="BG36" s="129"/>
    </row>
    <row r="37" spans="1:59" s="129" customFormat="1" hidden="1">
      <c r="A37" s="88" t="s">
        <v>1302</v>
      </c>
      <c r="B37" s="88" t="s">
        <v>1317</v>
      </c>
      <c r="C37" s="88" t="s">
        <v>1318</v>
      </c>
      <c r="D37" s="88" t="s">
        <v>55</v>
      </c>
      <c r="E37" s="89" t="s">
        <v>56</v>
      </c>
      <c r="F37" s="90" t="s">
        <v>78</v>
      </c>
      <c r="G37" s="131" t="s">
        <v>58</v>
      </c>
      <c r="H37" s="131">
        <v>23</v>
      </c>
      <c r="I37" s="132" t="s">
        <v>105</v>
      </c>
      <c r="J37" s="132" t="str">
        <f>_xlfn.XLOOKUP(I37,[1]Sheet1!$A:$A,[1]Sheet1!$B:$B,"")</f>
        <v>U0102004</v>
      </c>
      <c r="K37" s="90" t="s">
        <v>106</v>
      </c>
      <c r="L37" s="90" t="s">
        <v>107</v>
      </c>
      <c r="M37" s="131" t="s">
        <v>108</v>
      </c>
      <c r="N37" s="91" t="s">
        <v>60</v>
      </c>
      <c r="O37" s="92">
        <v>17.8</v>
      </c>
      <c r="P37" s="88" t="s">
        <v>61</v>
      </c>
      <c r="Q37" s="92" t="s">
        <v>62</v>
      </c>
      <c r="R37" s="92">
        <v>12</v>
      </c>
      <c r="S37" s="123" t="e">
        <v>#N/A</v>
      </c>
      <c r="T37" s="131" t="s">
        <v>159</v>
      </c>
      <c r="U37" s="155">
        <v>0</v>
      </c>
      <c r="V37" s="207">
        <v>45</v>
      </c>
      <c r="W37" s="207">
        <v>45</v>
      </c>
      <c r="X37" s="207">
        <v>55</v>
      </c>
      <c r="Y37" s="207" t="s">
        <v>64</v>
      </c>
      <c r="Z37" s="133">
        <f t="shared" si="1"/>
        <v>440.29142857142858</v>
      </c>
      <c r="AA37" s="133">
        <f>VLOOKUP(I37,'[2]PO &amp; SC Sept 2025'!$I$14:$BK$686,55,FALSE)+(($F$3/1000)-1.5)*O37</f>
        <v>427.56232717009857</v>
      </c>
      <c r="AB37" s="124">
        <f t="shared" si="2"/>
        <v>375.98219954648528</v>
      </c>
      <c r="AC37" s="134">
        <f>VLOOKUP(I37,'[2]PO &amp; SC Sept 2025'!$I$14:$BE$686,49,FALSE)+(O37*(($F$4/1000)-1.5))</f>
        <v>371.10964654984173</v>
      </c>
      <c r="AD37" s="213">
        <v>0.09</v>
      </c>
      <c r="AE37" s="213">
        <v>0.09</v>
      </c>
      <c r="AF37" s="215">
        <v>0.3</v>
      </c>
      <c r="AG37" s="216" t="s">
        <v>9</v>
      </c>
      <c r="AH37" s="148">
        <f t="shared" si="3"/>
        <v>375.98219954648528</v>
      </c>
      <c r="AI37" s="149">
        <f t="shared" si="4"/>
        <v>0.30000000000000004</v>
      </c>
      <c r="AJ37" s="444"/>
      <c r="AK37" s="150">
        <f t="shared" si="5"/>
        <v>329.00897959183669</v>
      </c>
      <c r="AL37" s="153">
        <f t="shared" si="6"/>
        <v>289.21707657421945</v>
      </c>
      <c r="AM37" s="125">
        <f t="shared" si="7"/>
        <v>0.25274725274725285</v>
      </c>
      <c r="AN37" s="125">
        <f t="shared" si="8"/>
        <v>0.23076923076923073</v>
      </c>
      <c r="AO37" s="140"/>
      <c r="AP37" s="17" t="s">
        <v>101</v>
      </c>
      <c r="AQ37" s="141">
        <f>ROUND(AQ33*1.04,2)</f>
        <v>15.85</v>
      </c>
      <c r="AR37" s="141">
        <f>ROUND(AR33*1.04,20)</f>
        <v>1583.5871999999999</v>
      </c>
      <c r="AS37" s="141"/>
      <c r="AT37" s="141">
        <v>5</v>
      </c>
      <c r="AU37" s="141">
        <f t="shared" si="9"/>
        <v>2090.7871999999998</v>
      </c>
      <c r="AV37" s="141">
        <f t="shared" si="0"/>
        <v>2095.7871999999998</v>
      </c>
      <c r="AW37" s="142">
        <f t="shared" si="24"/>
        <v>299.3981714285714</v>
      </c>
      <c r="AX37" s="126">
        <f t="shared" si="10"/>
        <v>263.18753968253969</v>
      </c>
      <c r="AY37" s="127"/>
      <c r="AZ37" s="128" t="s">
        <v>63</v>
      </c>
      <c r="BB37" s="124">
        <f t="shared" si="11"/>
        <v>1253.2739984882844</v>
      </c>
      <c r="BC37" s="124">
        <f t="shared" si="12"/>
        <v>751.96439909297067</v>
      </c>
      <c r="BD37" s="124">
        <f t="shared" si="13"/>
        <v>626.6369992441422</v>
      </c>
      <c r="BE37" s="124">
        <f t="shared" si="14"/>
        <v>501.3095993953138</v>
      </c>
    </row>
    <row r="38" spans="1:59" s="129" customFormat="1" hidden="1">
      <c r="A38" s="90" t="s">
        <v>1302</v>
      </c>
      <c r="B38" s="88" t="s">
        <v>1317</v>
      </c>
      <c r="C38" s="88" t="s">
        <v>1318</v>
      </c>
      <c r="D38" s="90" t="s">
        <v>55</v>
      </c>
      <c r="E38" s="90" t="s">
        <v>56</v>
      </c>
      <c r="F38" s="90" t="s">
        <v>109</v>
      </c>
      <c r="G38" s="131" t="s">
        <v>58</v>
      </c>
      <c r="H38" s="131">
        <v>23</v>
      </c>
      <c r="I38" s="132" t="s">
        <v>1690</v>
      </c>
      <c r="J38" s="132" t="str">
        <f>_xlfn.XLOOKUP(I38,[1]Sheet1!$A:$A,[1]Sheet1!$B:$B,"")</f>
        <v>U0103010</v>
      </c>
      <c r="K38" s="90" t="s">
        <v>3702</v>
      </c>
      <c r="L38" s="90" t="s">
        <v>2574</v>
      </c>
      <c r="M38" s="131" t="s">
        <v>69</v>
      </c>
      <c r="N38" s="91" t="s">
        <v>60</v>
      </c>
      <c r="O38" s="384">
        <v>17.5</v>
      </c>
      <c r="P38" s="88" t="s">
        <v>61</v>
      </c>
      <c r="Q38" s="92" t="s">
        <v>62</v>
      </c>
      <c r="R38" s="332">
        <v>12</v>
      </c>
      <c r="S38" s="123" t="e">
        <v>#N/A</v>
      </c>
      <c r="T38" s="131" t="s">
        <v>159</v>
      </c>
      <c r="U38" s="155">
        <v>0</v>
      </c>
      <c r="V38" s="207">
        <v>45</v>
      </c>
      <c r="W38" s="207">
        <v>45</v>
      </c>
      <c r="X38" s="207">
        <v>55</v>
      </c>
      <c r="Y38" s="207" t="s">
        <v>64</v>
      </c>
      <c r="Z38" s="133">
        <f>AW38/(1-(AF38+2%))</f>
        <v>429.00128205128209</v>
      </c>
      <c r="AA38" s="133">
        <f>VLOOKUP(I38,'[2]PO &amp; SC Sept 2025'!$I$14:$BK$686,55,FALSE)+(($F$3/1000)-1.5)*O38</f>
        <v>436.82909520955911</v>
      </c>
      <c r="AB38" s="124">
        <f t="shared" si="2"/>
        <v>366.61565170940179</v>
      </c>
      <c r="AC38" s="134">
        <f>VLOOKUP(I38,'[2]PO &amp; SC Sept 2025'!$I$14:$BE$686,49,FALSE)+(O38*(($F$4/1000)-1.5))</f>
        <v>382.07738808829777</v>
      </c>
      <c r="AD38" s="213">
        <v>0.09</v>
      </c>
      <c r="AE38" s="213">
        <v>0.09</v>
      </c>
      <c r="AF38" s="215">
        <v>0.2</v>
      </c>
      <c r="AG38" s="216" t="s">
        <v>9</v>
      </c>
      <c r="AH38" s="148">
        <f t="shared" si="3"/>
        <v>366.61565170940179</v>
      </c>
      <c r="AI38" s="149">
        <f t="shared" si="4"/>
        <v>0.19999999999999996</v>
      </c>
      <c r="AJ38" s="444"/>
      <c r="AK38" s="150">
        <f t="shared" si="5"/>
        <v>367.71538461538466</v>
      </c>
      <c r="AL38" s="148">
        <f t="shared" si="6"/>
        <v>322.29947403024335</v>
      </c>
      <c r="AM38" s="125">
        <f t="shared" si="7"/>
        <v>0.14285714285714279</v>
      </c>
      <c r="AN38" s="125">
        <f t="shared" si="8"/>
        <v>0.12087912087912089</v>
      </c>
      <c r="AO38" s="140"/>
      <c r="AP38" s="17" t="s">
        <v>81</v>
      </c>
      <c r="AQ38" s="141">
        <v>17.5</v>
      </c>
      <c r="AR38" s="141">
        <v>1777.3470000000002</v>
      </c>
      <c r="AS38" s="141"/>
      <c r="AT38" s="141">
        <v>5</v>
      </c>
      <c r="AU38" s="141">
        <f t="shared" si="9"/>
        <v>2337.3470000000002</v>
      </c>
      <c r="AV38" s="141">
        <f t="shared" si="0"/>
        <v>2342.3470000000002</v>
      </c>
      <c r="AW38" s="142">
        <f>(AT38+AU38)/$F$5</f>
        <v>334.62100000000004</v>
      </c>
      <c r="AX38" s="126">
        <f t="shared" si="10"/>
        <v>293.29252136752143</v>
      </c>
      <c r="AY38" s="147" t="s">
        <v>112</v>
      </c>
      <c r="AZ38" s="128" t="s">
        <v>63</v>
      </c>
      <c r="BB38" s="124">
        <f t="shared" si="11"/>
        <v>1222.0521723646727</v>
      </c>
      <c r="BC38" s="124">
        <f t="shared" si="12"/>
        <v>733.23130341880358</v>
      </c>
      <c r="BD38" s="124">
        <f t="shared" si="13"/>
        <v>611.02608618233637</v>
      </c>
      <c r="BE38" s="124">
        <f t="shared" si="14"/>
        <v>488.82086894586911</v>
      </c>
    </row>
    <row r="39" spans="1:59" s="129" customFormat="1" hidden="1">
      <c r="A39" s="90" t="s">
        <v>1276</v>
      </c>
      <c r="B39" s="88" t="s">
        <v>1317</v>
      </c>
      <c r="C39" s="88" t="s">
        <v>1318</v>
      </c>
      <c r="D39" s="90" t="s">
        <v>55</v>
      </c>
      <c r="E39" s="90" t="s">
        <v>56</v>
      </c>
      <c r="F39" s="90" t="s">
        <v>109</v>
      </c>
      <c r="G39" s="131" t="s">
        <v>58</v>
      </c>
      <c r="H39" s="131">
        <v>23</v>
      </c>
      <c r="I39" s="132" t="s">
        <v>3959</v>
      </c>
      <c r="J39" s="132" t="str">
        <f>_xlfn.XLOOKUP(I39,[1]Sheet1!$A:$A,[1]Sheet1!$B:$B,"")</f>
        <v/>
      </c>
      <c r="K39" s="90" t="s">
        <v>3960</v>
      </c>
      <c r="L39" s="90" t="s">
        <v>3961</v>
      </c>
      <c r="M39" s="131" t="s">
        <v>69</v>
      </c>
      <c r="N39" s="91" t="s">
        <v>60</v>
      </c>
      <c r="O39" s="384">
        <v>17.5</v>
      </c>
      <c r="P39" s="88" t="s">
        <v>61</v>
      </c>
      <c r="Q39" s="92" t="s">
        <v>62</v>
      </c>
      <c r="R39" s="332">
        <v>12</v>
      </c>
      <c r="S39" s="123" t="e">
        <v>#N/A</v>
      </c>
      <c r="T39" s="131" t="s">
        <v>159</v>
      </c>
      <c r="U39" s="324">
        <v>0</v>
      </c>
      <c r="V39" s="207">
        <v>45</v>
      </c>
      <c r="W39" s="207">
        <v>45</v>
      </c>
      <c r="X39" s="207">
        <v>55</v>
      </c>
      <c r="Y39" s="207" t="s">
        <v>64</v>
      </c>
      <c r="Z39" s="133">
        <f>AW39/(1-(AF39+2%))</f>
        <v>429.00128205128209</v>
      </c>
      <c r="AA39" s="133" t="e">
        <f>VLOOKUP(I39,'[2]PO &amp; SC Sept 2025'!$I$14:$BK$686,55,FALSE)+(($F$3/1000)-1.5)*O39</f>
        <v>#N/A</v>
      </c>
      <c r="AB39" s="124">
        <f>AX39/(1-AF39)</f>
        <v>366.61565170940179</v>
      </c>
      <c r="AC39" s="134" t="e">
        <f>VLOOKUP(I39,'[2]PO &amp; SC Sept 2025'!$I$14:$BE$686,49,FALSE)+(O39*(($F$4/1000)-1.5))</f>
        <v>#N/A</v>
      </c>
      <c r="AD39" s="213">
        <v>0.09</v>
      </c>
      <c r="AE39" s="213">
        <v>0.09</v>
      </c>
      <c r="AF39" s="215">
        <v>0.2</v>
      </c>
      <c r="AG39" s="216" t="s">
        <v>9</v>
      </c>
      <c r="AH39" s="148">
        <f>AB39</f>
        <v>366.61565170940179</v>
      </c>
      <c r="AI39" s="149">
        <f>1-(AX39/AH39)</f>
        <v>0.19999999999999996</v>
      </c>
      <c r="AJ39" s="444"/>
      <c r="AK39" s="150">
        <f>AW39/(1-AD39)</f>
        <v>367.71538461538466</v>
      </c>
      <c r="AL39" s="148">
        <f>AX39/(1-AE39)</f>
        <v>322.29947403024335</v>
      </c>
      <c r="AM39" s="325">
        <f>1-(AK39/Z39)</f>
        <v>0.14285714285714279</v>
      </c>
      <c r="AN39" s="325">
        <f>1-(AL39/AB39)</f>
        <v>0.12087912087912089</v>
      </c>
      <c r="AO39" s="140"/>
      <c r="AP39" s="17" t="s">
        <v>81</v>
      </c>
      <c r="AQ39" s="141">
        <v>17.5</v>
      </c>
      <c r="AR39" s="141">
        <v>1777.3470000000002</v>
      </c>
      <c r="AS39" s="141"/>
      <c r="AT39" s="141">
        <v>5</v>
      </c>
      <c r="AU39" s="141">
        <f>($F$2-70000)/1000*AQ39+AR39</f>
        <v>2337.3470000000002</v>
      </c>
      <c r="AV39" s="141">
        <f>AT39+AU39</f>
        <v>2342.3470000000002</v>
      </c>
      <c r="AW39" s="142">
        <f>(AT39+AU39)/$F$5</f>
        <v>334.62100000000004</v>
      </c>
      <c r="AX39" s="126">
        <f>(AW39/$F$6)+(($F$9+$G$9)/40/R39)+AW39*U39</f>
        <v>293.29252136752143</v>
      </c>
      <c r="AY39" s="147" t="s">
        <v>112</v>
      </c>
      <c r="AZ39" s="128" t="s">
        <v>63</v>
      </c>
      <c r="BB39" s="124">
        <f>AB39/0.3</f>
        <v>1222.0521723646727</v>
      </c>
      <c r="BC39" s="124">
        <f>BB39*0.6</f>
        <v>733.23130341880358</v>
      </c>
      <c r="BD39" s="124">
        <f>BB39*0.5</f>
        <v>611.02608618233637</v>
      </c>
      <c r="BE39" s="124">
        <f>BB39*0.4</f>
        <v>488.82086894586911</v>
      </c>
    </row>
    <row r="40" spans="1:59" s="377" customFormat="1" hidden="1">
      <c r="A40" s="367" t="s">
        <v>1276</v>
      </c>
      <c r="B40" s="310" t="s">
        <v>1317</v>
      </c>
      <c r="C40" s="310" t="s">
        <v>1318</v>
      </c>
      <c r="D40" s="367" t="s">
        <v>55</v>
      </c>
      <c r="E40" s="367" t="s">
        <v>56</v>
      </c>
      <c r="F40" s="367" t="s">
        <v>109</v>
      </c>
      <c r="G40" s="368" t="s">
        <v>58</v>
      </c>
      <c r="H40" s="368">
        <v>23</v>
      </c>
      <c r="I40" s="321" t="s">
        <v>3662</v>
      </c>
      <c r="J40" s="321" t="str">
        <f>_xlfn.XLOOKUP(I40,[1]Sheet1!$A:$A,[1]Sheet1!$B:$B,"")</f>
        <v/>
      </c>
      <c r="K40" s="367" t="s">
        <v>3664</v>
      </c>
      <c r="L40" s="367" t="s">
        <v>3666</v>
      </c>
      <c r="M40" s="368" t="s">
        <v>1666</v>
      </c>
      <c r="N40" s="369" t="s">
        <v>60</v>
      </c>
      <c r="O40" s="385">
        <v>17.5</v>
      </c>
      <c r="P40" s="310" t="s">
        <v>61</v>
      </c>
      <c r="Q40" s="311" t="s">
        <v>62</v>
      </c>
      <c r="R40" s="381">
        <v>12</v>
      </c>
      <c r="S40" s="370" t="e">
        <v>#N/A</v>
      </c>
      <c r="T40" s="368" t="s">
        <v>159</v>
      </c>
      <c r="U40" s="312">
        <v>0</v>
      </c>
      <c r="V40" s="313">
        <v>45</v>
      </c>
      <c r="W40" s="313">
        <v>45</v>
      </c>
      <c r="X40" s="313">
        <v>55</v>
      </c>
      <c r="Y40" s="313" t="s">
        <v>64</v>
      </c>
      <c r="Z40" s="314">
        <f>AW40/(1-(AF40+2%))</f>
        <v>454.35366300366297</v>
      </c>
      <c r="AA40" s="133"/>
      <c r="AB40" s="315">
        <f t="shared" ref="AB40" si="61">AX40/(1-AF40)</f>
        <v>387.74263583638589</v>
      </c>
      <c r="AC40" s="134"/>
      <c r="AD40" s="316">
        <v>0.09</v>
      </c>
      <c r="AE40" s="316">
        <v>0.09</v>
      </c>
      <c r="AF40" s="316">
        <v>0.2</v>
      </c>
      <c r="AG40" s="378" t="s">
        <v>9</v>
      </c>
      <c r="AH40" s="317">
        <f t="shared" ref="AH40" si="62">AB40</f>
        <v>387.74263583638589</v>
      </c>
      <c r="AI40" s="379">
        <f t="shared" ref="AI40" si="63">1-(AX40/AH40)</f>
        <v>0.19999999999999996</v>
      </c>
      <c r="AJ40" s="444"/>
      <c r="AK40" s="318">
        <f t="shared" ref="AK40" si="64">AW40/(1-AD40)</f>
        <v>389.44599686028255</v>
      </c>
      <c r="AL40" s="317">
        <f t="shared" ref="AL40" si="65">AX40/(1-AE40)</f>
        <v>340.87264688913046</v>
      </c>
      <c r="AM40" s="319">
        <f t="shared" ref="AM40" si="66">1-(AK40/Z40)</f>
        <v>0.1428571428571429</v>
      </c>
      <c r="AN40" s="319">
        <f t="shared" ref="AN40" si="67">1-(AL40/AB40)</f>
        <v>0.12087912087912089</v>
      </c>
      <c r="AO40" s="371"/>
      <c r="AP40" s="372" t="s">
        <v>81</v>
      </c>
      <c r="AQ40" s="373">
        <v>17.5</v>
      </c>
      <c r="AR40" s="373">
        <v>1915.7710000000002</v>
      </c>
      <c r="AS40" s="373"/>
      <c r="AT40" s="373">
        <v>5</v>
      </c>
      <c r="AU40" s="373">
        <f t="shared" ref="AU40" si="68">($F$2-70000)/1000*AQ40+AR40</f>
        <v>2475.7710000000002</v>
      </c>
      <c r="AV40" s="373">
        <f t="shared" ref="AV40" si="69">AT40+AU40</f>
        <v>2480.7710000000002</v>
      </c>
      <c r="AW40" s="380">
        <f>(AT40+AU40)/$F$5</f>
        <v>354.39585714285715</v>
      </c>
      <c r="AX40" s="374">
        <f t="shared" ref="AX40" si="70">(AW40/$F$6)+(($F$9+$G$9)/40/R40)+AW40*U40</f>
        <v>310.19410866910874</v>
      </c>
      <c r="AY40" s="382" t="s">
        <v>112</v>
      </c>
      <c r="AZ40" s="376" t="s">
        <v>63</v>
      </c>
      <c r="BB40" s="315">
        <f t="shared" ref="BB40" si="71">AB40/0.3</f>
        <v>1292.4754527879529</v>
      </c>
      <c r="BC40" s="315">
        <f t="shared" ref="BC40" si="72">BB40*0.6</f>
        <v>775.48527167277177</v>
      </c>
      <c r="BD40" s="315">
        <f t="shared" ref="BD40" si="73">BB40*0.5</f>
        <v>646.23772639397646</v>
      </c>
      <c r="BE40" s="315">
        <f t="shared" ref="BE40" si="74">BB40*0.4</f>
        <v>516.99018111518114</v>
      </c>
      <c r="BF40" s="129"/>
      <c r="BG40" s="129"/>
    </row>
    <row r="41" spans="1:59" s="377" customFormat="1" hidden="1">
      <c r="A41" s="367" t="s">
        <v>1276</v>
      </c>
      <c r="B41" s="310" t="s">
        <v>1317</v>
      </c>
      <c r="C41" s="310" t="s">
        <v>1318</v>
      </c>
      <c r="D41" s="367" t="s">
        <v>55</v>
      </c>
      <c r="E41" s="367" t="s">
        <v>56</v>
      </c>
      <c r="F41" s="367" t="s">
        <v>109</v>
      </c>
      <c r="G41" s="368" t="s">
        <v>58</v>
      </c>
      <c r="H41" s="368">
        <v>23</v>
      </c>
      <c r="I41" s="321" t="s">
        <v>3663</v>
      </c>
      <c r="J41" s="321" t="str">
        <f>_xlfn.XLOOKUP(I41,[1]Sheet1!$A:$A,[1]Sheet1!$B:$B,"")</f>
        <v/>
      </c>
      <c r="K41" s="367" t="s">
        <v>3665</v>
      </c>
      <c r="L41" s="367" t="s">
        <v>3667</v>
      </c>
      <c r="M41" s="368" t="s">
        <v>3668</v>
      </c>
      <c r="N41" s="369" t="s">
        <v>60</v>
      </c>
      <c r="O41" s="385">
        <v>17.5</v>
      </c>
      <c r="P41" s="310" t="s">
        <v>61</v>
      </c>
      <c r="Q41" s="311" t="s">
        <v>62</v>
      </c>
      <c r="R41" s="381">
        <v>12</v>
      </c>
      <c r="S41" s="370" t="e">
        <v>#N/A</v>
      </c>
      <c r="T41" s="368" t="s">
        <v>159</v>
      </c>
      <c r="U41" s="312">
        <v>0</v>
      </c>
      <c r="V41" s="313">
        <v>45</v>
      </c>
      <c r="W41" s="313">
        <v>45</v>
      </c>
      <c r="X41" s="313">
        <v>55</v>
      </c>
      <c r="Y41" s="313" t="s">
        <v>64</v>
      </c>
      <c r="Z41" s="314">
        <f>AW41/(1-(AF41+2%))</f>
        <v>464.87912087912082</v>
      </c>
      <c r="AA41" s="133"/>
      <c r="AB41" s="315">
        <f t="shared" ref="AB41" si="75">AX41/(1-AF41)</f>
        <v>396.5138507326007</v>
      </c>
      <c r="AC41" s="134"/>
      <c r="AD41" s="316">
        <v>0.09</v>
      </c>
      <c r="AE41" s="316">
        <v>0.09</v>
      </c>
      <c r="AF41" s="316">
        <v>0.2</v>
      </c>
      <c r="AG41" s="378" t="s">
        <v>9</v>
      </c>
      <c r="AH41" s="317">
        <f t="shared" ref="AH41" si="76">AB41</f>
        <v>396.5138507326007</v>
      </c>
      <c r="AI41" s="379">
        <f t="shared" ref="AI41" si="77">1-(AX41/AH41)</f>
        <v>0.19999999999999996</v>
      </c>
      <c r="AJ41" s="444"/>
      <c r="AK41" s="318">
        <f t="shared" ref="AK41" si="78">AW41/(1-AD41)</f>
        <v>398.46781789638931</v>
      </c>
      <c r="AL41" s="317">
        <f t="shared" ref="AL41" si="79">AX41/(1-AE41)</f>
        <v>348.583605039649</v>
      </c>
      <c r="AM41" s="319">
        <f t="shared" ref="AM41" si="80">1-(AK41/Z41)</f>
        <v>0.14285714285714279</v>
      </c>
      <c r="AN41" s="319">
        <f t="shared" ref="AN41" si="81">1-(AL41/AB41)</f>
        <v>0.12087912087912078</v>
      </c>
      <c r="AO41" s="371"/>
      <c r="AP41" s="372" t="s">
        <v>81</v>
      </c>
      <c r="AQ41" s="373">
        <v>17.5</v>
      </c>
      <c r="AR41" s="373">
        <v>1973.24</v>
      </c>
      <c r="AS41" s="373"/>
      <c r="AT41" s="373">
        <v>5</v>
      </c>
      <c r="AU41" s="373">
        <f t="shared" ref="AU41" si="82">($F$2-70000)/1000*AQ41+AR41</f>
        <v>2533.2399999999998</v>
      </c>
      <c r="AV41" s="373">
        <f t="shared" ref="AV41" si="83">AT41+AU41</f>
        <v>2538.2399999999998</v>
      </c>
      <c r="AW41" s="380">
        <f>(AT41+AU41)/$F$5</f>
        <v>362.60571428571427</v>
      </c>
      <c r="AX41" s="374">
        <f t="shared" ref="AX41" si="84">(AW41/$F$6)+(($F$9+$G$9)/40/R41)+AW41*U41</f>
        <v>317.21108058608058</v>
      </c>
      <c r="AY41" s="382" t="s">
        <v>112</v>
      </c>
      <c r="AZ41" s="376" t="s">
        <v>63</v>
      </c>
      <c r="BB41" s="315">
        <f t="shared" ref="BB41" si="85">AB41/0.3</f>
        <v>1321.7128357753356</v>
      </c>
      <c r="BC41" s="315">
        <f t="shared" ref="BC41" si="86">BB41*0.6</f>
        <v>793.0277014652014</v>
      </c>
      <c r="BD41" s="315">
        <f t="shared" ref="BD41" si="87">BB41*0.5</f>
        <v>660.85641788766782</v>
      </c>
      <c r="BE41" s="315">
        <f t="shared" ref="BE41" si="88">BB41*0.4</f>
        <v>528.68513431013423</v>
      </c>
      <c r="BF41" s="129"/>
      <c r="BG41" s="129"/>
    </row>
    <row r="42" spans="1:59" s="129" customFormat="1" hidden="1">
      <c r="A42" s="90" t="s">
        <v>1302</v>
      </c>
      <c r="B42" s="88" t="s">
        <v>1317</v>
      </c>
      <c r="C42" s="88" t="s">
        <v>1318</v>
      </c>
      <c r="D42" s="90" t="s">
        <v>55</v>
      </c>
      <c r="E42" s="90" t="s">
        <v>56</v>
      </c>
      <c r="F42" s="90" t="s">
        <v>109</v>
      </c>
      <c r="G42" s="131" t="s">
        <v>58</v>
      </c>
      <c r="H42" s="131">
        <v>23</v>
      </c>
      <c r="I42" s="132" t="s">
        <v>3271</v>
      </c>
      <c r="J42" s="132" t="str">
        <f>_xlfn.XLOOKUP(I42,[1]Sheet1!$A:$A,[1]Sheet1!$B:$B,"")</f>
        <v>U0103011</v>
      </c>
      <c r="K42" s="90" t="s">
        <v>110</v>
      </c>
      <c r="L42" s="90" t="s">
        <v>111</v>
      </c>
      <c r="M42" s="131" t="s">
        <v>69</v>
      </c>
      <c r="N42" s="91" t="s">
        <v>60</v>
      </c>
      <c r="O42" s="92">
        <v>16.399999999999999</v>
      </c>
      <c r="P42" s="88" t="s">
        <v>61</v>
      </c>
      <c r="Q42" s="92" t="s">
        <v>62</v>
      </c>
      <c r="R42" s="92">
        <v>9</v>
      </c>
      <c r="S42" s="123" t="e">
        <v>#N/A</v>
      </c>
      <c r="T42" s="131" t="s">
        <v>159</v>
      </c>
      <c r="U42" s="155">
        <v>0</v>
      </c>
      <c r="V42" s="207">
        <v>45</v>
      </c>
      <c r="W42" s="207">
        <v>45</v>
      </c>
      <c r="X42" s="207">
        <v>55</v>
      </c>
      <c r="Y42" s="207" t="s">
        <v>64</v>
      </c>
      <c r="Z42" s="133">
        <f t="shared" si="1"/>
        <v>508.36952380952374</v>
      </c>
      <c r="AA42" s="133">
        <f>VLOOKUP(I42,'[2]PO &amp; SC Sept 2025'!$I$14:$BK$686,55,FALSE)+(($F$3/1000)-1.5)*O42</f>
        <v>500.43200430288641</v>
      </c>
      <c r="AB42" s="124">
        <f t="shared" si="2"/>
        <v>435.84431441574293</v>
      </c>
      <c r="AC42" s="134">
        <f>VLOOKUP(I42,'[2]PO &amp; SC Sept 2025'!$I$14:$BE$686,49,FALSE)+(O42*(($F$4/1000)-1.5))</f>
        <v>436.37381345756717</v>
      </c>
      <c r="AD42" s="213">
        <v>0.09</v>
      </c>
      <c r="AE42" s="213">
        <v>0.09</v>
      </c>
      <c r="AF42" s="215">
        <v>0.22999999999999998</v>
      </c>
      <c r="AG42" s="216" t="s">
        <v>9</v>
      </c>
      <c r="AH42" s="148">
        <f t="shared" si="3"/>
        <v>435.84431441574293</v>
      </c>
      <c r="AI42" s="149">
        <f t="shared" si="4"/>
        <v>0.22999999999999998</v>
      </c>
      <c r="AJ42" s="444"/>
      <c r="AK42" s="150">
        <f t="shared" si="5"/>
        <v>418.98587127158549</v>
      </c>
      <c r="AL42" s="148">
        <f t="shared" si="6"/>
        <v>368.79134296716711</v>
      </c>
      <c r="AM42" s="125">
        <f t="shared" si="7"/>
        <v>0.17582417582417587</v>
      </c>
      <c r="AN42" s="125">
        <f t="shared" si="8"/>
        <v>0.15384615384615385</v>
      </c>
      <c r="AO42" s="140"/>
      <c r="AP42" s="17" t="s">
        <v>81</v>
      </c>
      <c r="AQ42" s="141">
        <v>16.399999999999999</v>
      </c>
      <c r="AR42" s="141">
        <v>2139.14</v>
      </c>
      <c r="AS42" s="141"/>
      <c r="AT42" s="141">
        <v>5</v>
      </c>
      <c r="AU42" s="141">
        <f t="shared" si="9"/>
        <v>2663.9399999999996</v>
      </c>
      <c r="AV42" s="141">
        <f t="shared" si="0"/>
        <v>2668.9399999999996</v>
      </c>
      <c r="AW42" s="142">
        <f t="shared" si="24"/>
        <v>381.27714285714279</v>
      </c>
      <c r="AX42" s="126">
        <f t="shared" si="10"/>
        <v>335.60012210012206</v>
      </c>
      <c r="AY42" s="147" t="s">
        <v>113</v>
      </c>
      <c r="AZ42" s="128" t="s">
        <v>63</v>
      </c>
      <c r="BB42" s="124">
        <f t="shared" si="11"/>
        <v>1452.8143813858098</v>
      </c>
      <c r="BC42" s="124">
        <f t="shared" si="12"/>
        <v>871.68862883148586</v>
      </c>
      <c r="BD42" s="124">
        <f t="shared" si="13"/>
        <v>726.40719069290492</v>
      </c>
      <c r="BE42" s="124">
        <f t="shared" si="14"/>
        <v>581.12575255432398</v>
      </c>
    </row>
    <row r="43" spans="1:59" s="377" customFormat="1" hidden="1">
      <c r="A43" s="367" t="s">
        <v>1276</v>
      </c>
      <c r="B43" s="310" t="s">
        <v>1317</v>
      </c>
      <c r="C43" s="310" t="s">
        <v>1318</v>
      </c>
      <c r="D43" s="367" t="s">
        <v>55</v>
      </c>
      <c r="E43" s="367" t="s">
        <v>56</v>
      </c>
      <c r="F43" s="367" t="s">
        <v>109</v>
      </c>
      <c r="G43" s="368" t="s">
        <v>58</v>
      </c>
      <c r="H43" s="368">
        <v>23</v>
      </c>
      <c r="I43" s="321" t="s">
        <v>3669</v>
      </c>
      <c r="J43" s="321" t="str">
        <f>_xlfn.XLOOKUP(I43,[1]Sheet1!$A:$A,[1]Sheet1!$B:$B,"")</f>
        <v/>
      </c>
      <c r="K43" s="367" t="s">
        <v>3671</v>
      </c>
      <c r="L43" s="367" t="s">
        <v>3673</v>
      </c>
      <c r="M43" s="368" t="s">
        <v>1666</v>
      </c>
      <c r="N43" s="369" t="s">
        <v>60</v>
      </c>
      <c r="O43" s="311">
        <v>16.399999999999999</v>
      </c>
      <c r="P43" s="310" t="s">
        <v>61</v>
      </c>
      <c r="Q43" s="311" t="s">
        <v>62</v>
      </c>
      <c r="R43" s="381">
        <v>12</v>
      </c>
      <c r="S43" s="370" t="e">
        <v>#N/A</v>
      </c>
      <c r="T43" s="368" t="s">
        <v>159</v>
      </c>
      <c r="U43" s="312">
        <v>0</v>
      </c>
      <c r="V43" s="313">
        <v>45</v>
      </c>
      <c r="W43" s="313">
        <v>45</v>
      </c>
      <c r="X43" s="313">
        <v>55</v>
      </c>
      <c r="Y43" s="313" t="s">
        <v>64</v>
      </c>
      <c r="Z43" s="314">
        <f>AW43/(1-(AF43+2%))</f>
        <v>514.28752747252747</v>
      </c>
      <c r="AA43" s="133">
        <f>VLOOKUP(I43,'[2]PO &amp; SC Sept 2025'!$I$14:$BK$686,55,FALSE)+(($F$3/1000)-1.5)*O43</f>
        <v>496.96330526315785</v>
      </c>
      <c r="AB43" s="315">
        <f>AX43/(1-AF43)</f>
        <v>437.68752289377289</v>
      </c>
      <c r="AC43" s="134">
        <f>VLOOKUP(I43,'[2]PO &amp; SC Sept 2025'!$I$14:$BE$686,49,FALSE)+(O43*(($F$4/1000)-1.5))</f>
        <v>426.07382385730205</v>
      </c>
      <c r="AD43" s="316">
        <v>0.09</v>
      </c>
      <c r="AE43" s="316">
        <v>0.09</v>
      </c>
      <c r="AF43" s="316">
        <v>0.2</v>
      </c>
      <c r="AG43" s="378" t="s">
        <v>9</v>
      </c>
      <c r="AH43" s="317">
        <f>AB43</f>
        <v>437.68752289377289</v>
      </c>
      <c r="AI43" s="379">
        <f>1-(AX43/AH43)</f>
        <v>0.19999999999999996</v>
      </c>
      <c r="AJ43" s="444"/>
      <c r="AK43" s="318">
        <f t="shared" ref="AK43:AK44" si="89">AW43/(1-AD43)</f>
        <v>440.81788069073781</v>
      </c>
      <c r="AL43" s="317">
        <f>AX43/(1-AE43)</f>
        <v>384.78023990661353</v>
      </c>
      <c r="AM43" s="319">
        <f>1-(AK43/Z43)</f>
        <v>0.1428571428571429</v>
      </c>
      <c r="AN43" s="319">
        <f>1-(AL43/AB43)</f>
        <v>0.12087912087912089</v>
      </c>
      <c r="AO43" s="371"/>
      <c r="AP43" s="372" t="s">
        <v>81</v>
      </c>
      <c r="AQ43" s="373">
        <v>16.399999999999999</v>
      </c>
      <c r="AR43" s="373">
        <f>AR44*0.97</f>
        <v>2278.2098999999998</v>
      </c>
      <c r="AS43" s="373"/>
      <c r="AT43" s="373">
        <v>5</v>
      </c>
      <c r="AU43" s="373">
        <f t="shared" ref="AU43" si="90">($F$2-70000)/1000*AQ43+AR43</f>
        <v>2803.0099</v>
      </c>
      <c r="AV43" s="373">
        <f t="shared" ref="AV43:AV44" si="91">AT43+AU43</f>
        <v>2808.0099</v>
      </c>
      <c r="AW43" s="380">
        <f>(AT43+AU43)/$F$5</f>
        <v>401.14427142857141</v>
      </c>
      <c r="AX43" s="374">
        <f t="shared" ref="AX43:AX44" si="92">(AW43/$F$6)+(($F$9+$G$9)/40/R43)+AW43*U43</f>
        <v>350.15001831501831</v>
      </c>
      <c r="AY43" s="382" t="s">
        <v>113</v>
      </c>
      <c r="AZ43" s="376" t="s">
        <v>63</v>
      </c>
      <c r="BB43" s="315">
        <f>AB43/0.3</f>
        <v>1458.9584096459098</v>
      </c>
      <c r="BC43" s="315">
        <f>BB43*0.6</f>
        <v>875.3750457875459</v>
      </c>
      <c r="BD43" s="315">
        <f>BB43*0.5</f>
        <v>729.4792048229549</v>
      </c>
      <c r="BE43" s="315">
        <f>BB43*0.4</f>
        <v>583.5833638583639</v>
      </c>
      <c r="BF43" s="129"/>
      <c r="BG43" s="129"/>
    </row>
    <row r="44" spans="1:59" s="377" customFormat="1" hidden="1">
      <c r="A44" s="367" t="s">
        <v>1276</v>
      </c>
      <c r="B44" s="310" t="s">
        <v>1317</v>
      </c>
      <c r="C44" s="310" t="s">
        <v>1318</v>
      </c>
      <c r="D44" s="367" t="s">
        <v>55</v>
      </c>
      <c r="E44" s="367" t="s">
        <v>56</v>
      </c>
      <c r="F44" s="367" t="s">
        <v>109</v>
      </c>
      <c r="G44" s="368" t="s">
        <v>58</v>
      </c>
      <c r="H44" s="368">
        <v>23</v>
      </c>
      <c r="I44" s="321" t="s">
        <v>3670</v>
      </c>
      <c r="J44" s="321" t="str">
        <f>_xlfn.XLOOKUP(I44,[1]Sheet1!$A:$A,[1]Sheet1!$B:$B,"")</f>
        <v/>
      </c>
      <c r="K44" s="367" t="s">
        <v>3672</v>
      </c>
      <c r="L44" s="367" t="s">
        <v>3674</v>
      </c>
      <c r="M44" s="368" t="s">
        <v>3668</v>
      </c>
      <c r="N44" s="369" t="s">
        <v>60</v>
      </c>
      <c r="O44" s="311">
        <v>16.399999999999999</v>
      </c>
      <c r="P44" s="310" t="s">
        <v>61</v>
      </c>
      <c r="Q44" s="311" t="s">
        <v>62</v>
      </c>
      <c r="R44" s="381">
        <v>12</v>
      </c>
      <c r="S44" s="370" t="e">
        <v>#N/A</v>
      </c>
      <c r="T44" s="368" t="s">
        <v>159</v>
      </c>
      <c r="U44" s="312">
        <v>0</v>
      </c>
      <c r="V44" s="313">
        <v>45</v>
      </c>
      <c r="W44" s="313">
        <v>45</v>
      </c>
      <c r="X44" s="313">
        <v>55</v>
      </c>
      <c r="Y44" s="313" t="s">
        <v>64</v>
      </c>
      <c r="Z44" s="314">
        <f>AW44/(1-(AF44+2%))</f>
        <v>527.19230769230774</v>
      </c>
      <c r="AA44" s="133"/>
      <c r="AB44" s="315">
        <f>AX44/(1-AF44)</f>
        <v>448.44150641025647</v>
      </c>
      <c r="AC44" s="134"/>
      <c r="AD44" s="316">
        <v>0.09</v>
      </c>
      <c r="AE44" s="316">
        <v>0.09</v>
      </c>
      <c r="AF44" s="316">
        <v>0.2</v>
      </c>
      <c r="AG44" s="378" t="s">
        <v>9</v>
      </c>
      <c r="AH44" s="317">
        <f>AB44</f>
        <v>448.44150641025647</v>
      </c>
      <c r="AI44" s="379">
        <f>1-(AX44/AH44)</f>
        <v>0.19999999999999996</v>
      </c>
      <c r="AJ44" s="444"/>
      <c r="AK44" s="318">
        <f t="shared" si="89"/>
        <v>451.87912087912088</v>
      </c>
      <c r="AL44" s="317">
        <f>AX44/(1-AE44)</f>
        <v>394.23429134967603</v>
      </c>
      <c r="AM44" s="319">
        <f>1-(AK44/Z44)</f>
        <v>0.1428571428571429</v>
      </c>
      <c r="AN44" s="319">
        <f>1-(AL44/AB44)</f>
        <v>0.12087912087912089</v>
      </c>
      <c r="AO44" s="371"/>
      <c r="AP44" s="372" t="s">
        <v>81</v>
      </c>
      <c r="AQ44" s="373">
        <v>16.399999999999999</v>
      </c>
      <c r="AR44" s="373">
        <v>2348.67</v>
      </c>
      <c r="AS44" s="373"/>
      <c r="AT44" s="373">
        <v>5</v>
      </c>
      <c r="AU44" s="373">
        <f>($F$2-70000)/1000*AQ44+AR44</f>
        <v>2873.4700000000003</v>
      </c>
      <c r="AV44" s="373">
        <f t="shared" si="91"/>
        <v>2878.4700000000003</v>
      </c>
      <c r="AW44" s="380">
        <f>(AT44+AU44)/$F$5</f>
        <v>411.21000000000004</v>
      </c>
      <c r="AX44" s="374">
        <f t="shared" si="92"/>
        <v>358.7532051282052</v>
      </c>
      <c r="AY44" s="382" t="s">
        <v>113</v>
      </c>
      <c r="AZ44" s="376" t="s">
        <v>63</v>
      </c>
      <c r="BB44" s="315">
        <f>AB44/0.3</f>
        <v>1494.8050213675217</v>
      </c>
      <c r="BC44" s="315">
        <f>BB44*0.6</f>
        <v>896.88301282051304</v>
      </c>
      <c r="BD44" s="315">
        <f>BB44*0.5</f>
        <v>747.40251068376085</v>
      </c>
      <c r="BE44" s="315">
        <f>BB44*0.4</f>
        <v>597.92200854700866</v>
      </c>
      <c r="BF44" s="129"/>
      <c r="BG44" s="129"/>
    </row>
    <row r="45" spans="1:59" s="129" customFormat="1" hidden="1">
      <c r="A45" s="90" t="s">
        <v>1276</v>
      </c>
      <c r="B45" s="88" t="s">
        <v>1317</v>
      </c>
      <c r="C45" s="88" t="s">
        <v>1318</v>
      </c>
      <c r="D45" s="90" t="s">
        <v>55</v>
      </c>
      <c r="E45" s="90" t="s">
        <v>56</v>
      </c>
      <c r="F45" s="90" t="s">
        <v>109</v>
      </c>
      <c r="G45" s="131" t="s">
        <v>58</v>
      </c>
      <c r="H45" s="131">
        <v>23</v>
      </c>
      <c r="I45" s="132" t="s">
        <v>2235</v>
      </c>
      <c r="J45" s="132" t="str">
        <f>_xlfn.XLOOKUP(I45,[1]Sheet1!$A:$A,[1]Sheet1!$B:$B,"")</f>
        <v>U0103011</v>
      </c>
      <c r="K45" s="90" t="s">
        <v>2236</v>
      </c>
      <c r="L45" s="90" t="s">
        <v>111</v>
      </c>
      <c r="M45" s="131" t="s">
        <v>2238</v>
      </c>
      <c r="N45" s="91" t="s">
        <v>2230</v>
      </c>
      <c r="O45" s="92">
        <v>19</v>
      </c>
      <c r="P45" s="88" t="s">
        <v>61</v>
      </c>
      <c r="Q45" s="92" t="s">
        <v>62</v>
      </c>
      <c r="R45" s="92">
        <v>12</v>
      </c>
      <c r="S45" s="123"/>
      <c r="T45" s="131" t="s">
        <v>159</v>
      </c>
      <c r="U45" s="155">
        <v>0</v>
      </c>
      <c r="V45" s="207">
        <v>60</v>
      </c>
      <c r="W45" s="207">
        <v>14</v>
      </c>
      <c r="X45" s="207">
        <v>14</v>
      </c>
      <c r="Y45" s="207" t="s">
        <v>1224</v>
      </c>
      <c r="Z45" s="133">
        <f t="shared" ref="Z45:Z46" si="93">(AW45/(1-(AF45+2%)))*$F$6</f>
        <v>510.73353658536581</v>
      </c>
      <c r="AA45" s="133">
        <f>VLOOKUP(I45,'[2]PO &amp; SC Sept 2025'!$I$14:$BK$686,55,FALSE)+(($F$3/1000)-1.5)*O45</f>
        <v>530.45030430288648</v>
      </c>
      <c r="AB45" s="124">
        <f t="shared" si="2"/>
        <v>432.49033374033377</v>
      </c>
      <c r="AC45" s="134">
        <f>VLOOKUP(I45,'[2]PO &amp; SC Sept 2025'!$I$14:$BE$686,49,FALSE)+(O45*(($F$4/1000)-1.5))</f>
        <v>461.4638134575672</v>
      </c>
      <c r="AD45" s="213">
        <f t="shared" ref="AD45:AD46" si="94">AE45</f>
        <v>7.0000000000000007E-2</v>
      </c>
      <c r="AE45" s="213">
        <v>7.0000000000000007E-2</v>
      </c>
      <c r="AF45" s="215">
        <v>0.16</v>
      </c>
      <c r="AG45" s="215" t="s">
        <v>9</v>
      </c>
      <c r="AH45" s="148">
        <f t="shared" si="3"/>
        <v>432.49033374033377</v>
      </c>
      <c r="AI45" s="122">
        <f t="shared" si="4"/>
        <v>0.16000000000000003</v>
      </c>
      <c r="AJ45" s="444"/>
      <c r="AK45" s="150">
        <f t="shared" ref="AK45:AK46" si="95">AW45/(1-AD45)*$F$6</f>
        <v>450.32419354838714</v>
      </c>
      <c r="AL45" s="148">
        <f t="shared" si="6"/>
        <v>390.63643047514017</v>
      </c>
      <c r="AM45" s="125">
        <f t="shared" si="7"/>
        <v>0.1182795698924729</v>
      </c>
      <c r="AN45" s="125">
        <f t="shared" si="8"/>
        <v>9.6774193548387122E-2</v>
      </c>
      <c r="AO45" s="140"/>
      <c r="AP45" s="17" t="s">
        <v>160</v>
      </c>
      <c r="AQ45" s="141"/>
      <c r="AR45" s="141"/>
      <c r="AS45" s="326">
        <v>174.6</v>
      </c>
      <c r="AT45" s="141"/>
      <c r="AU45" s="141"/>
      <c r="AV45" s="141"/>
      <c r="AW45" s="154">
        <f t="shared" ref="AW45:AW46" si="96">AS45+($F$4-1500)/1000*O45</f>
        <v>357.95</v>
      </c>
      <c r="AX45" s="126">
        <f>(AS45+($F$4-1500)/1000*O45)+($F$10/40/R45/$F$6)</f>
        <v>363.29188034188036</v>
      </c>
      <c r="AY45" s="147"/>
      <c r="AZ45" s="128"/>
      <c r="BB45" s="124">
        <f t="shared" si="11"/>
        <v>1441.6344458011126</v>
      </c>
      <c r="BC45" s="124">
        <f t="shared" si="12"/>
        <v>864.98066748066753</v>
      </c>
      <c r="BD45" s="124">
        <f t="shared" si="13"/>
        <v>720.81722290055632</v>
      </c>
      <c r="BE45" s="124">
        <f t="shared" si="14"/>
        <v>576.6537783204451</v>
      </c>
    </row>
    <row r="46" spans="1:59" s="129" customFormat="1" hidden="1">
      <c r="A46" s="90" t="s">
        <v>1276</v>
      </c>
      <c r="B46" s="88" t="s">
        <v>1317</v>
      </c>
      <c r="C46" s="88" t="s">
        <v>1318</v>
      </c>
      <c r="D46" s="90" t="s">
        <v>55</v>
      </c>
      <c r="E46" s="90" t="s">
        <v>56</v>
      </c>
      <c r="F46" s="90" t="s">
        <v>109</v>
      </c>
      <c r="G46" s="131" t="s">
        <v>58</v>
      </c>
      <c r="H46" s="131">
        <v>23</v>
      </c>
      <c r="I46" s="132" t="s">
        <v>2421</v>
      </c>
      <c r="J46" s="132" t="str">
        <f>_xlfn.XLOOKUP(I46,[1]Sheet1!$A:$A,[1]Sheet1!$B:$B,"")</f>
        <v/>
      </c>
      <c r="K46" s="90" t="s">
        <v>2234</v>
      </c>
      <c r="L46" s="90" t="s">
        <v>2237</v>
      </c>
      <c r="M46" s="131" t="s">
        <v>2233</v>
      </c>
      <c r="N46" s="91" t="s">
        <v>2230</v>
      </c>
      <c r="O46" s="92">
        <v>19</v>
      </c>
      <c r="P46" s="88" t="s">
        <v>61</v>
      </c>
      <c r="Q46" s="92" t="s">
        <v>62</v>
      </c>
      <c r="R46" s="92">
        <v>12</v>
      </c>
      <c r="S46" s="123"/>
      <c r="T46" s="131" t="s">
        <v>159</v>
      </c>
      <c r="U46" s="155">
        <v>0</v>
      </c>
      <c r="V46" s="207">
        <v>60</v>
      </c>
      <c r="W46" s="207">
        <v>14</v>
      </c>
      <c r="X46" s="207">
        <v>14</v>
      </c>
      <c r="Y46" s="207" t="s">
        <v>1224</v>
      </c>
      <c r="Z46" s="133">
        <f t="shared" si="93"/>
        <v>543.29025974025967</v>
      </c>
      <c r="AA46" s="133">
        <f>VLOOKUP(I46,'[2]PO &amp; SC Sept 2025'!$I$14:$BK$686,55,FALSE)+(($F$3/1000)-1.5)*O46</f>
        <v>526.98160526315792</v>
      </c>
      <c r="AB46" s="124">
        <f t="shared" si="2"/>
        <v>459.35681055934214</v>
      </c>
      <c r="AC46" s="134">
        <f>VLOOKUP(I46,'[2]PO &amp; SC Sept 2025'!$I$14:$BE$686,49,FALSE)+(O46*(($F$4/1000)-1.5))</f>
        <v>451.16382385730208</v>
      </c>
      <c r="AD46" s="213">
        <f t="shared" si="94"/>
        <v>7.0000000000000007E-2</v>
      </c>
      <c r="AE46" s="213">
        <v>7.0000000000000007E-2</v>
      </c>
      <c r="AF46" s="215">
        <v>0.21</v>
      </c>
      <c r="AG46" s="215" t="s">
        <v>9</v>
      </c>
      <c r="AH46" s="148">
        <f t="shared" si="3"/>
        <v>459.35681055934214</v>
      </c>
      <c r="AI46" s="122">
        <f t="shared" si="4"/>
        <v>0.20999999999999996</v>
      </c>
      <c r="AJ46" s="444"/>
      <c r="AK46" s="150">
        <f t="shared" si="95"/>
        <v>449.82096774193542</v>
      </c>
      <c r="AL46" s="148">
        <f t="shared" si="6"/>
        <v>390.20632294825845</v>
      </c>
      <c r="AM46" s="125">
        <f t="shared" si="7"/>
        <v>0.17204301075268813</v>
      </c>
      <c r="AN46" s="125">
        <f t="shared" si="8"/>
        <v>0.15053763440860202</v>
      </c>
      <c r="AO46" s="140"/>
      <c r="AP46" s="17" t="s">
        <v>160</v>
      </c>
      <c r="AQ46" s="141"/>
      <c r="AR46" s="141"/>
      <c r="AS46" s="326">
        <v>174.2</v>
      </c>
      <c r="AT46" s="141"/>
      <c r="AU46" s="141"/>
      <c r="AV46" s="141"/>
      <c r="AW46" s="154">
        <f t="shared" si="96"/>
        <v>357.54999999999995</v>
      </c>
      <c r="AX46" s="126">
        <f>(AS46+($F$4-1500)/1000*O46)+($F$10/40/R46/$F$6)</f>
        <v>362.89188034188032</v>
      </c>
      <c r="AY46" s="147"/>
      <c r="AZ46" s="128"/>
      <c r="BB46" s="124">
        <f t="shared" si="11"/>
        <v>1531.1893685311404</v>
      </c>
      <c r="BC46" s="124">
        <f t="shared" si="12"/>
        <v>918.71362111868427</v>
      </c>
      <c r="BD46" s="124">
        <f t="shared" si="13"/>
        <v>765.59468426557021</v>
      </c>
      <c r="BE46" s="124">
        <f t="shared" si="14"/>
        <v>612.47574741245614</v>
      </c>
    </row>
    <row r="47" spans="1:59" s="129" customFormat="1" hidden="1">
      <c r="A47" s="90" t="s">
        <v>1276</v>
      </c>
      <c r="B47" s="88" t="s">
        <v>1317</v>
      </c>
      <c r="C47" s="88" t="s">
        <v>1318</v>
      </c>
      <c r="D47" s="90" t="s">
        <v>55</v>
      </c>
      <c r="E47" s="90" t="s">
        <v>56</v>
      </c>
      <c r="F47" s="90" t="s">
        <v>109</v>
      </c>
      <c r="G47" s="131" t="s">
        <v>58</v>
      </c>
      <c r="H47" s="131">
        <v>23</v>
      </c>
      <c r="I47" s="132" t="s">
        <v>1690</v>
      </c>
      <c r="J47" s="132" t="str">
        <f>_xlfn.XLOOKUP(I47,[1]Sheet1!$A:$A,[1]Sheet1!$B:$B,"")</f>
        <v>U0103010</v>
      </c>
      <c r="K47" s="90" t="s">
        <v>3664</v>
      </c>
      <c r="L47" s="90" t="s">
        <v>3666</v>
      </c>
      <c r="M47" s="131" t="s">
        <v>1493</v>
      </c>
      <c r="N47" s="91" t="s">
        <v>1223</v>
      </c>
      <c r="O47" s="92">
        <v>19</v>
      </c>
      <c r="P47" s="88" t="s">
        <v>61</v>
      </c>
      <c r="Q47" s="92" t="s">
        <v>62</v>
      </c>
      <c r="R47" s="92">
        <v>9</v>
      </c>
      <c r="S47" s="123"/>
      <c r="T47" s="131" t="s">
        <v>159</v>
      </c>
      <c r="U47" s="155">
        <v>0</v>
      </c>
      <c r="V47" s="207">
        <v>60</v>
      </c>
      <c r="W47" s="207">
        <v>14</v>
      </c>
      <c r="X47" s="207">
        <v>14</v>
      </c>
      <c r="Y47" s="207" t="s">
        <v>1224</v>
      </c>
      <c r="Z47" s="133">
        <f t="shared" ref="Z47:Z48" si="97">(AW47/(1-(AF47+2%)))*$F$6</f>
        <v>515.58475609756101</v>
      </c>
      <c r="AA47" s="133">
        <f>VLOOKUP(I47,'[2]PO &amp; SC Sept 2025'!$I$14:$BK$686,55,FALSE)+(($F$3/1000)-1.5)*O47</f>
        <v>454.14734520955915</v>
      </c>
      <c r="AB47" s="124">
        <f t="shared" ref="AB47:AB48" si="98">AX47/(1-AF47)</f>
        <v>438.65774657441324</v>
      </c>
      <c r="AC47" s="134">
        <f>VLOOKUP(I47,'[2]PO &amp; SC Sept 2025'!$I$14:$BE$686,49,FALSE)+(O47*(($F$4/1000)-1.5))</f>
        <v>396.55238808829773</v>
      </c>
      <c r="AD47" s="213">
        <f t="shared" ref="AD47:AD48" si="99">AE47</f>
        <v>7.0000000000000007E-2</v>
      </c>
      <c r="AE47" s="213">
        <v>7.0000000000000007E-2</v>
      </c>
      <c r="AF47" s="215">
        <v>0.16</v>
      </c>
      <c r="AG47" s="215" t="s">
        <v>9</v>
      </c>
      <c r="AH47" s="148">
        <f t="shared" ref="AH47:AH48" si="100">AB47</f>
        <v>438.65774657441324</v>
      </c>
      <c r="AI47" s="122">
        <f t="shared" ref="AI47:AI48" si="101">1-(AX47/AH47)</f>
        <v>0.16000000000000003</v>
      </c>
      <c r="AJ47" s="444"/>
      <c r="AK47" s="150">
        <f t="shared" ref="AK47:AK48" si="102">AW47/(1-AD47)*$F$6</f>
        <v>454.60161290322588</v>
      </c>
      <c r="AL47" s="148">
        <f t="shared" ref="AL47:AL48" si="103">AX47/(1-AE47)</f>
        <v>396.20699690592164</v>
      </c>
      <c r="AM47" s="125">
        <f t="shared" ref="AM47:AM48" si="104">1-(AK47/Z47)</f>
        <v>0.11827956989247301</v>
      </c>
      <c r="AN47" s="125">
        <f t="shared" ref="AN47:AN48" si="105">1-(AL47/AB47)</f>
        <v>9.6774193548387122E-2</v>
      </c>
      <c r="AO47" s="140"/>
      <c r="AP47" s="17" t="s">
        <v>160</v>
      </c>
      <c r="AQ47" s="141"/>
      <c r="AR47" s="141"/>
      <c r="AS47" s="153">
        <v>178</v>
      </c>
      <c r="AT47" s="141"/>
      <c r="AU47" s="141"/>
      <c r="AV47" s="141"/>
      <c r="AW47" s="154">
        <f t="shared" ref="AW47:AW48" si="106">AS47+($F$4-1500)/1000*O47</f>
        <v>361.35</v>
      </c>
      <c r="AX47" s="126">
        <f t="shared" ref="AX47:AX48" si="107">(AS47+($F$4-1500)/1000*O47)+($F$10/40/R47/$F$6)</f>
        <v>368.47250712250712</v>
      </c>
      <c r="AY47" s="147"/>
      <c r="AZ47" s="128"/>
      <c r="BB47" s="134">
        <f t="shared" ref="BB47:BB48" si="108">AB47/0.3</f>
        <v>1462.1924885813776</v>
      </c>
      <c r="BC47" s="134">
        <f t="shared" ref="BC47:BC48" si="109">BB47*0.6</f>
        <v>877.31549314882648</v>
      </c>
      <c r="BD47" s="134">
        <f t="shared" ref="BD47:BD48" si="110">BB47*0.5</f>
        <v>731.09624429068879</v>
      </c>
      <c r="BE47" s="134">
        <f t="shared" ref="BE47:BE48" si="111">BB47*0.4</f>
        <v>584.8769954325511</v>
      </c>
    </row>
    <row r="48" spans="1:59" s="129" customFormat="1" hidden="1">
      <c r="A48" s="90" t="s">
        <v>1276</v>
      </c>
      <c r="B48" s="88" t="s">
        <v>1317</v>
      </c>
      <c r="C48" s="88" t="s">
        <v>1318</v>
      </c>
      <c r="D48" s="90" t="s">
        <v>55</v>
      </c>
      <c r="E48" s="90" t="s">
        <v>56</v>
      </c>
      <c r="F48" s="90" t="s">
        <v>109</v>
      </c>
      <c r="G48" s="131" t="s">
        <v>58</v>
      </c>
      <c r="H48" s="131">
        <v>23</v>
      </c>
      <c r="I48" s="132" t="s">
        <v>3705</v>
      </c>
      <c r="J48" s="132" t="str">
        <f>_xlfn.XLOOKUP(I48,[1]Sheet1!$A:$A,[1]Sheet1!$B:$B,"")</f>
        <v/>
      </c>
      <c r="K48" s="90" t="s">
        <v>3664</v>
      </c>
      <c r="L48" s="90" t="s">
        <v>3666</v>
      </c>
      <c r="M48" s="131" t="s">
        <v>1493</v>
      </c>
      <c r="N48" s="91" t="s">
        <v>1223</v>
      </c>
      <c r="O48" s="92">
        <v>19</v>
      </c>
      <c r="P48" s="88" t="s">
        <v>3706</v>
      </c>
      <c r="Q48" s="92" t="s">
        <v>62</v>
      </c>
      <c r="R48" s="92">
        <v>6.1</v>
      </c>
      <c r="S48" s="123"/>
      <c r="T48" s="131" t="s">
        <v>159</v>
      </c>
      <c r="U48" s="155">
        <v>0</v>
      </c>
      <c r="V48" s="207">
        <v>60</v>
      </c>
      <c r="W48" s="207">
        <v>14</v>
      </c>
      <c r="X48" s="207">
        <v>14</v>
      </c>
      <c r="Y48" s="207" t="s">
        <v>1224</v>
      </c>
      <c r="Z48" s="133">
        <f t="shared" si="97"/>
        <v>521.29207317073167</v>
      </c>
      <c r="AA48" s="133"/>
      <c r="AB48" s="124">
        <f t="shared" si="98"/>
        <v>447.45073460237404</v>
      </c>
      <c r="AC48" s="134"/>
      <c r="AD48" s="213">
        <f t="shared" si="99"/>
        <v>7.0000000000000007E-2</v>
      </c>
      <c r="AE48" s="213">
        <v>7.0000000000000007E-2</v>
      </c>
      <c r="AF48" s="215">
        <v>0.16</v>
      </c>
      <c r="AG48" s="215" t="s">
        <v>9</v>
      </c>
      <c r="AH48" s="148">
        <f t="shared" si="100"/>
        <v>447.45073460237404</v>
      </c>
      <c r="AI48" s="122">
        <f t="shared" si="101"/>
        <v>0.16000000000000003</v>
      </c>
      <c r="AJ48" s="444"/>
      <c r="AK48" s="150">
        <f t="shared" si="102"/>
        <v>459.63387096774193</v>
      </c>
      <c r="AL48" s="148">
        <f t="shared" si="103"/>
        <v>404.14905060859593</v>
      </c>
      <c r="AM48" s="125">
        <f t="shared" si="104"/>
        <v>0.11827956989247312</v>
      </c>
      <c r="AN48" s="125">
        <f t="shared" si="105"/>
        <v>9.6774193548387011E-2</v>
      </c>
      <c r="AO48" s="140"/>
      <c r="AP48" s="17" t="s">
        <v>160</v>
      </c>
      <c r="AQ48" s="141"/>
      <c r="AR48" s="141"/>
      <c r="AS48" s="153">
        <v>182</v>
      </c>
      <c r="AT48" s="141"/>
      <c r="AU48" s="141"/>
      <c r="AV48" s="141"/>
      <c r="AW48" s="154">
        <f t="shared" si="106"/>
        <v>365.35</v>
      </c>
      <c r="AX48" s="126">
        <f t="shared" si="107"/>
        <v>375.85861706599417</v>
      </c>
      <c r="AY48" s="147"/>
      <c r="AZ48" s="128"/>
      <c r="BB48" s="134">
        <f t="shared" si="108"/>
        <v>1491.5024486745801</v>
      </c>
      <c r="BC48" s="134">
        <f t="shared" si="109"/>
        <v>894.90146920474808</v>
      </c>
      <c r="BD48" s="134">
        <f t="shared" si="110"/>
        <v>745.75122433729007</v>
      </c>
      <c r="BE48" s="134">
        <f t="shared" si="111"/>
        <v>596.60097946983205</v>
      </c>
    </row>
    <row r="49" spans="1:59" s="129" customFormat="1" hidden="1">
      <c r="A49" s="88" t="s">
        <v>1302</v>
      </c>
      <c r="B49" s="88" t="s">
        <v>1318</v>
      </c>
      <c r="C49" s="88" t="s">
        <v>1318</v>
      </c>
      <c r="D49" s="88" t="s">
        <v>55</v>
      </c>
      <c r="E49" s="89" t="s">
        <v>56</v>
      </c>
      <c r="F49" s="90" t="s">
        <v>109</v>
      </c>
      <c r="G49" s="131" t="s">
        <v>114</v>
      </c>
      <c r="H49" s="131">
        <v>23</v>
      </c>
      <c r="I49" s="132" t="s">
        <v>115</v>
      </c>
      <c r="J49" s="132" t="str">
        <f>_xlfn.XLOOKUP(I49,[1]Sheet1!$A:$A,[1]Sheet1!$B:$B,"")</f>
        <v>U0103014</v>
      </c>
      <c r="K49" s="90" t="s">
        <v>116</v>
      </c>
      <c r="L49" s="90" t="s">
        <v>117</v>
      </c>
      <c r="M49" s="131" t="s">
        <v>69</v>
      </c>
      <c r="N49" s="91" t="s">
        <v>60</v>
      </c>
      <c r="O49" s="92">
        <v>17.8</v>
      </c>
      <c r="P49" s="88" t="s">
        <v>61</v>
      </c>
      <c r="Q49" s="92" t="s">
        <v>62</v>
      </c>
      <c r="R49" s="92">
        <v>9</v>
      </c>
      <c r="S49" s="123" t="s">
        <v>118</v>
      </c>
      <c r="T49" s="131" t="s">
        <v>159</v>
      </c>
      <c r="U49" s="155">
        <v>0</v>
      </c>
      <c r="V49" s="207">
        <v>45</v>
      </c>
      <c r="W49" s="207">
        <v>45</v>
      </c>
      <c r="X49" s="207">
        <v>55</v>
      </c>
      <c r="Y49" s="207" t="s">
        <v>64</v>
      </c>
      <c r="Z49" s="133">
        <f>AW49/(1-(AF49+2%))</f>
        <v>481.8772893772894</v>
      </c>
      <c r="AA49" s="133">
        <f>VLOOKUP(I49,'[2]PO &amp; SC Sept 2025'!$I$14:$BK$686,55,FALSE)+(($F$3/1000)-1.5)*O49</f>
        <v>480.34290059639193</v>
      </c>
      <c r="AB49" s="124">
        <f t="shared" si="2"/>
        <v>413.71718559218561</v>
      </c>
      <c r="AC49" s="134">
        <f>VLOOKUP(I49,'[2]PO &amp; SC Sept 2025'!$I$14:$BE$686,49,FALSE)+(O49*(($F$4/1000)-1.5))</f>
        <v>419.07084529658368</v>
      </c>
      <c r="AD49" s="213">
        <v>0.09</v>
      </c>
      <c r="AE49" s="213">
        <v>0.09</v>
      </c>
      <c r="AF49" s="215">
        <v>0.2</v>
      </c>
      <c r="AG49" s="216" t="s">
        <v>9</v>
      </c>
      <c r="AH49" s="148">
        <f t="shared" si="3"/>
        <v>413.71718559218561</v>
      </c>
      <c r="AI49" s="149">
        <f t="shared" si="4"/>
        <v>0.19999999999999996</v>
      </c>
      <c r="AJ49" s="444"/>
      <c r="AK49" s="150">
        <f t="shared" si="5"/>
        <v>413.03767660910523</v>
      </c>
      <c r="AL49" s="148">
        <f t="shared" si="6"/>
        <v>363.70741590521811</v>
      </c>
      <c r="AM49" s="125">
        <f t="shared" si="7"/>
        <v>0.14285714285714279</v>
      </c>
      <c r="AN49" s="125">
        <f t="shared" si="8"/>
        <v>0.12087912087912089</v>
      </c>
      <c r="AO49" s="140"/>
      <c r="AP49" s="17" t="s">
        <v>81</v>
      </c>
      <c r="AQ49" s="141">
        <v>16.64</v>
      </c>
      <c r="AR49" s="141">
        <v>2093.5700000000002</v>
      </c>
      <c r="AS49" s="141"/>
      <c r="AT49" s="141">
        <v>5</v>
      </c>
      <c r="AU49" s="141">
        <f t="shared" si="9"/>
        <v>2626.05</v>
      </c>
      <c r="AV49" s="141">
        <f t="shared" si="0"/>
        <v>2631.05</v>
      </c>
      <c r="AW49" s="142">
        <f t="shared" ref="AW49:AW68" si="112">(AT49+AU49)/$F$5</f>
        <v>375.86428571428576</v>
      </c>
      <c r="AX49" s="126">
        <f t="shared" si="10"/>
        <v>330.97374847374851</v>
      </c>
      <c r="AY49" s="147"/>
      <c r="AZ49" s="128" t="s">
        <v>63</v>
      </c>
      <c r="BB49" s="124">
        <f t="shared" si="11"/>
        <v>1379.0572853072854</v>
      </c>
      <c r="BC49" s="124">
        <f t="shared" si="12"/>
        <v>827.43437118437123</v>
      </c>
      <c r="BD49" s="124">
        <f t="shared" si="13"/>
        <v>689.52864265364269</v>
      </c>
      <c r="BE49" s="124">
        <f t="shared" si="14"/>
        <v>551.62291412291415</v>
      </c>
    </row>
    <row r="50" spans="1:59" s="129" customFormat="1" hidden="1">
      <c r="A50" s="88" t="s">
        <v>1302</v>
      </c>
      <c r="B50" s="88" t="s">
        <v>1318</v>
      </c>
      <c r="C50" s="88" t="s">
        <v>1318</v>
      </c>
      <c r="D50" s="88" t="s">
        <v>55</v>
      </c>
      <c r="E50" s="89" t="s">
        <v>56</v>
      </c>
      <c r="F50" s="90" t="s">
        <v>109</v>
      </c>
      <c r="G50" s="131" t="s">
        <v>114</v>
      </c>
      <c r="H50" s="131">
        <v>23</v>
      </c>
      <c r="I50" s="132" t="s">
        <v>119</v>
      </c>
      <c r="J50" s="132" t="str">
        <f>_xlfn.XLOOKUP(I50,[1]Sheet1!$A:$A,[1]Sheet1!$B:$B,"")</f>
        <v>U0103015</v>
      </c>
      <c r="K50" s="90" t="s">
        <v>120</v>
      </c>
      <c r="L50" s="90" t="s">
        <v>121</v>
      </c>
      <c r="M50" s="131" t="s">
        <v>69</v>
      </c>
      <c r="N50" s="91" t="s">
        <v>60</v>
      </c>
      <c r="O50" s="92">
        <v>35.6</v>
      </c>
      <c r="P50" s="88" t="s">
        <v>61</v>
      </c>
      <c r="Q50" s="92" t="s">
        <v>62</v>
      </c>
      <c r="R50" s="92">
        <v>4</v>
      </c>
      <c r="S50" s="123" t="s">
        <v>122</v>
      </c>
      <c r="T50" s="131" t="s">
        <v>159</v>
      </c>
      <c r="U50" s="155">
        <v>0</v>
      </c>
      <c r="V50" s="207">
        <v>45</v>
      </c>
      <c r="W50" s="207">
        <v>45</v>
      </c>
      <c r="X50" s="207">
        <v>55</v>
      </c>
      <c r="Y50" s="207" t="s">
        <v>64</v>
      </c>
      <c r="Z50" s="133">
        <f t="shared" si="1"/>
        <v>985.19710669077745</v>
      </c>
      <c r="AA50" s="133">
        <f>VLOOKUP(I50,'[2]PO &amp; SC Sept 2025'!$I$14:$BK$686,55,FALSE)+(($F$3/1000)-1.5)*O50</f>
        <v>977.71157771237256</v>
      </c>
      <c r="AB50" s="124">
        <f t="shared" si="2"/>
        <v>848.26365335624587</v>
      </c>
      <c r="AC50" s="134">
        <f>VLOOKUP(I50,'[2]PO &amp; SC Sept 2025'!$I$14:$BE$686,49,FALSE)+(O50*(($F$4/1000)-1.5))</f>
        <v>855.96572244196682</v>
      </c>
      <c r="AD50" s="213">
        <v>0.09</v>
      </c>
      <c r="AE50" s="213">
        <v>0.09</v>
      </c>
      <c r="AF50" s="215">
        <v>0.19</v>
      </c>
      <c r="AG50" s="216" t="s">
        <v>9</v>
      </c>
      <c r="AH50" s="148">
        <f t="shared" si="3"/>
        <v>848.26365335624587</v>
      </c>
      <c r="AI50" s="149">
        <f t="shared" si="4"/>
        <v>0.18999999999999995</v>
      </c>
      <c r="AJ50" s="444"/>
      <c r="AK50" s="150">
        <f t="shared" si="5"/>
        <v>855.281004709576</v>
      </c>
      <c r="AL50" s="148">
        <f t="shared" si="6"/>
        <v>755.04786727314195</v>
      </c>
      <c r="AM50" s="125">
        <f t="shared" si="7"/>
        <v>0.13186813186813184</v>
      </c>
      <c r="AN50" s="125">
        <f>1-(AL50/AB50)</f>
        <v>0.10989010989010983</v>
      </c>
      <c r="AO50" s="140"/>
      <c r="AP50" s="17" t="s">
        <v>81</v>
      </c>
      <c r="AQ50" s="141">
        <v>34.82</v>
      </c>
      <c r="AR50" s="141">
        <v>4328.8999999999996</v>
      </c>
      <c r="AS50" s="141"/>
      <c r="AT50" s="141">
        <v>5</v>
      </c>
      <c r="AU50" s="141">
        <f t="shared" si="9"/>
        <v>5443.1399999999994</v>
      </c>
      <c r="AV50" s="141">
        <f t="shared" si="0"/>
        <v>5448.1399999999994</v>
      </c>
      <c r="AW50" s="142">
        <f t="shared" si="112"/>
        <v>778.3057142857142</v>
      </c>
      <c r="AX50" s="126">
        <f t="shared" si="10"/>
        <v>687.09355921855922</v>
      </c>
      <c r="AY50" s="127"/>
      <c r="AZ50" s="128" t="s">
        <v>63</v>
      </c>
      <c r="BB50" s="124">
        <f t="shared" si="11"/>
        <v>2827.5455111874862</v>
      </c>
      <c r="BC50" s="124">
        <f t="shared" si="12"/>
        <v>1696.5273067124917</v>
      </c>
      <c r="BD50" s="124">
        <f t="shared" si="13"/>
        <v>1413.7727555937431</v>
      </c>
      <c r="BE50" s="124">
        <f t="shared" si="14"/>
        <v>1131.0182044749945</v>
      </c>
    </row>
    <row r="51" spans="1:59" s="129" customFormat="1" hidden="1">
      <c r="A51" s="88" t="s">
        <v>1302</v>
      </c>
      <c r="B51" s="88" t="s">
        <v>1317</v>
      </c>
      <c r="C51" s="88" t="s">
        <v>1317</v>
      </c>
      <c r="D51" s="88" t="s">
        <v>55</v>
      </c>
      <c r="E51" s="89" t="s">
        <v>56</v>
      </c>
      <c r="F51" s="90" t="s">
        <v>109</v>
      </c>
      <c r="G51" s="131" t="s">
        <v>114</v>
      </c>
      <c r="H51" s="131">
        <v>23</v>
      </c>
      <c r="I51" s="132" t="s">
        <v>3788</v>
      </c>
      <c r="J51" s="132" t="str">
        <f>_xlfn.XLOOKUP(I51,[1]Sheet1!$A:$A,[1]Sheet1!$B:$B,"")</f>
        <v>U0103013</v>
      </c>
      <c r="K51" s="90" t="s">
        <v>123</v>
      </c>
      <c r="L51" s="90" t="s">
        <v>124</v>
      </c>
      <c r="M51" s="131" t="s">
        <v>125</v>
      </c>
      <c r="N51" s="91" t="s">
        <v>60</v>
      </c>
      <c r="O51" s="92">
        <v>17.8</v>
      </c>
      <c r="P51" s="88" t="s">
        <v>61</v>
      </c>
      <c r="Q51" s="92" t="s">
        <v>62</v>
      </c>
      <c r="R51" s="92">
        <v>9</v>
      </c>
      <c r="S51" s="123" t="s">
        <v>126</v>
      </c>
      <c r="T51" s="131" t="s">
        <v>159</v>
      </c>
      <c r="U51" s="155">
        <v>0</v>
      </c>
      <c r="V51" s="207">
        <v>45</v>
      </c>
      <c r="W51" s="207">
        <v>45</v>
      </c>
      <c r="X51" s="207">
        <v>55</v>
      </c>
      <c r="Y51" s="207" t="s">
        <v>64</v>
      </c>
      <c r="Z51" s="133">
        <f t="shared" si="1"/>
        <v>509.7763157894737</v>
      </c>
      <c r="AA51" s="133">
        <f>VLOOKUP(I51,'[2]PO &amp; SC Sept 2025'!$I$14:$BK$686,55,FALSE)+(($F$3/1000)-1.5)*O51</f>
        <v>505.10066678661667</v>
      </c>
      <c r="AB51" s="124">
        <f t="shared" si="2"/>
        <v>436.99868507560814</v>
      </c>
      <c r="AC51" s="134">
        <f>VLOOKUP(I51,'[2]PO &amp; SC Sept 2025'!$I$14:$BE$686,49,FALSE)+(O51*(($F$4/1000)-1.5))</f>
        <v>440.15998306621748</v>
      </c>
      <c r="AD51" s="213">
        <v>0.09</v>
      </c>
      <c r="AE51" s="213">
        <v>0.09</v>
      </c>
      <c r="AF51" s="215">
        <v>0.22</v>
      </c>
      <c r="AG51" s="216" t="s">
        <v>9</v>
      </c>
      <c r="AH51" s="148">
        <f t="shared" si="3"/>
        <v>436.99868507560814</v>
      </c>
      <c r="AI51" s="149">
        <f t="shared" si="4"/>
        <v>0.21999999999999997</v>
      </c>
      <c r="AJ51" s="444"/>
      <c r="AK51" s="150">
        <f t="shared" si="5"/>
        <v>425.74725274725273</v>
      </c>
      <c r="AL51" s="148">
        <f t="shared" si="6"/>
        <v>374.57030149337839</v>
      </c>
      <c r="AM51" s="125">
        <f t="shared" si="7"/>
        <v>0.16483516483516492</v>
      </c>
      <c r="AN51" s="125">
        <f t="shared" si="8"/>
        <v>0.1428571428571429</v>
      </c>
      <c r="AO51" s="140"/>
      <c r="AP51" s="17" t="s">
        <v>81</v>
      </c>
      <c r="AQ51" s="141">
        <v>17.149999999999999</v>
      </c>
      <c r="AR51" s="141">
        <v>2158.21</v>
      </c>
      <c r="AS51" s="141"/>
      <c r="AT51" s="141">
        <v>5</v>
      </c>
      <c r="AU51" s="141">
        <f t="shared" si="9"/>
        <v>2707.01</v>
      </c>
      <c r="AV51" s="141">
        <f t="shared" si="0"/>
        <v>2712.01</v>
      </c>
      <c r="AW51" s="142">
        <f t="shared" si="112"/>
        <v>387.43</v>
      </c>
      <c r="AX51" s="126">
        <f t="shared" si="10"/>
        <v>340.85897435897436</v>
      </c>
      <c r="AY51" s="127"/>
      <c r="AZ51" s="128" t="s">
        <v>63</v>
      </c>
      <c r="BB51" s="124">
        <f t="shared" si="11"/>
        <v>1456.6622835853605</v>
      </c>
      <c r="BC51" s="124">
        <f t="shared" si="12"/>
        <v>873.99737015121627</v>
      </c>
      <c r="BD51" s="124">
        <f t="shared" si="13"/>
        <v>728.33114179268023</v>
      </c>
      <c r="BE51" s="124">
        <f t="shared" si="14"/>
        <v>582.66491343414418</v>
      </c>
    </row>
    <row r="52" spans="1:59" s="129" customFormat="1" hidden="1">
      <c r="A52" s="88" t="s">
        <v>1302</v>
      </c>
      <c r="B52" s="88" t="s">
        <v>1317</v>
      </c>
      <c r="C52" s="88" t="s">
        <v>1317</v>
      </c>
      <c r="D52" s="88" t="s">
        <v>55</v>
      </c>
      <c r="E52" s="89" t="s">
        <v>56</v>
      </c>
      <c r="F52" s="90" t="s">
        <v>109</v>
      </c>
      <c r="G52" s="131" t="s">
        <v>114</v>
      </c>
      <c r="H52" s="131">
        <v>23</v>
      </c>
      <c r="I52" s="132" t="s">
        <v>127</v>
      </c>
      <c r="J52" s="132" t="str">
        <f>_xlfn.XLOOKUP(I52,[1]Sheet1!$A:$A,[1]Sheet1!$B:$B,"")</f>
        <v>U0103012</v>
      </c>
      <c r="K52" s="90" t="s">
        <v>128</v>
      </c>
      <c r="L52" s="90" t="s">
        <v>129</v>
      </c>
      <c r="M52" s="131" t="s">
        <v>130</v>
      </c>
      <c r="N52" s="91" t="s">
        <v>60</v>
      </c>
      <c r="O52" s="92">
        <v>17.8</v>
      </c>
      <c r="P52" s="88" t="s">
        <v>61</v>
      </c>
      <c r="Q52" s="92" t="s">
        <v>62</v>
      </c>
      <c r="R52" s="92">
        <v>9</v>
      </c>
      <c r="S52" s="123" t="s">
        <v>131</v>
      </c>
      <c r="T52" s="131" t="s">
        <v>159</v>
      </c>
      <c r="U52" s="155">
        <v>0</v>
      </c>
      <c r="V52" s="207">
        <v>45</v>
      </c>
      <c r="W52" s="207">
        <v>45</v>
      </c>
      <c r="X52" s="207">
        <v>55</v>
      </c>
      <c r="Y52" s="207" t="s">
        <v>64</v>
      </c>
      <c r="Z52" s="133">
        <f t="shared" si="1"/>
        <v>539.98648648648657</v>
      </c>
      <c r="AA52" s="133">
        <f>VLOOKUP(I52,'[2]PO &amp; SC Sept 2025'!$I$14:$BK$686,55,FALSE)+(($F$3/1000)-1.5)*O52</f>
        <v>525.26251535177926</v>
      </c>
      <c r="AB52" s="124">
        <f t="shared" si="2"/>
        <v>462.17386414754844</v>
      </c>
      <c r="AC52" s="134">
        <f>VLOOKUP(I52,'[2]PO &amp; SC Sept 2025'!$I$14:$BE$686,49,FALSE)+(O52*(($F$4/1000)-1.5))</f>
        <v>457.28308635892949</v>
      </c>
      <c r="AD52" s="213">
        <v>0.09</v>
      </c>
      <c r="AE52" s="213">
        <v>0.09</v>
      </c>
      <c r="AF52" s="215">
        <v>0.24</v>
      </c>
      <c r="AG52" s="216" t="s">
        <v>9</v>
      </c>
      <c r="AH52" s="148">
        <f t="shared" si="3"/>
        <v>462.17386414754844</v>
      </c>
      <c r="AI52" s="149">
        <f t="shared" si="4"/>
        <v>0.24</v>
      </c>
      <c r="AJ52" s="444"/>
      <c r="AK52" s="150">
        <f t="shared" si="5"/>
        <v>439.1098901098901</v>
      </c>
      <c r="AL52" s="148">
        <f t="shared" si="6"/>
        <v>385.99135906828224</v>
      </c>
      <c r="AM52" s="125">
        <f t="shared" si="7"/>
        <v>0.18681318681318693</v>
      </c>
      <c r="AN52" s="125">
        <f t="shared" si="8"/>
        <v>0.1648351648351648</v>
      </c>
      <c r="AO52" s="140"/>
      <c r="AP52" s="17" t="s">
        <v>81</v>
      </c>
      <c r="AQ52" s="141">
        <v>17.73</v>
      </c>
      <c r="AR52" s="141">
        <v>2224.77</v>
      </c>
      <c r="AS52" s="141"/>
      <c r="AT52" s="141">
        <v>5</v>
      </c>
      <c r="AU52" s="141">
        <f t="shared" si="9"/>
        <v>2792.13</v>
      </c>
      <c r="AV52" s="141">
        <f t="shared" si="0"/>
        <v>2797.13</v>
      </c>
      <c r="AW52" s="142">
        <f t="shared" si="112"/>
        <v>399.59000000000003</v>
      </c>
      <c r="AX52" s="126">
        <f t="shared" si="10"/>
        <v>351.25213675213683</v>
      </c>
      <c r="AY52" s="127"/>
      <c r="AZ52" s="128" t="s">
        <v>63</v>
      </c>
      <c r="BB52" s="124">
        <f t="shared" si="11"/>
        <v>1540.579547158495</v>
      </c>
      <c r="BC52" s="124">
        <f t="shared" si="12"/>
        <v>924.34772829509689</v>
      </c>
      <c r="BD52" s="124">
        <f t="shared" si="13"/>
        <v>770.28977357924748</v>
      </c>
      <c r="BE52" s="124">
        <f t="shared" si="14"/>
        <v>616.23181886339808</v>
      </c>
    </row>
    <row r="53" spans="1:59" s="129" customFormat="1" hidden="1">
      <c r="A53" s="88" t="s">
        <v>1302</v>
      </c>
      <c r="B53" s="88" t="s">
        <v>1317</v>
      </c>
      <c r="C53" s="88" t="s">
        <v>1317</v>
      </c>
      <c r="D53" s="88" t="s">
        <v>55</v>
      </c>
      <c r="E53" s="89" t="s">
        <v>56</v>
      </c>
      <c r="F53" s="90" t="s">
        <v>109</v>
      </c>
      <c r="G53" s="131" t="s">
        <v>114</v>
      </c>
      <c r="H53" s="131">
        <v>23</v>
      </c>
      <c r="I53" s="132" t="s">
        <v>115</v>
      </c>
      <c r="J53" s="132" t="str">
        <f>_xlfn.XLOOKUP(I53,[1]Sheet1!$A:$A,[1]Sheet1!$B:$B,"")</f>
        <v>U0103014</v>
      </c>
      <c r="K53" s="90" t="s">
        <v>116</v>
      </c>
      <c r="L53" s="90" t="s">
        <v>117</v>
      </c>
      <c r="M53" s="131" t="s">
        <v>69</v>
      </c>
      <c r="N53" s="91" t="s">
        <v>158</v>
      </c>
      <c r="O53" s="92">
        <v>19</v>
      </c>
      <c r="P53" s="88" t="s">
        <v>61</v>
      </c>
      <c r="Q53" s="92" t="s">
        <v>62</v>
      </c>
      <c r="R53" s="92">
        <v>9</v>
      </c>
      <c r="S53" s="123" t="s">
        <v>118</v>
      </c>
      <c r="T53" s="131" t="s">
        <v>159</v>
      </c>
      <c r="U53" s="155">
        <v>0</v>
      </c>
      <c r="V53" s="207">
        <v>60</v>
      </c>
      <c r="W53" s="207">
        <v>14</v>
      </c>
      <c r="X53" s="207">
        <v>14</v>
      </c>
      <c r="Y53" s="207" t="s">
        <v>1582</v>
      </c>
      <c r="Z53" s="133">
        <f t="shared" ref="Z53:Z54" si="113">(AW53/(1-(AF53+2%)))*$F$6</f>
        <v>518.43841463414628</v>
      </c>
      <c r="AA53" s="133">
        <f>VLOOKUP(I53,'[2]PO &amp; SC Sept 2025'!$I$14:$BK$686,55,FALSE)+(($F$3/1000)-1.5)*O53</f>
        <v>494.19750059639193</v>
      </c>
      <c r="AB53" s="124">
        <f>AX53/(1-AF53)</f>
        <v>441.03869895536565</v>
      </c>
      <c r="AC53" s="134">
        <f>VLOOKUP(I53,'[2]PO &amp; SC Sept 2025'!$I$14:$BE$686,49,FALSE)+(O53*(($F$4/1000)-1.5))</f>
        <v>430.65084529658373</v>
      </c>
      <c r="AD53" s="213">
        <f>AE53</f>
        <v>7.0000000000000007E-2</v>
      </c>
      <c r="AE53" s="213">
        <v>7.0000000000000007E-2</v>
      </c>
      <c r="AF53" s="215">
        <v>0.16</v>
      </c>
      <c r="AG53" s="215" t="s">
        <v>9</v>
      </c>
      <c r="AH53" s="148">
        <f t="shared" si="3"/>
        <v>441.03869895536565</v>
      </c>
      <c r="AI53" s="135">
        <f>1-(AX53/AH53)</f>
        <v>0.16000000000000003</v>
      </c>
      <c r="AJ53" s="444"/>
      <c r="AK53" s="150">
        <f t="shared" ref="AK53:AK54" si="114">AW53/(1-AD53)*$F$6</f>
        <v>457.11774193548388</v>
      </c>
      <c r="AL53" s="148">
        <f t="shared" si="6"/>
        <v>398.35753454033028</v>
      </c>
      <c r="AM53" s="139">
        <f>1-(AK53/Z53)</f>
        <v>0.11827956989247301</v>
      </c>
      <c r="AN53" s="139">
        <f>1-(AL53/AB53)</f>
        <v>9.6774193548387011E-2</v>
      </c>
      <c r="AO53" s="140"/>
      <c r="AP53" s="17" t="s">
        <v>160</v>
      </c>
      <c r="AQ53" s="141"/>
      <c r="AR53" s="141"/>
      <c r="AS53" s="326">
        <v>180</v>
      </c>
      <c r="AT53" s="141"/>
      <c r="AU53" s="141"/>
      <c r="AV53" s="141"/>
      <c r="AW53" s="154">
        <f>AS53+($F$4-1500)/1000*O53</f>
        <v>363.35</v>
      </c>
      <c r="AX53" s="126">
        <f>(AS53+($F$4-1500)/1000*O53)+($F$10/40/R53/$F$6)</f>
        <v>370.47250712250712</v>
      </c>
      <c r="AY53" s="17"/>
      <c r="AZ53" s="128" t="s">
        <v>63</v>
      </c>
      <c r="BB53" s="124">
        <f t="shared" si="11"/>
        <v>1470.1289965178855</v>
      </c>
      <c r="BC53" s="124">
        <f t="shared" si="12"/>
        <v>882.07739791073129</v>
      </c>
      <c r="BD53" s="124">
        <f t="shared" si="13"/>
        <v>735.06449825894276</v>
      </c>
      <c r="BE53" s="124">
        <f t="shared" si="14"/>
        <v>588.05159860715423</v>
      </c>
    </row>
    <row r="54" spans="1:59" s="129" customFormat="1" hidden="1">
      <c r="A54" s="88" t="s">
        <v>1302</v>
      </c>
      <c r="B54" s="88" t="s">
        <v>1317</v>
      </c>
      <c r="C54" s="88" t="s">
        <v>1317</v>
      </c>
      <c r="D54" s="88" t="s">
        <v>55</v>
      </c>
      <c r="E54" s="89" t="s">
        <v>56</v>
      </c>
      <c r="F54" s="90" t="s">
        <v>109</v>
      </c>
      <c r="G54" s="131" t="s">
        <v>114</v>
      </c>
      <c r="H54" s="131">
        <v>23</v>
      </c>
      <c r="I54" s="132" t="s">
        <v>119</v>
      </c>
      <c r="J54" s="132" t="str">
        <f>_xlfn.XLOOKUP(I54,[1]Sheet1!$A:$A,[1]Sheet1!$B:$B,"")</f>
        <v>U0103015</v>
      </c>
      <c r="K54" s="90" t="s">
        <v>120</v>
      </c>
      <c r="L54" s="90" t="s">
        <v>121</v>
      </c>
      <c r="M54" s="131" t="s">
        <v>69</v>
      </c>
      <c r="N54" s="91" t="s">
        <v>158</v>
      </c>
      <c r="O54" s="92">
        <v>37</v>
      </c>
      <c r="P54" s="88" t="s">
        <v>61</v>
      </c>
      <c r="Q54" s="92" t="s">
        <v>62</v>
      </c>
      <c r="R54" s="92">
        <v>4</v>
      </c>
      <c r="S54" s="123" t="s">
        <v>122</v>
      </c>
      <c r="T54" s="131" t="s">
        <v>159</v>
      </c>
      <c r="U54" s="155">
        <v>0</v>
      </c>
      <c r="V54" s="207">
        <v>60</v>
      </c>
      <c r="W54" s="207">
        <v>14</v>
      </c>
      <c r="X54" s="207">
        <v>14</v>
      </c>
      <c r="Y54" s="207" t="s">
        <v>1582</v>
      </c>
      <c r="Z54" s="133">
        <f t="shared" si="113"/>
        <v>1073.6345454545453</v>
      </c>
      <c r="AA54" s="133">
        <f>VLOOKUP(I54,'[2]PO &amp; SC Sept 2025'!$I$14:$BK$686,55,FALSE)+(($F$3/1000)-1.5)*O54</f>
        <v>993.87527771237251</v>
      </c>
      <c r="AB54" s="124">
        <f>AX54/(1-AF54)</f>
        <v>914.88241541495972</v>
      </c>
      <c r="AC54" s="134">
        <f>VLOOKUP(I54,'[2]PO &amp; SC Sept 2025'!$I$14:$BE$686,49,FALSE)+(O54*(($F$4/1000)-1.5))</f>
        <v>869.47572244196681</v>
      </c>
      <c r="AD54" s="213">
        <f>AE54</f>
        <v>7.0000000000000007E-2</v>
      </c>
      <c r="AE54" s="213">
        <v>7.0000000000000007E-2</v>
      </c>
      <c r="AF54" s="215">
        <v>0.155</v>
      </c>
      <c r="AG54" s="215" t="s">
        <v>9</v>
      </c>
      <c r="AH54" s="148">
        <f t="shared" si="3"/>
        <v>914.88241541495972</v>
      </c>
      <c r="AI54" s="122">
        <f>1-(AX54/AH54)</f>
        <v>0.15500000000000003</v>
      </c>
      <c r="AJ54" s="444"/>
      <c r="AK54" s="150">
        <f t="shared" si="114"/>
        <v>952.41774193548383</v>
      </c>
      <c r="AL54" s="148">
        <f t="shared" si="6"/>
        <v>831.26413013509784</v>
      </c>
      <c r="AM54" s="125">
        <f>1-(AK54/Z54)</f>
        <v>0.11290322580645151</v>
      </c>
      <c r="AN54" s="125">
        <f>1-(AL54/AB54)</f>
        <v>9.139784946236551E-2</v>
      </c>
      <c r="AO54" s="140"/>
      <c r="AP54" s="17" t="s">
        <v>160</v>
      </c>
      <c r="AQ54" s="141"/>
      <c r="AR54" s="141"/>
      <c r="AS54" s="326">
        <v>400</v>
      </c>
      <c r="AT54" s="141"/>
      <c r="AU54" s="141"/>
      <c r="AV54" s="141"/>
      <c r="AW54" s="154">
        <f>AS54+($F$4-1500)/1000*O54</f>
        <v>757.05</v>
      </c>
      <c r="AX54" s="126">
        <f>(AS54+($F$4-1500)/1000*O54)+($F$10/40/R54/$F$6)</f>
        <v>773.07564102564095</v>
      </c>
      <c r="AY54" s="17"/>
      <c r="AZ54" s="128" t="s">
        <v>63</v>
      </c>
      <c r="BB54" s="124">
        <f t="shared" si="11"/>
        <v>3049.6080513831994</v>
      </c>
      <c r="BC54" s="124">
        <f t="shared" si="12"/>
        <v>1829.7648308299197</v>
      </c>
      <c r="BD54" s="124">
        <f t="shared" si="13"/>
        <v>1524.8040256915997</v>
      </c>
      <c r="BE54" s="124">
        <f t="shared" si="14"/>
        <v>1219.8432205532797</v>
      </c>
    </row>
    <row r="55" spans="1:59" s="129" customFormat="1" hidden="1">
      <c r="A55" s="88" t="s">
        <v>1276</v>
      </c>
      <c r="B55" s="88" t="s">
        <v>1317</v>
      </c>
      <c r="C55" s="88" t="s">
        <v>1318</v>
      </c>
      <c r="D55" s="88" t="s">
        <v>55</v>
      </c>
      <c r="E55" s="89" t="s">
        <v>56</v>
      </c>
      <c r="F55" s="90" t="s">
        <v>1477</v>
      </c>
      <c r="G55" s="131" t="s">
        <v>70</v>
      </c>
      <c r="H55" s="131">
        <v>23</v>
      </c>
      <c r="I55" s="132" t="s">
        <v>2422</v>
      </c>
      <c r="J55" s="132" t="str">
        <f>_xlfn.XLOOKUP(I55,[1]Sheet1!$A:$A,[1]Sheet1!$B:$B,"")</f>
        <v/>
      </c>
      <c r="K55" s="90" t="s">
        <v>1483</v>
      </c>
      <c r="L55" s="90" t="s">
        <v>1488</v>
      </c>
      <c r="M55" s="131" t="s">
        <v>69</v>
      </c>
      <c r="N55" s="91" t="s">
        <v>60</v>
      </c>
      <c r="O55" s="92">
        <v>17.5</v>
      </c>
      <c r="P55" s="88" t="s">
        <v>61</v>
      </c>
      <c r="Q55" s="92" t="s">
        <v>62</v>
      </c>
      <c r="R55" s="92">
        <v>9</v>
      </c>
      <c r="S55" s="123"/>
      <c r="T55" s="131" t="s">
        <v>159</v>
      </c>
      <c r="U55" s="155">
        <v>0</v>
      </c>
      <c r="V55" s="207">
        <v>45</v>
      </c>
      <c r="W55" s="207">
        <v>45</v>
      </c>
      <c r="X55" s="207">
        <v>55</v>
      </c>
      <c r="Y55" s="207" t="s">
        <v>64</v>
      </c>
      <c r="Z55" s="133">
        <f t="shared" ref="Z55:Z61" si="115">AW55/(1-(AF55+2%))</f>
        <v>482.14538878842677</v>
      </c>
      <c r="AA55" s="133">
        <f>VLOOKUP(I55,'[2]PO &amp; SC Sept 2025'!$I$14:$BK$686,55,FALSE)+(($F$3/1000)-1.5)*O55</f>
        <v>476.80583886238253</v>
      </c>
      <c r="AB55" s="124">
        <f t="shared" ref="AB55:AB61" si="116">AX55/(1-AF55)</f>
        <v>413.91775576960765</v>
      </c>
      <c r="AC55" s="134">
        <f>VLOOKUP(I55,'[2]PO &amp; SC Sept 2025'!$I$14:$BE$686,49,FALSE)+(O55*(($F$4/1000)-1.5))</f>
        <v>416.11030135249553</v>
      </c>
      <c r="AD55" s="213">
        <v>0.09</v>
      </c>
      <c r="AE55" s="213">
        <v>0.09</v>
      </c>
      <c r="AF55" s="215">
        <v>0.19</v>
      </c>
      <c r="AG55" s="216" t="s">
        <v>9</v>
      </c>
      <c r="AH55" s="148">
        <f t="shared" si="3"/>
        <v>413.91775576960765</v>
      </c>
      <c r="AI55" s="149">
        <f t="shared" ref="AI55:AI57" si="117">1-(AX55/AH55)</f>
        <v>0.18999999999999995</v>
      </c>
      <c r="AJ55" s="444"/>
      <c r="AK55" s="150">
        <f t="shared" ref="AK55:AK57" si="118">AW55/(1-AD55)</f>
        <v>418.56577708006284</v>
      </c>
      <c r="AL55" s="148">
        <f t="shared" ref="AL55:AL57" si="119">AX55/(1-AE55)</f>
        <v>368.4322881026178</v>
      </c>
      <c r="AM55" s="125">
        <f t="shared" ref="AM55:AM57" si="120">1-(AK55/Z55)</f>
        <v>0.13186813186813173</v>
      </c>
      <c r="AN55" s="125">
        <f t="shared" ref="AN55:AN57" si="121">1-(AL55/AB55)</f>
        <v>0.10989010989010983</v>
      </c>
      <c r="AO55" s="140"/>
      <c r="AP55" s="17" t="s">
        <v>65</v>
      </c>
      <c r="AQ55" s="141">
        <f>1.31*2*7.2</f>
        <v>18.864000000000001</v>
      </c>
      <c r="AR55" s="141">
        <f>285.78*7.2</f>
        <v>2057.616</v>
      </c>
      <c r="AS55" s="141"/>
      <c r="AT55" s="141">
        <v>5</v>
      </c>
      <c r="AU55" s="141">
        <f t="shared" ref="AU55:AU57" si="122">($F$2-70000)/1000*AQ55+AR55</f>
        <v>2661.2640000000001</v>
      </c>
      <c r="AV55" s="141">
        <f>AT55+AU55</f>
        <v>2666.2640000000001</v>
      </c>
      <c r="AW55" s="142">
        <f t="shared" si="112"/>
        <v>380.89485714285718</v>
      </c>
      <c r="AX55" s="126">
        <f t="shared" ref="AX55:AX57" si="123">(AW55/$F$6)+(($F$9+$G$9)/40/R55)+AW55*U55</f>
        <v>335.27338217338223</v>
      </c>
      <c r="AY55" s="147"/>
      <c r="AZ55" s="128" t="s">
        <v>63</v>
      </c>
      <c r="BB55" s="134">
        <f t="shared" si="11"/>
        <v>1379.725852565359</v>
      </c>
      <c r="BC55" s="134">
        <f t="shared" si="12"/>
        <v>827.83551153921542</v>
      </c>
      <c r="BD55" s="134">
        <f t="shared" si="13"/>
        <v>689.8629262826795</v>
      </c>
      <c r="BE55" s="134">
        <f t="shared" si="14"/>
        <v>551.89034102614357</v>
      </c>
    </row>
    <row r="56" spans="1:59" s="129" customFormat="1" hidden="1">
      <c r="A56" s="88" t="s">
        <v>1276</v>
      </c>
      <c r="B56" s="88" t="s">
        <v>2239</v>
      </c>
      <c r="C56" s="88" t="s">
        <v>1318</v>
      </c>
      <c r="D56" s="88" t="s">
        <v>55</v>
      </c>
      <c r="E56" s="89" t="s">
        <v>56</v>
      </c>
      <c r="F56" s="90" t="s">
        <v>1477</v>
      </c>
      <c r="G56" s="131" t="s">
        <v>70</v>
      </c>
      <c r="H56" s="131">
        <v>23</v>
      </c>
      <c r="I56" s="132" t="s">
        <v>1479</v>
      </c>
      <c r="J56" s="132" t="str">
        <f>_xlfn.XLOOKUP(I56,[1]Sheet1!$A:$A,[1]Sheet1!$B:$B,"")</f>
        <v/>
      </c>
      <c r="K56" s="90" t="s">
        <v>1484</v>
      </c>
      <c r="L56" s="90" t="s">
        <v>1489</v>
      </c>
      <c r="M56" s="131" t="s">
        <v>69</v>
      </c>
      <c r="N56" s="91" t="s">
        <v>60</v>
      </c>
      <c r="O56" s="92">
        <v>35</v>
      </c>
      <c r="P56" s="88" t="s">
        <v>61</v>
      </c>
      <c r="Q56" s="92" t="s">
        <v>62</v>
      </c>
      <c r="R56" s="92">
        <v>4</v>
      </c>
      <c r="S56" s="123"/>
      <c r="T56" s="131" t="s">
        <v>159</v>
      </c>
      <c r="U56" s="155">
        <v>0</v>
      </c>
      <c r="V56" s="207">
        <v>45</v>
      </c>
      <c r="W56" s="207">
        <v>45</v>
      </c>
      <c r="X56" s="207">
        <v>55</v>
      </c>
      <c r="Y56" s="207" t="s">
        <v>64</v>
      </c>
      <c r="Z56" s="133">
        <f t="shared" si="115"/>
        <v>988.16714285714295</v>
      </c>
      <c r="AA56" s="133">
        <f>VLOOKUP(I56,'[2]PO &amp; SC Sept 2025'!$I$14:$BK$686,55,FALSE)+(($F$3/1000)-1.5)*O56</f>
        <v>974.48148035392387</v>
      </c>
      <c r="AB56" s="124">
        <f t="shared" si="116"/>
        <v>850.66444057297724</v>
      </c>
      <c r="AC56" s="134">
        <f>VLOOKUP(I56,'[2]PO &amp; SC Sept 2025'!$I$14:$BE$686,49,FALSE)+(O56*(($F$4/1000)-1.5))</f>
        <v>853.30119963953916</v>
      </c>
      <c r="AD56" s="213">
        <v>0.09</v>
      </c>
      <c r="AE56" s="213">
        <v>0.09</v>
      </c>
      <c r="AF56" s="215">
        <v>0.18</v>
      </c>
      <c r="AG56" s="216" t="s">
        <v>9</v>
      </c>
      <c r="AH56" s="148">
        <f t="shared" si="3"/>
        <v>850.66444057297724</v>
      </c>
      <c r="AI56" s="149">
        <f t="shared" si="117"/>
        <v>0.17999999999999994</v>
      </c>
      <c r="AJ56" s="444"/>
      <c r="AK56" s="150">
        <f t="shared" si="118"/>
        <v>868.71836734693886</v>
      </c>
      <c r="AL56" s="148">
        <f t="shared" si="119"/>
        <v>766.5327926042213</v>
      </c>
      <c r="AM56" s="125">
        <f t="shared" si="120"/>
        <v>0.12087912087912089</v>
      </c>
      <c r="AN56" s="125">
        <f t="shared" si="121"/>
        <v>9.8901098901098883E-2</v>
      </c>
      <c r="AO56" s="140"/>
      <c r="AP56" s="17" t="s">
        <v>65</v>
      </c>
      <c r="AQ56" s="141">
        <f>2.71*2*7.2</f>
        <v>39.024000000000001</v>
      </c>
      <c r="AR56" s="141">
        <f>594.44*7.2</f>
        <v>4279.9680000000008</v>
      </c>
      <c r="AS56" s="141"/>
      <c r="AT56" s="141">
        <v>5</v>
      </c>
      <c r="AU56" s="141">
        <f t="shared" si="122"/>
        <v>5528.7360000000008</v>
      </c>
      <c r="AV56" s="141">
        <f t="shared" ref="AV56:AV57" si="124">AT56+AU56</f>
        <v>5533.7360000000008</v>
      </c>
      <c r="AW56" s="142">
        <f t="shared" si="112"/>
        <v>790.53371428571438</v>
      </c>
      <c r="AX56" s="126">
        <f t="shared" si="123"/>
        <v>697.54484126984141</v>
      </c>
      <c r="AY56" s="17"/>
      <c r="AZ56" s="128" t="s">
        <v>63</v>
      </c>
      <c r="BB56" s="134">
        <f t="shared" si="11"/>
        <v>2835.5481352432575</v>
      </c>
      <c r="BC56" s="134">
        <f t="shared" si="12"/>
        <v>1701.3288811459545</v>
      </c>
      <c r="BD56" s="134">
        <f t="shared" si="13"/>
        <v>1417.7740676216288</v>
      </c>
      <c r="BE56" s="134">
        <f t="shared" si="14"/>
        <v>1134.2192540973031</v>
      </c>
    </row>
    <row r="57" spans="1:59" s="129" customFormat="1" hidden="1">
      <c r="A57" s="88" t="s">
        <v>1276</v>
      </c>
      <c r="B57" s="88" t="s">
        <v>1701</v>
      </c>
      <c r="C57" s="88" t="s">
        <v>1318</v>
      </c>
      <c r="D57" s="88" t="s">
        <v>55</v>
      </c>
      <c r="E57" s="89" t="s">
        <v>56</v>
      </c>
      <c r="F57" s="90" t="s">
        <v>1477</v>
      </c>
      <c r="G57" s="131" t="s">
        <v>70</v>
      </c>
      <c r="H57" s="131">
        <v>23</v>
      </c>
      <c r="I57" s="132" t="s">
        <v>1480</v>
      </c>
      <c r="J57" s="132" t="str">
        <f>_xlfn.XLOOKUP(I57,[1]Sheet1!$A:$A,[1]Sheet1!$B:$B,"")</f>
        <v/>
      </c>
      <c r="K57" s="90" t="s">
        <v>1485</v>
      </c>
      <c r="L57" s="90" t="s">
        <v>3861</v>
      </c>
      <c r="M57" s="131" t="s">
        <v>69</v>
      </c>
      <c r="N57" s="91" t="s">
        <v>60</v>
      </c>
      <c r="O57" s="92">
        <v>17.5</v>
      </c>
      <c r="P57" s="88" t="s">
        <v>97</v>
      </c>
      <c r="Q57" s="92" t="s">
        <v>62</v>
      </c>
      <c r="R57" s="92">
        <v>6.8624999999999998</v>
      </c>
      <c r="S57" s="123"/>
      <c r="T57" s="131" t="s">
        <v>159</v>
      </c>
      <c r="U57" s="155">
        <v>0</v>
      </c>
      <c r="V57" s="207">
        <v>45</v>
      </c>
      <c r="W57" s="207">
        <v>45</v>
      </c>
      <c r="X57" s="207">
        <v>55</v>
      </c>
      <c r="Y57" s="207" t="s">
        <v>64</v>
      </c>
      <c r="Z57" s="133">
        <f t="shared" si="115"/>
        <v>498.87619047619046</v>
      </c>
      <c r="AA57" s="133">
        <f>VLOOKUP(I57,'[2]PO &amp; SC Sept 2025'!$I$14:$BK$686,55,FALSE)+(($F$3/1000)-1.5)*O57</f>
        <v>481.95248735329824</v>
      </c>
      <c r="AB57" s="124">
        <f t="shared" si="116"/>
        <v>431.66822794691643</v>
      </c>
      <c r="AC57" s="134">
        <f>VLOOKUP(I57,'[2]PO &amp; SC Sept 2025'!$I$14:$BE$686,49,FALSE)+(O57*(($F$4/1000)-1.5))</f>
        <v>424.79125658772148</v>
      </c>
      <c r="AD57" s="213">
        <v>0.09</v>
      </c>
      <c r="AE57" s="213">
        <v>0.09</v>
      </c>
      <c r="AF57" s="215">
        <v>0.19999999999999998</v>
      </c>
      <c r="AG57" s="216" t="s">
        <v>9</v>
      </c>
      <c r="AH57" s="148">
        <f t="shared" si="3"/>
        <v>431.66822794691643</v>
      </c>
      <c r="AI57" s="149">
        <f t="shared" si="117"/>
        <v>0.19999999999999996</v>
      </c>
      <c r="AJ57" s="444"/>
      <c r="AK57" s="150">
        <f t="shared" si="118"/>
        <v>427.60816326530613</v>
      </c>
      <c r="AL57" s="148">
        <f t="shared" si="119"/>
        <v>379.48855204124521</v>
      </c>
      <c r="AM57" s="125">
        <f t="shared" si="120"/>
        <v>0.14285714285714279</v>
      </c>
      <c r="AN57" s="125">
        <f t="shared" si="121"/>
        <v>0.12087912087912089</v>
      </c>
      <c r="AO57" s="140"/>
      <c r="AP57" s="17" t="s">
        <v>65</v>
      </c>
      <c r="AQ57" s="141">
        <f>1.31*2*7.2</f>
        <v>18.864000000000001</v>
      </c>
      <c r="AR57" s="141">
        <f>AR55+57.6</f>
        <v>2115.2159999999999</v>
      </c>
      <c r="AS57" s="141"/>
      <c r="AT57" s="141">
        <v>5</v>
      </c>
      <c r="AU57" s="141">
        <f t="shared" si="122"/>
        <v>2718.864</v>
      </c>
      <c r="AV57" s="141">
        <f t="shared" si="124"/>
        <v>2723.864</v>
      </c>
      <c r="AW57" s="142">
        <f t="shared" si="112"/>
        <v>389.12342857142858</v>
      </c>
      <c r="AX57" s="126">
        <f t="shared" si="123"/>
        <v>345.33458235753318</v>
      </c>
      <c r="AY57" s="17"/>
      <c r="AZ57" s="128" t="s">
        <v>63</v>
      </c>
      <c r="BB57" s="134">
        <f t="shared" si="11"/>
        <v>1438.8940931563882</v>
      </c>
      <c r="BC57" s="134">
        <f t="shared" si="12"/>
        <v>863.33645589383286</v>
      </c>
      <c r="BD57" s="134">
        <f t="shared" si="13"/>
        <v>719.44704657819409</v>
      </c>
      <c r="BE57" s="134">
        <f t="shared" si="14"/>
        <v>575.55763726255532</v>
      </c>
    </row>
    <row r="58" spans="1:59" s="129" customFormat="1" hidden="1">
      <c r="A58" s="88" t="s">
        <v>1276</v>
      </c>
      <c r="B58" s="88" t="s">
        <v>2239</v>
      </c>
      <c r="C58" s="88" t="s">
        <v>1318</v>
      </c>
      <c r="D58" s="88" t="s">
        <v>55</v>
      </c>
      <c r="E58" s="89" t="s">
        <v>56</v>
      </c>
      <c r="F58" s="90" t="s">
        <v>1477</v>
      </c>
      <c r="G58" s="131" t="s">
        <v>70</v>
      </c>
      <c r="H58" s="131">
        <v>23</v>
      </c>
      <c r="I58" s="132" t="s">
        <v>1481</v>
      </c>
      <c r="J58" s="132" t="str">
        <f>_xlfn.XLOOKUP(I58,[1]Sheet1!$A:$A,[1]Sheet1!$B:$B,"")</f>
        <v/>
      </c>
      <c r="K58" s="90" t="s">
        <v>1486</v>
      </c>
      <c r="L58" s="90" t="s">
        <v>1490</v>
      </c>
      <c r="M58" s="131" t="s">
        <v>1740</v>
      </c>
      <c r="N58" s="91" t="s">
        <v>60</v>
      </c>
      <c r="O58" s="92">
        <v>17.5</v>
      </c>
      <c r="P58" s="88" t="s">
        <v>61</v>
      </c>
      <c r="Q58" s="92" t="s">
        <v>62</v>
      </c>
      <c r="R58" s="92">
        <v>9</v>
      </c>
      <c r="S58" s="123"/>
      <c r="T58" s="131" t="s">
        <v>159</v>
      </c>
      <c r="U58" s="155">
        <v>0</v>
      </c>
      <c r="V58" s="207">
        <v>45</v>
      </c>
      <c r="W58" s="207">
        <v>45</v>
      </c>
      <c r="X58" s="207">
        <v>55</v>
      </c>
      <c r="Y58" s="207" t="s">
        <v>64</v>
      </c>
      <c r="Z58" s="133">
        <f t="shared" si="115"/>
        <v>534.76602316602327</v>
      </c>
      <c r="AA58" s="133">
        <f>VLOOKUP(I58,'[2]PO &amp; SC Sept 2025'!$I$14:$BK$686,55,FALSE)+(($F$3/1000)-1.5)*O58</f>
        <v>510.50551064263277</v>
      </c>
      <c r="AB58" s="124">
        <f t="shared" si="116"/>
        <v>457.82934901355964</v>
      </c>
      <c r="AC58" s="134">
        <f>VLOOKUP(I58,'[2]PO &amp; SC Sept 2025'!$I$14:$BE$686,49,FALSE)+(O58*(($F$4/1000)-1.5))</f>
        <v>444.82852237321703</v>
      </c>
      <c r="AD58" s="213">
        <v>0.09</v>
      </c>
      <c r="AE58" s="213">
        <v>0.09</v>
      </c>
      <c r="AF58" s="215">
        <v>0.24</v>
      </c>
      <c r="AG58" s="216" t="s">
        <v>9</v>
      </c>
      <c r="AH58" s="148">
        <f t="shared" si="3"/>
        <v>457.82934901355964</v>
      </c>
      <c r="AI58" s="149">
        <f t="shared" ref="AI58:AI59" si="125">1-(AX58/AH58)</f>
        <v>0.24</v>
      </c>
      <c r="AJ58" s="444"/>
      <c r="AK58" s="150">
        <f t="shared" ref="AK58:AK60" si="126">AW58/(1-AD58)</f>
        <v>434.86467817896397</v>
      </c>
      <c r="AL58" s="148">
        <f t="shared" ref="AL58:AL60" si="127">AX58/(1-AE58)</f>
        <v>382.36297280253336</v>
      </c>
      <c r="AM58" s="125">
        <f t="shared" ref="AM58:AM60" si="128">1-(AK58/Z58)</f>
        <v>0.18681318681318682</v>
      </c>
      <c r="AN58" s="125">
        <f t="shared" ref="AN58:AN60" si="129">1-(AL58/AB58)</f>
        <v>0.16483516483516469</v>
      </c>
      <c r="AO58" s="140"/>
      <c r="AP58" s="17" t="s">
        <v>65</v>
      </c>
      <c r="AQ58" s="141">
        <f>1.37*2*7.2</f>
        <v>19.728000000000002</v>
      </c>
      <c r="AR58" s="141">
        <f>296.36*7.2</f>
        <v>2133.7920000000004</v>
      </c>
      <c r="AS58" s="141"/>
      <c r="AT58" s="141">
        <v>5</v>
      </c>
      <c r="AU58" s="141">
        <f t="shared" ref="AU58:AU61" si="130">($F$2-70000)/1000*AQ58+AR58</f>
        <v>2765.0880000000006</v>
      </c>
      <c r="AV58" s="141">
        <f t="shared" ref="AV58:AV61" si="131">AT58+AU58</f>
        <v>2770.0880000000006</v>
      </c>
      <c r="AW58" s="142">
        <f t="shared" ref="AW58:AW61" si="132">(AT58+AU58)/$F$5</f>
        <v>395.72685714285723</v>
      </c>
      <c r="AX58" s="126">
        <f t="shared" ref="AX58:AX61" si="133">(AW58/$F$6)+(($F$9+$G$9)/40/R58)+AW58*U58</f>
        <v>347.95030525030535</v>
      </c>
      <c r="AY58" s="147"/>
      <c r="AZ58" s="128" t="s">
        <v>63</v>
      </c>
      <c r="BB58" s="134">
        <f t="shared" si="11"/>
        <v>1526.0978300451989</v>
      </c>
      <c r="BC58" s="134">
        <f t="shared" si="12"/>
        <v>915.65869802711927</v>
      </c>
      <c r="BD58" s="134">
        <f t="shared" si="13"/>
        <v>763.04891502259943</v>
      </c>
      <c r="BE58" s="134">
        <f t="shared" si="14"/>
        <v>610.43913201807959</v>
      </c>
    </row>
    <row r="59" spans="1:59" s="129" customFormat="1" hidden="1">
      <c r="A59" s="88" t="s">
        <v>1276</v>
      </c>
      <c r="B59" s="88" t="s">
        <v>2239</v>
      </c>
      <c r="C59" s="88" t="s">
        <v>1318</v>
      </c>
      <c r="D59" s="88" t="s">
        <v>55</v>
      </c>
      <c r="E59" s="89" t="s">
        <v>56</v>
      </c>
      <c r="F59" s="90" t="s">
        <v>1477</v>
      </c>
      <c r="G59" s="131" t="s">
        <v>70</v>
      </c>
      <c r="H59" s="131">
        <v>23</v>
      </c>
      <c r="I59" s="132" t="s">
        <v>1482</v>
      </c>
      <c r="J59" s="132" t="str">
        <f>_xlfn.XLOOKUP(I59,[1]Sheet1!$A:$A,[1]Sheet1!$B:$B,"")</f>
        <v/>
      </c>
      <c r="K59" s="90" t="s">
        <v>1487</v>
      </c>
      <c r="L59" s="90" t="s">
        <v>1491</v>
      </c>
      <c r="M59" s="131" t="s">
        <v>1741</v>
      </c>
      <c r="N59" s="91" t="s">
        <v>60</v>
      </c>
      <c r="O59" s="92">
        <v>35</v>
      </c>
      <c r="P59" s="88" t="s">
        <v>61</v>
      </c>
      <c r="Q59" s="92" t="s">
        <v>62</v>
      </c>
      <c r="R59" s="92">
        <v>4</v>
      </c>
      <c r="S59" s="123"/>
      <c r="T59" s="131" t="s">
        <v>159</v>
      </c>
      <c r="U59" s="155">
        <v>0</v>
      </c>
      <c r="V59" s="207">
        <v>45</v>
      </c>
      <c r="W59" s="207">
        <v>45</v>
      </c>
      <c r="X59" s="207">
        <v>55</v>
      </c>
      <c r="Y59" s="207" t="s">
        <v>64</v>
      </c>
      <c r="Z59" s="133">
        <f t="shared" si="115"/>
        <v>550.78004633204648</v>
      </c>
      <c r="AA59" s="133">
        <f>VLOOKUP(I59,'[2]PO &amp; SC Sept 2025'!$I$14:$BK$686,55,FALSE)+(($F$3/1000)-1.5)*O59</f>
        <v>581.3083087236605</v>
      </c>
      <c r="AB59" s="124">
        <f t="shared" si="116"/>
        <v>487.14685592185606</v>
      </c>
      <c r="AC59" s="134">
        <f>VLOOKUP(I59,'[2]PO &amp; SC Sept 2025'!$I$14:$BE$686,49,FALSE)+(O59*(($F$4/1000)-1.5))</f>
        <v>521.20656854292429</v>
      </c>
      <c r="AD59" s="213">
        <v>0.09</v>
      </c>
      <c r="AE59" s="213">
        <v>0.09</v>
      </c>
      <c r="AF59" s="215">
        <v>0.24</v>
      </c>
      <c r="AG59" s="216" t="s">
        <v>9</v>
      </c>
      <c r="AH59" s="148">
        <f t="shared" si="3"/>
        <v>487.14685592185606</v>
      </c>
      <c r="AI59" s="149">
        <f t="shared" si="125"/>
        <v>0.24</v>
      </c>
      <c r="AJ59" s="444"/>
      <c r="AK59" s="150">
        <f t="shared" si="126"/>
        <v>447.88707064364218</v>
      </c>
      <c r="AL59" s="148">
        <f t="shared" si="127"/>
        <v>406.84792362704462</v>
      </c>
      <c r="AM59" s="125">
        <f t="shared" si="128"/>
        <v>0.18681318681318682</v>
      </c>
      <c r="AN59" s="125">
        <f t="shared" si="129"/>
        <v>0.1648351648351648</v>
      </c>
      <c r="AO59" s="140"/>
      <c r="AP59" s="17" t="s">
        <v>65</v>
      </c>
      <c r="AQ59" s="141">
        <f>AQ58*1.03</f>
        <v>20.319840000000003</v>
      </c>
      <c r="AR59" s="141">
        <f>AR58*1.03</f>
        <v>2197.8057600000006</v>
      </c>
      <c r="AS59" s="141"/>
      <c r="AT59" s="141">
        <v>5</v>
      </c>
      <c r="AU59" s="141">
        <f t="shared" si="130"/>
        <v>2848.0406400000006</v>
      </c>
      <c r="AV59" s="141">
        <f t="shared" si="131"/>
        <v>2853.0406400000006</v>
      </c>
      <c r="AW59" s="142">
        <f t="shared" si="132"/>
        <v>407.57723428571438</v>
      </c>
      <c r="AX59" s="126">
        <f t="shared" si="133"/>
        <v>370.2316105006106</v>
      </c>
      <c r="AY59" s="147"/>
      <c r="AZ59" s="128" t="s">
        <v>1705</v>
      </c>
      <c r="BB59" s="134">
        <f t="shared" si="11"/>
        <v>1623.8228530728536</v>
      </c>
      <c r="BC59" s="134">
        <f t="shared" si="12"/>
        <v>974.29371184371212</v>
      </c>
      <c r="BD59" s="134">
        <f t="shared" si="13"/>
        <v>811.9114265364268</v>
      </c>
      <c r="BE59" s="134">
        <f t="shared" si="14"/>
        <v>649.52914122914149</v>
      </c>
    </row>
    <row r="60" spans="1:59" s="129" customFormat="1" hidden="1">
      <c r="A60" s="88" t="s">
        <v>1276</v>
      </c>
      <c r="B60" s="88" t="s">
        <v>1318</v>
      </c>
      <c r="C60" s="88" t="s">
        <v>1318</v>
      </c>
      <c r="D60" s="88" t="s">
        <v>55</v>
      </c>
      <c r="E60" s="89" t="s">
        <v>56</v>
      </c>
      <c r="F60" s="90" t="s">
        <v>1477</v>
      </c>
      <c r="G60" s="131" t="s">
        <v>70</v>
      </c>
      <c r="H60" s="131">
        <v>23</v>
      </c>
      <c r="I60" s="132" t="s">
        <v>2563</v>
      </c>
      <c r="J60" s="132" t="str">
        <f>_xlfn.XLOOKUP(I60,[1]Sheet1!$A:$A,[1]Sheet1!$B:$B,"")</f>
        <v>U0103018</v>
      </c>
      <c r="K60" s="90" t="s">
        <v>2214</v>
      </c>
      <c r="L60" s="90" t="s">
        <v>2216</v>
      </c>
      <c r="M60" s="131" t="s">
        <v>69</v>
      </c>
      <c r="N60" s="91" t="s">
        <v>60</v>
      </c>
      <c r="O60" s="92">
        <f>17.8-1.2</f>
        <v>16.600000000000001</v>
      </c>
      <c r="P60" s="88" t="s">
        <v>61</v>
      </c>
      <c r="Q60" s="92" t="s">
        <v>62</v>
      </c>
      <c r="R60" s="92">
        <v>9</v>
      </c>
      <c r="S60" s="123"/>
      <c r="T60" s="131" t="s">
        <v>159</v>
      </c>
      <c r="U60" s="155">
        <v>0</v>
      </c>
      <c r="V60" s="207">
        <v>45</v>
      </c>
      <c r="W60" s="207">
        <v>45</v>
      </c>
      <c r="X60" s="207">
        <v>55</v>
      </c>
      <c r="Y60" s="207" t="s">
        <v>64</v>
      </c>
      <c r="Z60" s="133">
        <f t="shared" si="115"/>
        <v>471.35570469798654</v>
      </c>
      <c r="AA60" s="133">
        <f>VLOOKUP(I60,'[2]PO &amp; SC Sept 2025'!$I$14:$BK$686,55,FALSE)+(($F$3/1000)-1.5)*O60</f>
        <v>454.61020133163765</v>
      </c>
      <c r="AB60" s="124">
        <f t="shared" si="116"/>
        <v>405.04441092676387</v>
      </c>
      <c r="AC60" s="134">
        <f>VLOOKUP(I60,'[2]PO &amp; SC Sept 2025'!$I$14:$BE$686,49,FALSE)+(O60*(($F$4/1000)-1.5))</f>
        <v>397.58966053156507</v>
      </c>
      <c r="AD60" s="213">
        <v>0.09</v>
      </c>
      <c r="AE60" s="213">
        <v>0.09</v>
      </c>
      <c r="AF60" s="215">
        <v>0.23499999999999999</v>
      </c>
      <c r="AG60" s="216" t="s">
        <v>9</v>
      </c>
      <c r="AH60" s="148">
        <f t="shared" si="3"/>
        <v>405.04441092676387</v>
      </c>
      <c r="AI60" s="149">
        <v>0.17999999999999994</v>
      </c>
      <c r="AJ60" s="444"/>
      <c r="AK60" s="150">
        <f t="shared" si="126"/>
        <v>385.89010989010984</v>
      </c>
      <c r="AL60" s="148">
        <f t="shared" si="127"/>
        <v>340.50436742744432</v>
      </c>
      <c r="AM60" s="125">
        <f t="shared" si="128"/>
        <v>0.18131868131868134</v>
      </c>
      <c r="AN60" s="125">
        <f t="shared" si="129"/>
        <v>0.15934065934065944</v>
      </c>
      <c r="AO60" s="19"/>
      <c r="AP60" s="17" t="s">
        <v>101</v>
      </c>
      <c r="AQ60" s="141">
        <v>17.309999999999999</v>
      </c>
      <c r="AR60" s="141">
        <v>1899.2</v>
      </c>
      <c r="AS60" s="141"/>
      <c r="AT60" s="141">
        <v>5</v>
      </c>
      <c r="AU60" s="141">
        <f t="shared" si="130"/>
        <v>2453.12</v>
      </c>
      <c r="AV60" s="141">
        <f t="shared" si="131"/>
        <v>2458.12</v>
      </c>
      <c r="AW60" s="152">
        <f t="shared" si="132"/>
        <v>351.15999999999997</v>
      </c>
      <c r="AX60" s="153">
        <f t="shared" si="133"/>
        <v>309.85897435897436</v>
      </c>
      <c r="AY60" s="147"/>
      <c r="AZ60" s="128" t="s">
        <v>63</v>
      </c>
      <c r="BB60" s="151">
        <f t="shared" si="11"/>
        <v>1350.1480364225463</v>
      </c>
      <c r="BC60" s="151">
        <f t="shared" si="12"/>
        <v>810.08882185352775</v>
      </c>
      <c r="BD60" s="151">
        <f t="shared" si="13"/>
        <v>675.07401821127314</v>
      </c>
      <c r="BE60" s="151">
        <f t="shared" si="14"/>
        <v>540.05921456901854</v>
      </c>
    </row>
    <row r="61" spans="1:59" s="129" customFormat="1" hidden="1">
      <c r="A61" s="88" t="s">
        <v>1276</v>
      </c>
      <c r="B61" s="88" t="s">
        <v>1318</v>
      </c>
      <c r="C61" s="88" t="s">
        <v>1317</v>
      </c>
      <c r="D61" s="88" t="s">
        <v>55</v>
      </c>
      <c r="E61" s="89" t="s">
        <v>56</v>
      </c>
      <c r="F61" s="90" t="s">
        <v>1477</v>
      </c>
      <c r="G61" s="131" t="s">
        <v>70</v>
      </c>
      <c r="H61" s="131">
        <v>23</v>
      </c>
      <c r="I61" s="132" t="s">
        <v>2213</v>
      </c>
      <c r="J61" s="132" t="str">
        <f>_xlfn.XLOOKUP(I61,[1]Sheet1!$A:$A,[1]Sheet1!$B:$B,"")</f>
        <v/>
      </c>
      <c r="K61" s="90" t="s">
        <v>2215</v>
      </c>
      <c r="L61" s="90" t="s">
        <v>2217</v>
      </c>
      <c r="M61" s="131" t="s">
        <v>125</v>
      </c>
      <c r="N61" s="91" t="s">
        <v>60</v>
      </c>
      <c r="O61" s="92">
        <f>17.8-1.2</f>
        <v>16.600000000000001</v>
      </c>
      <c r="P61" s="88" t="s">
        <v>61</v>
      </c>
      <c r="Q61" s="92" t="s">
        <v>62</v>
      </c>
      <c r="R61" s="92">
        <v>9</v>
      </c>
      <c r="S61" s="123"/>
      <c r="T61" s="131" t="s">
        <v>159</v>
      </c>
      <c r="U61" s="155">
        <v>0</v>
      </c>
      <c r="V61" s="207">
        <v>45</v>
      </c>
      <c r="W61" s="207">
        <v>45</v>
      </c>
      <c r="X61" s="207">
        <v>55</v>
      </c>
      <c r="Y61" s="207" t="s">
        <v>64</v>
      </c>
      <c r="Z61" s="133">
        <f t="shared" si="115"/>
        <v>486.3740601503759</v>
      </c>
      <c r="AA61" s="133">
        <f>VLOOKUP(I61,'[2]PO &amp; SC Sept 2025'!$I$14:$BK$686,55,FALSE)+(($F$3/1000)-1.5)*O61</f>
        <v>471.04006392823419</v>
      </c>
      <c r="AB61" s="124">
        <f t="shared" si="116"/>
        <v>417.50962712501172</v>
      </c>
      <c r="AC61" s="134">
        <f>VLOOKUP(I61,'[2]PO &amp; SC Sept 2025'!$I$14:$BE$686,49,FALSE)+(O61*(($F$4/1000)-1.5))</f>
        <v>411.39835767809535</v>
      </c>
      <c r="AD61" s="213">
        <v>0.09</v>
      </c>
      <c r="AE61" s="213">
        <v>0.09</v>
      </c>
      <c r="AF61" s="215">
        <v>0.22</v>
      </c>
      <c r="AG61" s="216" t="s">
        <v>9</v>
      </c>
      <c r="AH61" s="148">
        <f t="shared" si="3"/>
        <v>417.50962712501172</v>
      </c>
      <c r="AI61" s="149">
        <v>0.18</v>
      </c>
      <c r="AJ61" s="444"/>
      <c r="AK61" s="150">
        <f t="shared" ref="AK61" si="134">AW61/(1-AD61)</f>
        <v>406.20251177394027</v>
      </c>
      <c r="AL61" s="148">
        <f t="shared" ref="AL61:AL63" si="135">AX61/(1-AE61)</f>
        <v>357.86539467858148</v>
      </c>
      <c r="AM61" s="125">
        <v>0.13043478260869568</v>
      </c>
      <c r="AN61" s="125">
        <v>0.10869565217391286</v>
      </c>
      <c r="AO61" s="19"/>
      <c r="AP61" s="17" t="s">
        <v>1585</v>
      </c>
      <c r="AQ61" s="141">
        <v>17.309999999999999</v>
      </c>
      <c r="AR61" s="141">
        <v>2028.59</v>
      </c>
      <c r="AS61" s="141"/>
      <c r="AT61" s="141">
        <v>5</v>
      </c>
      <c r="AU61" s="141">
        <f t="shared" si="130"/>
        <v>2582.5099999999998</v>
      </c>
      <c r="AV61" s="141">
        <f t="shared" si="131"/>
        <v>2587.5099999999998</v>
      </c>
      <c r="AW61" s="152">
        <f t="shared" si="132"/>
        <v>369.64428571428567</v>
      </c>
      <c r="AX61" s="153">
        <f t="shared" si="133"/>
        <v>325.65750915750914</v>
      </c>
      <c r="AY61" s="147"/>
      <c r="AZ61" s="128" t="s">
        <v>63</v>
      </c>
      <c r="BB61" s="151">
        <f t="shared" si="11"/>
        <v>1391.6987570833724</v>
      </c>
      <c r="BC61" s="151">
        <f t="shared" si="12"/>
        <v>835.01925425002344</v>
      </c>
      <c r="BD61" s="151">
        <f t="shared" si="13"/>
        <v>695.84937854168618</v>
      </c>
      <c r="BE61" s="151">
        <f t="shared" si="14"/>
        <v>556.67950283334892</v>
      </c>
    </row>
    <row r="62" spans="1:59" s="129" customFormat="1" hidden="1">
      <c r="A62" s="88" t="s">
        <v>1276</v>
      </c>
      <c r="B62" s="88" t="s">
        <v>1317</v>
      </c>
      <c r="C62" s="88" t="s">
        <v>1318</v>
      </c>
      <c r="D62" s="88" t="s">
        <v>55</v>
      </c>
      <c r="E62" s="89" t="s">
        <v>56</v>
      </c>
      <c r="F62" s="90" t="s">
        <v>1477</v>
      </c>
      <c r="G62" s="131" t="s">
        <v>70</v>
      </c>
      <c r="H62" s="131">
        <v>23</v>
      </c>
      <c r="I62" s="132" t="s">
        <v>1478</v>
      </c>
      <c r="J62" s="132" t="str">
        <f>_xlfn.XLOOKUP(I62,[1]Sheet1!$A:$A,[1]Sheet1!$B:$B,"")</f>
        <v/>
      </c>
      <c r="K62" s="90" t="s">
        <v>1483</v>
      </c>
      <c r="L62" s="90" t="s">
        <v>1488</v>
      </c>
      <c r="M62" s="131" t="s">
        <v>69</v>
      </c>
      <c r="N62" s="91" t="s">
        <v>158</v>
      </c>
      <c r="O62" s="92">
        <v>19</v>
      </c>
      <c r="P62" s="88" t="s">
        <v>61</v>
      </c>
      <c r="Q62" s="92" t="s">
        <v>62</v>
      </c>
      <c r="R62" s="92">
        <v>9</v>
      </c>
      <c r="S62" s="123"/>
      <c r="T62" s="131" t="s">
        <v>159</v>
      </c>
      <c r="U62" s="155">
        <v>0</v>
      </c>
      <c r="V62" s="207">
        <v>60</v>
      </c>
      <c r="W62" s="207">
        <v>14</v>
      </c>
      <c r="X62" s="207">
        <v>14</v>
      </c>
      <c r="Y62" s="207" t="s">
        <v>1224</v>
      </c>
      <c r="Z62" s="133">
        <f t="shared" ref="Z62:Z63" si="136">(AW62/(1-(AF62+2%)))*$F$6</f>
        <v>546.97500000000002</v>
      </c>
      <c r="AA62" s="133">
        <f>VLOOKUP(I62,'[2]PO &amp; SC Sept 2025'!$I$14:$BK$686,55,FALSE)+(($F$3/1000)-1.5)*O62</f>
        <v>494.12408886238256</v>
      </c>
      <c r="AB62" s="124">
        <f>AX62/(1-AF62)</f>
        <v>464.84822276488944</v>
      </c>
      <c r="AC62" s="134">
        <f>VLOOKUP(I62,'[2]PO &amp; SC Sept 2025'!$I$14:$BE$686,49,FALSE)+(O62*(($F$4/1000)-1.5))</f>
        <v>430.58530135249555</v>
      </c>
      <c r="AD62" s="213">
        <f>AE62</f>
        <v>7.0000000000000007E-2</v>
      </c>
      <c r="AE62" s="213">
        <v>7.0000000000000007E-2</v>
      </c>
      <c r="AF62" s="215">
        <v>0.16</v>
      </c>
      <c r="AG62" s="215" t="s">
        <v>9</v>
      </c>
      <c r="AH62" s="148">
        <f t="shared" si="3"/>
        <v>464.84822276488944</v>
      </c>
      <c r="AI62" s="135">
        <f>1-(AX62/AH62)</f>
        <v>0.16000000000000003</v>
      </c>
      <c r="AJ62" s="444"/>
      <c r="AK62" s="150">
        <f t="shared" ref="AK62:AK63" si="137">AW62/(1-AD62)*$F$6</f>
        <v>482.27903225806455</v>
      </c>
      <c r="AL62" s="148">
        <f t="shared" si="135"/>
        <v>419.86291088441629</v>
      </c>
      <c r="AM62" s="139">
        <f>1-(AK62/Z62)</f>
        <v>0.11827956989247312</v>
      </c>
      <c r="AN62" s="139">
        <f>1-(AL62/AB62)</f>
        <v>9.6774193548387011E-2</v>
      </c>
      <c r="AO62" s="140"/>
      <c r="AP62" s="17" t="s">
        <v>160</v>
      </c>
      <c r="AQ62" s="141"/>
      <c r="AR62" s="141"/>
      <c r="AS62" s="153">
        <v>200</v>
      </c>
      <c r="AT62" s="141"/>
      <c r="AU62" s="141"/>
      <c r="AV62" s="141"/>
      <c r="AW62" s="154">
        <f>AS62+($F$4-1500)/1000*O62</f>
        <v>383.35</v>
      </c>
      <c r="AX62" s="126">
        <f>(AS62+($F$4-1500)/1000*O62)+($F$10/40/R62/$F$6)</f>
        <v>390.47250712250712</v>
      </c>
      <c r="AY62" s="147"/>
      <c r="AZ62" s="128"/>
      <c r="BB62" s="134">
        <f t="shared" si="11"/>
        <v>1549.4940758829648</v>
      </c>
      <c r="BC62" s="134">
        <f t="shared" si="12"/>
        <v>929.69644552977888</v>
      </c>
      <c r="BD62" s="134">
        <f t="shared" si="13"/>
        <v>774.7470379414824</v>
      </c>
      <c r="BE62" s="134">
        <f t="shared" si="14"/>
        <v>619.79763035318592</v>
      </c>
    </row>
    <row r="63" spans="1:59" s="129" customFormat="1" hidden="1">
      <c r="A63" s="88" t="s">
        <v>1276</v>
      </c>
      <c r="B63" s="88" t="s">
        <v>2239</v>
      </c>
      <c r="C63" s="88" t="s">
        <v>1318</v>
      </c>
      <c r="D63" s="88" t="s">
        <v>55</v>
      </c>
      <c r="E63" s="89" t="s">
        <v>56</v>
      </c>
      <c r="F63" s="90" t="s">
        <v>1477</v>
      </c>
      <c r="G63" s="131" t="s">
        <v>70</v>
      </c>
      <c r="H63" s="131">
        <v>23</v>
      </c>
      <c r="I63" s="132" t="s">
        <v>1481</v>
      </c>
      <c r="J63" s="132" t="str">
        <f>_xlfn.XLOOKUP(I63,[1]Sheet1!$A:$A,[1]Sheet1!$B:$B,"")</f>
        <v/>
      </c>
      <c r="K63" s="90" t="s">
        <v>1486</v>
      </c>
      <c r="L63" s="90" t="s">
        <v>1490</v>
      </c>
      <c r="M63" s="131" t="s">
        <v>2233</v>
      </c>
      <c r="N63" s="91" t="s">
        <v>158</v>
      </c>
      <c r="O63" s="92">
        <v>19</v>
      </c>
      <c r="P63" s="88" t="s">
        <v>61</v>
      </c>
      <c r="Q63" s="92" t="s">
        <v>62</v>
      </c>
      <c r="R63" s="92">
        <v>9</v>
      </c>
      <c r="S63" s="123"/>
      <c r="T63" s="131" t="s">
        <v>159</v>
      </c>
      <c r="U63" s="155">
        <v>0</v>
      </c>
      <c r="V63" s="207">
        <v>60</v>
      </c>
      <c r="W63" s="207">
        <v>14</v>
      </c>
      <c r="X63" s="207">
        <v>14</v>
      </c>
      <c r="Y63" s="207" t="s">
        <v>1224</v>
      </c>
      <c r="Z63" s="133">
        <f t="shared" si="136"/>
        <v>878.01187499999992</v>
      </c>
      <c r="AA63" s="133">
        <f>VLOOKUP(I63,'[2]PO &amp; SC Sept 2025'!$I$14:$BK$686,55,FALSE)+(($F$3/1000)-1.5)*O63</f>
        <v>527.82376064263281</v>
      </c>
      <c r="AB63" s="124">
        <f>AX63/(1-AF63)</f>
        <v>740.82013063720387</v>
      </c>
      <c r="AC63" s="134">
        <f>VLOOKUP(I63,'[2]PO &amp; SC Sept 2025'!$I$14:$BE$686,49,FALSE)+(O63*(($F$4/1000)-1.5))</f>
        <v>459.30352237321699</v>
      </c>
      <c r="AD63" s="213">
        <f>AE63</f>
        <v>7.0000000000000007E-2</v>
      </c>
      <c r="AE63" s="213">
        <v>7.0000000000000007E-2</v>
      </c>
      <c r="AF63" s="215">
        <v>0.18</v>
      </c>
      <c r="AG63" s="215" t="s">
        <v>9</v>
      </c>
      <c r="AH63" s="148">
        <f t="shared" si="3"/>
        <v>740.82013063720387</v>
      </c>
      <c r="AI63" s="122">
        <f>1-(AX63/AH63)</f>
        <v>0.18000000000000005</v>
      </c>
      <c r="AJ63" s="444"/>
      <c r="AK63" s="150">
        <f t="shared" si="137"/>
        <v>755.2790322580646</v>
      </c>
      <c r="AL63" s="148">
        <f t="shared" si="135"/>
        <v>653.19624421774972</v>
      </c>
      <c r="AM63" s="125">
        <f>1-(AK63/Z63)</f>
        <v>0.13978494623655902</v>
      </c>
      <c r="AN63" s="125">
        <f>1-(AL63/AB63)</f>
        <v>0.11827956989247301</v>
      </c>
      <c r="AO63" s="140"/>
      <c r="AP63" s="17" t="s">
        <v>160</v>
      </c>
      <c r="AQ63" s="141"/>
      <c r="AR63" s="141"/>
      <c r="AS63" s="153">
        <v>417</v>
      </c>
      <c r="AT63" s="141"/>
      <c r="AU63" s="141"/>
      <c r="AV63" s="141"/>
      <c r="AW63" s="154">
        <f>AS63+($F$4-1500)/1000*O63</f>
        <v>600.35</v>
      </c>
      <c r="AX63" s="126">
        <f>(AS63+($F$4-1500)/1000*O63)+($F$10/40/R63/$F$6)</f>
        <v>607.47250712250718</v>
      </c>
      <c r="AY63" s="147"/>
      <c r="AZ63" s="128"/>
      <c r="BB63" s="134">
        <f t="shared" si="11"/>
        <v>2469.4004354573462</v>
      </c>
      <c r="BC63" s="134">
        <f t="shared" si="12"/>
        <v>1481.6402612744077</v>
      </c>
      <c r="BD63" s="134">
        <f t="shared" si="13"/>
        <v>1234.7002177286731</v>
      </c>
      <c r="BE63" s="134">
        <f t="shared" si="14"/>
        <v>987.7601741829385</v>
      </c>
    </row>
    <row r="64" spans="1:59" s="129" customFormat="1" hidden="1">
      <c r="A64" s="88" t="s">
        <v>1302</v>
      </c>
      <c r="B64" s="88" t="s">
        <v>1318</v>
      </c>
      <c r="C64" s="88" t="s">
        <v>1318</v>
      </c>
      <c r="D64" s="88" t="s">
        <v>55</v>
      </c>
      <c r="E64" s="89" t="s">
        <v>56</v>
      </c>
      <c r="F64" s="90" t="s">
        <v>109</v>
      </c>
      <c r="G64" s="131" t="s">
        <v>132</v>
      </c>
      <c r="H64" s="131">
        <v>23</v>
      </c>
      <c r="I64" s="132" t="s">
        <v>133</v>
      </c>
      <c r="J64" s="132" t="str">
        <f>_xlfn.XLOOKUP(I64,[1]Sheet1!$A:$A,[1]Sheet1!$B:$B,"")</f>
        <v>U0103001</v>
      </c>
      <c r="K64" s="90" t="s">
        <v>134</v>
      </c>
      <c r="L64" s="90" t="s">
        <v>135</v>
      </c>
      <c r="M64" s="131" t="s">
        <v>69</v>
      </c>
      <c r="N64" s="91" t="s">
        <v>60</v>
      </c>
      <c r="O64" s="92">
        <v>17.8</v>
      </c>
      <c r="P64" s="88" t="s">
        <v>61</v>
      </c>
      <c r="Q64" s="92" t="s">
        <v>62</v>
      </c>
      <c r="R64" s="92">
        <v>9</v>
      </c>
      <c r="S64" s="123" t="s">
        <v>136</v>
      </c>
      <c r="T64" s="131" t="s">
        <v>159</v>
      </c>
      <c r="U64" s="155">
        <v>0</v>
      </c>
      <c r="V64" s="207">
        <v>45</v>
      </c>
      <c r="W64" s="207">
        <v>45</v>
      </c>
      <c r="X64" s="207">
        <v>55</v>
      </c>
      <c r="Y64" s="207" t="s">
        <v>64</v>
      </c>
      <c r="Z64" s="133">
        <f t="shared" si="1"/>
        <v>481.17454212454209</v>
      </c>
      <c r="AA64" s="133">
        <f>VLOOKUP(I64,'[2]PO &amp; SC Sept 2025'!$I$14:$BK$686,55,FALSE)+(($F$3/1000)-1.5)*O64</f>
        <v>483.59340802643999</v>
      </c>
      <c r="AB64" s="124">
        <f>AX64/(1-AF64)</f>
        <v>413.13156288156284</v>
      </c>
      <c r="AC64" s="134">
        <f>VLOOKUP(I64,'[2]PO &amp; SC Sept 2025'!$I$14:$BE$686,49,FALSE)+(O64*(($F$4/1000)-1.5))</f>
        <v>421.88672365624814</v>
      </c>
      <c r="AD64" s="213">
        <v>0.09</v>
      </c>
      <c r="AE64" s="213">
        <v>0.09</v>
      </c>
      <c r="AF64" s="215">
        <v>0.2</v>
      </c>
      <c r="AG64" s="216" t="s">
        <v>9</v>
      </c>
      <c r="AH64" s="148">
        <f>AB64</f>
        <v>413.13156288156284</v>
      </c>
      <c r="AI64" s="149">
        <f>1-(AX64/AH64)</f>
        <v>0.19999999999999996</v>
      </c>
      <c r="AJ64" s="444"/>
      <c r="AK64" s="150">
        <f t="shared" si="5"/>
        <v>412.43532182103604</v>
      </c>
      <c r="AL64" s="148">
        <f>AX64/(1-AE64)</f>
        <v>363.19258275302229</v>
      </c>
      <c r="AM64" s="125">
        <f>1-(AK64/Z64)</f>
        <v>0.1428571428571429</v>
      </c>
      <c r="AN64" s="125">
        <f t="shared" si="8"/>
        <v>0.12087912087912089</v>
      </c>
      <c r="AO64" s="140"/>
      <c r="AP64" s="17" t="s">
        <v>81</v>
      </c>
      <c r="AQ64" s="141">
        <f>17.21*0.99</f>
        <v>17.0379</v>
      </c>
      <c r="AR64" s="141">
        <f>2097.98*0.99</f>
        <v>2077.0001999999999</v>
      </c>
      <c r="AS64" s="141"/>
      <c r="AT64" s="141">
        <v>5</v>
      </c>
      <c r="AU64" s="141">
        <f t="shared" si="9"/>
        <v>2622.2129999999997</v>
      </c>
      <c r="AV64" s="141">
        <f t="shared" si="0"/>
        <v>2627.2129999999997</v>
      </c>
      <c r="AW64" s="142">
        <f>(AT64+AU64)/$F$5</f>
        <v>375.31614285714284</v>
      </c>
      <c r="AX64" s="126">
        <f>(AW64/$F$6)+(($F$9+$G$9)/40/R64)+AW64*U64</f>
        <v>330.50525030525029</v>
      </c>
      <c r="AY64" s="147"/>
      <c r="AZ64" s="128" t="s">
        <v>63</v>
      </c>
      <c r="BB64" s="124">
        <f t="shared" si="11"/>
        <v>1377.1052096052094</v>
      </c>
      <c r="BC64" s="124">
        <f t="shared" si="12"/>
        <v>826.26312576312569</v>
      </c>
      <c r="BD64" s="124">
        <f t="shared" si="13"/>
        <v>688.55260480260472</v>
      </c>
      <c r="BE64" s="124">
        <f t="shared" si="14"/>
        <v>550.84208384208375</v>
      </c>
      <c r="BG64" s="129">
        <f>1-(413/551)</f>
        <v>0.25045372050816694</v>
      </c>
    </row>
    <row r="65" spans="1:57" s="129" customFormat="1" hidden="1">
      <c r="A65" s="88" t="s">
        <v>1302</v>
      </c>
      <c r="B65" s="88" t="s">
        <v>1318</v>
      </c>
      <c r="C65" s="88" t="s">
        <v>1318</v>
      </c>
      <c r="D65" s="88" t="s">
        <v>55</v>
      </c>
      <c r="E65" s="89" t="s">
        <v>56</v>
      </c>
      <c r="F65" s="90" t="s">
        <v>109</v>
      </c>
      <c r="G65" s="131" t="s">
        <v>132</v>
      </c>
      <c r="H65" s="131">
        <v>23</v>
      </c>
      <c r="I65" s="132" t="s">
        <v>137</v>
      </c>
      <c r="J65" s="132" t="str">
        <f>_xlfn.XLOOKUP(I65,[1]Sheet1!$A:$A,[1]Sheet1!$B:$B,"")</f>
        <v>U0103007</v>
      </c>
      <c r="K65" s="90" t="s">
        <v>138</v>
      </c>
      <c r="L65" s="90" t="s">
        <v>139</v>
      </c>
      <c r="M65" s="131" t="s">
        <v>69</v>
      </c>
      <c r="N65" s="91" t="s">
        <v>60</v>
      </c>
      <c r="O65" s="92">
        <v>35.6</v>
      </c>
      <c r="P65" s="88" t="s">
        <v>61</v>
      </c>
      <c r="Q65" s="92" t="s">
        <v>62</v>
      </c>
      <c r="R65" s="92">
        <v>4</v>
      </c>
      <c r="S65" s="123" t="s">
        <v>140</v>
      </c>
      <c r="T65" s="131" t="s">
        <v>159</v>
      </c>
      <c r="U65" s="155">
        <v>0</v>
      </c>
      <c r="V65" s="207">
        <v>45</v>
      </c>
      <c r="W65" s="207">
        <v>45</v>
      </c>
      <c r="X65" s="207">
        <v>55</v>
      </c>
      <c r="Y65" s="207" t="s">
        <v>64</v>
      </c>
      <c r="Z65" s="133">
        <f t="shared" si="1"/>
        <v>982.60641952983724</v>
      </c>
      <c r="AA65" s="133">
        <f>VLOOKUP(I65,'[2]PO &amp; SC Sept 2025'!$I$14:$BK$686,55,FALSE)+(($F$3/1000)-1.5)*O65</f>
        <v>990.18108979607166</v>
      </c>
      <c r="AB65" s="124">
        <f t="shared" si="2"/>
        <v>846.10406397443444</v>
      </c>
      <c r="AC65" s="134">
        <f>VLOOKUP(I65,'[2]PO &amp; SC Sept 2025'!$I$14:$BE$686,49,FALSE)+(O65*(($F$4/1000)-1.5))</f>
        <v>866.7744727024226</v>
      </c>
      <c r="AD65" s="213">
        <v>0.09</v>
      </c>
      <c r="AE65" s="213">
        <v>0.09</v>
      </c>
      <c r="AF65" s="215">
        <v>0.19</v>
      </c>
      <c r="AG65" s="216" t="s">
        <v>9</v>
      </c>
      <c r="AH65" s="148">
        <f t="shared" si="3"/>
        <v>846.10406397443444</v>
      </c>
      <c r="AI65" s="149">
        <f t="shared" si="4"/>
        <v>0.18999999999999995</v>
      </c>
      <c r="AJ65" s="444"/>
      <c r="AK65" s="150">
        <f t="shared" si="5"/>
        <v>853.03194662480382</v>
      </c>
      <c r="AL65" s="148">
        <f t="shared" si="6"/>
        <v>753.12559540581526</v>
      </c>
      <c r="AM65" s="125">
        <f t="shared" si="7"/>
        <v>0.13186813186813184</v>
      </c>
      <c r="AN65" s="125">
        <f t="shared" si="8"/>
        <v>0.10989010989010994</v>
      </c>
      <c r="AO65" s="140"/>
      <c r="AP65" s="17" t="s">
        <v>81</v>
      </c>
      <c r="AQ65" s="141">
        <f>35.65*0.99</f>
        <v>35.293500000000002</v>
      </c>
      <c r="AR65" s="141">
        <f>4342.85*0.99</f>
        <v>4299.4215000000004</v>
      </c>
      <c r="AS65" s="141"/>
      <c r="AT65" s="141">
        <v>5</v>
      </c>
      <c r="AU65" s="141">
        <f t="shared" si="9"/>
        <v>5428.8135000000002</v>
      </c>
      <c r="AV65" s="141">
        <f t="shared" si="0"/>
        <v>5433.8135000000002</v>
      </c>
      <c r="AW65" s="142">
        <f t="shared" si="112"/>
        <v>776.25907142857147</v>
      </c>
      <c r="AX65" s="126">
        <f t="shared" si="10"/>
        <v>685.34429181929193</v>
      </c>
      <c r="AY65" s="147"/>
      <c r="AZ65" s="128" t="s">
        <v>63</v>
      </c>
      <c r="BB65" s="124">
        <f t="shared" si="11"/>
        <v>2820.3468799147818</v>
      </c>
      <c r="BC65" s="124">
        <f t="shared" si="12"/>
        <v>1692.2081279488691</v>
      </c>
      <c r="BD65" s="124">
        <f t="shared" si="13"/>
        <v>1410.1734399573909</v>
      </c>
      <c r="BE65" s="124">
        <f t="shared" si="14"/>
        <v>1128.1387519659127</v>
      </c>
    </row>
    <row r="66" spans="1:57" s="129" customFormat="1" hidden="1">
      <c r="A66" s="88" t="s">
        <v>1276</v>
      </c>
      <c r="B66" s="88" t="s">
        <v>1318</v>
      </c>
      <c r="C66" s="88" t="s">
        <v>1317</v>
      </c>
      <c r="D66" s="88" t="s">
        <v>55</v>
      </c>
      <c r="E66" s="89" t="s">
        <v>56</v>
      </c>
      <c r="F66" s="90" t="s">
        <v>109</v>
      </c>
      <c r="G66" s="131" t="s">
        <v>132</v>
      </c>
      <c r="H66" s="131">
        <v>23</v>
      </c>
      <c r="I66" s="132" t="s">
        <v>1815</v>
      </c>
      <c r="J66" s="132" t="str">
        <f>_xlfn.XLOOKUP(I66,[1]Sheet1!$A:$A,[1]Sheet1!$B:$B,"")</f>
        <v>U0103016</v>
      </c>
      <c r="K66" s="90" t="s">
        <v>2326</v>
      </c>
      <c r="L66" s="90" t="s">
        <v>1819</v>
      </c>
      <c r="M66" s="131" t="s">
        <v>69</v>
      </c>
      <c r="N66" s="91" t="s">
        <v>60</v>
      </c>
      <c r="O66" s="92">
        <v>17.8</v>
      </c>
      <c r="P66" s="88" t="s">
        <v>61</v>
      </c>
      <c r="Q66" s="92" t="s">
        <v>62</v>
      </c>
      <c r="R66" s="92">
        <v>9</v>
      </c>
      <c r="S66" s="123"/>
      <c r="T66" s="131" t="s">
        <v>159</v>
      </c>
      <c r="U66" s="155">
        <v>0</v>
      </c>
      <c r="V66" s="207">
        <v>45</v>
      </c>
      <c r="W66" s="207">
        <v>45</v>
      </c>
      <c r="X66" s="207">
        <v>55</v>
      </c>
      <c r="Y66" s="207" t="s">
        <v>64</v>
      </c>
      <c r="Z66" s="133">
        <f t="shared" ref="Z66:Z67" si="138">AW66/(1-(AF66+2%))</f>
        <v>481.17454212454209</v>
      </c>
      <c r="AA66" s="133">
        <f>VLOOKUP(I66,'[2]PO &amp; SC Sept 2025'!$I$14:$BK$686,55,FALSE)+(($F$3/1000)-1.5)*O66</f>
        <v>483.59340802643999</v>
      </c>
      <c r="AB66" s="124">
        <f>AX66/(1-AF66)</f>
        <v>413.13156288156284</v>
      </c>
      <c r="AC66" s="134">
        <f>VLOOKUP(I66,'[2]PO &amp; SC Sept 2025'!$I$14:$BE$686,49,FALSE)+(O66*(($F$4/1000)-1.5))</f>
        <v>421.88672365624814</v>
      </c>
      <c r="AD66" s="213">
        <v>0.09</v>
      </c>
      <c r="AE66" s="213">
        <v>0.09</v>
      </c>
      <c r="AF66" s="215">
        <v>0.2</v>
      </c>
      <c r="AG66" s="216" t="s">
        <v>9</v>
      </c>
      <c r="AH66" s="148">
        <f t="shared" si="3"/>
        <v>413.13156288156284</v>
      </c>
      <c r="AI66" s="149">
        <f>1-(AX66/AH66)</f>
        <v>0.19999999999999996</v>
      </c>
      <c r="AJ66" s="444"/>
      <c r="AK66" s="150">
        <f t="shared" ref="AK66:AK67" si="139">AW66/(1-AD66)</f>
        <v>412.43532182103604</v>
      </c>
      <c r="AL66" s="148">
        <f>AX66/(1-AE66)</f>
        <v>363.19258275302229</v>
      </c>
      <c r="AM66" s="125">
        <f t="shared" ref="AM66:AM67" si="140">1-(AK66/Z66)</f>
        <v>0.1428571428571429</v>
      </c>
      <c r="AN66" s="125">
        <f t="shared" ref="AN66:AN67" si="141">1-(AL66/AB66)</f>
        <v>0.12087912087912089</v>
      </c>
      <c r="AO66" s="140"/>
      <c r="AP66" s="17" t="s">
        <v>81</v>
      </c>
      <c r="AQ66" s="141">
        <f>17.21*0.99</f>
        <v>17.0379</v>
      </c>
      <c r="AR66" s="141">
        <f>2097.98*0.99</f>
        <v>2077.0001999999999</v>
      </c>
      <c r="AS66" s="141"/>
      <c r="AT66" s="141">
        <v>5</v>
      </c>
      <c r="AU66" s="141">
        <f t="shared" ref="AU66:AU67" si="142">($F$2-70000)/1000*AQ66+AR66</f>
        <v>2622.2129999999997</v>
      </c>
      <c r="AV66" s="141">
        <f t="shared" ref="AV66:AV67" si="143">AT66+AU66</f>
        <v>2627.2129999999997</v>
      </c>
      <c r="AW66" s="142">
        <f>(AT66+AU66)/$F$5</f>
        <v>375.31614285714284</v>
      </c>
      <c r="AX66" s="126">
        <f>(AW66/$F$6)+(($F$9+$G$9)/40/R66)+AW66*U66</f>
        <v>330.50525030525029</v>
      </c>
      <c r="AY66" s="147"/>
      <c r="AZ66" s="128" t="s">
        <v>63</v>
      </c>
      <c r="BB66" s="134">
        <f t="shared" si="11"/>
        <v>1377.1052096052094</v>
      </c>
      <c r="BC66" s="134">
        <f t="shared" si="12"/>
        <v>826.26312576312569</v>
      </c>
      <c r="BD66" s="134">
        <f t="shared" si="13"/>
        <v>688.55260480260472</v>
      </c>
      <c r="BE66" s="134">
        <f t="shared" si="14"/>
        <v>550.84208384208375</v>
      </c>
    </row>
    <row r="67" spans="1:57" s="129" customFormat="1" hidden="1">
      <c r="A67" s="88" t="s">
        <v>1276</v>
      </c>
      <c r="B67" s="88" t="s">
        <v>1318</v>
      </c>
      <c r="C67" s="88" t="s">
        <v>1317</v>
      </c>
      <c r="D67" s="88" t="s">
        <v>55</v>
      </c>
      <c r="E67" s="89" t="s">
        <v>56</v>
      </c>
      <c r="F67" s="90" t="s">
        <v>109</v>
      </c>
      <c r="G67" s="131" t="s">
        <v>132</v>
      </c>
      <c r="H67" s="131">
        <v>23</v>
      </c>
      <c r="I67" s="132" t="s">
        <v>1816</v>
      </c>
      <c r="J67" s="132" t="str">
        <f>_xlfn.XLOOKUP(I67,[1]Sheet1!$A:$A,[1]Sheet1!$B:$B,"")</f>
        <v>U0103017</v>
      </c>
      <c r="K67" s="90" t="s">
        <v>1818</v>
      </c>
      <c r="L67" s="90" t="s">
        <v>1820</v>
      </c>
      <c r="M67" s="131" t="s">
        <v>69</v>
      </c>
      <c r="N67" s="91" t="s">
        <v>60</v>
      </c>
      <c r="O67" s="92">
        <v>35.6</v>
      </c>
      <c r="P67" s="88" t="s">
        <v>61</v>
      </c>
      <c r="Q67" s="92" t="s">
        <v>62</v>
      </c>
      <c r="R67" s="92">
        <v>4</v>
      </c>
      <c r="S67" s="123"/>
      <c r="T67" s="131" t="s">
        <v>159</v>
      </c>
      <c r="U67" s="155">
        <v>0</v>
      </c>
      <c r="V67" s="207">
        <v>45</v>
      </c>
      <c r="W67" s="207">
        <v>45</v>
      </c>
      <c r="X67" s="207">
        <v>55</v>
      </c>
      <c r="Y67" s="207" t="s">
        <v>64</v>
      </c>
      <c r="Z67" s="133">
        <f t="shared" si="138"/>
        <v>982.60641952983724</v>
      </c>
      <c r="AA67" s="133">
        <f>VLOOKUP(I67,'[2]PO &amp; SC Sept 2025'!$I$14:$BK$686,55,FALSE)+(($F$3/1000)-1.5)*O67</f>
        <v>990.18108979607166</v>
      </c>
      <c r="AB67" s="124">
        <f t="shared" ref="AB67" si="144">AX67/(1-AF67)</f>
        <v>846.10406397443444</v>
      </c>
      <c r="AC67" s="134">
        <f>VLOOKUP(I67,'[2]PO &amp; SC Sept 2025'!$I$14:$BE$686,49,FALSE)+(O67*(($F$4/1000)-1.5))</f>
        <v>866.7744727024226</v>
      </c>
      <c r="AD67" s="213">
        <v>0.09</v>
      </c>
      <c r="AE67" s="213">
        <v>0.09</v>
      </c>
      <c r="AF67" s="215">
        <v>0.19</v>
      </c>
      <c r="AG67" s="216" t="s">
        <v>9</v>
      </c>
      <c r="AH67" s="148">
        <f t="shared" si="3"/>
        <v>846.10406397443444</v>
      </c>
      <c r="AI67" s="149">
        <f t="shared" ref="AI67" si="145">1-(AX67/AH67)</f>
        <v>0.18999999999999995</v>
      </c>
      <c r="AJ67" s="444"/>
      <c r="AK67" s="150">
        <f t="shared" si="139"/>
        <v>853.03194662480382</v>
      </c>
      <c r="AL67" s="148">
        <f t="shared" ref="AL67" si="146">AX67/(1-AE67)</f>
        <v>753.12559540581526</v>
      </c>
      <c r="AM67" s="125">
        <f t="shared" si="140"/>
        <v>0.13186813186813184</v>
      </c>
      <c r="AN67" s="125">
        <f t="shared" si="141"/>
        <v>0.10989010989010994</v>
      </c>
      <c r="AO67" s="140"/>
      <c r="AP67" s="17" t="s">
        <v>81</v>
      </c>
      <c r="AQ67" s="141">
        <f>35.65*0.99</f>
        <v>35.293500000000002</v>
      </c>
      <c r="AR67" s="141">
        <f>4342.85*0.99</f>
        <v>4299.4215000000004</v>
      </c>
      <c r="AS67" s="141"/>
      <c r="AT67" s="141">
        <v>5</v>
      </c>
      <c r="AU67" s="141">
        <f t="shared" si="142"/>
        <v>5428.8135000000002</v>
      </c>
      <c r="AV67" s="141">
        <f t="shared" si="143"/>
        <v>5433.8135000000002</v>
      </c>
      <c r="AW67" s="142">
        <f t="shared" ref="AW67" si="147">(AT67+AU67)/$F$5</f>
        <v>776.25907142857147</v>
      </c>
      <c r="AX67" s="126">
        <f t="shared" ref="AX67" si="148">(AW67/$F$6)+(($F$9+$G$9)/40/R67)+AW67*U67</f>
        <v>685.34429181929193</v>
      </c>
      <c r="AY67" s="147"/>
      <c r="AZ67" s="128" t="s">
        <v>63</v>
      </c>
      <c r="BB67" s="134">
        <f t="shared" si="11"/>
        <v>2820.3468799147818</v>
      </c>
      <c r="BC67" s="134">
        <f t="shared" si="12"/>
        <v>1692.2081279488691</v>
      </c>
      <c r="BD67" s="134">
        <f t="shared" si="13"/>
        <v>1410.1734399573909</v>
      </c>
      <c r="BE67" s="134">
        <f t="shared" si="14"/>
        <v>1128.1387519659127</v>
      </c>
    </row>
    <row r="68" spans="1:57" s="129" customFormat="1" hidden="1">
      <c r="A68" s="88" t="s">
        <v>1276</v>
      </c>
      <c r="B68" s="88" t="s">
        <v>1318</v>
      </c>
      <c r="C68" s="88" t="s">
        <v>1318</v>
      </c>
      <c r="D68" s="88" t="s">
        <v>55</v>
      </c>
      <c r="E68" s="89" t="s">
        <v>56</v>
      </c>
      <c r="F68" s="90" t="s">
        <v>109</v>
      </c>
      <c r="G68" s="131" t="s">
        <v>132</v>
      </c>
      <c r="H68" s="131">
        <v>23</v>
      </c>
      <c r="I68" s="132" t="s">
        <v>3859</v>
      </c>
      <c r="J68" s="132" t="str">
        <f>_xlfn.XLOOKUP(I68,[1]Sheet1!$A:$A,[1]Sheet1!$B:$B,"")</f>
        <v>U0103006</v>
      </c>
      <c r="K68" s="90" t="s">
        <v>4044</v>
      </c>
      <c r="L68" s="90" t="s">
        <v>3860</v>
      </c>
      <c r="M68" s="131" t="s">
        <v>69</v>
      </c>
      <c r="N68" s="91" t="s">
        <v>60</v>
      </c>
      <c r="O68" s="92">
        <v>17.8</v>
      </c>
      <c r="P68" s="88" t="s">
        <v>1411</v>
      </c>
      <c r="Q68" s="92" t="s">
        <v>62</v>
      </c>
      <c r="R68" s="92">
        <v>5.49</v>
      </c>
      <c r="S68" s="165" t="s">
        <v>1412</v>
      </c>
      <c r="T68" s="131" t="s">
        <v>159</v>
      </c>
      <c r="U68" s="155">
        <v>0</v>
      </c>
      <c r="V68" s="207">
        <v>45</v>
      </c>
      <c r="W68" s="207">
        <v>45</v>
      </c>
      <c r="X68" s="207">
        <v>55</v>
      </c>
      <c r="Y68" s="207" t="s">
        <v>64</v>
      </c>
      <c r="Z68" s="133">
        <f t="shared" si="1"/>
        <v>495.65934065934067</v>
      </c>
      <c r="AA68" s="133">
        <f>VLOOKUP(I68,'[2]PO &amp; SC Sept 2025'!$I$14:$BK$686,55,FALSE)+(($F$3/1000)-1.5)*O68</f>
        <v>492.03031672879081</v>
      </c>
      <c r="AB68" s="124">
        <f>AX68/(1-AF68)</f>
        <v>432.97203707039785</v>
      </c>
      <c r="AC68" s="134">
        <f>VLOOKUP(I68,'[2]PO &amp; SC Sept 2025'!$I$14:$BE$686,49,FALSE)+(O68*(($F$4/1000)-1.5))</f>
        <v>438.08069498189809</v>
      </c>
      <c r="AD68" s="213">
        <v>0.09</v>
      </c>
      <c r="AE68" s="213">
        <v>0.09</v>
      </c>
      <c r="AF68" s="215">
        <v>0.2</v>
      </c>
      <c r="AG68" s="216" t="s">
        <v>9</v>
      </c>
      <c r="AH68" s="148">
        <f t="shared" si="3"/>
        <v>432.97203707039785</v>
      </c>
      <c r="AI68" s="149">
        <f>1-(AX68/AH68)</f>
        <v>0.19999999999999996</v>
      </c>
      <c r="AJ68" s="444"/>
      <c r="AK68" s="150">
        <f t="shared" si="5"/>
        <v>424.85086342229204</v>
      </c>
      <c r="AL68" s="148">
        <f>AX68/(1-AE68)</f>
        <v>380.634757864086</v>
      </c>
      <c r="AM68" s="125">
        <f t="shared" si="7"/>
        <v>0.14285714285714279</v>
      </c>
      <c r="AN68" s="125">
        <f t="shared" si="8"/>
        <v>0.12087912087912089</v>
      </c>
      <c r="AO68" s="140"/>
      <c r="AP68" s="17" t="s">
        <v>81</v>
      </c>
      <c r="AQ68" s="141">
        <v>17.21</v>
      </c>
      <c r="AR68" s="141">
        <v>2155.58</v>
      </c>
      <c r="AS68" s="141"/>
      <c r="AT68" s="141">
        <v>0</v>
      </c>
      <c r="AU68" s="141">
        <f t="shared" si="9"/>
        <v>2706.3</v>
      </c>
      <c r="AV68" s="141">
        <f t="shared" si="0"/>
        <v>2706.3</v>
      </c>
      <c r="AW68" s="142">
        <f t="shared" si="112"/>
        <v>386.61428571428576</v>
      </c>
      <c r="AX68" s="126">
        <f>(AW68/$F$6)+(($F$9+$G$9)/40/R68)+AW68*U68</f>
        <v>346.37762965631828</v>
      </c>
      <c r="AY68" s="147"/>
      <c r="AZ68" s="128" t="s">
        <v>63</v>
      </c>
      <c r="BB68" s="134">
        <f t="shared" si="11"/>
        <v>1443.2401235679929</v>
      </c>
      <c r="BC68" s="134">
        <f t="shared" si="12"/>
        <v>865.94407414079569</v>
      </c>
      <c r="BD68" s="134">
        <f t="shared" si="13"/>
        <v>721.62006178399645</v>
      </c>
      <c r="BE68" s="134">
        <f t="shared" si="14"/>
        <v>577.2960494271972</v>
      </c>
    </row>
    <row r="69" spans="1:57" s="129" customFormat="1" hidden="1">
      <c r="A69" s="88" t="s">
        <v>1302</v>
      </c>
      <c r="B69" s="88" t="s">
        <v>1318</v>
      </c>
      <c r="C69" s="88" t="s">
        <v>1318</v>
      </c>
      <c r="D69" s="88" t="s">
        <v>55</v>
      </c>
      <c r="E69" s="89" t="s">
        <v>56</v>
      </c>
      <c r="F69" s="90" t="s">
        <v>109</v>
      </c>
      <c r="G69" s="131" t="s">
        <v>132</v>
      </c>
      <c r="H69" s="131">
        <v>23</v>
      </c>
      <c r="I69" s="132" t="s">
        <v>141</v>
      </c>
      <c r="J69" s="132" t="str">
        <f>_xlfn.XLOOKUP(I69,[1]Sheet1!$A:$A,[1]Sheet1!$B:$B,"")</f>
        <v>U0103003</v>
      </c>
      <c r="K69" s="90" t="s">
        <v>142</v>
      </c>
      <c r="L69" s="90" t="s">
        <v>143</v>
      </c>
      <c r="M69" s="131" t="s">
        <v>125</v>
      </c>
      <c r="N69" s="91" t="s">
        <v>60</v>
      </c>
      <c r="O69" s="92">
        <v>17.8</v>
      </c>
      <c r="P69" s="88" t="s">
        <v>61</v>
      </c>
      <c r="Q69" s="92" t="s">
        <v>62</v>
      </c>
      <c r="R69" s="92">
        <v>9</v>
      </c>
      <c r="S69" s="123" t="s">
        <v>144</v>
      </c>
      <c r="T69" s="131" t="s">
        <v>159</v>
      </c>
      <c r="U69" s="155">
        <v>0</v>
      </c>
      <c r="V69" s="207">
        <v>45</v>
      </c>
      <c r="W69" s="207">
        <v>45</v>
      </c>
      <c r="X69" s="207">
        <v>55</v>
      </c>
      <c r="Y69" s="207" t="s">
        <v>64</v>
      </c>
      <c r="Z69" s="133">
        <f t="shared" si="1"/>
        <v>517.93233082706763</v>
      </c>
      <c r="AA69" s="133">
        <f>VLOOKUP(I69,'[2]PO &amp; SC Sept 2025'!$I$14:$BK$686,55,FALSE)+(($F$3/1000)-1.5)*O69</f>
        <v>513.65858731337573</v>
      </c>
      <c r="AB69" s="124">
        <f t="shared" si="2"/>
        <v>443.7908957139727</v>
      </c>
      <c r="AC69" s="134">
        <f>VLOOKUP(I69,'[2]PO &amp; SC Sept 2025'!$I$14:$BE$686,49,FALSE)+(O69*(($F$4/1000)-1.5))</f>
        <v>447.40581966782133</v>
      </c>
      <c r="AD69" s="213">
        <v>0.09</v>
      </c>
      <c r="AE69" s="213">
        <v>0.09</v>
      </c>
      <c r="AF69" s="215">
        <v>0.22</v>
      </c>
      <c r="AG69" s="216" t="s">
        <v>9</v>
      </c>
      <c r="AH69" s="148">
        <f t="shared" si="3"/>
        <v>443.7908957139727</v>
      </c>
      <c r="AI69" s="149">
        <f>1-(AX69/AH69)</f>
        <v>0.21999999999999997</v>
      </c>
      <c r="AJ69" s="444"/>
      <c r="AK69" s="150">
        <f t="shared" si="5"/>
        <v>432.55886970172685</v>
      </c>
      <c r="AL69" s="148">
        <f t="shared" si="6"/>
        <v>380.39219632626231</v>
      </c>
      <c r="AM69" s="125">
        <f t="shared" si="7"/>
        <v>0.1648351648351648</v>
      </c>
      <c r="AN69" s="125">
        <f t="shared" si="8"/>
        <v>0.1428571428571429</v>
      </c>
      <c r="AO69" s="140"/>
      <c r="AP69" s="17" t="s">
        <v>81</v>
      </c>
      <c r="AQ69" s="141">
        <v>17.09</v>
      </c>
      <c r="AR69" s="141">
        <v>2203.52</v>
      </c>
      <c r="AS69" s="141"/>
      <c r="AT69" s="141">
        <v>5</v>
      </c>
      <c r="AU69" s="141">
        <f t="shared" si="9"/>
        <v>2750.4</v>
      </c>
      <c r="AV69" s="141">
        <f t="shared" si="0"/>
        <v>2755.4</v>
      </c>
      <c r="AW69" s="142">
        <f t="shared" ref="AW69:AW82" si="149">(AT69+AU69)/$F$5</f>
        <v>393.62857142857143</v>
      </c>
      <c r="AX69" s="126">
        <f t="shared" si="10"/>
        <v>346.1568986568987</v>
      </c>
      <c r="AY69" s="127"/>
      <c r="AZ69" s="128" t="s">
        <v>63</v>
      </c>
      <c r="BB69" s="124">
        <f t="shared" si="11"/>
        <v>1479.3029857132424</v>
      </c>
      <c r="BC69" s="124">
        <f t="shared" si="12"/>
        <v>887.5817914279454</v>
      </c>
      <c r="BD69" s="124">
        <f t="shared" si="13"/>
        <v>739.65149285662119</v>
      </c>
      <c r="BE69" s="124">
        <f t="shared" si="14"/>
        <v>591.72119428529697</v>
      </c>
    </row>
    <row r="70" spans="1:57" s="129" customFormat="1" hidden="1">
      <c r="A70" s="88" t="s">
        <v>1276</v>
      </c>
      <c r="B70" s="88" t="s">
        <v>1318</v>
      </c>
      <c r="C70" s="88" t="s">
        <v>1318</v>
      </c>
      <c r="D70" s="88" t="s">
        <v>55</v>
      </c>
      <c r="E70" s="89" t="s">
        <v>56</v>
      </c>
      <c r="F70" s="90" t="s">
        <v>109</v>
      </c>
      <c r="G70" s="131" t="s">
        <v>132</v>
      </c>
      <c r="H70" s="131">
        <v>23</v>
      </c>
      <c r="I70" s="132" t="s">
        <v>2225</v>
      </c>
      <c r="J70" s="132" t="str">
        <f>_xlfn.XLOOKUP(I70,[1]Sheet1!$A:$A,[1]Sheet1!$B:$B,"")</f>
        <v>U0103020</v>
      </c>
      <c r="K70" s="90" t="s">
        <v>2226</v>
      </c>
      <c r="L70" s="90" t="s">
        <v>2227</v>
      </c>
      <c r="M70" s="131" t="s">
        <v>125</v>
      </c>
      <c r="N70" s="91" t="s">
        <v>60</v>
      </c>
      <c r="O70" s="92">
        <v>35.6</v>
      </c>
      <c r="P70" s="88" t="s">
        <v>61</v>
      </c>
      <c r="Q70" s="92" t="s">
        <v>62</v>
      </c>
      <c r="R70" s="92">
        <v>9</v>
      </c>
      <c r="S70" s="123"/>
      <c r="T70" s="131" t="s">
        <v>159</v>
      </c>
      <c r="U70" s="155">
        <v>0</v>
      </c>
      <c r="V70" s="207">
        <v>45</v>
      </c>
      <c r="W70" s="207">
        <v>45</v>
      </c>
      <c r="X70" s="207">
        <v>55</v>
      </c>
      <c r="Y70" s="207" t="s">
        <v>64</v>
      </c>
      <c r="Z70" s="133">
        <f t="shared" ref="Z70:Z71" si="150">AW70/(1-(AF70+2%))</f>
        <v>1073.4322820037107</v>
      </c>
      <c r="AA70" s="133">
        <f>VLOOKUP(I70,'[2]PO &amp; SC Sept 2025'!$I$14:$BK$686,55,FALSE)+(($F$3/1000)-1.5)*O70</f>
        <v>1066.0010683232886</v>
      </c>
      <c r="AB70" s="124">
        <f t="shared" ref="AB70:AB71" si="151">AX70/(1-AF70)</f>
        <v>906.54317553051726</v>
      </c>
      <c r="AC70" s="134">
        <f>VLOOKUP(I70,'[2]PO &amp; SC Sept 2025'!$I$14:$BE$686,49,FALSE)+(O70*(($F$4/1000)-1.5))</f>
        <v>912.9911766736318</v>
      </c>
      <c r="AD70" s="213">
        <v>0.09</v>
      </c>
      <c r="AE70" s="213">
        <v>0.09</v>
      </c>
      <c r="AF70" s="215">
        <v>0.21</v>
      </c>
      <c r="AG70" s="216" t="s">
        <v>9</v>
      </c>
      <c r="AH70" s="148">
        <f t="shared" si="3"/>
        <v>906.54317553051726</v>
      </c>
      <c r="AI70" s="149">
        <f>1-(AX70/AH70)</f>
        <v>0.20999999999999996</v>
      </c>
      <c r="AJ70" s="444"/>
      <c r="AK70" s="150">
        <f t="shared" ref="AK70:AK71" si="152">AW70/(1-AD70)</f>
        <v>908.2888540031397</v>
      </c>
      <c r="AL70" s="148">
        <f t="shared" ref="AL70:AL71" si="153">AX70/(1-AE70)</f>
        <v>786.99902051550407</v>
      </c>
      <c r="AM70" s="125">
        <f t="shared" ref="AM70:AM71" si="154">1-(AK70/Z70)</f>
        <v>0.15384615384615397</v>
      </c>
      <c r="AN70" s="125">
        <f t="shared" ref="AN70:AN71" si="155">1-(AL70/AB70)</f>
        <v>0.13186813186813173</v>
      </c>
      <c r="AO70" s="140"/>
      <c r="AP70" s="17" t="s">
        <v>81</v>
      </c>
      <c r="AQ70" s="141">
        <v>35.97</v>
      </c>
      <c r="AR70" s="141">
        <v>4629.76</v>
      </c>
      <c r="AS70" s="141"/>
      <c r="AT70" s="141">
        <v>5</v>
      </c>
      <c r="AU70" s="141">
        <f t="shared" ref="AU70:AU71" si="156">($F$2-70000)/1000*AQ70+AR70</f>
        <v>5780.8</v>
      </c>
      <c r="AV70" s="141">
        <f t="shared" ref="AV70:AV71" si="157">AT70+AU70</f>
        <v>5785.8</v>
      </c>
      <c r="AW70" s="142">
        <f t="shared" si="149"/>
        <v>826.5428571428572</v>
      </c>
      <c r="AX70" s="126">
        <f t="shared" ref="AX70:AX71" si="158">(AW70/$F$6)+(($F$9+$G$9)/40/R70)+AW70*U70</f>
        <v>716.16910866910871</v>
      </c>
      <c r="AY70" s="127"/>
      <c r="AZ70" s="128" t="s">
        <v>63</v>
      </c>
      <c r="BB70" s="134">
        <f t="shared" si="11"/>
        <v>3021.8105851017244</v>
      </c>
      <c r="BC70" s="134">
        <f t="shared" si="12"/>
        <v>1813.0863510610345</v>
      </c>
      <c r="BD70" s="134">
        <f t="shared" si="13"/>
        <v>1510.9052925508622</v>
      </c>
      <c r="BE70" s="134">
        <f t="shared" si="14"/>
        <v>1208.7242340406899</v>
      </c>
    </row>
    <row r="71" spans="1:57" s="539" customFormat="1" hidden="1">
      <c r="A71" s="513" t="s">
        <v>1276</v>
      </c>
      <c r="B71" s="513" t="s">
        <v>1318</v>
      </c>
      <c r="C71" s="513" t="s">
        <v>1318</v>
      </c>
      <c r="D71" s="513" t="s">
        <v>55</v>
      </c>
      <c r="E71" s="514" t="s">
        <v>56</v>
      </c>
      <c r="F71" s="515" t="s">
        <v>109</v>
      </c>
      <c r="G71" s="516" t="s">
        <v>132</v>
      </c>
      <c r="H71" s="516">
        <v>23</v>
      </c>
      <c r="I71" s="517" t="s">
        <v>3872</v>
      </c>
      <c r="J71" s="517" t="str">
        <f>_xlfn.XLOOKUP(I71,[1]Sheet1!$A:$A,[1]Sheet1!$B:$B,"")</f>
        <v>U0103019</v>
      </c>
      <c r="K71" s="515" t="s">
        <v>3873</v>
      </c>
      <c r="L71" s="515" t="s">
        <v>3874</v>
      </c>
      <c r="M71" s="516" t="s">
        <v>125</v>
      </c>
      <c r="N71" s="518" t="s">
        <v>60</v>
      </c>
      <c r="O71" s="519">
        <v>17.8</v>
      </c>
      <c r="P71" s="513" t="s">
        <v>1411</v>
      </c>
      <c r="Q71" s="519" t="s">
        <v>62</v>
      </c>
      <c r="R71" s="519">
        <v>9</v>
      </c>
      <c r="S71" s="520"/>
      <c r="T71" s="516" t="s">
        <v>159</v>
      </c>
      <c r="U71" s="521">
        <v>0</v>
      </c>
      <c r="V71" s="522">
        <v>45</v>
      </c>
      <c r="W71" s="522">
        <v>45</v>
      </c>
      <c r="X71" s="522">
        <v>55</v>
      </c>
      <c r="Y71" s="522" t="s">
        <v>64</v>
      </c>
      <c r="Z71" s="523">
        <f t="shared" si="150"/>
        <v>0.93984962406015038</v>
      </c>
      <c r="AA71" s="523" t="e">
        <f>VLOOKUP(I71,'[2]PO &amp; SC Sept 2025'!$I$14:$BK$686,55,FALSE)+(($F$3/1000)-1.5)*O71</f>
        <v>#N/A</v>
      </c>
      <c r="AB71" s="524">
        <f t="shared" si="151"/>
        <v>13.247080554772861</v>
      </c>
      <c r="AC71" s="524" t="e">
        <f>VLOOKUP(I71,'[2]PO &amp; SC Sept 2025'!$I$14:$BE$686,49,FALSE)+(O71*(($F$4/1000)-1.5))</f>
        <v>#N/A</v>
      </c>
      <c r="AD71" s="525">
        <v>0.09</v>
      </c>
      <c r="AE71" s="525">
        <v>0.09</v>
      </c>
      <c r="AF71" s="525">
        <v>0.22</v>
      </c>
      <c r="AG71" s="526" t="s">
        <v>9</v>
      </c>
      <c r="AH71" s="527">
        <f t="shared" ref="AH71" si="159">AB71</f>
        <v>13.247080554772861</v>
      </c>
      <c r="AI71" s="528">
        <f>1-(AX71/AH71)</f>
        <v>0.21999999999999997</v>
      </c>
      <c r="AJ71" s="529"/>
      <c r="AK71" s="530">
        <f t="shared" si="152"/>
        <v>0.78492935635792782</v>
      </c>
      <c r="AL71" s="527">
        <f t="shared" si="153"/>
        <v>11.354640475519595</v>
      </c>
      <c r="AM71" s="531">
        <f t="shared" si="154"/>
        <v>0.1648351648351648</v>
      </c>
      <c r="AN71" s="531">
        <f t="shared" si="155"/>
        <v>0.1428571428571429</v>
      </c>
      <c r="AO71" s="532"/>
      <c r="AP71" s="533" t="s">
        <v>81</v>
      </c>
      <c r="AQ71" s="534"/>
      <c r="AR71" s="534"/>
      <c r="AS71" s="534"/>
      <c r="AT71" s="534">
        <v>5</v>
      </c>
      <c r="AU71" s="534">
        <f t="shared" si="156"/>
        <v>0</v>
      </c>
      <c r="AV71" s="534">
        <f t="shared" si="157"/>
        <v>5</v>
      </c>
      <c r="AW71" s="535">
        <f t="shared" ref="AW71" si="160">(AT71+AU71)/$F$5</f>
        <v>0.7142857142857143</v>
      </c>
      <c r="AX71" s="536">
        <f t="shared" si="158"/>
        <v>10.332722832722832</v>
      </c>
      <c r="AY71" s="537"/>
      <c r="AZ71" s="538" t="s">
        <v>63</v>
      </c>
      <c r="BB71" s="524">
        <f t="shared" ref="BB71" si="161">AB71/0.3</f>
        <v>44.156935182576206</v>
      </c>
      <c r="BC71" s="524">
        <f t="shared" ref="BC71" si="162">BB71*0.6</f>
        <v>26.494161109545722</v>
      </c>
      <c r="BD71" s="524">
        <f t="shared" ref="BD71" si="163">BB71*0.5</f>
        <v>22.078467591288103</v>
      </c>
      <c r="BE71" s="524">
        <f t="shared" ref="BE71" si="164">BB71*0.4</f>
        <v>17.662774073030484</v>
      </c>
    </row>
    <row r="72" spans="1:57" s="129" customFormat="1" hidden="1">
      <c r="A72" s="88" t="s">
        <v>1302</v>
      </c>
      <c r="B72" s="88" t="s">
        <v>1317</v>
      </c>
      <c r="C72" s="88" t="s">
        <v>1318</v>
      </c>
      <c r="D72" s="88" t="s">
        <v>55</v>
      </c>
      <c r="E72" s="89" t="s">
        <v>56</v>
      </c>
      <c r="F72" s="90" t="s">
        <v>109</v>
      </c>
      <c r="G72" s="131" t="s">
        <v>132</v>
      </c>
      <c r="H72" s="131">
        <v>23</v>
      </c>
      <c r="I72" s="132" t="s">
        <v>145</v>
      </c>
      <c r="J72" s="132" t="str">
        <f>_xlfn.XLOOKUP(I72,[1]Sheet1!$A:$A,[1]Sheet1!$B:$B,"")</f>
        <v>U0103002</v>
      </c>
      <c r="K72" s="90" t="s">
        <v>146</v>
      </c>
      <c r="L72" s="90" t="s">
        <v>147</v>
      </c>
      <c r="M72" s="131" t="s">
        <v>130</v>
      </c>
      <c r="N72" s="91" t="s">
        <v>60</v>
      </c>
      <c r="O72" s="92">
        <v>17.8</v>
      </c>
      <c r="P72" s="88" t="s">
        <v>61</v>
      </c>
      <c r="Q72" s="92" t="s">
        <v>62</v>
      </c>
      <c r="R72" s="92">
        <v>9</v>
      </c>
      <c r="S72" s="123" t="s">
        <v>148</v>
      </c>
      <c r="T72" s="131" t="s">
        <v>159</v>
      </c>
      <c r="U72" s="155">
        <v>0</v>
      </c>
      <c r="V72" s="207">
        <v>45</v>
      </c>
      <c r="W72" s="207">
        <v>45</v>
      </c>
      <c r="X72" s="207">
        <v>55</v>
      </c>
      <c r="Y72" s="207" t="s">
        <v>64</v>
      </c>
      <c r="Z72" s="133">
        <f t="shared" si="1"/>
        <v>548.5849420849421</v>
      </c>
      <c r="AA72" s="133">
        <f>VLOOKUP(I72,'[2]PO &amp; SC Sept 2025'!$I$14:$BK$686,55,FALSE)+(($F$3/1000)-1.5)*O72</f>
        <v>534.20349094260553</v>
      </c>
      <c r="AB72" s="124">
        <f t="shared" si="2"/>
        <v>469.32957393483719</v>
      </c>
      <c r="AC72" s="134">
        <f>VLOOKUP(I72,'[2]PO &amp; SC Sept 2025'!$I$14:$BE$686,49,FALSE)+(O72*(($F$4/1000)-1.5))</f>
        <v>464.85052077203454</v>
      </c>
      <c r="AD72" s="213">
        <v>0.09</v>
      </c>
      <c r="AE72" s="213">
        <v>0.09</v>
      </c>
      <c r="AF72" s="215">
        <v>0.24</v>
      </c>
      <c r="AG72" s="216" t="s">
        <v>9</v>
      </c>
      <c r="AH72" s="148">
        <f t="shared" si="3"/>
        <v>469.32957393483719</v>
      </c>
      <c r="AI72" s="149">
        <f t="shared" si="4"/>
        <v>0.24</v>
      </c>
      <c r="AJ72" s="444"/>
      <c r="AK72" s="150">
        <f t="shared" si="5"/>
        <v>446.10204081632656</v>
      </c>
      <c r="AL72" s="148">
        <f t="shared" si="6"/>
        <v>391.96755625327063</v>
      </c>
      <c r="AM72" s="125">
        <f t="shared" si="7"/>
        <v>0.18681318681318682</v>
      </c>
      <c r="AN72" s="125">
        <f t="shared" si="8"/>
        <v>0.1648351648351648</v>
      </c>
      <c r="AO72" s="140"/>
      <c r="AP72" s="17" t="s">
        <v>81</v>
      </c>
      <c r="AQ72" s="141">
        <v>17.66</v>
      </c>
      <c r="AR72" s="141">
        <v>2271.5500000000002</v>
      </c>
      <c r="AS72" s="141"/>
      <c r="AT72" s="141">
        <v>5</v>
      </c>
      <c r="AU72" s="141">
        <f t="shared" si="9"/>
        <v>2836.67</v>
      </c>
      <c r="AV72" s="141">
        <f t="shared" si="0"/>
        <v>2841.67</v>
      </c>
      <c r="AW72" s="142">
        <f t="shared" si="149"/>
        <v>405.95285714285717</v>
      </c>
      <c r="AX72" s="126">
        <f t="shared" si="10"/>
        <v>356.69047619047626</v>
      </c>
      <c r="AY72" s="127"/>
      <c r="AZ72" s="128" t="s">
        <v>63</v>
      </c>
      <c r="BB72" s="124">
        <f t="shared" si="11"/>
        <v>1564.431913116124</v>
      </c>
      <c r="BC72" s="124">
        <f t="shared" si="12"/>
        <v>938.65914786967437</v>
      </c>
      <c r="BD72" s="124">
        <f t="shared" si="13"/>
        <v>782.21595655806198</v>
      </c>
      <c r="BE72" s="124">
        <f t="shared" si="14"/>
        <v>625.77276524644958</v>
      </c>
    </row>
    <row r="73" spans="1:57" s="129" customFormat="1" hidden="1">
      <c r="A73" s="90" t="s">
        <v>1302</v>
      </c>
      <c r="B73" s="88" t="s">
        <v>1317</v>
      </c>
      <c r="C73" s="88" t="s">
        <v>1318</v>
      </c>
      <c r="D73" s="90" t="s">
        <v>55</v>
      </c>
      <c r="E73" s="90" t="s">
        <v>56</v>
      </c>
      <c r="F73" s="90" t="s">
        <v>109</v>
      </c>
      <c r="G73" s="131" t="s">
        <v>132</v>
      </c>
      <c r="H73" s="131">
        <v>23</v>
      </c>
      <c r="I73" s="132" t="s">
        <v>149</v>
      </c>
      <c r="J73" s="132" t="str">
        <f>_xlfn.XLOOKUP(I73,[1]Sheet1!$A:$A,[1]Sheet1!$B:$B,"")</f>
        <v>U0103004</v>
      </c>
      <c r="K73" s="90" t="s">
        <v>3789</v>
      </c>
      <c r="L73" s="90" t="s">
        <v>150</v>
      </c>
      <c r="M73" s="131" t="s">
        <v>125</v>
      </c>
      <c r="N73" s="91" t="s">
        <v>60</v>
      </c>
      <c r="O73" s="92">
        <v>17.8</v>
      </c>
      <c r="P73" s="88" t="s">
        <v>61</v>
      </c>
      <c r="Q73" s="92" t="s">
        <v>62</v>
      </c>
      <c r="R73" s="92">
        <v>9</v>
      </c>
      <c r="S73" s="123" t="e">
        <v>#N/A</v>
      </c>
      <c r="T73" s="131" t="s">
        <v>159</v>
      </c>
      <c r="U73" s="155">
        <v>0</v>
      </c>
      <c r="V73" s="207">
        <v>45</v>
      </c>
      <c r="W73" s="207">
        <v>45</v>
      </c>
      <c r="X73" s="207">
        <v>55</v>
      </c>
      <c r="Y73" s="207" t="s">
        <v>64</v>
      </c>
      <c r="Z73" s="133">
        <f t="shared" ref="Z73" si="165">AW73/(1-(AF73+2%))</f>
        <v>557.60912698412699</v>
      </c>
      <c r="AA73" s="133">
        <f>VLOOKUP(I73,'[2]PO &amp; SC Sept 2025'!$I$14:$BK$686,55,FALSE)+(($F$3/1000)-1.5)*O73</f>
        <v>542.37282203646828</v>
      </c>
      <c r="AB73" s="124">
        <f t="shared" si="2"/>
        <v>476.84635184635192</v>
      </c>
      <c r="AC73" s="134">
        <f>VLOOKUP(I73,'[2]PO &amp; SC Sept 2025'!$I$14:$BE$686,49,FALSE)+(O73*(($F$4/1000)-1.5))</f>
        <v>471.86315357197157</v>
      </c>
      <c r="AD73" s="213">
        <v>0.09</v>
      </c>
      <c r="AE73" s="213">
        <v>0.09</v>
      </c>
      <c r="AF73" s="215">
        <v>0.26</v>
      </c>
      <c r="AG73" s="216" t="s">
        <v>9</v>
      </c>
      <c r="AH73" s="148">
        <f t="shared" si="3"/>
        <v>476.84635184635192</v>
      </c>
      <c r="AI73" s="149">
        <f t="shared" ref="AI73:AI79" si="166">1-(AX73/AH73)</f>
        <v>0.26</v>
      </c>
      <c r="AJ73" s="444"/>
      <c r="AK73" s="150">
        <f t="shared" si="5"/>
        <v>441.18524332810051</v>
      </c>
      <c r="AL73" s="148">
        <f t="shared" si="6"/>
        <v>387.76516523769277</v>
      </c>
      <c r="AM73" s="125">
        <f t="shared" si="7"/>
        <v>0.20879120879120872</v>
      </c>
      <c r="AN73" s="125">
        <f t="shared" si="8"/>
        <v>0.18681318681318682</v>
      </c>
      <c r="AO73" s="140"/>
      <c r="AP73" s="17" t="s">
        <v>81</v>
      </c>
      <c r="AQ73" s="141">
        <f>ROUND(AQ69*1.02,2)</f>
        <v>17.43</v>
      </c>
      <c r="AR73" s="141">
        <f>ROUND(AR69*1.02,2)</f>
        <v>2247.59</v>
      </c>
      <c r="AS73" s="141"/>
      <c r="AT73" s="141">
        <v>5</v>
      </c>
      <c r="AU73" s="141">
        <f t="shared" si="9"/>
        <v>2805.3500000000004</v>
      </c>
      <c r="AV73" s="141">
        <f t="shared" si="0"/>
        <v>2810.3500000000004</v>
      </c>
      <c r="AW73" s="142">
        <f t="shared" si="149"/>
        <v>401.47857142857146</v>
      </c>
      <c r="AX73" s="126">
        <f t="shared" si="10"/>
        <v>352.86630036630044</v>
      </c>
      <c r="AY73" s="127"/>
      <c r="AZ73" s="128" t="s">
        <v>63</v>
      </c>
      <c r="BB73" s="124">
        <f t="shared" si="11"/>
        <v>1589.4878394878399</v>
      </c>
      <c r="BC73" s="124">
        <f t="shared" si="12"/>
        <v>953.69270369270384</v>
      </c>
      <c r="BD73" s="124">
        <f t="shared" si="13"/>
        <v>794.74391974391995</v>
      </c>
      <c r="BE73" s="124">
        <f t="shared" si="14"/>
        <v>635.79513579513605</v>
      </c>
    </row>
    <row r="74" spans="1:57" s="129" customFormat="1" hidden="1">
      <c r="A74" s="88" t="s">
        <v>1302</v>
      </c>
      <c r="B74" s="88" t="s">
        <v>2240</v>
      </c>
      <c r="C74" s="88" t="s">
        <v>1318</v>
      </c>
      <c r="D74" s="88" t="s">
        <v>55</v>
      </c>
      <c r="E74" s="89" t="s">
        <v>56</v>
      </c>
      <c r="F74" s="90" t="s">
        <v>109</v>
      </c>
      <c r="G74" s="131" t="s">
        <v>132</v>
      </c>
      <c r="H74" s="131">
        <v>23</v>
      </c>
      <c r="I74" s="132" t="s">
        <v>133</v>
      </c>
      <c r="J74" s="132" t="str">
        <f>_xlfn.XLOOKUP(I74,[1]Sheet1!$A:$A,[1]Sheet1!$B:$B,"")</f>
        <v>U0103001</v>
      </c>
      <c r="K74" s="90" t="s">
        <v>134</v>
      </c>
      <c r="L74" s="90" t="s">
        <v>135</v>
      </c>
      <c r="M74" s="131" t="s">
        <v>69</v>
      </c>
      <c r="N74" s="91" t="s">
        <v>158</v>
      </c>
      <c r="O74" s="92">
        <v>19</v>
      </c>
      <c r="P74" s="88" t="s">
        <v>61</v>
      </c>
      <c r="Q74" s="92" t="s">
        <v>62</v>
      </c>
      <c r="R74" s="92">
        <v>9</v>
      </c>
      <c r="S74" s="123" t="s">
        <v>136</v>
      </c>
      <c r="T74" s="131" t="s">
        <v>159</v>
      </c>
      <c r="U74" s="155">
        <v>0</v>
      </c>
      <c r="V74" s="207">
        <v>60</v>
      </c>
      <c r="W74" s="207">
        <v>14</v>
      </c>
      <c r="X74" s="207">
        <v>14</v>
      </c>
      <c r="Y74" s="207" t="s">
        <v>1582</v>
      </c>
      <c r="Z74" s="133">
        <f t="shared" ref="Z74:Z78" si="167">(AW74/(1-(AF74+2%)))*$F$6</f>
        <v>516.42108433734938</v>
      </c>
      <c r="AA74" s="133">
        <f>VLOOKUP(I74,'[2]PO &amp; SC Sept 2025'!$I$14:$BK$686,55,FALSE)+(($F$3/1000)-1.5)*O74</f>
        <v>497.44800802643999</v>
      </c>
      <c r="AB74" s="124">
        <f>AX74/(1-AF74)</f>
        <v>439.37942014412602</v>
      </c>
      <c r="AC74" s="134">
        <f>VLOOKUP(I74,'[2]PO &amp; SC Sept 2025'!$I$14:$BE$686,49,FALSE)+(O74*(($F$4/1000)-1.5))</f>
        <v>433.46672365624818</v>
      </c>
      <c r="AD74" s="213">
        <f>AE74</f>
        <v>7.0000000000000007E-2</v>
      </c>
      <c r="AE74" s="213">
        <v>7.0000000000000007E-2</v>
      </c>
      <c r="AF74" s="215">
        <v>0.15</v>
      </c>
      <c r="AG74" s="215" t="s">
        <v>9</v>
      </c>
      <c r="AH74" s="148">
        <f t="shared" si="3"/>
        <v>439.37942014412602</v>
      </c>
      <c r="AI74" s="122">
        <f t="shared" si="166"/>
        <v>0.15000000000000002</v>
      </c>
      <c r="AJ74" s="444"/>
      <c r="AK74" s="150">
        <f t="shared" ref="AK74:AK78" si="168">AW74/(1-AD74)*$F$6</f>
        <v>460.89193548387101</v>
      </c>
      <c r="AL74" s="148">
        <f t="shared" si="6"/>
        <v>401.58334099194315</v>
      </c>
      <c r="AM74" s="125">
        <f>1-(AK74/Z74)</f>
        <v>0.10752688172043001</v>
      </c>
      <c r="AN74" s="125">
        <f>1-(AL74/AB74)</f>
        <v>8.602150537634401E-2</v>
      </c>
      <c r="AO74" s="140"/>
      <c r="AP74" s="17" t="s">
        <v>160</v>
      </c>
      <c r="AQ74" s="141"/>
      <c r="AR74" s="141"/>
      <c r="AS74" s="153">
        <v>183</v>
      </c>
      <c r="AT74" s="141"/>
      <c r="AU74" s="141"/>
      <c r="AV74" s="141"/>
      <c r="AW74" s="154">
        <f>AS74+($F$4-1500)/1000*O74</f>
        <v>366.35</v>
      </c>
      <c r="AX74" s="126">
        <f>(AS74+($F$4-1500)/1000*O74)+($F$10/40/R74/$F$6)</f>
        <v>373.47250712250712</v>
      </c>
      <c r="AY74" s="17"/>
      <c r="AZ74" s="128" t="s">
        <v>63</v>
      </c>
      <c r="BB74" s="124">
        <f t="shared" si="11"/>
        <v>1464.5980671470868</v>
      </c>
      <c r="BC74" s="124">
        <f t="shared" si="12"/>
        <v>878.75884028825203</v>
      </c>
      <c r="BD74" s="124">
        <f t="shared" si="13"/>
        <v>732.2990335735434</v>
      </c>
      <c r="BE74" s="124">
        <f t="shared" si="14"/>
        <v>585.83922685883476</v>
      </c>
    </row>
    <row r="75" spans="1:57" s="129" customFormat="1" hidden="1">
      <c r="A75" s="88" t="s">
        <v>1302</v>
      </c>
      <c r="B75" s="88" t="s">
        <v>2240</v>
      </c>
      <c r="C75" s="88" t="s">
        <v>1318</v>
      </c>
      <c r="D75" s="88" t="s">
        <v>55</v>
      </c>
      <c r="E75" s="89" t="s">
        <v>56</v>
      </c>
      <c r="F75" s="90" t="s">
        <v>109</v>
      </c>
      <c r="G75" s="131" t="s">
        <v>132</v>
      </c>
      <c r="H75" s="131">
        <v>23</v>
      </c>
      <c r="I75" s="132" t="s">
        <v>137</v>
      </c>
      <c r="J75" s="132" t="str">
        <f>_xlfn.XLOOKUP(I75,[1]Sheet1!$A:$A,[1]Sheet1!$B:$B,"")</f>
        <v>U0103007</v>
      </c>
      <c r="K75" s="90" t="s">
        <v>138</v>
      </c>
      <c r="L75" s="90" t="s">
        <v>139</v>
      </c>
      <c r="M75" s="131" t="s">
        <v>69</v>
      </c>
      <c r="N75" s="91" t="s">
        <v>158</v>
      </c>
      <c r="O75" s="92">
        <v>37</v>
      </c>
      <c r="P75" s="88" t="s">
        <v>61</v>
      </c>
      <c r="Q75" s="92" t="s">
        <v>62</v>
      </c>
      <c r="R75" s="92">
        <v>4</v>
      </c>
      <c r="S75" s="123" t="s">
        <v>140</v>
      </c>
      <c r="T75" s="131" t="s">
        <v>159</v>
      </c>
      <c r="U75" s="155">
        <v>0</v>
      </c>
      <c r="V75" s="207">
        <v>60</v>
      </c>
      <c r="W75" s="207">
        <v>14</v>
      </c>
      <c r="X75" s="207">
        <v>14</v>
      </c>
      <c r="Y75" s="207" t="s">
        <v>1582</v>
      </c>
      <c r="Z75" s="133">
        <f t="shared" si="167"/>
        <v>1032.7526946107785</v>
      </c>
      <c r="AA75" s="133">
        <f>VLOOKUP(I75,'[2]PO &amp; SC Sept 2025'!$I$14:$BK$686,55,FALSE)+(($F$3/1000)-1.5)*O75</f>
        <v>1006.3447897960716</v>
      </c>
      <c r="AB75" s="124">
        <f>AX75/(1-AF75)</f>
        <v>880.79022342180235</v>
      </c>
      <c r="AC75" s="134">
        <f>VLOOKUP(I75,'[2]PO &amp; SC Sept 2025'!$I$14:$BE$686,49,FALSE)+(O75*(($F$4/1000)-1.5))</f>
        <v>880.28447270242259</v>
      </c>
      <c r="AD75" s="213">
        <f>AE75</f>
        <v>7.0000000000000007E-2</v>
      </c>
      <c r="AE75" s="213">
        <v>7.0000000000000007E-2</v>
      </c>
      <c r="AF75" s="215">
        <v>0.14499999999999999</v>
      </c>
      <c r="AG75" s="215" t="s">
        <v>9</v>
      </c>
      <c r="AH75" s="148">
        <f t="shared" si="3"/>
        <v>880.79022342180235</v>
      </c>
      <c r="AI75" s="122">
        <f t="shared" si="166"/>
        <v>0.14500000000000002</v>
      </c>
      <c r="AJ75" s="444"/>
      <c r="AK75" s="150">
        <f t="shared" si="168"/>
        <v>927.25645161290311</v>
      </c>
      <c r="AL75" s="148">
        <f t="shared" si="6"/>
        <v>809.75875379101183</v>
      </c>
      <c r="AM75" s="125">
        <f>1-(AK75/Z75)</f>
        <v>0.10215053763440873</v>
      </c>
      <c r="AN75" s="125">
        <f>1-(AL75/AB75)</f>
        <v>8.064516129032262E-2</v>
      </c>
      <c r="AO75" s="140"/>
      <c r="AP75" s="17" t="s">
        <v>160</v>
      </c>
      <c r="AQ75" s="141"/>
      <c r="AR75" s="141"/>
      <c r="AS75" s="153">
        <v>380</v>
      </c>
      <c r="AT75" s="141"/>
      <c r="AU75" s="141"/>
      <c r="AV75" s="141"/>
      <c r="AW75" s="154">
        <f>AS75+($F$4-1500)/1000*O75</f>
        <v>737.05</v>
      </c>
      <c r="AX75" s="126">
        <f>(AS75+($F$4-1500)/1000*O75)+($F$10/40/R75/$F$6)</f>
        <v>753.07564102564095</v>
      </c>
      <c r="AY75" s="17"/>
      <c r="AZ75" s="128" t="s">
        <v>63</v>
      </c>
      <c r="BB75" s="124">
        <f t="shared" si="11"/>
        <v>2935.9674114060081</v>
      </c>
      <c r="BC75" s="124">
        <f t="shared" si="12"/>
        <v>1761.5804468436047</v>
      </c>
      <c r="BD75" s="124">
        <f t="shared" si="13"/>
        <v>1467.983705703004</v>
      </c>
      <c r="BE75" s="124">
        <f t="shared" si="14"/>
        <v>1174.3869645624034</v>
      </c>
    </row>
    <row r="76" spans="1:57" s="129" customFormat="1" hidden="1">
      <c r="A76" s="88" t="s">
        <v>1276</v>
      </c>
      <c r="B76" s="88" t="s">
        <v>2240</v>
      </c>
      <c r="C76" s="88" t="s">
        <v>1317</v>
      </c>
      <c r="D76" s="88" t="s">
        <v>55</v>
      </c>
      <c r="E76" s="89" t="s">
        <v>56</v>
      </c>
      <c r="F76" s="90" t="s">
        <v>109</v>
      </c>
      <c r="G76" s="131" t="s">
        <v>132</v>
      </c>
      <c r="H76" s="131">
        <v>23</v>
      </c>
      <c r="I76" s="132" t="s">
        <v>1815</v>
      </c>
      <c r="J76" s="132" t="str">
        <f>_xlfn.XLOOKUP(I76,[1]Sheet1!$A:$A,[1]Sheet1!$B:$B,"")</f>
        <v>U0103016</v>
      </c>
      <c r="K76" s="90" t="s">
        <v>1817</v>
      </c>
      <c r="L76" s="90" t="s">
        <v>1819</v>
      </c>
      <c r="M76" s="131" t="s">
        <v>69</v>
      </c>
      <c r="N76" s="91" t="s">
        <v>158</v>
      </c>
      <c r="O76" s="92">
        <v>19</v>
      </c>
      <c r="P76" s="88" t="s">
        <v>61</v>
      </c>
      <c r="Q76" s="92" t="s">
        <v>62</v>
      </c>
      <c r="R76" s="92">
        <v>9</v>
      </c>
      <c r="S76" s="123"/>
      <c r="T76" s="131" t="s">
        <v>159</v>
      </c>
      <c r="U76" s="155">
        <v>0</v>
      </c>
      <c r="V76" s="207">
        <v>60</v>
      </c>
      <c r="W76" s="207">
        <v>14</v>
      </c>
      <c r="X76" s="207">
        <v>14</v>
      </c>
      <c r="Y76" s="207" t="s">
        <v>1224</v>
      </c>
      <c r="Z76" s="133">
        <f t="shared" si="167"/>
        <v>517.83072289156621</v>
      </c>
      <c r="AA76" s="133">
        <f>VLOOKUP(I76,'[2]PO &amp; SC Sept 2025'!$I$14:$BK$686,55,FALSE)+(($F$3/1000)-1.5)*O76</f>
        <v>497.44800802643999</v>
      </c>
      <c r="AB76" s="124">
        <f>AX76/(1-AF76)</f>
        <v>440.55589073236132</v>
      </c>
      <c r="AC76" s="134">
        <f>VLOOKUP(I76,'[2]PO &amp; SC Sept 2025'!$I$14:$BE$686,49,FALSE)+(O76*(($F$4/1000)-1.5))</f>
        <v>433.46672365624818</v>
      </c>
      <c r="AD76" s="213">
        <f>AE76</f>
        <v>7.0000000000000007E-2</v>
      </c>
      <c r="AE76" s="213">
        <v>7.0000000000000007E-2</v>
      </c>
      <c r="AF76" s="215">
        <v>0.15</v>
      </c>
      <c r="AG76" s="215" t="s">
        <v>9</v>
      </c>
      <c r="AH76" s="148">
        <f t="shared" si="3"/>
        <v>440.55589073236132</v>
      </c>
      <c r="AI76" s="122">
        <f t="shared" si="166"/>
        <v>0.15000000000000002</v>
      </c>
      <c r="AJ76" s="444"/>
      <c r="AK76" s="150">
        <f t="shared" si="168"/>
        <v>462.15000000000003</v>
      </c>
      <c r="AL76" s="148">
        <f t="shared" si="6"/>
        <v>402.65860980914749</v>
      </c>
      <c r="AM76" s="125">
        <f>1-(AK76/Z76)</f>
        <v>0.1075268817204299</v>
      </c>
      <c r="AN76" s="125">
        <f>1-(AL76/AB76)</f>
        <v>8.602150537634401E-2</v>
      </c>
      <c r="AO76" s="140"/>
      <c r="AP76" s="17" t="s">
        <v>160</v>
      </c>
      <c r="AQ76" s="141"/>
      <c r="AR76" s="141"/>
      <c r="AS76" s="153">
        <v>184</v>
      </c>
      <c r="AT76" s="141"/>
      <c r="AU76" s="141"/>
      <c r="AV76" s="141"/>
      <c r="AW76" s="154">
        <f>AS76+($F$4-1500)/1000*O76</f>
        <v>367.35</v>
      </c>
      <c r="AX76" s="126">
        <f>(AS76+($F$4-1500)/1000*O76)+($F$10/40/R76/$F$6)</f>
        <v>374.47250712250712</v>
      </c>
      <c r="AY76" s="17"/>
      <c r="AZ76" s="128" t="s">
        <v>63</v>
      </c>
      <c r="BB76" s="124">
        <f t="shared" si="11"/>
        <v>1468.5196357745378</v>
      </c>
      <c r="BC76" s="124">
        <f t="shared" si="12"/>
        <v>881.11178146472264</v>
      </c>
      <c r="BD76" s="124">
        <f t="shared" si="13"/>
        <v>734.25981788726892</v>
      </c>
      <c r="BE76" s="124">
        <f t="shared" si="14"/>
        <v>587.40785430981521</v>
      </c>
    </row>
    <row r="77" spans="1:57" s="129" customFormat="1" hidden="1">
      <c r="A77" s="88" t="s">
        <v>1276</v>
      </c>
      <c r="B77" s="88" t="s">
        <v>2240</v>
      </c>
      <c r="C77" s="88" t="s">
        <v>1317</v>
      </c>
      <c r="D77" s="88" t="s">
        <v>55</v>
      </c>
      <c r="E77" s="89" t="s">
        <v>56</v>
      </c>
      <c r="F77" s="90" t="s">
        <v>109</v>
      </c>
      <c r="G77" s="131" t="s">
        <v>132</v>
      </c>
      <c r="H77" s="131">
        <v>23</v>
      </c>
      <c r="I77" s="132" t="s">
        <v>2560</v>
      </c>
      <c r="J77" s="132" t="str">
        <f>_xlfn.XLOOKUP(I77,[1]Sheet1!$A:$A,[1]Sheet1!$B:$B,"")</f>
        <v>U0103017</v>
      </c>
      <c r="K77" s="90" t="s">
        <v>1818</v>
      </c>
      <c r="L77" s="90" t="s">
        <v>1820</v>
      </c>
      <c r="M77" s="131" t="s">
        <v>69</v>
      </c>
      <c r="N77" s="91" t="s">
        <v>158</v>
      </c>
      <c r="O77" s="92">
        <v>37</v>
      </c>
      <c r="P77" s="88" t="s">
        <v>61</v>
      </c>
      <c r="Q77" s="92" t="s">
        <v>62</v>
      </c>
      <c r="R77" s="92">
        <v>4</v>
      </c>
      <c r="S77" s="123"/>
      <c r="T77" s="131" t="s">
        <v>159</v>
      </c>
      <c r="U77" s="155">
        <v>0</v>
      </c>
      <c r="V77" s="207">
        <v>60</v>
      </c>
      <c r="W77" s="207">
        <v>14</v>
      </c>
      <c r="X77" s="207">
        <v>14</v>
      </c>
      <c r="Y77" s="207" t="s">
        <v>1224</v>
      </c>
      <c r="Z77" s="133">
        <f t="shared" si="167"/>
        <v>1066.3814371257483</v>
      </c>
      <c r="AA77" s="133">
        <f>VLOOKUP(I77,'[2]PO &amp; SC Sept 2025'!$I$14:$BK$686,55,FALSE)+(($F$3/1000)-1.5)*O77</f>
        <v>1006.3447897960716</v>
      </c>
      <c r="AB77" s="124">
        <f>AX77/(1-AF77)</f>
        <v>908.86039886039873</v>
      </c>
      <c r="AC77" s="134">
        <f>VLOOKUP(I77,'[2]PO &amp; SC Sept 2025'!$I$14:$BE$686,49,FALSE)+(O77*(($F$4/1000)-1.5))</f>
        <v>880.28447270242259</v>
      </c>
      <c r="AD77" s="213">
        <f>AE77</f>
        <v>7.0000000000000007E-2</v>
      </c>
      <c r="AE77" s="213">
        <v>7.0000000000000007E-2</v>
      </c>
      <c r="AF77" s="215">
        <v>0.14499999999999999</v>
      </c>
      <c r="AG77" s="215" t="s">
        <v>9</v>
      </c>
      <c r="AH77" s="148">
        <f t="shared" si="3"/>
        <v>908.86039886039873</v>
      </c>
      <c r="AI77" s="143">
        <f t="shared" si="166"/>
        <v>0.14500000000000002</v>
      </c>
      <c r="AJ77" s="444"/>
      <c r="AK77" s="150">
        <f t="shared" si="168"/>
        <v>957.44999999999993</v>
      </c>
      <c r="AL77" s="148">
        <f t="shared" si="6"/>
        <v>835.565205403915</v>
      </c>
      <c r="AM77" s="146">
        <f>1-(AK77/Z77)</f>
        <v>0.10215053763440851</v>
      </c>
      <c r="AN77" s="146">
        <f>1-(AL77/AB77)</f>
        <v>8.0645161290322509E-2</v>
      </c>
      <c r="AO77" s="140"/>
      <c r="AP77" s="17" t="s">
        <v>160</v>
      </c>
      <c r="AQ77" s="141"/>
      <c r="AR77" s="141"/>
      <c r="AS77" s="153">
        <v>404</v>
      </c>
      <c r="AT77" s="141"/>
      <c r="AU77" s="141"/>
      <c r="AV77" s="141"/>
      <c r="AW77" s="154">
        <f>AS77+($F$4-1500)/1000*O77</f>
        <v>761.05</v>
      </c>
      <c r="AX77" s="126">
        <f>(AS77+($F$4-1500)/1000*O77)+($F$10/40/R77/$F$6)</f>
        <v>777.07564102564095</v>
      </c>
      <c r="AY77" s="17"/>
      <c r="AZ77" s="128" t="s">
        <v>63</v>
      </c>
      <c r="BB77" s="124">
        <f t="shared" si="11"/>
        <v>3029.5346628679958</v>
      </c>
      <c r="BC77" s="124">
        <f t="shared" si="12"/>
        <v>1817.7207977207975</v>
      </c>
      <c r="BD77" s="124">
        <f t="shared" si="13"/>
        <v>1514.7673314339979</v>
      </c>
      <c r="BE77" s="124">
        <f t="shared" si="14"/>
        <v>1211.8138651471984</v>
      </c>
    </row>
    <row r="78" spans="1:57" s="129" customFormat="1" hidden="1">
      <c r="A78" s="88" t="s">
        <v>1276</v>
      </c>
      <c r="B78" s="88" t="s">
        <v>1317</v>
      </c>
      <c r="C78" s="88" t="s">
        <v>1318</v>
      </c>
      <c r="D78" s="88" t="s">
        <v>55</v>
      </c>
      <c r="E78" s="89" t="s">
        <v>56</v>
      </c>
      <c r="F78" s="90" t="s">
        <v>109</v>
      </c>
      <c r="G78" s="131" t="s">
        <v>132</v>
      </c>
      <c r="H78" s="131">
        <v>23</v>
      </c>
      <c r="I78" s="132" t="s">
        <v>2219</v>
      </c>
      <c r="J78" s="132" t="str">
        <f>_xlfn.XLOOKUP(I78,[1]Sheet1!$A:$A,[1]Sheet1!$B:$B,"")</f>
        <v/>
      </c>
      <c r="K78" s="90" t="s">
        <v>2226</v>
      </c>
      <c r="L78" s="90" t="s">
        <v>2227</v>
      </c>
      <c r="M78" s="131" t="s">
        <v>2220</v>
      </c>
      <c r="N78" s="91" t="s">
        <v>158</v>
      </c>
      <c r="O78" s="92">
        <v>38</v>
      </c>
      <c r="P78" s="88" t="s">
        <v>61</v>
      </c>
      <c r="Q78" s="92" t="s">
        <v>62</v>
      </c>
      <c r="R78" s="92">
        <v>4</v>
      </c>
      <c r="S78" s="123"/>
      <c r="T78" s="131" t="s">
        <v>159</v>
      </c>
      <c r="U78" s="155">
        <v>0</v>
      </c>
      <c r="V78" s="207">
        <v>60</v>
      </c>
      <c r="W78" s="207">
        <v>14</v>
      </c>
      <c r="X78" s="207">
        <v>14</v>
      </c>
      <c r="Y78" s="207" t="s">
        <v>1224</v>
      </c>
      <c r="Z78" s="133">
        <f t="shared" si="167"/>
        <v>1110.0109090909091</v>
      </c>
      <c r="AA78" s="133">
        <f>VLOOKUP(I78,'[2]PO &amp; SC Sept 2025'!$I$14:$BK$686,55,FALSE)+(($F$3/1000)-1.5)*O78</f>
        <v>1116.2421901840492</v>
      </c>
      <c r="AB78" s="124">
        <f>AX78/(1-AF78)</f>
        <v>945.23744500075861</v>
      </c>
      <c r="AC78" s="134">
        <f>VLOOKUP(I78,'[2]PO &amp; SC Sept 2025'!$I$14:$BE$686,49,FALSE)+(O78*(($F$4/1000)-1.5))</f>
        <v>968.65105441291325</v>
      </c>
      <c r="AD78" s="213">
        <f>AE78</f>
        <v>7.0000000000000007E-2</v>
      </c>
      <c r="AE78" s="213">
        <v>7.0000000000000007E-2</v>
      </c>
      <c r="AF78" s="215">
        <v>0.155</v>
      </c>
      <c r="AG78" s="215" t="s">
        <v>9</v>
      </c>
      <c r="AH78" s="148">
        <f t="shared" si="3"/>
        <v>945.23744500075861</v>
      </c>
      <c r="AI78" s="143">
        <f t="shared" si="166"/>
        <v>0.15500000000000003</v>
      </c>
      <c r="AJ78" s="444"/>
      <c r="AK78" s="150">
        <f t="shared" si="168"/>
        <v>984.68709677419361</v>
      </c>
      <c r="AL78" s="148">
        <f t="shared" si="6"/>
        <v>858.84477529638832</v>
      </c>
      <c r="AM78" s="146">
        <f>1-(AK78/Z78)</f>
        <v>0.11290322580645151</v>
      </c>
      <c r="AN78" s="146">
        <f>1-(AL78/AB78)</f>
        <v>9.139784946236551E-2</v>
      </c>
      <c r="AO78" s="140"/>
      <c r="AP78" s="17" t="s">
        <v>160</v>
      </c>
      <c r="AQ78" s="141"/>
      <c r="AR78" s="141"/>
      <c r="AS78" s="153">
        <v>416</v>
      </c>
      <c r="AT78" s="141"/>
      <c r="AU78" s="141"/>
      <c r="AV78" s="141"/>
      <c r="AW78" s="154">
        <f>AS78+($F$4-1500)/1000*O78</f>
        <v>782.7</v>
      </c>
      <c r="AX78" s="126">
        <f>(AS78+($F$4-1500)/1000*O78)+($F$10/40/R78/$F$6)</f>
        <v>798.72564102564104</v>
      </c>
      <c r="AY78" s="17"/>
      <c r="AZ78" s="128" t="s">
        <v>63</v>
      </c>
      <c r="BB78" s="134">
        <f t="shared" si="11"/>
        <v>3150.7914833358623</v>
      </c>
      <c r="BC78" s="134">
        <f t="shared" si="12"/>
        <v>1890.4748900015172</v>
      </c>
      <c r="BD78" s="134">
        <f t="shared" si="13"/>
        <v>1575.3957416679311</v>
      </c>
      <c r="BE78" s="134">
        <f t="shared" si="14"/>
        <v>1260.316593334345</v>
      </c>
    </row>
    <row r="79" spans="1:57" s="129" customFormat="1" hidden="1">
      <c r="A79" s="90" t="s">
        <v>1302</v>
      </c>
      <c r="B79" s="88" t="s">
        <v>1317</v>
      </c>
      <c r="C79" s="88" t="s">
        <v>1318</v>
      </c>
      <c r="D79" s="90" t="s">
        <v>55</v>
      </c>
      <c r="E79" s="90" t="s">
        <v>56</v>
      </c>
      <c r="F79" s="90" t="s">
        <v>109</v>
      </c>
      <c r="G79" s="131" t="s">
        <v>151</v>
      </c>
      <c r="H79" s="131">
        <v>23</v>
      </c>
      <c r="I79" s="132" t="s">
        <v>3710</v>
      </c>
      <c r="J79" s="132" t="str">
        <f>_xlfn.XLOOKUP(I79,[1]Sheet1!$A:$A,[1]Sheet1!$B:$B,"")</f>
        <v>U0103009</v>
      </c>
      <c r="K79" s="90" t="s">
        <v>152</v>
      </c>
      <c r="L79" s="90" t="s">
        <v>153</v>
      </c>
      <c r="M79" s="131" t="s">
        <v>69</v>
      </c>
      <c r="N79" s="91" t="s">
        <v>60</v>
      </c>
      <c r="O79" s="92">
        <v>21</v>
      </c>
      <c r="P79" s="88" t="s">
        <v>61</v>
      </c>
      <c r="Q79" s="92" t="s">
        <v>62</v>
      </c>
      <c r="R79" s="92">
        <v>9</v>
      </c>
      <c r="S79" s="123" t="s">
        <v>154</v>
      </c>
      <c r="T79" s="131" t="s">
        <v>159</v>
      </c>
      <c r="U79" s="155">
        <v>0</v>
      </c>
      <c r="V79" s="207">
        <v>45</v>
      </c>
      <c r="W79" s="207">
        <v>45</v>
      </c>
      <c r="X79" s="207">
        <v>55</v>
      </c>
      <c r="Y79" s="207" t="s">
        <v>64</v>
      </c>
      <c r="Z79" s="133">
        <f t="shared" si="1"/>
        <v>582.38857142857148</v>
      </c>
      <c r="AA79" s="133">
        <f>VLOOKUP(I79,'[2]PO &amp; SC Sept 2025'!$I$14:$BK$686,55,FALSE)+(($F$3/1000)-1.5)*O79</f>
        <v>567.97611289334668</v>
      </c>
      <c r="AB79" s="124">
        <f t="shared" si="2"/>
        <v>497.46523317951892</v>
      </c>
      <c r="AC79" s="134">
        <f>VLOOKUP(I79,'[2]PO &amp; SC Sept 2025'!$I$14:$BE$686,49,FALSE)+(O79*(($F$4/1000)-1.5))</f>
        <v>493.01445230990191</v>
      </c>
      <c r="AD79" s="213">
        <v>0.09</v>
      </c>
      <c r="AE79" s="213">
        <v>0.09</v>
      </c>
      <c r="AF79" s="215">
        <v>0.22999999999999998</v>
      </c>
      <c r="AG79" s="216" t="s">
        <v>9</v>
      </c>
      <c r="AH79" s="148">
        <f t="shared" si="3"/>
        <v>497.46523317951892</v>
      </c>
      <c r="AI79" s="149">
        <f t="shared" si="166"/>
        <v>0.22999999999999998</v>
      </c>
      <c r="AJ79" s="444"/>
      <c r="AK79" s="150">
        <f t="shared" si="5"/>
        <v>479.99058084772372</v>
      </c>
      <c r="AL79" s="148">
        <f t="shared" si="6"/>
        <v>420.93212038266984</v>
      </c>
      <c r="AM79" s="125">
        <f t="shared" si="7"/>
        <v>0.17582417582417587</v>
      </c>
      <c r="AN79" s="125">
        <f t="shared" si="8"/>
        <v>0.15384615384615385</v>
      </c>
      <c r="AO79" s="140"/>
      <c r="AP79" s="17" t="s">
        <v>81</v>
      </c>
      <c r="AQ79" s="141">
        <v>20.41</v>
      </c>
      <c r="AR79" s="141">
        <v>2399.42</v>
      </c>
      <c r="AS79" s="141"/>
      <c r="AT79" s="141">
        <v>5</v>
      </c>
      <c r="AU79" s="141">
        <f t="shared" si="9"/>
        <v>3052.54</v>
      </c>
      <c r="AV79" s="141">
        <f t="shared" si="0"/>
        <v>3057.54</v>
      </c>
      <c r="AW79" s="142">
        <f t="shared" si="149"/>
        <v>436.79142857142858</v>
      </c>
      <c r="AX79" s="126">
        <f t="shared" si="10"/>
        <v>383.04822954822959</v>
      </c>
      <c r="AY79" s="127"/>
      <c r="AZ79" s="128" t="s">
        <v>63</v>
      </c>
      <c r="BB79" s="124">
        <f t="shared" si="11"/>
        <v>1658.2174439317298</v>
      </c>
      <c r="BC79" s="124">
        <f t="shared" si="12"/>
        <v>994.93046635903784</v>
      </c>
      <c r="BD79" s="124">
        <f t="shared" si="13"/>
        <v>829.1087219658649</v>
      </c>
      <c r="BE79" s="124">
        <f t="shared" si="14"/>
        <v>663.28697757269197</v>
      </c>
    </row>
    <row r="80" spans="1:57" s="129" customFormat="1" hidden="1">
      <c r="A80" s="90" t="s">
        <v>1276</v>
      </c>
      <c r="B80" s="88" t="s">
        <v>1317</v>
      </c>
      <c r="C80" s="88" t="s">
        <v>1318</v>
      </c>
      <c r="D80" s="90" t="s">
        <v>55</v>
      </c>
      <c r="E80" s="90" t="s">
        <v>56</v>
      </c>
      <c r="F80" s="90" t="s">
        <v>109</v>
      </c>
      <c r="G80" s="131" t="s">
        <v>151</v>
      </c>
      <c r="H80" s="131">
        <v>23</v>
      </c>
      <c r="I80" s="132" t="s">
        <v>3962</v>
      </c>
      <c r="J80" s="132" t="str">
        <f>_xlfn.XLOOKUP(I80,[1]Sheet1!$A:$A,[1]Sheet1!$B:$B,"")</f>
        <v>U0103023</v>
      </c>
      <c r="K80" s="90" t="s">
        <v>3963</v>
      </c>
      <c r="L80" s="90" t="s">
        <v>3964</v>
      </c>
      <c r="M80" s="131" t="s">
        <v>69</v>
      </c>
      <c r="N80" s="91" t="s">
        <v>60</v>
      </c>
      <c r="O80" s="92">
        <v>21</v>
      </c>
      <c r="P80" s="88" t="s">
        <v>61</v>
      </c>
      <c r="Q80" s="92" t="s">
        <v>62</v>
      </c>
      <c r="R80" s="92">
        <v>4</v>
      </c>
      <c r="S80" s="123"/>
      <c r="T80" s="131" t="s">
        <v>159</v>
      </c>
      <c r="U80" s="324">
        <v>0</v>
      </c>
      <c r="V80" s="207">
        <v>45</v>
      </c>
      <c r="W80" s="207">
        <v>45</v>
      </c>
      <c r="X80" s="207">
        <v>55</v>
      </c>
      <c r="Y80" s="207" t="s">
        <v>64</v>
      </c>
      <c r="Z80" s="133">
        <f>AW80/(1-(AF80+2%))</f>
        <v>1191.246704761905</v>
      </c>
      <c r="AA80" s="133" t="e">
        <f>VLOOKUP(I80,'[2]PO &amp; SC Sept 2025'!$I$14:$BK$686,55,FALSE)+(($F$3/1000)-1.5)*O80</f>
        <v>#N/A</v>
      </c>
      <c r="AB80" s="124">
        <f>AX80/(1-AF80)</f>
        <v>1020.1229643372502</v>
      </c>
      <c r="AC80" s="134" t="e">
        <f>VLOOKUP(I80,'[2]PO &amp; SC Sept 2025'!$I$14:$BE$686,49,FALSE)+(O80*(($F$4/1000)-1.5))</f>
        <v>#N/A</v>
      </c>
      <c r="AD80" s="213">
        <v>0.09</v>
      </c>
      <c r="AE80" s="213">
        <v>0.09</v>
      </c>
      <c r="AF80" s="215">
        <v>0.22999999999999998</v>
      </c>
      <c r="AG80" s="216" t="s">
        <v>9</v>
      </c>
      <c r="AH80" s="148">
        <f>AB80</f>
        <v>1020.1229643372502</v>
      </c>
      <c r="AI80" s="149">
        <f>1-(AX80/AH80)</f>
        <v>0.22999999999999998</v>
      </c>
      <c r="AJ80" s="444"/>
      <c r="AK80" s="150">
        <f>AW80/(1-AD80)</f>
        <v>981.79673469387762</v>
      </c>
      <c r="AL80" s="148">
        <f>AX80/(1-AE80)</f>
        <v>863.18096982382713</v>
      </c>
      <c r="AM80" s="325">
        <f>1-(AK80/Z80)</f>
        <v>0.17582417582417598</v>
      </c>
      <c r="AN80" s="325">
        <f>1-(AL80/AB80)</f>
        <v>0.15384615384615385</v>
      </c>
      <c r="AO80" s="140"/>
      <c r="AP80" s="17" t="s">
        <v>81</v>
      </c>
      <c r="AQ80" s="141">
        <v>40.82</v>
      </c>
      <c r="AR80" s="141">
        <f>2399.42*2*1.03</f>
        <v>4942.8052000000007</v>
      </c>
      <c r="AS80" s="141"/>
      <c r="AT80" s="141">
        <v>5</v>
      </c>
      <c r="AU80" s="141">
        <f>($F$2-70000)/1000*AQ80+AR80</f>
        <v>6249.0452000000005</v>
      </c>
      <c r="AV80" s="141">
        <f>AT80+AU80</f>
        <v>6254.0452000000005</v>
      </c>
      <c r="AW80" s="142">
        <f>(AT80+AU80)/$F$5</f>
        <v>893.43502857142869</v>
      </c>
      <c r="AX80" s="126">
        <f>(AW80/$F$6)+(($F$9+$G$9)/40/R80)+AW80*U80</f>
        <v>785.49468253968269</v>
      </c>
      <c r="AY80" s="127"/>
      <c r="AZ80" s="128" t="s">
        <v>63</v>
      </c>
      <c r="BB80" s="124">
        <f>AB80/0.3</f>
        <v>3400.4098811241674</v>
      </c>
      <c r="BC80" s="124">
        <f>BB80*0.6</f>
        <v>2040.2459286745004</v>
      </c>
      <c r="BD80" s="124">
        <f>BB80*0.5</f>
        <v>1700.2049405620837</v>
      </c>
      <c r="BE80" s="124">
        <f>BB80*0.4</f>
        <v>1360.163952449667</v>
      </c>
    </row>
    <row r="81" spans="1:57" s="129" customFormat="1" hidden="1">
      <c r="A81" s="90" t="s">
        <v>1302</v>
      </c>
      <c r="B81" s="88" t="s">
        <v>1318</v>
      </c>
      <c r="C81" s="88" t="s">
        <v>1318</v>
      </c>
      <c r="D81" s="90" t="s">
        <v>55</v>
      </c>
      <c r="E81" s="90" t="s">
        <v>56</v>
      </c>
      <c r="F81" s="90" t="s">
        <v>109</v>
      </c>
      <c r="G81" s="131" t="s">
        <v>151</v>
      </c>
      <c r="H81" s="131">
        <v>23</v>
      </c>
      <c r="I81" s="273" t="s">
        <v>1588</v>
      </c>
      <c r="J81" s="132" t="str">
        <f>_xlfn.XLOOKUP(I81,[1]Sheet1!$A:$A,[1]Sheet1!$B:$B,"")</f>
        <v>U0103008</v>
      </c>
      <c r="K81" s="90" t="s">
        <v>156</v>
      </c>
      <c r="L81" s="90" t="s">
        <v>157</v>
      </c>
      <c r="M81" s="131" t="s">
        <v>125</v>
      </c>
      <c r="N81" s="91" t="s">
        <v>60</v>
      </c>
      <c r="O81" s="92">
        <v>21</v>
      </c>
      <c r="P81" s="88" t="s">
        <v>61</v>
      </c>
      <c r="Q81" s="92" t="s">
        <v>62</v>
      </c>
      <c r="R81" s="92">
        <v>9</v>
      </c>
      <c r="S81" s="123"/>
      <c r="T81" s="131" t="s">
        <v>159</v>
      </c>
      <c r="U81" s="155">
        <v>0</v>
      </c>
      <c r="V81" s="207">
        <v>45</v>
      </c>
      <c r="W81" s="207">
        <v>45</v>
      </c>
      <c r="X81" s="207">
        <v>55</v>
      </c>
      <c r="Y81" s="207" t="s">
        <v>64</v>
      </c>
      <c r="Z81" s="133">
        <f t="shared" si="1"/>
        <v>613.39358600583091</v>
      </c>
      <c r="AA81" s="133">
        <f>VLOOKUP(I81,'[2]PO &amp; SC Sept 2025'!$I$14:$BK$686,55,FALSE)+(($F$3/1000)-1.5)*O81</f>
        <v>597.78277605743881</v>
      </c>
      <c r="AB81" s="124">
        <f t="shared" si="2"/>
        <v>523.25724312479281</v>
      </c>
      <c r="AC81" s="134">
        <f>VLOOKUP(I81,'[2]PO &amp; SC Sept 2025'!$I$14:$BE$686,49,FALSE)+(O81*(($F$4/1000)-1.5))</f>
        <v>518.3017979800652</v>
      </c>
      <c r="AD81" s="213">
        <v>0.09</v>
      </c>
      <c r="AE81" s="213">
        <v>0.09</v>
      </c>
      <c r="AF81" s="215">
        <v>0.245</v>
      </c>
      <c r="AG81" s="216" t="s">
        <v>9</v>
      </c>
      <c r="AH81" s="148">
        <f t="shared" si="3"/>
        <v>523.25724312479281</v>
      </c>
      <c r="AI81" s="149">
        <f t="shared" si="4"/>
        <v>0.24499999999999988</v>
      </c>
      <c r="AJ81" s="444"/>
      <c r="AK81" s="150">
        <f t="shared" ref="AK81:AK86" si="169">AW81/(1-AD81)</f>
        <v>495.43328100470956</v>
      </c>
      <c r="AL81" s="148">
        <f t="shared" si="6"/>
        <v>434.13100940573474</v>
      </c>
      <c r="AM81" s="125">
        <f t="shared" si="7"/>
        <v>0.1923076923076924</v>
      </c>
      <c r="AN81" s="125">
        <f t="shared" si="8"/>
        <v>0.17032967032967028</v>
      </c>
      <c r="AO81" s="140"/>
      <c r="AP81" s="17" t="s">
        <v>81</v>
      </c>
      <c r="AQ81" s="141">
        <v>20.350000000000001</v>
      </c>
      <c r="AR81" s="141">
        <v>2499.71</v>
      </c>
      <c r="AS81" s="141"/>
      <c r="AT81" s="141">
        <v>5</v>
      </c>
      <c r="AU81" s="141">
        <f t="shared" si="9"/>
        <v>3150.91</v>
      </c>
      <c r="AV81" s="141">
        <f t="shared" si="0"/>
        <v>3155.91</v>
      </c>
      <c r="AW81" s="142">
        <f t="shared" si="149"/>
        <v>450.84428571428572</v>
      </c>
      <c r="AX81" s="126">
        <f t="shared" si="10"/>
        <v>395.05921855921861</v>
      </c>
      <c r="AY81" s="127"/>
      <c r="AZ81" s="128" t="s">
        <v>63</v>
      </c>
      <c r="BB81" s="134">
        <f t="shared" si="11"/>
        <v>1744.1908104159761</v>
      </c>
      <c r="BC81" s="134">
        <f t="shared" si="12"/>
        <v>1046.5144862495856</v>
      </c>
      <c r="BD81" s="134">
        <f t="shared" si="13"/>
        <v>872.09540520798805</v>
      </c>
      <c r="BE81" s="134">
        <f t="shared" si="14"/>
        <v>697.67632416639049</v>
      </c>
    </row>
    <row r="82" spans="1:57" s="129" customFormat="1" hidden="1">
      <c r="A82" s="90" t="s">
        <v>1276</v>
      </c>
      <c r="B82" s="88" t="s">
        <v>1318</v>
      </c>
      <c r="C82" s="88" t="s">
        <v>1318</v>
      </c>
      <c r="D82" s="90" t="s">
        <v>55</v>
      </c>
      <c r="E82" s="90" t="s">
        <v>56</v>
      </c>
      <c r="F82" s="90" t="s">
        <v>109</v>
      </c>
      <c r="G82" s="131" t="s">
        <v>151</v>
      </c>
      <c r="H82" s="131">
        <v>23</v>
      </c>
      <c r="I82" s="132" t="s">
        <v>2221</v>
      </c>
      <c r="J82" s="132" t="str">
        <f>_xlfn.XLOOKUP(I82,[1]Sheet1!$A:$A,[1]Sheet1!$B:$B,"")</f>
        <v>U0103021</v>
      </c>
      <c r="K82" s="90" t="s">
        <v>2222</v>
      </c>
      <c r="L82" s="90" t="s">
        <v>2223</v>
      </c>
      <c r="M82" s="131" t="s">
        <v>125</v>
      </c>
      <c r="N82" s="91" t="s">
        <v>60</v>
      </c>
      <c r="O82" s="92">
        <v>42</v>
      </c>
      <c r="P82" s="88" t="s">
        <v>61</v>
      </c>
      <c r="Q82" s="92" t="s">
        <v>62</v>
      </c>
      <c r="R82" s="92">
        <v>9</v>
      </c>
      <c r="S82" s="123"/>
      <c r="T82" s="131" t="s">
        <v>159</v>
      </c>
      <c r="U82" s="155">
        <v>0</v>
      </c>
      <c r="V82" s="207">
        <v>45</v>
      </c>
      <c r="W82" s="207">
        <v>45</v>
      </c>
      <c r="X82" s="207">
        <v>55</v>
      </c>
      <c r="Y82" s="207" t="s">
        <v>64</v>
      </c>
      <c r="Z82" s="133">
        <f t="shared" ref="Z82" si="170">AW82/(1-(AF82+2%))</f>
        <v>1173.1588933601608</v>
      </c>
      <c r="AA82" s="133">
        <f>VLOOKUP(I82,'[2]PO &amp; SC Sept 2025'!$I$14:$BK$686,55,FALSE)+(($F$3/1000)-1.5)*O82</f>
        <v>1226.5758320518009</v>
      </c>
      <c r="AB82" s="124">
        <f t="shared" ref="AB82" si="171">AX82/(1-AF82)</f>
        <v>988.54679110843495</v>
      </c>
      <c r="AC82" s="134">
        <f>VLOOKUP(I82,'[2]PO &amp; SC Sept 2025'!$I$14:$BE$686,49,FALSE)+(O82*(($F$4/1000)-1.5))</f>
        <v>1047.5658939783073</v>
      </c>
      <c r="AD82" s="213">
        <v>0.09</v>
      </c>
      <c r="AE82" s="213">
        <v>0.09</v>
      </c>
      <c r="AF82" s="215">
        <v>0.27</v>
      </c>
      <c r="AG82" s="216" t="s">
        <v>9</v>
      </c>
      <c r="AH82" s="148">
        <f t="shared" si="3"/>
        <v>988.54679110843495</v>
      </c>
      <c r="AI82" s="149">
        <f t="shared" ref="AI82" si="172">1-(AX82/AH82)</f>
        <v>0.27</v>
      </c>
      <c r="AJ82" s="444"/>
      <c r="AK82" s="150">
        <f t="shared" si="169"/>
        <v>915.32177394034534</v>
      </c>
      <c r="AL82" s="148">
        <f t="shared" ref="AL82:AL84" si="173">AX82/(1-AE82)</f>
        <v>793.01006319687633</v>
      </c>
      <c r="AM82" s="125">
        <f t="shared" ref="AM82" si="174">1-(AK82/Z82)</f>
        <v>0.21978021978021978</v>
      </c>
      <c r="AN82" s="125">
        <f t="shared" ref="AN82" si="175">1-(AL82/AB82)</f>
        <v>0.19780219780219788</v>
      </c>
      <c r="AO82" s="140"/>
      <c r="AP82" s="17" t="s">
        <v>81</v>
      </c>
      <c r="AQ82" s="141">
        <v>20.350000000000001</v>
      </c>
      <c r="AR82" s="141">
        <f>2499.71*2*1.035</f>
        <v>5174.3996999999999</v>
      </c>
      <c r="AS82" s="141"/>
      <c r="AT82" s="141">
        <v>5</v>
      </c>
      <c r="AU82" s="141">
        <f t="shared" ref="AU82" si="176">($F$2-70000)/1000*AQ82+AR82</f>
        <v>5825.5996999999998</v>
      </c>
      <c r="AV82" s="141">
        <f t="shared" ref="AV82" si="177">AT82+AU82</f>
        <v>5830.5996999999998</v>
      </c>
      <c r="AW82" s="142">
        <f t="shared" si="149"/>
        <v>832.94281428571423</v>
      </c>
      <c r="AX82" s="126">
        <f t="shared" ref="AX82" si="178">(AW82/$F$6)+(($F$9+$G$9)/40/R82)+AW82*U82</f>
        <v>721.63915750915749</v>
      </c>
      <c r="AY82" s="127"/>
      <c r="AZ82" s="128" t="s">
        <v>63</v>
      </c>
      <c r="BB82" s="134">
        <f t="shared" si="11"/>
        <v>3295.1559703614498</v>
      </c>
      <c r="BC82" s="134">
        <f t="shared" si="12"/>
        <v>1977.0935822168699</v>
      </c>
      <c r="BD82" s="134">
        <f t="shared" si="13"/>
        <v>1647.5779851807249</v>
      </c>
      <c r="BE82" s="134">
        <f t="shared" si="14"/>
        <v>1318.0623881445799</v>
      </c>
    </row>
    <row r="83" spans="1:57" s="129" customFormat="1" hidden="1">
      <c r="A83" s="90" t="s">
        <v>1302</v>
      </c>
      <c r="B83" s="88" t="s">
        <v>1702</v>
      </c>
      <c r="C83" s="88" t="s">
        <v>1318</v>
      </c>
      <c r="D83" s="90" t="s">
        <v>55</v>
      </c>
      <c r="E83" s="90" t="s">
        <v>56</v>
      </c>
      <c r="F83" s="90" t="s">
        <v>109</v>
      </c>
      <c r="G83" s="131" t="s">
        <v>151</v>
      </c>
      <c r="H83" s="131">
        <v>23</v>
      </c>
      <c r="I83" s="273" t="s">
        <v>155</v>
      </c>
      <c r="J83" s="132" t="str">
        <f>_xlfn.XLOOKUP(I83,[1]Sheet1!$A:$A,[1]Sheet1!$B:$B,"")</f>
        <v>U0103008</v>
      </c>
      <c r="K83" s="90" t="s">
        <v>156</v>
      </c>
      <c r="L83" s="90" t="s">
        <v>157</v>
      </c>
      <c r="M83" s="131" t="s">
        <v>125</v>
      </c>
      <c r="N83" s="91" t="s">
        <v>1287</v>
      </c>
      <c r="O83" s="92">
        <v>23</v>
      </c>
      <c r="P83" s="88" t="s">
        <v>61</v>
      </c>
      <c r="Q83" s="92" t="s">
        <v>62</v>
      </c>
      <c r="R83" s="92">
        <v>9</v>
      </c>
      <c r="S83" s="123"/>
      <c r="T83" s="131" t="s">
        <v>159</v>
      </c>
      <c r="U83" s="155">
        <v>0</v>
      </c>
      <c r="V83" s="207">
        <v>60</v>
      </c>
      <c r="W83" s="207">
        <v>14</v>
      </c>
      <c r="X83" s="207">
        <v>14</v>
      </c>
      <c r="Y83" s="207" t="s">
        <v>1582</v>
      </c>
      <c r="Z83" s="133">
        <f t="shared" ref="Z83:Z84" si="179">(AW83/(1-(AF83+2%)))*$F$6</f>
        <v>656.01455696202527</v>
      </c>
      <c r="AA83" s="133">
        <f>VLOOKUP(I83,'[2]PO &amp; SC Sept 2025'!$I$14:$BK$686,55,FALSE)+(($F$3/1000)-1.5)*O83</f>
        <v>620.87377605743882</v>
      </c>
      <c r="AB83" s="124">
        <f>AX83/(1-AF83)</f>
        <v>555.64507052161377</v>
      </c>
      <c r="AC83" s="134">
        <f>VLOOKUP(I83,'[2]PO &amp; SC Sept 2025'!$I$14:$BE$686,49,FALSE)+(O83*(($F$4/1000)-1.5))</f>
        <v>537.60179798006527</v>
      </c>
      <c r="AD83" s="213">
        <f>AE83</f>
        <v>7.0000000000000007E-2</v>
      </c>
      <c r="AE83" s="213">
        <v>7.0000000000000007E-2</v>
      </c>
      <c r="AF83" s="215">
        <v>0.19</v>
      </c>
      <c r="AG83" s="215" t="s">
        <v>9</v>
      </c>
      <c r="AH83" s="148">
        <f t="shared" si="3"/>
        <v>555.64507052161377</v>
      </c>
      <c r="AI83" s="156">
        <f>1-(AX83/AH83)</f>
        <v>0.19000000000000006</v>
      </c>
      <c r="AJ83" s="444"/>
      <c r="AK83" s="150">
        <f t="shared" ref="AK83:AK84" si="180">AW83/(1-AD83)*$F$6</f>
        <v>557.25967741935494</v>
      </c>
      <c r="AL83" s="148">
        <f t="shared" si="173"/>
        <v>483.94893238979267</v>
      </c>
      <c r="AM83" s="157">
        <f>1-(AK83/Z83)</f>
        <v>0.15053763440860191</v>
      </c>
      <c r="AN83" s="157">
        <f>1-(AL83/AB83)</f>
        <v>0.12903225806451613</v>
      </c>
      <c r="AO83" s="140"/>
      <c r="AP83" s="17" t="s">
        <v>1286</v>
      </c>
      <c r="AQ83" s="141"/>
      <c r="AR83" s="141"/>
      <c r="AS83" s="153">
        <v>221</v>
      </c>
      <c r="AT83" s="141"/>
      <c r="AU83" s="141"/>
      <c r="AV83" s="141"/>
      <c r="AW83" s="154">
        <f>AS83+($F$4-1500)/1000*O83</f>
        <v>442.95000000000005</v>
      </c>
      <c r="AX83" s="126">
        <f>(AS83+($F$4-1500)/1000*O83)+($F$10/40/R83/$F$6)</f>
        <v>450.07250712250715</v>
      </c>
      <c r="AY83" s="17"/>
      <c r="AZ83" s="128" t="s">
        <v>63</v>
      </c>
      <c r="BB83" s="134">
        <f t="shared" si="11"/>
        <v>1852.1502350720459</v>
      </c>
      <c r="BC83" s="134">
        <f t="shared" si="12"/>
        <v>1111.2901410432275</v>
      </c>
      <c r="BD83" s="134">
        <f t="shared" si="13"/>
        <v>926.07511753602296</v>
      </c>
      <c r="BE83" s="134">
        <f t="shared" si="14"/>
        <v>740.86009402881837</v>
      </c>
    </row>
    <row r="84" spans="1:57" s="129" customFormat="1" hidden="1">
      <c r="A84" s="90" t="s">
        <v>1276</v>
      </c>
      <c r="B84" s="88" t="s">
        <v>1414</v>
      </c>
      <c r="C84" s="88" t="s">
        <v>1318</v>
      </c>
      <c r="D84" s="90" t="s">
        <v>55</v>
      </c>
      <c r="E84" s="90" t="s">
        <v>56</v>
      </c>
      <c r="F84" s="90" t="s">
        <v>109</v>
      </c>
      <c r="G84" s="131" t="s">
        <v>151</v>
      </c>
      <c r="H84" s="131">
        <v>23</v>
      </c>
      <c r="I84" s="132" t="s">
        <v>2224</v>
      </c>
      <c r="J84" s="132" t="str">
        <f>_xlfn.XLOOKUP(I84,[1]Sheet1!$A:$A,[1]Sheet1!$B:$B,"")</f>
        <v>U0103021</v>
      </c>
      <c r="K84" s="90" t="s">
        <v>2222</v>
      </c>
      <c r="L84" s="90" t="s">
        <v>2223</v>
      </c>
      <c r="M84" s="131" t="s">
        <v>125</v>
      </c>
      <c r="N84" s="91" t="s">
        <v>1223</v>
      </c>
      <c r="O84" s="92">
        <v>46</v>
      </c>
      <c r="P84" s="88" t="s">
        <v>61</v>
      </c>
      <c r="Q84" s="92" t="s">
        <v>62</v>
      </c>
      <c r="R84" s="92">
        <v>4</v>
      </c>
      <c r="S84" s="123"/>
      <c r="T84" s="131" t="s">
        <v>159</v>
      </c>
      <c r="U84" s="155">
        <v>0</v>
      </c>
      <c r="V84" s="207">
        <v>60</v>
      </c>
      <c r="W84" s="207">
        <v>14</v>
      </c>
      <c r="X84" s="207">
        <v>14</v>
      </c>
      <c r="Y84" s="207" t="s">
        <v>1224</v>
      </c>
      <c r="Z84" s="133">
        <f t="shared" si="179"/>
        <v>1351.6853503184714</v>
      </c>
      <c r="AA84" s="133">
        <f>VLOOKUP(I84,'[2]PO &amp; SC Sept 2025'!$I$14:$BK$686,55,FALSE)+(($F$3/1000)-1.5)*O84</f>
        <v>1272.757832051801</v>
      </c>
      <c r="AB84" s="124">
        <f>AX84/(1-AF84)</f>
        <v>1146.4914795349578</v>
      </c>
      <c r="AC84" s="134">
        <f>VLOOKUP(I84,'[2]PO &amp; SC Sept 2025'!$I$14:$BE$686,49,FALSE)+(O84*(($F$4/1000)-1.5))</f>
        <v>1086.1658939783074</v>
      </c>
      <c r="AD84" s="213">
        <f>AE84</f>
        <v>7.0000000000000007E-2</v>
      </c>
      <c r="AE84" s="213">
        <v>7.0000000000000007E-2</v>
      </c>
      <c r="AF84" s="215">
        <v>0.19499999999999998</v>
      </c>
      <c r="AG84" s="215" t="s">
        <v>9</v>
      </c>
      <c r="AH84" s="148">
        <f t="shared" si="3"/>
        <v>1146.4914795349578</v>
      </c>
      <c r="AI84" s="156">
        <f>1-(AX84/AH84)</f>
        <v>0.19499999999999995</v>
      </c>
      <c r="AJ84" s="444"/>
      <c r="AK84" s="150">
        <f t="shared" si="180"/>
        <v>1140.9387096774194</v>
      </c>
      <c r="AL84" s="148">
        <f t="shared" si="173"/>
        <v>992.39316239316247</v>
      </c>
      <c r="AM84" s="157">
        <f>1-(AK84/Z84)</f>
        <v>0.15591397849462363</v>
      </c>
      <c r="AN84" s="157">
        <f>1-(AL84/AB84)</f>
        <v>0.13440860215053752</v>
      </c>
      <c r="AO84" s="140"/>
      <c r="AP84" s="17" t="s">
        <v>1220</v>
      </c>
      <c r="AQ84" s="141"/>
      <c r="AR84" s="141"/>
      <c r="AS84" s="153">
        <v>463</v>
      </c>
      <c r="AT84" s="141"/>
      <c r="AU84" s="141"/>
      <c r="AV84" s="141"/>
      <c r="AW84" s="154">
        <f>AS84+($F$4-1500)/1000*O84</f>
        <v>906.90000000000009</v>
      </c>
      <c r="AX84" s="126">
        <f>(AS84+($F$4-1500)/1000*O84)+($F$10/40/R84/$F$6)</f>
        <v>922.92564102564108</v>
      </c>
      <c r="AY84" s="17"/>
      <c r="AZ84" s="128" t="s">
        <v>63</v>
      </c>
      <c r="BB84" s="134">
        <f t="shared" si="11"/>
        <v>3821.6382651165259</v>
      </c>
      <c r="BC84" s="134">
        <f t="shared" si="12"/>
        <v>2292.9829590699155</v>
      </c>
      <c r="BD84" s="134">
        <f t="shared" si="13"/>
        <v>1910.8191325582629</v>
      </c>
      <c r="BE84" s="134">
        <f t="shared" si="14"/>
        <v>1528.6553060466103</v>
      </c>
    </row>
    <row r="85" spans="1:57" s="129" customFormat="1" hidden="1">
      <c r="A85" s="90" t="s">
        <v>1276</v>
      </c>
      <c r="B85" s="88" t="s">
        <v>1702</v>
      </c>
      <c r="C85" s="88" t="s">
        <v>1318</v>
      </c>
      <c r="D85" s="90" t="s">
        <v>55</v>
      </c>
      <c r="E85" s="90" t="s">
        <v>56</v>
      </c>
      <c r="F85" s="90" t="s">
        <v>109</v>
      </c>
      <c r="G85" s="131" t="s">
        <v>151</v>
      </c>
      <c r="H85" s="131">
        <v>23</v>
      </c>
      <c r="I85" s="132" t="s">
        <v>1306</v>
      </c>
      <c r="J85" s="132" t="str">
        <f>_xlfn.XLOOKUP(I85,[1]Sheet1!$A:$A,[1]Sheet1!$B:$B,"")</f>
        <v/>
      </c>
      <c r="K85" s="90" t="s">
        <v>1307</v>
      </c>
      <c r="L85" s="90" t="s">
        <v>1308</v>
      </c>
      <c r="M85" s="131" t="s">
        <v>125</v>
      </c>
      <c r="N85" s="91" t="s">
        <v>60</v>
      </c>
      <c r="O85" s="92">
        <v>21</v>
      </c>
      <c r="P85" s="88" t="s">
        <v>61</v>
      </c>
      <c r="Q85" s="92" t="s">
        <v>62</v>
      </c>
      <c r="R85" s="92">
        <v>9</v>
      </c>
      <c r="S85" s="123"/>
      <c r="T85" s="131" t="s">
        <v>159</v>
      </c>
      <c r="U85" s="155">
        <v>0</v>
      </c>
      <c r="V85" s="207">
        <v>45</v>
      </c>
      <c r="W85" s="207">
        <v>45</v>
      </c>
      <c r="X85" s="207">
        <v>55</v>
      </c>
      <c r="Y85" s="207" t="s">
        <v>1706</v>
      </c>
      <c r="Z85" s="133">
        <f t="shared" si="1"/>
        <v>666.444761904762</v>
      </c>
      <c r="AA85" s="133">
        <f>VLOOKUP(I85,'[2]PO &amp; SC Sept 2025'!$I$14:$BK$686,55,FALSE)+(($F$3/1000)-1.5)*O85</f>
        <v>644.05839535077507</v>
      </c>
      <c r="AB85" s="124">
        <f t="shared" si="2"/>
        <v>567.25880066725153</v>
      </c>
      <c r="AC85" s="134">
        <f>VLOOKUP(I85,'[2]PO &amp; SC Sept 2025'!$I$14:$BE$686,49,FALSE)+(O85*(($F$4/1000)-1.5))</f>
        <v>557.5565175357824</v>
      </c>
      <c r="AD85" s="213">
        <v>0.09</v>
      </c>
      <c r="AE85" s="213">
        <v>0.09</v>
      </c>
      <c r="AF85" s="215">
        <v>0.28999999999999998</v>
      </c>
      <c r="AG85" s="216" t="s">
        <v>1707</v>
      </c>
      <c r="AH85" s="148">
        <f t="shared" si="3"/>
        <v>567.25880066725153</v>
      </c>
      <c r="AI85" s="149">
        <f t="shared" ref="AI85" si="181">1-(AX85/AH85)</f>
        <v>0.29000000000000004</v>
      </c>
      <c r="AJ85" s="444"/>
      <c r="AK85" s="150">
        <f t="shared" si="169"/>
        <v>505.32624803767663</v>
      </c>
      <c r="AL85" s="148">
        <f t="shared" ref="AL85" si="182">AX85/(1-AE85)</f>
        <v>442.58653678433905</v>
      </c>
      <c r="AM85" s="125">
        <f t="shared" ref="AM85" si="183">1-(AK85/Z85)</f>
        <v>0.24175824175824179</v>
      </c>
      <c r="AN85" s="125">
        <f t="shared" ref="AN85" si="184">1-(AL85/AB85)</f>
        <v>0.21978021978021989</v>
      </c>
      <c r="AO85" s="140"/>
      <c r="AP85" s="17" t="s">
        <v>1742</v>
      </c>
      <c r="AQ85" s="141">
        <f>AQ81*1.02</f>
        <v>20.757000000000001</v>
      </c>
      <c r="AR85" s="141">
        <f>AR81*1.02</f>
        <v>2549.7042000000001</v>
      </c>
      <c r="AS85" s="141"/>
      <c r="AT85" s="141">
        <v>5</v>
      </c>
      <c r="AU85" s="141">
        <f t="shared" ref="AU85" si="185">($F$2-70000)/1000*AQ85+AR85</f>
        <v>3213.9282000000003</v>
      </c>
      <c r="AV85" s="141">
        <f t="shared" ref="AV85" si="186">AT85+AU85</f>
        <v>3218.9282000000003</v>
      </c>
      <c r="AW85" s="142">
        <f t="shared" ref="AW85:AW92" si="187">(AT85+AU85)/$F$5</f>
        <v>459.84688571428575</v>
      </c>
      <c r="AX85" s="126">
        <f t="shared" ref="AX85" si="188">(AW85/$F$6)+(($F$9+$G$9)/40/R85)+AW85*U85</f>
        <v>402.75374847374854</v>
      </c>
      <c r="AY85" s="127"/>
      <c r="AZ85" s="128" t="s">
        <v>63</v>
      </c>
      <c r="BB85" s="134">
        <f t="shared" si="11"/>
        <v>1890.8626688908384</v>
      </c>
      <c r="BC85" s="134">
        <f t="shared" si="12"/>
        <v>1134.5176013345031</v>
      </c>
      <c r="BD85" s="134">
        <f t="shared" si="13"/>
        <v>945.43133444541922</v>
      </c>
      <c r="BE85" s="134">
        <f t="shared" si="14"/>
        <v>756.34506755633538</v>
      </c>
    </row>
    <row r="86" spans="1:57" s="129" customFormat="1" hidden="1">
      <c r="A86" s="90" t="s">
        <v>1276</v>
      </c>
      <c r="B86" s="88" t="s">
        <v>1702</v>
      </c>
      <c r="C86" s="88" t="s">
        <v>1318</v>
      </c>
      <c r="D86" s="90" t="s">
        <v>55</v>
      </c>
      <c r="E86" s="90" t="s">
        <v>56</v>
      </c>
      <c r="F86" s="90" t="s">
        <v>109</v>
      </c>
      <c r="G86" s="131" t="s">
        <v>151</v>
      </c>
      <c r="H86" s="131">
        <v>23</v>
      </c>
      <c r="I86" s="132" t="s">
        <v>2249</v>
      </c>
      <c r="J86" s="132" t="str">
        <f>_xlfn.XLOOKUP(I86,[1]Sheet1!$A:$A,[1]Sheet1!$B:$B,"")</f>
        <v/>
      </c>
      <c r="K86" s="90" t="s">
        <v>2250</v>
      </c>
      <c r="L86" s="90" t="s">
        <v>2251</v>
      </c>
      <c r="M86" s="131" t="s">
        <v>1703</v>
      </c>
      <c r="N86" s="91" t="s">
        <v>60</v>
      </c>
      <c r="O86" s="92">
        <v>35.119999999999997</v>
      </c>
      <c r="P86" s="88" t="s">
        <v>61</v>
      </c>
      <c r="Q86" s="92" t="s">
        <v>2248</v>
      </c>
      <c r="R86" s="92">
        <v>6</v>
      </c>
      <c r="S86" s="123"/>
      <c r="T86" s="131" t="s">
        <v>159</v>
      </c>
      <c r="U86" s="155">
        <v>0</v>
      </c>
      <c r="V86" s="207">
        <v>45</v>
      </c>
      <c r="W86" s="207">
        <v>45</v>
      </c>
      <c r="X86" s="207">
        <v>55</v>
      </c>
      <c r="Y86" s="207" t="s">
        <v>1706</v>
      </c>
      <c r="Z86" s="133">
        <f t="shared" ref="Z86" si="189">AW86/(1-(AF86+2%))</f>
        <v>2295.6376811594205</v>
      </c>
      <c r="AA86" s="133">
        <f>VLOOKUP(I86,'[2]PO &amp; SC Sept 2025'!$I$14:$BK$686,55,FALSE)+(($F$3/1000)-1.5)*O86</f>
        <v>2253.0265155740713</v>
      </c>
      <c r="AB86" s="124">
        <f>AX86/(1-AF86)</f>
        <v>1927.3534368604792</v>
      </c>
      <c r="AC86" s="134">
        <f>VLOOKUP(I86,'[2]PO &amp; SC Sept 2025'!$I$14:$BE$686,49,FALSE)+(O86*(($F$4/1000)-1.5))</f>
        <v>1923.0306390770625</v>
      </c>
      <c r="AD86" s="213">
        <v>0.09</v>
      </c>
      <c r="AE86" s="213">
        <v>0.09</v>
      </c>
      <c r="AF86" s="215">
        <v>0.28999999999999998</v>
      </c>
      <c r="AG86" s="216" t="s">
        <v>1707</v>
      </c>
      <c r="AH86" s="148">
        <f t="shared" si="3"/>
        <v>1927.3534368604792</v>
      </c>
      <c r="AI86" s="149">
        <f t="shared" ref="AI86" si="190">1-(AX86/AH86)</f>
        <v>0.29000000000000004</v>
      </c>
      <c r="AJ86" s="444"/>
      <c r="AK86" s="150">
        <f t="shared" si="169"/>
        <v>1740.6483516483515</v>
      </c>
      <c r="AL86" s="148">
        <f t="shared" ref="AL86" si="191">AX86/(1-AE86)</f>
        <v>1503.7592749131211</v>
      </c>
      <c r="AM86" s="125">
        <f t="shared" ref="AM86" si="192">1-(AK86/Z86)</f>
        <v>0.2417582417582419</v>
      </c>
      <c r="AN86" s="125">
        <f t="shared" ref="AN86" si="193">1-(AL86/AB86)</f>
        <v>0.21978021978021978</v>
      </c>
      <c r="AO86" s="140"/>
      <c r="AP86" s="17" t="s">
        <v>1704</v>
      </c>
      <c r="AQ86" s="141">
        <v>37.409999999999997</v>
      </c>
      <c r="AR86" s="141">
        <v>9885.81</v>
      </c>
      <c r="AS86" s="141"/>
      <c r="AT86" s="141">
        <v>5</v>
      </c>
      <c r="AU86" s="141">
        <f t="shared" ref="AU86:AU92" si="194">($F$2-70000)/1000*AQ86+AR86</f>
        <v>11082.93</v>
      </c>
      <c r="AV86" s="141">
        <f t="shared" ref="AV86" si="195">AT86+AU86</f>
        <v>11087.93</v>
      </c>
      <c r="AW86" s="142">
        <f t="shared" si="187"/>
        <v>1583.99</v>
      </c>
      <c r="AX86" s="126">
        <f t="shared" ref="AX86" si="196">(AW86/$F$6)+(($F$9+$G$9)/40/R86)+AW86*U86</f>
        <v>1368.4209401709402</v>
      </c>
      <c r="AY86" s="130" t="s">
        <v>1743</v>
      </c>
      <c r="AZ86" s="128" t="s">
        <v>63</v>
      </c>
      <c r="BB86" s="134">
        <f t="shared" si="11"/>
        <v>6424.5114562015979</v>
      </c>
      <c r="BC86" s="134">
        <f t="shared" si="12"/>
        <v>3854.7068737209584</v>
      </c>
      <c r="BD86" s="134">
        <f t="shared" si="13"/>
        <v>3212.2557281007989</v>
      </c>
      <c r="BE86" s="134">
        <f t="shared" si="14"/>
        <v>2569.8045824806395</v>
      </c>
    </row>
    <row r="87" spans="1:57" s="129" customFormat="1" hidden="1">
      <c r="A87" s="90" t="s">
        <v>1276</v>
      </c>
      <c r="B87" s="88" t="s">
        <v>1414</v>
      </c>
      <c r="C87" s="88" t="s">
        <v>1318</v>
      </c>
      <c r="D87" s="90" t="s">
        <v>55</v>
      </c>
      <c r="E87" s="90" t="s">
        <v>56</v>
      </c>
      <c r="F87" s="90" t="s">
        <v>109</v>
      </c>
      <c r="G87" s="131" t="s">
        <v>151</v>
      </c>
      <c r="H87" s="131">
        <v>23</v>
      </c>
      <c r="I87" s="132" t="s">
        <v>3414</v>
      </c>
      <c r="J87" s="132" t="str">
        <f>_xlfn.XLOOKUP(I87,[1]Sheet1!$A:$A,[1]Sheet1!$B:$B,"")</f>
        <v/>
      </c>
      <c r="K87" s="90" t="s">
        <v>3415</v>
      </c>
      <c r="L87" s="90" t="s">
        <v>3416</v>
      </c>
      <c r="M87" s="131" t="s">
        <v>1584</v>
      </c>
      <c r="N87" s="91" t="s">
        <v>60</v>
      </c>
      <c r="O87" s="92">
        <v>23.77</v>
      </c>
      <c r="P87" s="88" t="s">
        <v>61</v>
      </c>
      <c r="Q87" s="92" t="s">
        <v>2248</v>
      </c>
      <c r="R87" s="92">
        <v>9</v>
      </c>
      <c r="S87" s="123"/>
      <c r="T87" s="131" t="s">
        <v>159</v>
      </c>
      <c r="U87" s="155">
        <v>0</v>
      </c>
      <c r="V87" s="207">
        <v>45</v>
      </c>
      <c r="W87" s="207">
        <v>45</v>
      </c>
      <c r="X87" s="207">
        <v>55</v>
      </c>
      <c r="Y87" s="207" t="s">
        <v>1706</v>
      </c>
      <c r="Z87" s="133">
        <f>AW87/(1-(AF87+2%))</f>
        <v>1962.0786749482402</v>
      </c>
      <c r="AA87" s="133"/>
      <c r="AB87" s="124">
        <f>AX87/(1-AF87)</f>
        <v>1643.4444272472442</v>
      </c>
      <c r="AC87" s="134"/>
      <c r="AD87" s="213">
        <v>0.09</v>
      </c>
      <c r="AE87" s="213">
        <v>0.09</v>
      </c>
      <c r="AF87" s="215">
        <v>0.28999999999999998</v>
      </c>
      <c r="AG87" s="216" t="s">
        <v>281</v>
      </c>
      <c r="AH87" s="148">
        <f>AB87</f>
        <v>1643.4444272472442</v>
      </c>
      <c r="AI87" s="149">
        <f>1-(AX87/AH87)</f>
        <v>0.29000000000000004</v>
      </c>
      <c r="AJ87" s="444"/>
      <c r="AK87" s="150">
        <f>AW87/(1-AD87)</f>
        <v>1487.7299843014127</v>
      </c>
      <c r="AL87" s="148">
        <f>AX87/(1-AE87)</f>
        <v>1282.2478498302673</v>
      </c>
      <c r="AM87" s="125">
        <f>1-(AK87/Z87)</f>
        <v>0.24175824175824179</v>
      </c>
      <c r="AN87" s="125">
        <f>1-(AL87/AB87)</f>
        <v>0.21978021978021989</v>
      </c>
      <c r="AO87" s="140"/>
      <c r="AP87" s="17" t="s">
        <v>1704</v>
      </c>
      <c r="AQ87" s="141">
        <v>8.44</v>
      </c>
      <c r="AR87" s="141">
        <v>9201.76</v>
      </c>
      <c r="AS87" s="141"/>
      <c r="AT87" s="141">
        <v>5</v>
      </c>
      <c r="AU87" s="141">
        <f>($F$2-70000)/1000*AQ87+AR87</f>
        <v>9471.84</v>
      </c>
      <c r="AV87" s="141">
        <f>AT87+AU87</f>
        <v>9476.84</v>
      </c>
      <c r="AW87" s="142">
        <f>(AT87+AU87)/$F$5</f>
        <v>1353.8342857142857</v>
      </c>
      <c r="AX87" s="126">
        <f>(AW87/$F$6)+(($F$9+$G$9)/40/R87)+AW87*U87</f>
        <v>1166.8455433455433</v>
      </c>
      <c r="AY87" s="130" t="s">
        <v>3417</v>
      </c>
      <c r="AZ87" s="128" t="s">
        <v>63</v>
      </c>
      <c r="BB87" s="134">
        <f>AB87/0.3</f>
        <v>5478.1480908241474</v>
      </c>
      <c r="BC87" s="134">
        <f>BB87*0.6</f>
        <v>3286.8888544944884</v>
      </c>
      <c r="BD87" s="134">
        <f>BB87*0.5</f>
        <v>2739.0740454120737</v>
      </c>
      <c r="BE87" s="134">
        <f>BB87*0.4</f>
        <v>2191.259236329659</v>
      </c>
    </row>
    <row r="88" spans="1:57" s="129" customFormat="1">
      <c r="A88" s="88" t="s">
        <v>1302</v>
      </c>
      <c r="B88" s="88" t="s">
        <v>1317</v>
      </c>
      <c r="C88" s="88" t="s">
        <v>1318</v>
      </c>
      <c r="D88" s="88" t="s">
        <v>55</v>
      </c>
      <c r="E88" s="89" t="s">
        <v>56</v>
      </c>
      <c r="F88" s="90" t="s">
        <v>161</v>
      </c>
      <c r="G88" s="131" t="s">
        <v>151</v>
      </c>
      <c r="H88" s="131">
        <v>23</v>
      </c>
      <c r="I88" s="132" t="s">
        <v>162</v>
      </c>
      <c r="J88" s="132" t="str">
        <f>_xlfn.XLOOKUP(I88,[1]Sheet1!$A:$A,[1]Sheet1!$B:$B,"")</f>
        <v>U0104006</v>
      </c>
      <c r="K88" s="90" t="s">
        <v>163</v>
      </c>
      <c r="L88" s="90" t="s">
        <v>164</v>
      </c>
      <c r="M88" s="131" t="s">
        <v>69</v>
      </c>
      <c r="N88" s="91" t="s">
        <v>60</v>
      </c>
      <c r="O88" s="92">
        <v>21</v>
      </c>
      <c r="P88" s="88" t="s">
        <v>61</v>
      </c>
      <c r="Q88" s="92" t="s">
        <v>62</v>
      </c>
      <c r="R88" s="92">
        <v>8</v>
      </c>
      <c r="S88" s="123" t="s">
        <v>165</v>
      </c>
      <c r="T88" s="131" t="s">
        <v>159</v>
      </c>
      <c r="U88" s="155">
        <v>0</v>
      </c>
      <c r="V88" s="207">
        <v>45</v>
      </c>
      <c r="W88" s="207">
        <v>45</v>
      </c>
      <c r="X88" s="207">
        <v>55</v>
      </c>
      <c r="Y88" s="207" t="s">
        <v>64</v>
      </c>
      <c r="Z88" s="133">
        <f t="shared" si="1"/>
        <v>585.25187969924809</v>
      </c>
      <c r="AA88" s="133">
        <f>VLOOKUP(I88,'[2]PO &amp; SC Sept 2025'!$I$14:$BK$686,55,FALSE)+(($F$3/1000)-1.5)*O88</f>
        <v>571.35472096317289</v>
      </c>
      <c r="AB88" s="124">
        <f t="shared" si="2"/>
        <v>501.41168482514638</v>
      </c>
      <c r="AC88" s="134">
        <f>VLOOKUP(I88,'[2]PO &amp; SC Sept 2025'!$I$14:$BE$686,49,FALSE)+(O88*(($F$4/1000)-1.5))</f>
        <v>497.63832944368119</v>
      </c>
      <c r="AD88" s="213">
        <v>0.09</v>
      </c>
      <c r="AE88" s="213">
        <v>0.09</v>
      </c>
      <c r="AF88" s="215">
        <v>0.22</v>
      </c>
      <c r="AG88" s="216" t="s">
        <v>9</v>
      </c>
      <c r="AH88" s="148">
        <f t="shared" si="3"/>
        <v>501.41168482514638</v>
      </c>
      <c r="AI88" s="149">
        <f t="shared" si="4"/>
        <v>0.21999999999999997</v>
      </c>
      <c r="AJ88" s="444"/>
      <c r="AK88" s="150">
        <f t="shared" si="5"/>
        <v>488.78178963893248</v>
      </c>
      <c r="AL88" s="148">
        <f t="shared" si="6"/>
        <v>429.78144413583971</v>
      </c>
      <c r="AM88" s="125">
        <f t="shared" si="7"/>
        <v>0.1648351648351648</v>
      </c>
      <c r="AN88" s="125">
        <f t="shared" ref="AN88:AN171" si="197">1-(AL88/AB88)</f>
        <v>0.1428571428571429</v>
      </c>
      <c r="AO88" s="140"/>
      <c r="AP88" s="17" t="s">
        <v>81</v>
      </c>
      <c r="AQ88" s="141">
        <v>20.54</v>
      </c>
      <c r="AR88" s="141">
        <v>2451.2600000000002</v>
      </c>
      <c r="AS88" s="141"/>
      <c r="AT88" s="141">
        <v>5</v>
      </c>
      <c r="AU88" s="141">
        <f t="shared" si="194"/>
        <v>3108.54</v>
      </c>
      <c r="AV88" s="141">
        <f t="shared" si="0"/>
        <v>3113.54</v>
      </c>
      <c r="AW88" s="142">
        <f t="shared" si="187"/>
        <v>444.79142857142858</v>
      </c>
      <c r="AX88" s="126">
        <f t="shared" ref="AX88:AX92" si="198">(AW88/$F$6)+(($F$9+$G$9)/40/R88)+AW88*U88</f>
        <v>391.10111416361417</v>
      </c>
      <c r="AY88" s="127"/>
      <c r="AZ88" s="128" t="s">
        <v>63</v>
      </c>
      <c r="BB88" s="124">
        <f t="shared" si="11"/>
        <v>1671.372282750488</v>
      </c>
      <c r="BC88" s="124">
        <f t="shared" si="12"/>
        <v>1002.8233696502928</v>
      </c>
      <c r="BD88" s="124">
        <f t="shared" si="13"/>
        <v>835.68614137524401</v>
      </c>
      <c r="BE88" s="124">
        <f t="shared" si="14"/>
        <v>668.54891310019525</v>
      </c>
    </row>
    <row r="89" spans="1:57" s="129" customFormat="1">
      <c r="A89" s="88" t="s">
        <v>1302</v>
      </c>
      <c r="B89" s="88" t="s">
        <v>1317</v>
      </c>
      <c r="C89" s="88" t="s">
        <v>1318</v>
      </c>
      <c r="D89" s="88" t="s">
        <v>55</v>
      </c>
      <c r="E89" s="89" t="s">
        <v>56</v>
      </c>
      <c r="F89" s="90" t="s">
        <v>161</v>
      </c>
      <c r="G89" s="131" t="s">
        <v>151</v>
      </c>
      <c r="H89" s="131">
        <v>23</v>
      </c>
      <c r="I89" s="132" t="s">
        <v>1593</v>
      </c>
      <c r="J89" s="132" t="str">
        <f>_xlfn.XLOOKUP(I89,[1]Sheet1!$A:$A,[1]Sheet1!$B:$B,"")</f>
        <v>U0104008</v>
      </c>
      <c r="K89" s="90" t="s">
        <v>166</v>
      </c>
      <c r="L89" s="90" t="s">
        <v>167</v>
      </c>
      <c r="M89" s="131" t="s">
        <v>69</v>
      </c>
      <c r="N89" s="91" t="s">
        <v>60</v>
      </c>
      <c r="O89" s="92">
        <v>42</v>
      </c>
      <c r="P89" s="88" t="s">
        <v>61</v>
      </c>
      <c r="Q89" s="92" t="s">
        <v>62</v>
      </c>
      <c r="R89" s="92">
        <v>4</v>
      </c>
      <c r="S89" s="123" t="s">
        <v>168</v>
      </c>
      <c r="T89" s="131" t="s">
        <v>159</v>
      </c>
      <c r="U89" s="155">
        <v>0</v>
      </c>
      <c r="V89" s="207">
        <v>45</v>
      </c>
      <c r="W89" s="207">
        <v>45</v>
      </c>
      <c r="X89" s="207">
        <v>55</v>
      </c>
      <c r="Y89" s="207" t="s">
        <v>64</v>
      </c>
      <c r="Z89" s="133">
        <f>AW89/(1-(AF89+2%))</f>
        <v>1194.5807050092762</v>
      </c>
      <c r="AA89" s="133">
        <f>VLOOKUP(I89,'[2]PO &amp; SC Sept 2025'!$I$14:$BK$686,55,FALSE)+(($F$3/1000)-1.5)*O89</f>
        <v>1163.1568103473983</v>
      </c>
      <c r="AB89" s="124">
        <f t="shared" si="2"/>
        <v>1022.8506900975256</v>
      </c>
      <c r="AC89" s="134">
        <f>VLOOKUP(I89,'[2]PO &amp; SC Sept 2025'!$I$14:$BE$686,49,FALSE)+(O89*(($F$4/1000)-1.5))</f>
        <v>1012.4759374180853</v>
      </c>
      <c r="AD89" s="213">
        <v>0.09</v>
      </c>
      <c r="AE89" s="213">
        <v>0.09</v>
      </c>
      <c r="AF89" s="215">
        <v>0.21</v>
      </c>
      <c r="AG89" s="216" t="s">
        <v>9</v>
      </c>
      <c r="AH89" s="148">
        <f t="shared" si="3"/>
        <v>1022.8506900975256</v>
      </c>
      <c r="AI89" s="149">
        <f t="shared" si="4"/>
        <v>0.20999999999999996</v>
      </c>
      <c r="AJ89" s="444"/>
      <c r="AK89" s="150">
        <f t="shared" si="5"/>
        <v>1010.7990580847722</v>
      </c>
      <c r="AL89" s="148">
        <f t="shared" si="6"/>
        <v>887.96928041433534</v>
      </c>
      <c r="AM89" s="125">
        <f t="shared" si="7"/>
        <v>0.15384615384615385</v>
      </c>
      <c r="AN89" s="125">
        <f t="shared" si="197"/>
        <v>0.13186813186813184</v>
      </c>
      <c r="AO89" s="140"/>
      <c r="AP89" s="17" t="s">
        <v>81</v>
      </c>
      <c r="AQ89" s="141">
        <v>42.49</v>
      </c>
      <c r="AR89" s="141">
        <v>5074.1099999999997</v>
      </c>
      <c r="AS89" s="141"/>
      <c r="AT89" s="141">
        <v>5</v>
      </c>
      <c r="AU89" s="141">
        <f t="shared" si="194"/>
        <v>6433.79</v>
      </c>
      <c r="AV89" s="141">
        <f t="shared" si="0"/>
        <v>6438.79</v>
      </c>
      <c r="AW89" s="142">
        <f t="shared" si="187"/>
        <v>919.8271428571428</v>
      </c>
      <c r="AX89" s="126">
        <f t="shared" si="198"/>
        <v>808.05204517704522</v>
      </c>
      <c r="AY89" s="17"/>
      <c r="AZ89" s="128" t="s">
        <v>63</v>
      </c>
      <c r="BB89" s="124">
        <f t="shared" si="11"/>
        <v>3409.5023003250853</v>
      </c>
      <c r="BC89" s="124">
        <f t="shared" si="12"/>
        <v>2045.7013801950511</v>
      </c>
      <c r="BD89" s="124">
        <f t="shared" si="13"/>
        <v>1704.7511501625427</v>
      </c>
      <c r="BE89" s="124">
        <f t="shared" si="14"/>
        <v>1363.8009201300342</v>
      </c>
    </row>
    <row r="90" spans="1:57" s="129" customFormat="1">
      <c r="A90" s="88" t="s">
        <v>1302</v>
      </c>
      <c r="B90" s="88" t="s">
        <v>1318</v>
      </c>
      <c r="C90" s="88" t="s">
        <v>1318</v>
      </c>
      <c r="D90" s="88" t="s">
        <v>55</v>
      </c>
      <c r="E90" s="89" t="s">
        <v>56</v>
      </c>
      <c r="F90" s="90" t="s">
        <v>161</v>
      </c>
      <c r="G90" s="131" t="s">
        <v>151</v>
      </c>
      <c r="H90" s="131">
        <v>23</v>
      </c>
      <c r="I90" s="132" t="s">
        <v>169</v>
      </c>
      <c r="J90" s="132" t="str">
        <f>_xlfn.XLOOKUP(I90,[1]Sheet1!$A:$A,[1]Sheet1!$B:$B,"")</f>
        <v>U0104004</v>
      </c>
      <c r="K90" s="90" t="s">
        <v>170</v>
      </c>
      <c r="L90" s="90" t="s">
        <v>171</v>
      </c>
      <c r="M90" s="131" t="s">
        <v>125</v>
      </c>
      <c r="N90" s="91" t="s">
        <v>60</v>
      </c>
      <c r="O90" s="92">
        <v>21</v>
      </c>
      <c r="P90" s="88" t="s">
        <v>61</v>
      </c>
      <c r="Q90" s="92" t="s">
        <v>62</v>
      </c>
      <c r="R90" s="92">
        <v>6</v>
      </c>
      <c r="S90" s="123" t="s">
        <v>172</v>
      </c>
      <c r="T90" s="131" t="s">
        <v>159</v>
      </c>
      <c r="U90" s="155">
        <v>0</v>
      </c>
      <c r="V90" s="207">
        <v>45</v>
      </c>
      <c r="W90" s="207">
        <v>45</v>
      </c>
      <c r="X90" s="207">
        <v>55</v>
      </c>
      <c r="Y90" s="207" t="s">
        <v>64</v>
      </c>
      <c r="Z90" s="133">
        <f t="shared" si="1"/>
        <v>608.74953617810752</v>
      </c>
      <c r="AA90" s="133">
        <f>VLOOKUP(I90,'[2]PO &amp; SC Sept 2025'!$I$14:$BK$686,55,FALSE)+(($F$3/1000)-1.5)*O90</f>
        <v>593.35621194274654</v>
      </c>
      <c r="AB90" s="124">
        <f t="shared" si="2"/>
        <v>525.58654425743032</v>
      </c>
      <c r="AC90" s="134">
        <f>VLOOKUP(I90,'[2]PO &amp; SC Sept 2025'!$I$14:$BE$686,49,FALSE)+(O90*(($F$4/1000)-1.5))</f>
        <v>521.55881576717275</v>
      </c>
      <c r="AD90" s="213">
        <v>0.09</v>
      </c>
      <c r="AE90" s="213">
        <v>0.09</v>
      </c>
      <c r="AF90" s="215">
        <v>0.21</v>
      </c>
      <c r="AG90" s="216" t="s">
        <v>9</v>
      </c>
      <c r="AH90" s="148">
        <f t="shared" si="3"/>
        <v>525.58654425743032</v>
      </c>
      <c r="AI90" s="149">
        <f t="shared" si="4"/>
        <v>0.21000000000000008</v>
      </c>
      <c r="AJ90" s="444"/>
      <c r="AK90" s="150">
        <f t="shared" si="5"/>
        <v>515.09576138147565</v>
      </c>
      <c r="AL90" s="148">
        <f t="shared" si="6"/>
        <v>456.27842853117573</v>
      </c>
      <c r="AM90" s="125">
        <f t="shared" si="7"/>
        <v>0.15384615384615374</v>
      </c>
      <c r="AN90" s="125">
        <f t="shared" si="197"/>
        <v>0.13186813186813195</v>
      </c>
      <c r="AO90" s="140"/>
      <c r="AP90" s="17" t="s">
        <v>81</v>
      </c>
      <c r="AQ90" s="141">
        <v>21.18</v>
      </c>
      <c r="AR90" s="141">
        <v>2598.4</v>
      </c>
      <c r="AS90" s="141"/>
      <c r="AT90" s="141">
        <v>5</v>
      </c>
      <c r="AU90" s="141">
        <f t="shared" si="194"/>
        <v>3276.16</v>
      </c>
      <c r="AV90" s="141">
        <f t="shared" si="0"/>
        <v>3281.16</v>
      </c>
      <c r="AW90" s="142">
        <f t="shared" si="187"/>
        <v>468.73714285714283</v>
      </c>
      <c r="AX90" s="126">
        <f t="shared" si="198"/>
        <v>415.21336996336993</v>
      </c>
      <c r="AY90" s="17"/>
      <c r="AZ90" s="128" t="s">
        <v>63</v>
      </c>
      <c r="BB90" s="124">
        <f t="shared" si="11"/>
        <v>1751.9551475247679</v>
      </c>
      <c r="BC90" s="124">
        <f t="shared" si="12"/>
        <v>1051.1730885148606</v>
      </c>
      <c r="BD90" s="124">
        <f t="shared" si="13"/>
        <v>875.97757376238394</v>
      </c>
      <c r="BE90" s="124">
        <f t="shared" si="14"/>
        <v>700.78205900990724</v>
      </c>
    </row>
    <row r="91" spans="1:57" s="129" customFormat="1">
      <c r="A91" s="88" t="s">
        <v>1276</v>
      </c>
      <c r="B91" s="88" t="s">
        <v>1318</v>
      </c>
      <c r="C91" s="88" t="s">
        <v>1318</v>
      </c>
      <c r="D91" s="88" t="s">
        <v>55</v>
      </c>
      <c r="E91" s="89" t="s">
        <v>56</v>
      </c>
      <c r="F91" s="90" t="s">
        <v>161</v>
      </c>
      <c r="G91" s="131" t="s">
        <v>151</v>
      </c>
      <c r="H91" s="131">
        <v>23</v>
      </c>
      <c r="I91" s="132" t="s">
        <v>1319</v>
      </c>
      <c r="J91" s="132" t="str">
        <f>_xlfn.XLOOKUP(I91,[1]Sheet1!$A:$A,[1]Sheet1!$B:$B,"")</f>
        <v>U0104007</v>
      </c>
      <c r="K91" s="90" t="s">
        <v>1320</v>
      </c>
      <c r="L91" s="90" t="s">
        <v>1321</v>
      </c>
      <c r="M91" s="131" t="s">
        <v>125</v>
      </c>
      <c r="N91" s="91" t="s">
        <v>60</v>
      </c>
      <c r="O91" s="92">
        <v>42</v>
      </c>
      <c r="P91" s="88" t="s">
        <v>61</v>
      </c>
      <c r="Q91" s="92" t="s">
        <v>62</v>
      </c>
      <c r="R91" s="92">
        <v>4</v>
      </c>
      <c r="S91" s="123"/>
      <c r="T91" s="131" t="s">
        <v>159</v>
      </c>
      <c r="U91" s="155">
        <v>0</v>
      </c>
      <c r="V91" s="207">
        <v>45</v>
      </c>
      <c r="W91" s="207">
        <v>45</v>
      </c>
      <c r="X91" s="207">
        <v>55</v>
      </c>
      <c r="Y91" s="207" t="s">
        <v>64</v>
      </c>
      <c r="Z91" s="133">
        <f t="shared" ref="Z91" si="199">AW91/(1-(AF91+2%))</f>
        <v>1257.4249084249084</v>
      </c>
      <c r="AA91" s="133">
        <f>VLOOKUP(I91,'[2]PO &amp; SC Sept 2025'!$I$14:$BK$686,55,FALSE)+(($F$3/1000)-1.5)*O91</f>
        <v>1228.3363136382031</v>
      </c>
      <c r="AB91" s="124">
        <f t="shared" ref="AB91" si="200">AX91/(1-AF91)</f>
        <v>1075.1978403540904</v>
      </c>
      <c r="AC91" s="134">
        <f>VLOOKUP(I91,'[2]PO &amp; SC Sept 2025'!$I$14:$BE$686,49,FALSE)+(O91*(($F$4/1000)-1.5))</f>
        <v>1067.6026873983672</v>
      </c>
      <c r="AD91" s="213">
        <v>0.09</v>
      </c>
      <c r="AE91" s="213">
        <v>0.09</v>
      </c>
      <c r="AF91" s="215">
        <v>0.19999999999999998</v>
      </c>
      <c r="AG91" s="216" t="s">
        <v>9</v>
      </c>
      <c r="AH91" s="148">
        <f t="shared" si="3"/>
        <v>1075.1978403540904</v>
      </c>
      <c r="AI91" s="149">
        <f t="shared" ref="AI91" si="201">1-(AX91/AH91)</f>
        <v>0.19999999999999996</v>
      </c>
      <c r="AJ91" s="444"/>
      <c r="AK91" s="150">
        <f t="shared" ref="AK91" si="202">AW91/(1-AD91)</f>
        <v>1077.7927786499215</v>
      </c>
      <c r="AL91" s="148">
        <f t="shared" ref="AL91" si="203">AX91/(1-AE91)</f>
        <v>945.22887064095858</v>
      </c>
      <c r="AM91" s="125">
        <f t="shared" ref="AM91" si="204">1-(AK91/Z91)</f>
        <v>0.14285714285714279</v>
      </c>
      <c r="AN91" s="125">
        <f t="shared" ref="AN91" si="205">1-(AL91/AB91)</f>
        <v>0.12087912087912089</v>
      </c>
      <c r="AO91" s="140"/>
      <c r="AP91" s="17" t="s">
        <v>81</v>
      </c>
      <c r="AQ91" s="141">
        <v>42.49</v>
      </c>
      <c r="AR91" s="141">
        <v>5500.86</v>
      </c>
      <c r="AS91" s="141"/>
      <c r="AT91" s="141">
        <v>5</v>
      </c>
      <c r="AU91" s="141">
        <f t="shared" si="194"/>
        <v>6860.54</v>
      </c>
      <c r="AV91" s="141">
        <f t="shared" ref="AV91" si="206">AT91+AU91</f>
        <v>6865.54</v>
      </c>
      <c r="AW91" s="142">
        <f t="shared" si="187"/>
        <v>980.79142857142858</v>
      </c>
      <c r="AX91" s="126">
        <f t="shared" ref="AX91" si="207">(AW91/$F$6)+(($F$9+$G$9)/40/R91)+AW91*U91</f>
        <v>860.15827228327237</v>
      </c>
      <c r="AY91" s="17"/>
      <c r="AZ91" s="128" t="s">
        <v>63</v>
      </c>
      <c r="BB91" s="134">
        <f t="shared" si="11"/>
        <v>3583.9928011803017</v>
      </c>
      <c r="BC91" s="134">
        <f t="shared" si="12"/>
        <v>2150.3956807081809</v>
      </c>
      <c r="BD91" s="134">
        <f t="shared" si="13"/>
        <v>1791.9964005901509</v>
      </c>
      <c r="BE91" s="134">
        <f t="shared" si="14"/>
        <v>1433.5971204721209</v>
      </c>
    </row>
    <row r="92" spans="1:57" s="129" customFormat="1">
      <c r="A92" s="88" t="s">
        <v>1302</v>
      </c>
      <c r="B92" s="88" t="s">
        <v>1317</v>
      </c>
      <c r="C92" s="88" t="s">
        <v>1318</v>
      </c>
      <c r="D92" s="88" t="s">
        <v>55</v>
      </c>
      <c r="E92" s="89" t="s">
        <v>56</v>
      </c>
      <c r="F92" s="90" t="s">
        <v>161</v>
      </c>
      <c r="G92" s="131" t="s">
        <v>151</v>
      </c>
      <c r="H92" s="131">
        <v>23</v>
      </c>
      <c r="I92" s="132" t="s">
        <v>173</v>
      </c>
      <c r="J92" s="132" t="str">
        <f>_xlfn.XLOOKUP(I92,[1]Sheet1!$A:$A,[1]Sheet1!$B:$B,"")</f>
        <v>U0104003</v>
      </c>
      <c r="K92" s="90" t="s">
        <v>174</v>
      </c>
      <c r="L92" s="90" t="s">
        <v>175</v>
      </c>
      <c r="M92" s="131" t="s">
        <v>130</v>
      </c>
      <c r="N92" s="91" t="s">
        <v>60</v>
      </c>
      <c r="O92" s="92">
        <v>21</v>
      </c>
      <c r="P92" s="88" t="s">
        <v>61</v>
      </c>
      <c r="Q92" s="92" t="s">
        <v>62</v>
      </c>
      <c r="R92" s="92">
        <v>6</v>
      </c>
      <c r="S92" s="123" t="s">
        <v>176</v>
      </c>
      <c r="T92" s="131" t="s">
        <v>159</v>
      </c>
      <c r="U92" s="155">
        <v>0</v>
      </c>
      <c r="V92" s="207">
        <v>45</v>
      </c>
      <c r="W92" s="207">
        <v>45</v>
      </c>
      <c r="X92" s="207">
        <v>55</v>
      </c>
      <c r="Y92" s="207" t="s">
        <v>64</v>
      </c>
      <c r="Z92" s="133">
        <f t="shared" si="1"/>
        <v>624.47124304267152</v>
      </c>
      <c r="AA92" s="133">
        <f>VLOOKUP(I92,'[2]PO &amp; SC Sept 2025'!$I$14:$BK$686,55,FALSE)+(($F$3/1000)-1.5)*O92</f>
        <v>607.55033748322649</v>
      </c>
      <c r="AB92" s="124">
        <f t="shared" si="2"/>
        <v>538.6837143166257</v>
      </c>
      <c r="AC92" s="134">
        <f>VLOOKUP(I92,'[2]PO &amp; SC Sept 2025'!$I$14:$BE$686,49,FALSE)+(O92*(($F$4/1000)-1.5))</f>
        <v>533.58505368329861</v>
      </c>
      <c r="AD92" s="213">
        <v>0.09</v>
      </c>
      <c r="AE92" s="213">
        <v>0.09</v>
      </c>
      <c r="AF92" s="215">
        <v>0.21</v>
      </c>
      <c r="AG92" s="216" t="s">
        <v>9</v>
      </c>
      <c r="AH92" s="148">
        <f t="shared" ref="AH92:AH114" si="208">AB92</f>
        <v>538.6837143166257</v>
      </c>
      <c r="AI92" s="149">
        <f t="shared" si="4"/>
        <v>0.21000000000000008</v>
      </c>
      <c r="AJ92" s="444"/>
      <c r="AK92" s="150">
        <f t="shared" si="5"/>
        <v>528.39874411302981</v>
      </c>
      <c r="AL92" s="148">
        <f t="shared" si="6"/>
        <v>467.64849924190577</v>
      </c>
      <c r="AM92" s="125">
        <f t="shared" si="7"/>
        <v>0.15384615384615374</v>
      </c>
      <c r="AN92" s="125">
        <f t="shared" si="197"/>
        <v>0.13186813186813195</v>
      </c>
      <c r="AO92" s="140"/>
      <c r="AP92" s="17" t="s">
        <v>81</v>
      </c>
      <c r="AQ92" s="141">
        <v>21.57</v>
      </c>
      <c r="AR92" s="141">
        <v>2670.66</v>
      </c>
      <c r="AS92" s="141"/>
      <c r="AT92" s="141">
        <v>5</v>
      </c>
      <c r="AU92" s="141">
        <f t="shared" si="194"/>
        <v>3360.8999999999996</v>
      </c>
      <c r="AV92" s="141">
        <f t="shared" si="0"/>
        <v>3365.8999999999996</v>
      </c>
      <c r="AW92" s="142">
        <f t="shared" si="187"/>
        <v>480.8428571428571</v>
      </c>
      <c r="AX92" s="126">
        <f t="shared" si="198"/>
        <v>425.56013431013429</v>
      </c>
      <c r="AY92" s="127"/>
      <c r="AZ92" s="128" t="s">
        <v>63</v>
      </c>
      <c r="BB92" s="124">
        <f t="shared" ref="BB92:BB158" si="209">AB92/0.3</f>
        <v>1795.6123810554191</v>
      </c>
      <c r="BC92" s="124">
        <f t="shared" ref="BC92:BC158" si="210">BB92*0.6</f>
        <v>1077.3674286332514</v>
      </c>
      <c r="BD92" s="124">
        <f t="shared" ref="BD92:BD158" si="211">BB92*0.5</f>
        <v>897.80619052770953</v>
      </c>
      <c r="BE92" s="124">
        <f t="shared" ref="BE92:BE158" si="212">BB92*0.4</f>
        <v>718.24495242216767</v>
      </c>
    </row>
    <row r="93" spans="1:57" s="129" customFormat="1">
      <c r="A93" s="88" t="s">
        <v>1302</v>
      </c>
      <c r="B93" s="88" t="s">
        <v>2240</v>
      </c>
      <c r="C93" s="88" t="s">
        <v>1318</v>
      </c>
      <c r="D93" s="88" t="s">
        <v>55</v>
      </c>
      <c r="E93" s="89" t="s">
        <v>56</v>
      </c>
      <c r="F93" s="90" t="s">
        <v>161</v>
      </c>
      <c r="G93" s="131" t="s">
        <v>151</v>
      </c>
      <c r="H93" s="131">
        <v>23</v>
      </c>
      <c r="I93" s="132" t="s">
        <v>1280</v>
      </c>
      <c r="J93" s="132" t="str">
        <f>_xlfn.XLOOKUP(I93,[1]Sheet1!$A:$A,[1]Sheet1!$B:$B,"")</f>
        <v>U0104004</v>
      </c>
      <c r="K93" s="90" t="s">
        <v>1282</v>
      </c>
      <c r="L93" s="90" t="s">
        <v>1284</v>
      </c>
      <c r="M93" s="131" t="s">
        <v>125</v>
      </c>
      <c r="N93" s="91" t="s">
        <v>158</v>
      </c>
      <c r="O93" s="92">
        <v>23</v>
      </c>
      <c r="P93" s="88" t="s">
        <v>61</v>
      </c>
      <c r="Q93" s="92" t="s">
        <v>62</v>
      </c>
      <c r="R93" s="92">
        <v>9</v>
      </c>
      <c r="S93" s="123" t="s">
        <v>165</v>
      </c>
      <c r="T93" s="131" t="s">
        <v>159</v>
      </c>
      <c r="U93" s="155">
        <v>0</v>
      </c>
      <c r="V93" s="207">
        <v>60</v>
      </c>
      <c r="W93" s="207">
        <v>14</v>
      </c>
      <c r="X93" s="207">
        <v>14</v>
      </c>
      <c r="Y93" s="207" t="s">
        <v>1582</v>
      </c>
      <c r="Z93" s="133">
        <f t="shared" ref="Z93:Z94" si="213">(AW93/(1-(AF93+2%)))*$F$6</f>
        <v>652.65986842105269</v>
      </c>
      <c r="AA93" s="133">
        <f>VLOOKUP(I93,'[2]PO &amp; SC Sept 2025'!$I$14:$BK$686,55,FALSE)+(($F$3/1000)-1.5)*O93</f>
        <v>616.44721194274655</v>
      </c>
      <c r="AB93" s="124">
        <f t="shared" si="2"/>
        <v>552.65706041347073</v>
      </c>
      <c r="AC93" s="134">
        <f>VLOOKUP(I93,'[2]PO &amp; SC Sept 2025'!$I$14:$BE$686,49,FALSE)+(O93*(($F$4/1000)-1.5))</f>
        <v>540.85881576717281</v>
      </c>
      <c r="AD93" s="213">
        <f t="shared" ref="AD93:AD141" si="214">AE93</f>
        <v>7.0000000000000007E-2</v>
      </c>
      <c r="AE93" s="213">
        <v>7.0000000000000007E-2</v>
      </c>
      <c r="AF93" s="215">
        <v>0.22</v>
      </c>
      <c r="AG93" s="215" t="s">
        <v>9</v>
      </c>
      <c r="AH93" s="148">
        <f t="shared" si="208"/>
        <v>552.65706041347073</v>
      </c>
      <c r="AI93" s="135">
        <f t="shared" si="4"/>
        <v>0.22000000000000008</v>
      </c>
      <c r="AJ93" s="444"/>
      <c r="AK93" s="150">
        <f t="shared" ref="AK93:AK94" si="215">AW93/(1-AD93)*$F$6</f>
        <v>533.35645161290324</v>
      </c>
      <c r="AL93" s="148">
        <f t="shared" si="6"/>
        <v>463.51882486291095</v>
      </c>
      <c r="AM93" s="139">
        <f t="shared" si="7"/>
        <v>0.18279569892473124</v>
      </c>
      <c r="AN93" s="139">
        <f t="shared" si="197"/>
        <v>0.16129032258064513</v>
      </c>
      <c r="AO93" s="140"/>
      <c r="AP93" s="17" t="s">
        <v>160</v>
      </c>
      <c r="AQ93" s="141"/>
      <c r="AR93" s="141"/>
      <c r="AS93" s="153">
        <v>202</v>
      </c>
      <c r="AT93" s="141"/>
      <c r="AU93" s="141"/>
      <c r="AV93" s="141"/>
      <c r="AW93" s="154">
        <f t="shared" ref="AW93:AW94" si="216">AS93+($F$4-1500)/1000*O93</f>
        <v>423.95000000000005</v>
      </c>
      <c r="AX93" s="126">
        <f>(AS93+($F$4-1500)/1000*O93)+($F$10/40/R93/$F$6)</f>
        <v>431.07250712250715</v>
      </c>
      <c r="AY93" s="17"/>
      <c r="AZ93" s="128" t="s">
        <v>63</v>
      </c>
      <c r="BB93" s="124">
        <f t="shared" si="209"/>
        <v>1842.1902013782358</v>
      </c>
      <c r="BC93" s="124">
        <f t="shared" si="210"/>
        <v>1105.3141208269415</v>
      </c>
      <c r="BD93" s="124">
        <f t="shared" si="211"/>
        <v>921.09510068911788</v>
      </c>
      <c r="BE93" s="124">
        <f t="shared" si="212"/>
        <v>736.87608055129431</v>
      </c>
    </row>
    <row r="94" spans="1:57" s="129" customFormat="1">
      <c r="A94" s="88" t="s">
        <v>1302</v>
      </c>
      <c r="B94" s="88" t="s">
        <v>1317</v>
      </c>
      <c r="C94" s="88" t="s">
        <v>1318</v>
      </c>
      <c r="D94" s="88" t="s">
        <v>55</v>
      </c>
      <c r="E94" s="89" t="s">
        <v>56</v>
      </c>
      <c r="F94" s="90" t="s">
        <v>161</v>
      </c>
      <c r="G94" s="131" t="s">
        <v>151</v>
      </c>
      <c r="H94" s="131">
        <v>23</v>
      </c>
      <c r="I94" s="132" t="s">
        <v>1281</v>
      </c>
      <c r="J94" s="132" t="str">
        <f>_xlfn.XLOOKUP(I94,[1]Sheet1!$A:$A,[1]Sheet1!$B:$B,"")</f>
        <v>U0104007</v>
      </c>
      <c r="K94" s="90" t="s">
        <v>1283</v>
      </c>
      <c r="L94" s="90" t="s">
        <v>1285</v>
      </c>
      <c r="M94" s="131" t="s">
        <v>125</v>
      </c>
      <c r="N94" s="91" t="s">
        <v>158</v>
      </c>
      <c r="O94" s="92">
        <v>46</v>
      </c>
      <c r="P94" s="88" t="s">
        <v>61</v>
      </c>
      <c r="Q94" s="92" t="s">
        <v>62</v>
      </c>
      <c r="R94" s="92">
        <v>4</v>
      </c>
      <c r="S94" s="123" t="s">
        <v>168</v>
      </c>
      <c r="T94" s="131" t="s">
        <v>159</v>
      </c>
      <c r="U94" s="155">
        <v>0</v>
      </c>
      <c r="V94" s="207">
        <v>60</v>
      </c>
      <c r="W94" s="207">
        <v>14</v>
      </c>
      <c r="X94" s="207">
        <v>14</v>
      </c>
      <c r="Y94" s="207" t="s">
        <v>1582</v>
      </c>
      <c r="Z94" s="133">
        <f t="shared" si="213"/>
        <v>1317.2376623376624</v>
      </c>
      <c r="AA94" s="133">
        <f>VLOOKUP(I94,'[2]PO &amp; SC Sept 2025'!$I$14:$BK$686,55,FALSE)+(($F$3/1000)-1.5)*O94</f>
        <v>1274.5183136382032</v>
      </c>
      <c r="AB94" s="124">
        <f t="shared" si="2"/>
        <v>1117.6273937033432</v>
      </c>
      <c r="AC94" s="134">
        <f>VLOOKUP(I94,'[2]PO &amp; SC Sept 2025'!$I$14:$BE$686,49,FALSE)+(O94*(($F$4/1000)-1.5))</f>
        <v>1106.2026873983671</v>
      </c>
      <c r="AD94" s="213">
        <f t="shared" si="214"/>
        <v>7.0000000000000007E-2</v>
      </c>
      <c r="AE94" s="213">
        <v>7.0000000000000007E-2</v>
      </c>
      <c r="AF94" s="215">
        <v>0.21</v>
      </c>
      <c r="AG94" s="215" t="s">
        <v>9</v>
      </c>
      <c r="AH94" s="148">
        <f t="shared" si="208"/>
        <v>1117.6273937033432</v>
      </c>
      <c r="AI94" s="143">
        <f t="shared" si="4"/>
        <v>0.20999999999999996</v>
      </c>
      <c r="AJ94" s="444"/>
      <c r="AK94" s="150">
        <f t="shared" si="215"/>
        <v>1090.6161290322582</v>
      </c>
      <c r="AL94" s="148">
        <f t="shared" si="6"/>
        <v>949.38240970499044</v>
      </c>
      <c r="AM94" s="146">
        <f t="shared" si="7"/>
        <v>0.17204301075268813</v>
      </c>
      <c r="AN94" s="146">
        <f t="shared" si="197"/>
        <v>0.15053763440860213</v>
      </c>
      <c r="AO94" s="140"/>
      <c r="AP94" s="17" t="s">
        <v>160</v>
      </c>
      <c r="AQ94" s="141"/>
      <c r="AR94" s="141"/>
      <c r="AS94" s="153">
        <v>423</v>
      </c>
      <c r="AT94" s="141"/>
      <c r="AU94" s="141"/>
      <c r="AV94" s="141"/>
      <c r="AW94" s="154">
        <f t="shared" si="216"/>
        <v>866.90000000000009</v>
      </c>
      <c r="AX94" s="126">
        <f>(AS94+($F$4-1500)/1000*O94)+($F$10/40/R94/$F$6)</f>
        <v>882.92564102564108</v>
      </c>
      <c r="AY94" s="17"/>
      <c r="AZ94" s="128" t="s">
        <v>63</v>
      </c>
      <c r="BB94" s="124">
        <f t="shared" si="209"/>
        <v>3725.4246456778105</v>
      </c>
      <c r="BC94" s="124">
        <f t="shared" si="210"/>
        <v>2235.2547874066863</v>
      </c>
      <c r="BD94" s="124">
        <f t="shared" si="211"/>
        <v>1862.7123228389053</v>
      </c>
      <c r="BE94" s="124">
        <f t="shared" si="212"/>
        <v>1490.1698582711242</v>
      </c>
    </row>
    <row r="95" spans="1:57" s="129" customFormat="1">
      <c r="A95" s="88" t="s">
        <v>1302</v>
      </c>
      <c r="B95" s="88" t="s">
        <v>1317</v>
      </c>
      <c r="C95" s="88" t="s">
        <v>1318</v>
      </c>
      <c r="D95" s="88" t="s">
        <v>55</v>
      </c>
      <c r="E95" s="89" t="s">
        <v>56</v>
      </c>
      <c r="F95" s="90" t="s">
        <v>161</v>
      </c>
      <c r="G95" s="131" t="s">
        <v>151</v>
      </c>
      <c r="H95" s="131">
        <v>23</v>
      </c>
      <c r="I95" s="132" t="s">
        <v>177</v>
      </c>
      <c r="J95" s="132" t="str">
        <f>_xlfn.XLOOKUP(I95,[1]Sheet1!$A:$A,[1]Sheet1!$B:$B,"")</f>
        <v>U0104002</v>
      </c>
      <c r="K95" s="90" t="s">
        <v>178</v>
      </c>
      <c r="L95" s="90" t="s">
        <v>179</v>
      </c>
      <c r="M95" s="131" t="s">
        <v>108</v>
      </c>
      <c r="N95" s="91" t="s">
        <v>60</v>
      </c>
      <c r="O95" s="92">
        <v>21</v>
      </c>
      <c r="P95" s="88" t="s">
        <v>61</v>
      </c>
      <c r="Q95" s="92" t="s">
        <v>62</v>
      </c>
      <c r="R95" s="92">
        <v>4</v>
      </c>
      <c r="S95" s="123"/>
      <c r="T95" s="131" t="s">
        <v>159</v>
      </c>
      <c r="U95" s="155">
        <v>0</v>
      </c>
      <c r="V95" s="207">
        <v>45</v>
      </c>
      <c r="W95" s="207">
        <v>45</v>
      </c>
      <c r="X95" s="207">
        <v>55</v>
      </c>
      <c r="Y95" s="207" t="s">
        <v>64</v>
      </c>
      <c r="Z95" s="133">
        <f t="shared" si="1"/>
        <v>654.6177062374245</v>
      </c>
      <c r="AA95" s="133">
        <f>VLOOKUP(I95,'[2]PO &amp; SC Sept 2025'!$I$14:$BK$686,55,FALSE)+(($F$3/1000)-1.5)*O95</f>
        <v>638.10785734520437</v>
      </c>
      <c r="AB95" s="124">
        <f t="shared" si="2"/>
        <v>574.13923595430447</v>
      </c>
      <c r="AC95" s="134">
        <f>VLOOKUP(I95,'[2]PO &amp; SC Sept 2025'!$I$14:$BE$686,49,FALSE)+(O95*(($F$4/1000)-1.5))</f>
        <v>571.77216200681528</v>
      </c>
      <c r="AD95" s="213">
        <v>0.09</v>
      </c>
      <c r="AE95" s="213">
        <v>0.09</v>
      </c>
      <c r="AF95" s="215">
        <v>0.27</v>
      </c>
      <c r="AG95" s="216" t="s">
        <v>9</v>
      </c>
      <c r="AH95" s="148">
        <f t="shared" si="208"/>
        <v>574.13923595430447</v>
      </c>
      <c r="AI95" s="149">
        <f t="shared" si="4"/>
        <v>0.27</v>
      </c>
      <c r="AJ95" s="444"/>
      <c r="AK95" s="150">
        <f t="shared" si="5"/>
        <v>510.74568288853999</v>
      </c>
      <c r="AL95" s="148">
        <f t="shared" si="6"/>
        <v>460.57323323806838</v>
      </c>
      <c r="AM95" s="125">
        <f t="shared" si="7"/>
        <v>0.21978021978021978</v>
      </c>
      <c r="AN95" s="125">
        <f t="shared" si="197"/>
        <v>0.19780219780219788</v>
      </c>
      <c r="AO95" s="140"/>
      <c r="AP95" s="17" t="s">
        <v>101</v>
      </c>
      <c r="AQ95" s="141">
        <v>19.97</v>
      </c>
      <c r="AR95" s="141">
        <v>2609.41</v>
      </c>
      <c r="AS95" s="141"/>
      <c r="AT95" s="141">
        <v>5</v>
      </c>
      <c r="AU95" s="141">
        <f>($F$2-70000)/1000*AQ95+AR95</f>
        <v>3248.45</v>
      </c>
      <c r="AV95" s="141">
        <f t="shared" si="0"/>
        <v>3253.45</v>
      </c>
      <c r="AW95" s="142">
        <f>(AT95+AU95)/$F$5</f>
        <v>464.77857142857141</v>
      </c>
      <c r="AX95" s="126">
        <f>(AW95/$F$6)+(($F$9+$G$9)/40/R95)+AW95*U95</f>
        <v>419.12164224664224</v>
      </c>
      <c r="AY95" s="127"/>
      <c r="AZ95" s="128" t="s">
        <v>63</v>
      </c>
      <c r="BB95" s="124">
        <f t="shared" si="209"/>
        <v>1913.797453181015</v>
      </c>
      <c r="BC95" s="124">
        <f t="shared" si="210"/>
        <v>1148.2784719086089</v>
      </c>
      <c r="BD95" s="124">
        <f t="shared" si="211"/>
        <v>956.89872659050752</v>
      </c>
      <c r="BE95" s="124">
        <f t="shared" si="212"/>
        <v>765.51898127240611</v>
      </c>
    </row>
    <row r="96" spans="1:57" s="129" customFormat="1">
      <c r="A96" s="88" t="s">
        <v>1302</v>
      </c>
      <c r="B96" s="88" t="s">
        <v>1317</v>
      </c>
      <c r="C96" s="88" t="s">
        <v>1318</v>
      </c>
      <c r="D96" s="88" t="s">
        <v>55</v>
      </c>
      <c r="E96" s="89" t="s">
        <v>56</v>
      </c>
      <c r="F96" s="90" t="s">
        <v>161</v>
      </c>
      <c r="G96" s="131" t="s">
        <v>151</v>
      </c>
      <c r="H96" s="131">
        <v>23</v>
      </c>
      <c r="I96" s="132" t="s">
        <v>180</v>
      </c>
      <c r="J96" s="132" t="str">
        <f>_xlfn.XLOOKUP(I96,[1]Sheet1!$A:$A,[1]Sheet1!$B:$B,"")</f>
        <v>U0104001</v>
      </c>
      <c r="K96" s="90" t="s">
        <v>181</v>
      </c>
      <c r="L96" s="90" t="s">
        <v>182</v>
      </c>
      <c r="M96" s="131" t="s">
        <v>108</v>
      </c>
      <c r="N96" s="91" t="s">
        <v>60</v>
      </c>
      <c r="O96" s="92">
        <v>18.5</v>
      </c>
      <c r="P96" s="88" t="s">
        <v>61</v>
      </c>
      <c r="Q96" s="92" t="s">
        <v>62</v>
      </c>
      <c r="R96" s="92">
        <v>4</v>
      </c>
      <c r="S96" s="123"/>
      <c r="T96" s="131" t="s">
        <v>159</v>
      </c>
      <c r="U96" s="155">
        <v>0</v>
      </c>
      <c r="V96" s="207">
        <v>45</v>
      </c>
      <c r="W96" s="207">
        <v>45</v>
      </c>
      <c r="X96" s="207">
        <v>55</v>
      </c>
      <c r="Y96" s="207" t="s">
        <v>64</v>
      </c>
      <c r="Z96" s="133">
        <f t="shared" si="1"/>
        <v>1466.8772635814892</v>
      </c>
      <c r="AA96" s="133">
        <f>VLOOKUP(I96,'[2]PO &amp; SC Sept 2025'!$I$14:$BK$686,55,FALSE)+(($F$3/1000)-1.5)*O96</f>
        <v>1411.7588028126265</v>
      </c>
      <c r="AB96" s="124">
        <f t="shared" si="2"/>
        <v>1249.3579289812169</v>
      </c>
      <c r="AC96" s="134">
        <f>VLOOKUP(I96,'[2]PO &amp; SC Sept 2025'!$I$14:$BE$686,49,FALSE)+(O96*(($F$4/1000)-1.5))</f>
        <v>1226.1121823295155</v>
      </c>
      <c r="AD96" s="213">
        <v>0.09</v>
      </c>
      <c r="AE96" s="213">
        <v>0.09</v>
      </c>
      <c r="AF96" s="215">
        <v>0.27</v>
      </c>
      <c r="AG96" s="216" t="s">
        <v>9</v>
      </c>
      <c r="AH96" s="148">
        <f t="shared" si="208"/>
        <v>1249.3579289812169</v>
      </c>
      <c r="AI96" s="149">
        <f t="shared" si="4"/>
        <v>0.27</v>
      </c>
      <c r="AJ96" s="444"/>
      <c r="AK96" s="150">
        <f t="shared" si="5"/>
        <v>1144.486656200942</v>
      </c>
      <c r="AL96" s="148">
        <f t="shared" si="6"/>
        <v>1002.2321847871299</v>
      </c>
      <c r="AM96" s="125">
        <f t="shared" si="7"/>
        <v>0.21978021978021989</v>
      </c>
      <c r="AN96" s="125">
        <f t="shared" si="197"/>
        <v>0.19780219780219788</v>
      </c>
      <c r="AO96" s="140"/>
      <c r="AP96" s="17" t="s">
        <v>65</v>
      </c>
      <c r="AQ96" s="141">
        <f>13.92*2</f>
        <v>27.84</v>
      </c>
      <c r="AR96" s="141">
        <v>6394.5</v>
      </c>
      <c r="AS96" s="141"/>
      <c r="AT96" s="141">
        <v>5</v>
      </c>
      <c r="AU96" s="141">
        <f>($F$2-70000)/1000*AQ96+AR96</f>
        <v>7285.38</v>
      </c>
      <c r="AV96" s="141">
        <f t="shared" si="0"/>
        <v>7290.38</v>
      </c>
      <c r="AW96" s="142">
        <f>(AT96+AU96)/$F$5</f>
        <v>1041.4828571428573</v>
      </c>
      <c r="AX96" s="126">
        <f>(AW96/$F$6)+(($F$9+$G$9)/40/R96)+AW96*U96</f>
        <v>912.03128815628827</v>
      </c>
      <c r="AY96" s="127"/>
      <c r="AZ96" s="128" t="s">
        <v>63</v>
      </c>
      <c r="BB96" s="124">
        <f t="shared" si="209"/>
        <v>4164.5264299373903</v>
      </c>
      <c r="BC96" s="124">
        <f t="shared" si="210"/>
        <v>2498.7158579624343</v>
      </c>
      <c r="BD96" s="124">
        <f t="shared" si="211"/>
        <v>2082.2632149686951</v>
      </c>
      <c r="BE96" s="124">
        <f t="shared" si="212"/>
        <v>1665.8105719749562</v>
      </c>
    </row>
    <row r="97" spans="1:59" s="129" customFormat="1">
      <c r="A97" s="88" t="s">
        <v>1276</v>
      </c>
      <c r="B97" s="88" t="s">
        <v>1702</v>
      </c>
      <c r="C97" s="88" t="s">
        <v>1318</v>
      </c>
      <c r="D97" s="88" t="s">
        <v>55</v>
      </c>
      <c r="E97" s="89" t="s">
        <v>56</v>
      </c>
      <c r="F97" s="90" t="s">
        <v>161</v>
      </c>
      <c r="G97" s="131" t="s">
        <v>151</v>
      </c>
      <c r="H97" s="131">
        <v>26</v>
      </c>
      <c r="I97" s="132" t="s">
        <v>1492</v>
      </c>
      <c r="J97" s="132" t="str">
        <f>_xlfn.XLOOKUP(I97,[1]Sheet1!$A:$A,[1]Sheet1!$B:$B,"")</f>
        <v/>
      </c>
      <c r="K97" s="90" t="s">
        <v>2800</v>
      </c>
      <c r="L97" s="90" t="s">
        <v>2801</v>
      </c>
      <c r="M97" s="131" t="s">
        <v>1493</v>
      </c>
      <c r="N97" s="91" t="s">
        <v>60</v>
      </c>
      <c r="O97" s="92">
        <v>9.9</v>
      </c>
      <c r="P97" s="88" t="s">
        <v>61</v>
      </c>
      <c r="Q97" s="92" t="s">
        <v>62</v>
      </c>
      <c r="R97" s="92">
        <v>4</v>
      </c>
      <c r="S97" s="123"/>
      <c r="T97" s="131" t="s">
        <v>159</v>
      </c>
      <c r="U97" s="155">
        <v>0</v>
      </c>
      <c r="V97" s="207">
        <v>45</v>
      </c>
      <c r="W97" s="207">
        <v>45</v>
      </c>
      <c r="X97" s="207">
        <v>55</v>
      </c>
      <c r="Y97" s="207" t="s">
        <v>64</v>
      </c>
      <c r="Z97" s="133">
        <f t="shared" ref="Z97:Z98" si="217">AW97/(1-(AF97+2%))</f>
        <v>477.87991718426503</v>
      </c>
      <c r="AA97" s="133">
        <f>VLOOKUP(I97,'[2]PO &amp; SC Sept 2025'!$I$14:$BK$686,55,FALSE)+(($F$3/1000)-1.5)*O97</f>
        <v>447.72539209298458</v>
      </c>
      <c r="AB97" s="124">
        <f t="shared" ref="AB97:AB98" si="218">AX97/(1-AF97)</f>
        <v>427.74875750227858</v>
      </c>
      <c r="AC97" s="134">
        <f>VLOOKUP(I97,'[2]PO &amp; SC Sept 2025'!$I$14:$BE$686,49,FALSE)+(O97*(($F$4/1000)-1.5))</f>
        <v>412.80178338289386</v>
      </c>
      <c r="AD97" s="213">
        <v>0.09</v>
      </c>
      <c r="AE97" s="213">
        <v>0.09</v>
      </c>
      <c r="AF97" s="215">
        <v>0.28999999999999998</v>
      </c>
      <c r="AG97" s="215" t="s">
        <v>9</v>
      </c>
      <c r="AH97" s="148">
        <f t="shared" si="208"/>
        <v>427.74875750227858</v>
      </c>
      <c r="AI97" s="156">
        <f t="shared" ref="AI97" si="219">1-(AX97/AH97)</f>
        <v>0.29000000000000004</v>
      </c>
      <c r="AJ97" s="444"/>
      <c r="AK97" s="158">
        <f t="shared" ref="AK97" si="220">AW97/(1-AD97)</f>
        <v>362.34850863422287</v>
      </c>
      <c r="AL97" s="159">
        <f t="shared" ref="AL97" si="221">AX97/(1-AE97)</f>
        <v>333.73804156771183</v>
      </c>
      <c r="AM97" s="157">
        <f t="shared" ref="AM97" si="222">1-(AK97/Z97)</f>
        <v>0.2417582417582419</v>
      </c>
      <c r="AN97" s="157">
        <f t="shared" ref="AN97" si="223">1-(AL97/AB97)</f>
        <v>0.21978021978021989</v>
      </c>
      <c r="AO97" s="140"/>
      <c r="AP97" s="17" t="s">
        <v>1494</v>
      </c>
      <c r="AQ97" s="141">
        <f>14*1.02</f>
        <v>14.280000000000001</v>
      </c>
      <c r="AR97" s="141">
        <f>1810*1.02</f>
        <v>1846.2</v>
      </c>
      <c r="AS97" s="141"/>
      <c r="AT97" s="141">
        <v>5</v>
      </c>
      <c r="AU97" s="141">
        <f>($F$2-70000)/1000*AQ97+AR97</f>
        <v>2303.16</v>
      </c>
      <c r="AV97" s="141">
        <f t="shared" ref="AV97:AV100" si="224">AT97+AU97</f>
        <v>2308.16</v>
      </c>
      <c r="AW97" s="142">
        <f>(AT97+AU97)/$F$5</f>
        <v>329.73714285714283</v>
      </c>
      <c r="AX97" s="126">
        <f>(AW97/$F$6)+(($F$9+$G$9)/40/R97)+AW97*U97</f>
        <v>303.70161782661779</v>
      </c>
      <c r="AY97" s="130" t="s">
        <v>1744</v>
      </c>
      <c r="AZ97" s="128" t="s">
        <v>63</v>
      </c>
      <c r="BB97" s="134">
        <f t="shared" si="209"/>
        <v>1425.8291916742619</v>
      </c>
      <c r="BC97" s="134">
        <f t="shared" si="210"/>
        <v>855.49751500455716</v>
      </c>
      <c r="BD97" s="134">
        <f t="shared" si="211"/>
        <v>712.91459583713095</v>
      </c>
      <c r="BE97" s="134">
        <f t="shared" si="212"/>
        <v>570.33167666970473</v>
      </c>
    </row>
    <row r="98" spans="1:59" s="129" customFormat="1" hidden="1">
      <c r="A98" s="88" t="s">
        <v>1276</v>
      </c>
      <c r="B98" s="88" t="s">
        <v>1702</v>
      </c>
      <c r="C98" s="88" t="s">
        <v>1317</v>
      </c>
      <c r="D98" s="88" t="s">
        <v>55</v>
      </c>
      <c r="E98" s="89" t="s">
        <v>56</v>
      </c>
      <c r="F98" s="90" t="s">
        <v>183</v>
      </c>
      <c r="G98" s="131" t="s">
        <v>151</v>
      </c>
      <c r="H98" s="131">
        <v>23</v>
      </c>
      <c r="I98" s="273" t="s">
        <v>1309</v>
      </c>
      <c r="J98" s="132" t="s">
        <v>3645</v>
      </c>
      <c r="K98" s="90" t="s">
        <v>1310</v>
      </c>
      <c r="L98" s="90" t="s">
        <v>1311</v>
      </c>
      <c r="M98" s="131" t="s">
        <v>130</v>
      </c>
      <c r="N98" s="91" t="s">
        <v>1586</v>
      </c>
      <c r="O98" s="92">
        <v>26</v>
      </c>
      <c r="P98" s="88" t="s">
        <v>61</v>
      </c>
      <c r="Q98" s="92" t="s">
        <v>1587</v>
      </c>
      <c r="R98" s="92">
        <v>9</v>
      </c>
      <c r="S98" s="123"/>
      <c r="T98" s="131" t="s">
        <v>159</v>
      </c>
      <c r="U98" s="155">
        <v>0</v>
      </c>
      <c r="V98" s="207">
        <v>45</v>
      </c>
      <c r="W98" s="207">
        <v>45</v>
      </c>
      <c r="X98" s="207">
        <v>55</v>
      </c>
      <c r="Y98" s="207" t="s">
        <v>1582</v>
      </c>
      <c r="Z98" s="133">
        <f t="shared" si="217"/>
        <v>824.72890538033391</v>
      </c>
      <c r="AA98" s="133">
        <f>VLOOKUP(I98,'[2]PO &amp; SC Sept 2025'!$I$14:$BK$686,55,FALSE)+(($F$3/1000)-1.5)*O98</f>
        <v>789.98376039958259</v>
      </c>
      <c r="AB98" s="124">
        <f t="shared" si="218"/>
        <v>699.35762971206009</v>
      </c>
      <c r="AC98" s="134">
        <f>VLOOKUP(I98,'[2]PO &amp; SC Sept 2025'!$I$14:$BE$686,49,FALSE)+(O98*(($F$4/1000)-1.5))</f>
        <v>680.42770978981105</v>
      </c>
      <c r="AD98" s="213">
        <v>0.09</v>
      </c>
      <c r="AE98" s="213">
        <v>0.09</v>
      </c>
      <c r="AF98" s="215">
        <v>0.21</v>
      </c>
      <c r="AG98" s="216" t="s">
        <v>1747</v>
      </c>
      <c r="AH98" s="148">
        <f t="shared" si="208"/>
        <v>699.35762971206009</v>
      </c>
      <c r="AI98" s="149">
        <f t="shared" ref="AI98" si="225">1-(AX98/AH98)</f>
        <v>0.20999999999999996</v>
      </c>
      <c r="AJ98" s="444"/>
      <c r="AK98" s="150">
        <f t="shared" ref="AK98" si="226">AW98/(1-AD98)</f>
        <v>697.84753532182106</v>
      </c>
      <c r="AL98" s="148">
        <f t="shared" ref="AL98" si="227">AX98/(1-AE98)</f>
        <v>607.13464557420605</v>
      </c>
      <c r="AM98" s="125">
        <f t="shared" ref="AM98" si="228">1-(AK98/Z98)</f>
        <v>0.15384615384615374</v>
      </c>
      <c r="AN98" s="125">
        <f t="shared" ref="AN98" si="229">1-(AL98/AB98)</f>
        <v>0.13186813186813184</v>
      </c>
      <c r="AO98" s="140"/>
      <c r="AP98" s="17" t="s">
        <v>1585</v>
      </c>
      <c r="AQ98" s="141">
        <f>29.25*1.03</f>
        <v>30.127500000000001</v>
      </c>
      <c r="AR98" s="141">
        <f>3374.96*1.03</f>
        <v>3476.2088000000003</v>
      </c>
      <c r="AS98" s="141"/>
      <c r="AT98" s="141">
        <v>5</v>
      </c>
      <c r="AU98" s="141">
        <f>($F$2-70000)/1000*AQ98+AR98</f>
        <v>4440.2888000000003</v>
      </c>
      <c r="AV98" s="141">
        <f t="shared" si="224"/>
        <v>4445.2888000000003</v>
      </c>
      <c r="AW98" s="142">
        <f>(AT98+AU98)/$F$5</f>
        <v>635.04125714285715</v>
      </c>
      <c r="AX98" s="126">
        <f>(AW98/$F$6)+(($F$9+$G$9)/40/R98)+AW98*U98</f>
        <v>552.49252747252751</v>
      </c>
      <c r="AY98" s="130" t="s">
        <v>1745</v>
      </c>
      <c r="AZ98" s="128"/>
      <c r="BB98" s="134">
        <f t="shared" si="209"/>
        <v>2331.1920990402004</v>
      </c>
      <c r="BC98" s="134">
        <f t="shared" si="210"/>
        <v>1398.7152594241202</v>
      </c>
      <c r="BD98" s="134">
        <f t="shared" si="211"/>
        <v>1165.5960495201002</v>
      </c>
      <c r="BE98" s="134">
        <f t="shared" si="212"/>
        <v>932.47683961608027</v>
      </c>
    </row>
    <row r="99" spans="1:59" s="129" customFormat="1" hidden="1">
      <c r="A99" s="88" t="s">
        <v>1276</v>
      </c>
      <c r="B99" s="88" t="s">
        <v>1702</v>
      </c>
      <c r="C99" s="88" t="s">
        <v>1317</v>
      </c>
      <c r="D99" s="88" t="s">
        <v>55</v>
      </c>
      <c r="E99" s="89" t="s">
        <v>56</v>
      </c>
      <c r="F99" s="90" t="s">
        <v>183</v>
      </c>
      <c r="G99" s="131" t="s">
        <v>151</v>
      </c>
      <c r="H99" s="131">
        <v>23</v>
      </c>
      <c r="I99" s="273" t="s">
        <v>1309</v>
      </c>
      <c r="J99" s="132" t="s">
        <v>3645</v>
      </c>
      <c r="K99" s="90" t="s">
        <v>1310</v>
      </c>
      <c r="L99" s="90" t="s">
        <v>1311</v>
      </c>
      <c r="M99" s="131" t="s">
        <v>130</v>
      </c>
      <c r="N99" s="91" t="s">
        <v>158</v>
      </c>
      <c r="O99" s="92">
        <v>25</v>
      </c>
      <c r="P99" s="88" t="s">
        <v>61</v>
      </c>
      <c r="Q99" s="92" t="s">
        <v>1587</v>
      </c>
      <c r="R99" s="92">
        <v>9</v>
      </c>
      <c r="S99" s="123"/>
      <c r="T99" s="131" t="s">
        <v>159</v>
      </c>
      <c r="U99" s="155">
        <v>0</v>
      </c>
      <c r="V99" s="207">
        <v>60</v>
      </c>
      <c r="W99" s="207">
        <v>14</v>
      </c>
      <c r="X99" s="207">
        <v>14</v>
      </c>
      <c r="Y99" s="207" t="s">
        <v>1582</v>
      </c>
      <c r="Z99" s="133">
        <f>(AW99/(1-(AF99+2%)))*$F$6</f>
        <v>766.34999999999991</v>
      </c>
      <c r="AA99" s="133">
        <f>VLOOKUP(I99,'[2]PO &amp; SC Sept 2025'!$I$14:$BK$686,55,FALSE)+(($F$3/1000)-1.5)*O99</f>
        <v>778.43826039958253</v>
      </c>
      <c r="AB99" s="124">
        <f>AX99/(1-AF99)</f>
        <v>647.23702223702219</v>
      </c>
      <c r="AC99" s="134">
        <f>VLOOKUP(I99,'[2]PO &amp; SC Sept 2025'!$I$14:$BE$686,49,FALSE)+(O99*(($F$4/1000)-1.5))</f>
        <v>670.77770978981107</v>
      </c>
      <c r="AD99" s="213">
        <v>7.0000000000000007E-2</v>
      </c>
      <c r="AE99" s="213">
        <v>7.0000000000000007E-2</v>
      </c>
      <c r="AF99" s="215">
        <v>0.22999999999999998</v>
      </c>
      <c r="AG99" s="215" t="s">
        <v>1747</v>
      </c>
      <c r="AH99" s="148">
        <f t="shared" si="208"/>
        <v>647.23702223702219</v>
      </c>
      <c r="AI99" s="156">
        <f>1-(AX99/AH99)</f>
        <v>0.22999999999999998</v>
      </c>
      <c r="AJ99" s="444"/>
      <c r="AK99" s="150">
        <f>AW99/(1-AD99)*$F$6</f>
        <v>618.02419354838707</v>
      </c>
      <c r="AL99" s="148">
        <f>AX99/(1-AE99)</f>
        <v>535.8844162607603</v>
      </c>
      <c r="AM99" s="157">
        <f>1-(AK99/Z99)</f>
        <v>0.19354838709677413</v>
      </c>
      <c r="AN99" s="157">
        <f>1-(AL99/AB99)</f>
        <v>0.17204301075268813</v>
      </c>
      <c r="AO99" s="140"/>
      <c r="AP99" s="17" t="s">
        <v>1583</v>
      </c>
      <c r="AQ99" s="141"/>
      <c r="AR99" s="141"/>
      <c r="AS99" s="153">
        <v>250</v>
      </c>
      <c r="AT99" s="141"/>
      <c r="AU99" s="141"/>
      <c r="AV99" s="141"/>
      <c r="AW99" s="154">
        <f>AS99+($F$4-1500)/1000*O99</f>
        <v>491.25</v>
      </c>
      <c r="AX99" s="126">
        <f>(AS99+($F$4-1500)/1000*O99)+($F$10/40/R99/$F$6)</f>
        <v>498.3725071225071</v>
      </c>
      <c r="AY99" s="127"/>
      <c r="AZ99" s="128"/>
      <c r="BB99" s="134">
        <f t="shared" si="209"/>
        <v>2157.456740790074</v>
      </c>
      <c r="BC99" s="134">
        <f t="shared" si="210"/>
        <v>1294.4740444740444</v>
      </c>
      <c r="BD99" s="134">
        <f t="shared" si="211"/>
        <v>1078.728370395037</v>
      </c>
      <c r="BE99" s="134">
        <f t="shared" si="212"/>
        <v>862.98269631602966</v>
      </c>
    </row>
    <row r="100" spans="1:59" s="129" customFormat="1" hidden="1">
      <c r="A100" s="88" t="s">
        <v>1276</v>
      </c>
      <c r="B100" s="88" t="s">
        <v>1702</v>
      </c>
      <c r="C100" s="88" t="s">
        <v>1317</v>
      </c>
      <c r="D100" s="88" t="s">
        <v>55</v>
      </c>
      <c r="E100" s="89" t="s">
        <v>56</v>
      </c>
      <c r="F100" s="90" t="s">
        <v>183</v>
      </c>
      <c r="G100" s="131" t="s">
        <v>151</v>
      </c>
      <c r="H100" s="131">
        <v>22</v>
      </c>
      <c r="I100" s="273" t="s">
        <v>1659</v>
      </c>
      <c r="J100" s="132" t="str">
        <f>_xlfn.XLOOKUP(I100,[1]Sheet1!$A:$A,[1]Sheet1!$B:$B,"")</f>
        <v/>
      </c>
      <c r="K100" s="90" t="s">
        <v>2556</v>
      </c>
      <c r="L100" s="90" t="s">
        <v>2575</v>
      </c>
      <c r="M100" s="131" t="s">
        <v>130</v>
      </c>
      <c r="N100" s="91" t="s">
        <v>1746</v>
      </c>
      <c r="O100" s="92">
        <v>27.6</v>
      </c>
      <c r="P100" s="88" t="s">
        <v>61</v>
      </c>
      <c r="Q100" s="92" t="s">
        <v>1587</v>
      </c>
      <c r="R100" s="92">
        <v>9</v>
      </c>
      <c r="S100" s="123"/>
      <c r="T100" s="131" t="s">
        <v>159</v>
      </c>
      <c r="U100" s="155">
        <v>0</v>
      </c>
      <c r="V100" s="207">
        <v>60</v>
      </c>
      <c r="W100" s="207">
        <v>14</v>
      </c>
      <c r="X100" s="207">
        <v>14</v>
      </c>
      <c r="Y100" s="207" t="s">
        <v>1224</v>
      </c>
      <c r="Z100" s="133">
        <f t="shared" ref="Z100" si="230">AW100/(1-(AF100+2%))</f>
        <v>900.07371428571423</v>
      </c>
      <c r="AA100" s="133">
        <f>VLOOKUP(I100,'[2]PO &amp; SC Sept 2025'!$I$14:$BK$686,55,FALSE)+(($F$3/1000)-1.5)*O100</f>
        <v>860.50927293469113</v>
      </c>
      <c r="AB100" s="124">
        <f>AX100/(1-AF100)</f>
        <v>761.93837908123612</v>
      </c>
      <c r="AC100" s="134">
        <f>VLOOKUP(I100,'[2]PO &amp; SC Sept 2025'!$I$14:$BE$686,49,FALSE)+(O100*(($F$4/1000)-1.5))</f>
        <v>739.91110726481611</v>
      </c>
      <c r="AD100" s="213">
        <v>0.09</v>
      </c>
      <c r="AE100" s="213">
        <v>0.09</v>
      </c>
      <c r="AF100" s="215">
        <v>0.22999999999999998</v>
      </c>
      <c r="AG100" s="216" t="s">
        <v>1747</v>
      </c>
      <c r="AH100" s="148">
        <f t="shared" si="208"/>
        <v>761.93837908123612</v>
      </c>
      <c r="AI100" s="149">
        <f t="shared" ref="AI100" si="231">1-(AX100/AH100)</f>
        <v>0.22999999999999998</v>
      </c>
      <c r="AJ100" s="444"/>
      <c r="AK100" s="150">
        <f t="shared" ref="AK100" si="232">AW100/(1-AD100)</f>
        <v>741.8189952904238</v>
      </c>
      <c r="AL100" s="148">
        <f t="shared" ref="AL100" si="233">AX100/(1-AE100)</f>
        <v>644.71708999181521</v>
      </c>
      <c r="AM100" s="125">
        <f t="shared" ref="AM100" si="234">1-(AK100/Z100)</f>
        <v>0.17582417582417587</v>
      </c>
      <c r="AN100" s="125">
        <f t="shared" ref="AN100" si="235">1-(AL100/AB100)</f>
        <v>0.15384615384615385</v>
      </c>
      <c r="AO100" s="140"/>
      <c r="AP100" s="17" t="s">
        <v>1585</v>
      </c>
      <c r="AQ100" s="141">
        <f>30.95*1.03</f>
        <v>31.878499999999999</v>
      </c>
      <c r="AR100" s="141">
        <f>3592.5*1.03</f>
        <v>3700.2750000000001</v>
      </c>
      <c r="AS100" s="153"/>
      <c r="AT100" s="141">
        <v>5</v>
      </c>
      <c r="AU100" s="141">
        <f>($F$2-70000)/1000*AQ100+AR100</f>
        <v>4720.3869999999997</v>
      </c>
      <c r="AV100" s="141">
        <f t="shared" si="224"/>
        <v>4725.3869999999997</v>
      </c>
      <c r="AW100" s="142">
        <f>(AT100+AU100)/$F$5</f>
        <v>675.05528571428567</v>
      </c>
      <c r="AX100" s="126">
        <f>(AW100/$F$6)+(($F$9+$G$9)/40/R100)+AW100*U100</f>
        <v>586.69255189255182</v>
      </c>
      <c r="AY100" s="130" t="s">
        <v>1748</v>
      </c>
      <c r="AZ100" s="128"/>
      <c r="BB100" s="134">
        <f t="shared" si="209"/>
        <v>2539.7945969374537</v>
      </c>
      <c r="BC100" s="134">
        <f t="shared" si="210"/>
        <v>1523.8767581624722</v>
      </c>
      <c r="BD100" s="134">
        <f t="shared" si="211"/>
        <v>1269.8972984687268</v>
      </c>
      <c r="BE100" s="134">
        <f t="shared" si="212"/>
        <v>1015.9178387749815</v>
      </c>
    </row>
    <row r="101" spans="1:59" s="129" customFormat="1" hidden="1">
      <c r="A101" s="88" t="s">
        <v>1302</v>
      </c>
      <c r="B101" s="88" t="s">
        <v>1317</v>
      </c>
      <c r="C101" s="88" t="s">
        <v>1318</v>
      </c>
      <c r="D101" s="88" t="s">
        <v>55</v>
      </c>
      <c r="E101" s="89" t="s">
        <v>56</v>
      </c>
      <c r="F101" s="90" t="s">
        <v>183</v>
      </c>
      <c r="G101" s="131" t="s">
        <v>184</v>
      </c>
      <c r="H101" s="131">
        <v>23</v>
      </c>
      <c r="I101" s="132" t="s">
        <v>185</v>
      </c>
      <c r="J101" s="132" t="str">
        <f>_xlfn.XLOOKUP(I101,[1]Sheet1!$A:$A,[1]Sheet1!$B:$B,"")</f>
        <v>U0105002</v>
      </c>
      <c r="K101" s="90" t="s">
        <v>186</v>
      </c>
      <c r="L101" s="90" t="s">
        <v>187</v>
      </c>
      <c r="M101" s="131" t="s">
        <v>125</v>
      </c>
      <c r="N101" s="91" t="s">
        <v>60</v>
      </c>
      <c r="O101" s="92">
        <v>26</v>
      </c>
      <c r="P101" s="88" t="s">
        <v>61</v>
      </c>
      <c r="Q101" s="92" t="s">
        <v>62</v>
      </c>
      <c r="R101" s="92">
        <v>4</v>
      </c>
      <c r="S101" s="123" t="e">
        <v>#N/A</v>
      </c>
      <c r="T101" s="131" t="s">
        <v>159</v>
      </c>
      <c r="U101" s="155">
        <v>0</v>
      </c>
      <c r="V101" s="207">
        <v>45</v>
      </c>
      <c r="W101" s="207">
        <v>45</v>
      </c>
      <c r="X101" s="207">
        <v>55</v>
      </c>
      <c r="Y101" s="207" t="s">
        <v>64</v>
      </c>
      <c r="Z101" s="133">
        <f t="shared" si="1"/>
        <v>811.27067669172936</v>
      </c>
      <c r="AA101" s="133">
        <f>VLOOKUP(I101,'[2]PO &amp; SC Sept 2025'!$I$14:$BK$686,55,FALSE)+(($F$3/1000)-1.5)*O101</f>
        <v>778.60429367327674</v>
      </c>
      <c r="AB101" s="124">
        <f t="shared" si="2"/>
        <v>703.65928587082442</v>
      </c>
      <c r="AC101" s="134">
        <f>VLOOKUP(I101,'[2]PO &amp; SC Sept 2025'!$I$14:$BE$686,49,FALSE)+(O101*(($F$4/1000)-1.5))</f>
        <v>688.80792801237442</v>
      </c>
      <c r="AD101" s="213">
        <v>0.09</v>
      </c>
      <c r="AE101" s="213">
        <v>0.09</v>
      </c>
      <c r="AF101" s="215">
        <v>0.22</v>
      </c>
      <c r="AG101" s="216" t="s">
        <v>9</v>
      </c>
      <c r="AH101" s="148">
        <f t="shared" si="208"/>
        <v>703.65928587082442</v>
      </c>
      <c r="AI101" s="149">
        <f t="shared" si="4"/>
        <v>0.21999999999999997</v>
      </c>
      <c r="AJ101" s="444"/>
      <c r="AK101" s="150">
        <f t="shared" si="5"/>
        <v>677.5447409733124</v>
      </c>
      <c r="AL101" s="148">
        <f t="shared" si="6"/>
        <v>603.13653074642093</v>
      </c>
      <c r="AM101" s="125">
        <f t="shared" si="7"/>
        <v>0.16483516483516492</v>
      </c>
      <c r="AN101" s="125">
        <f t="shared" si="197"/>
        <v>0.1428571428571429</v>
      </c>
      <c r="AO101" s="140"/>
      <c r="AP101" s="17" t="s">
        <v>101</v>
      </c>
      <c r="AQ101" s="141">
        <v>29.25</v>
      </c>
      <c r="AR101" s="141">
        <v>3374.96</v>
      </c>
      <c r="AS101" s="141"/>
      <c r="AT101" s="141">
        <v>5</v>
      </c>
      <c r="AU101" s="141">
        <f t="shared" ref="AU101:AU108" si="236">($F$2-70000)/1000*AQ101+AR101</f>
        <v>4310.96</v>
      </c>
      <c r="AV101" s="141">
        <f t="shared" si="0"/>
        <v>4315.96</v>
      </c>
      <c r="AW101" s="142">
        <f t="shared" ref="AW101:AW108" si="237">(AT101+AU101)/$F$5</f>
        <v>616.56571428571431</v>
      </c>
      <c r="AX101" s="126">
        <f t="shared" ref="AX101:AX108" si="238">(AW101/$F$6)+(($F$9+$G$9)/40/R101)+AW101*U101</f>
        <v>548.85424297924305</v>
      </c>
      <c r="AY101" s="127"/>
      <c r="AZ101" s="128" t="s">
        <v>63</v>
      </c>
      <c r="BB101" s="124">
        <f t="shared" si="209"/>
        <v>2345.5309529027481</v>
      </c>
      <c r="BC101" s="124">
        <f t="shared" si="210"/>
        <v>1407.3185717416488</v>
      </c>
      <c r="BD101" s="124">
        <f t="shared" si="211"/>
        <v>1172.7654764513741</v>
      </c>
      <c r="BE101" s="124">
        <f t="shared" si="212"/>
        <v>938.2123811610993</v>
      </c>
    </row>
    <row r="102" spans="1:59" s="129" customFormat="1" hidden="1">
      <c r="A102" s="88" t="s">
        <v>1302</v>
      </c>
      <c r="B102" s="88" t="s">
        <v>1317</v>
      </c>
      <c r="C102" s="88" t="s">
        <v>1318</v>
      </c>
      <c r="D102" s="88" t="s">
        <v>55</v>
      </c>
      <c r="E102" s="89" t="s">
        <v>56</v>
      </c>
      <c r="F102" s="90" t="s">
        <v>183</v>
      </c>
      <c r="G102" s="131" t="s">
        <v>151</v>
      </c>
      <c r="H102" s="131">
        <v>22</v>
      </c>
      <c r="I102" s="132" t="s">
        <v>188</v>
      </c>
      <c r="J102" s="132" t="str">
        <f>_xlfn.XLOOKUP(I102,[1]Sheet1!$A:$A,[1]Sheet1!$B:$B,"")</f>
        <v>U0105001</v>
      </c>
      <c r="K102" s="90" t="s">
        <v>189</v>
      </c>
      <c r="L102" s="90" t="s">
        <v>190</v>
      </c>
      <c r="M102" s="131" t="s">
        <v>125</v>
      </c>
      <c r="N102" s="91" t="s">
        <v>60</v>
      </c>
      <c r="O102" s="92">
        <v>27.6</v>
      </c>
      <c r="P102" s="88" t="s">
        <v>61</v>
      </c>
      <c r="Q102" s="92" t="s">
        <v>62</v>
      </c>
      <c r="R102" s="92">
        <v>4</v>
      </c>
      <c r="S102" s="123" t="e">
        <v>#N/A</v>
      </c>
      <c r="T102" s="131" t="s">
        <v>159</v>
      </c>
      <c r="U102" s="155">
        <v>0</v>
      </c>
      <c r="V102" s="207">
        <v>45</v>
      </c>
      <c r="W102" s="207">
        <v>45</v>
      </c>
      <c r="X102" s="207">
        <v>55</v>
      </c>
      <c r="Y102" s="207" t="s">
        <v>64</v>
      </c>
      <c r="Z102" s="133">
        <f t="shared" si="1"/>
        <v>862.38721804511272</v>
      </c>
      <c r="AA102" s="133">
        <f>VLOOKUP(I102,'[2]PO &amp; SC Sept 2025'!$I$14:$BK$686,55,FALSE)+(($F$3/1000)-1.5)*O102</f>
        <v>828.13171123701613</v>
      </c>
      <c r="AB102" s="124">
        <f t="shared" si="2"/>
        <v>746.22839767070536</v>
      </c>
      <c r="AC102" s="134">
        <f>VLOOKUP(I102,'[2]PO &amp; SC Sept 2025'!$I$14:$BE$686,49,FALSE)+(O102*(($F$4/1000)-1.5))</f>
        <v>730.56454367900858</v>
      </c>
      <c r="AD102" s="213">
        <v>0.09</v>
      </c>
      <c r="AE102" s="213">
        <v>0.09</v>
      </c>
      <c r="AF102" s="215">
        <v>0.22</v>
      </c>
      <c r="AG102" s="216" t="s">
        <v>9</v>
      </c>
      <c r="AH102" s="148">
        <f t="shared" si="208"/>
        <v>746.22839767070536</v>
      </c>
      <c r="AI102" s="149">
        <f t="shared" si="4"/>
        <v>0.21999999999999986</v>
      </c>
      <c r="AJ102" s="444"/>
      <c r="AK102" s="150">
        <f t="shared" si="5"/>
        <v>720.23547880690739</v>
      </c>
      <c r="AL102" s="148">
        <f t="shared" si="6"/>
        <v>639.62434086060466</v>
      </c>
      <c r="AM102" s="125">
        <f t="shared" si="7"/>
        <v>0.1648351648351648</v>
      </c>
      <c r="AN102" s="125">
        <f t="shared" si="197"/>
        <v>0.14285714285714279</v>
      </c>
      <c r="AO102" s="140"/>
      <c r="AP102" s="17" t="s">
        <v>101</v>
      </c>
      <c r="AQ102" s="141">
        <v>30.95</v>
      </c>
      <c r="AR102" s="141">
        <v>3592.5</v>
      </c>
      <c r="AS102" s="141"/>
      <c r="AT102" s="141">
        <v>5</v>
      </c>
      <c r="AU102" s="141">
        <f t="shared" si="236"/>
        <v>4582.8999999999996</v>
      </c>
      <c r="AV102" s="141">
        <f t="shared" si="0"/>
        <v>4587.8999999999996</v>
      </c>
      <c r="AW102" s="142">
        <f t="shared" si="237"/>
        <v>655.41428571428571</v>
      </c>
      <c r="AX102" s="126">
        <f t="shared" si="238"/>
        <v>582.05815018315025</v>
      </c>
      <c r="AY102" s="127"/>
      <c r="AZ102" s="128" t="s">
        <v>63</v>
      </c>
      <c r="BB102" s="124">
        <f t="shared" si="209"/>
        <v>2487.4279922356845</v>
      </c>
      <c r="BC102" s="124">
        <f t="shared" si="210"/>
        <v>1492.4567953414107</v>
      </c>
      <c r="BD102" s="124">
        <f t="shared" si="211"/>
        <v>1243.7139961178423</v>
      </c>
      <c r="BE102" s="124">
        <f t="shared" si="212"/>
        <v>994.97119689427382</v>
      </c>
    </row>
    <row r="103" spans="1:59" s="129" customFormat="1" hidden="1">
      <c r="A103" s="88" t="s">
        <v>1276</v>
      </c>
      <c r="B103" s="88" t="s">
        <v>1702</v>
      </c>
      <c r="C103" s="88" t="s">
        <v>1318</v>
      </c>
      <c r="D103" s="88" t="s">
        <v>55</v>
      </c>
      <c r="E103" s="89" t="s">
        <v>56</v>
      </c>
      <c r="F103" s="90" t="s">
        <v>191</v>
      </c>
      <c r="G103" s="131" t="s">
        <v>151</v>
      </c>
      <c r="H103" s="131">
        <v>22</v>
      </c>
      <c r="I103" s="273" t="s">
        <v>2561</v>
      </c>
      <c r="J103" s="132" t="str">
        <f>_xlfn.XLOOKUP(I103,[1]Sheet1!$A:$A,[1]Sheet1!$B:$B,"")</f>
        <v>U0106001</v>
      </c>
      <c r="K103" s="90" t="s">
        <v>1799</v>
      </c>
      <c r="L103" s="90" t="s">
        <v>1801</v>
      </c>
      <c r="M103" s="131" t="s">
        <v>1778</v>
      </c>
      <c r="N103" s="91" t="s">
        <v>60</v>
      </c>
      <c r="O103" s="92">
        <v>27.6</v>
      </c>
      <c r="P103" s="88" t="s">
        <v>61</v>
      </c>
      <c r="Q103" s="92" t="s">
        <v>62</v>
      </c>
      <c r="R103" s="92">
        <v>6</v>
      </c>
      <c r="S103" s="123"/>
      <c r="T103" s="131" t="s">
        <v>159</v>
      </c>
      <c r="U103" s="155">
        <v>0</v>
      </c>
      <c r="V103" s="207">
        <v>45</v>
      </c>
      <c r="W103" s="207">
        <v>45</v>
      </c>
      <c r="X103" s="207">
        <v>55</v>
      </c>
      <c r="Y103" s="207" t="s">
        <v>64</v>
      </c>
      <c r="Z103" s="133">
        <f t="shared" ref="Z103" si="239">AW103/(1-(AF103+2%))</f>
        <v>1045.9599034749035</v>
      </c>
      <c r="AA103" s="133">
        <f>VLOOKUP(I103,'[2]PO &amp; SC Sept 2025'!$I$14:$BK$686,55,FALSE)+(($F$3/1000)-1.5)*O103</f>
        <v>1005.4633823664096</v>
      </c>
      <c r="AB103" s="124">
        <f t="shared" ref="AB103" si="240">AX103/(1-AF103)</f>
        <v>889.64555619818805</v>
      </c>
      <c r="AC103" s="134">
        <f>VLOOKUP(I103,'[2]PO &amp; SC Sept 2025'!$I$14:$BE$686,49,FALSE)+(O103*(($F$4/1000)-1.5))</f>
        <v>869.96423396422665</v>
      </c>
      <c r="AD103" s="213">
        <v>0.09</v>
      </c>
      <c r="AE103" s="213">
        <v>0.09</v>
      </c>
      <c r="AF103" s="215">
        <v>0.24</v>
      </c>
      <c r="AG103" s="216" t="s">
        <v>9</v>
      </c>
      <c r="AH103" s="148">
        <f t="shared" si="208"/>
        <v>889.64555619818805</v>
      </c>
      <c r="AI103" s="149">
        <f t="shared" ref="AI103" si="241">1-(AX103/AH103)</f>
        <v>0.24</v>
      </c>
      <c r="AJ103" s="444"/>
      <c r="AK103" s="150">
        <f t="shared" ref="AK103" si="242">AW103/(1-AD103)</f>
        <v>850.56080062794354</v>
      </c>
      <c r="AL103" s="148">
        <f t="shared" ref="AL103" si="243">AX103/(1-AE103)</f>
        <v>743.00068429738781</v>
      </c>
      <c r="AM103" s="125">
        <f t="shared" ref="AM103" si="244">1-(AK103/Z103)</f>
        <v>0.18681318681318682</v>
      </c>
      <c r="AN103" s="125">
        <f t="shared" ref="AN103" si="245">1-(AL103/AB103)</f>
        <v>0.1648351648351648</v>
      </c>
      <c r="AO103" s="140"/>
      <c r="AP103" s="17" t="s">
        <v>101</v>
      </c>
      <c r="AQ103" s="141">
        <f>AQ104*1.03</f>
        <v>31.878499999999999</v>
      </c>
      <c r="AR103" s="141">
        <f>AR104*1.03</f>
        <v>4392.9603000000006</v>
      </c>
      <c r="AS103" s="141"/>
      <c r="AT103" s="141">
        <v>5</v>
      </c>
      <c r="AU103" s="141">
        <f t="shared" si="236"/>
        <v>5413.0723000000007</v>
      </c>
      <c r="AV103" s="141">
        <f t="shared" ref="AV103" si="246">AT103+AU103</f>
        <v>5418.0723000000007</v>
      </c>
      <c r="AW103" s="142">
        <f t="shared" si="237"/>
        <v>774.01032857142866</v>
      </c>
      <c r="AX103" s="126">
        <f t="shared" si="238"/>
        <v>676.1306227106229</v>
      </c>
      <c r="AY103" s="130" t="s">
        <v>2218</v>
      </c>
      <c r="AZ103" s="128"/>
      <c r="BB103" s="134">
        <f t="shared" si="209"/>
        <v>2965.4851873272937</v>
      </c>
      <c r="BC103" s="134">
        <f t="shared" si="210"/>
        <v>1779.2911123963761</v>
      </c>
      <c r="BD103" s="134">
        <f t="shared" si="211"/>
        <v>1482.7425936636469</v>
      </c>
      <c r="BE103" s="134">
        <f t="shared" si="212"/>
        <v>1186.1940749309176</v>
      </c>
    </row>
    <row r="104" spans="1:59" s="129" customFormat="1" hidden="1">
      <c r="A104" s="88" t="s">
        <v>1302</v>
      </c>
      <c r="B104" s="88" t="s">
        <v>1702</v>
      </c>
      <c r="C104" s="88" t="s">
        <v>1317</v>
      </c>
      <c r="D104" s="88" t="s">
        <v>55</v>
      </c>
      <c r="E104" s="89" t="s">
        <v>56</v>
      </c>
      <c r="F104" s="90" t="s">
        <v>191</v>
      </c>
      <c r="G104" s="131" t="s">
        <v>151</v>
      </c>
      <c r="H104" s="131">
        <v>22</v>
      </c>
      <c r="I104" s="132" t="s">
        <v>1739</v>
      </c>
      <c r="J104" s="132" t="str">
        <f>_xlfn.XLOOKUP(I104,[1]Sheet1!$A:$A,[1]Sheet1!$B:$B,"")</f>
        <v/>
      </c>
      <c r="K104" s="90" t="s">
        <v>1800</v>
      </c>
      <c r="L104" s="90" t="s">
        <v>2576</v>
      </c>
      <c r="M104" s="131" t="s">
        <v>125</v>
      </c>
      <c r="N104" s="91" t="s">
        <v>60</v>
      </c>
      <c r="O104" s="92">
        <v>27.6</v>
      </c>
      <c r="P104" s="88" t="s">
        <v>61</v>
      </c>
      <c r="Q104" s="92" t="s">
        <v>62</v>
      </c>
      <c r="R104" s="92">
        <v>6</v>
      </c>
      <c r="S104" s="123"/>
      <c r="T104" s="131" t="s">
        <v>159</v>
      </c>
      <c r="U104" s="155">
        <v>0</v>
      </c>
      <c r="V104" s="207">
        <v>45</v>
      </c>
      <c r="W104" s="207">
        <v>45</v>
      </c>
      <c r="X104" s="207">
        <v>55</v>
      </c>
      <c r="Y104" s="207" t="s">
        <v>64</v>
      </c>
      <c r="Z104" s="133">
        <f t="shared" si="1"/>
        <v>1015.523166023166</v>
      </c>
      <c r="AA104" s="133">
        <f>VLOOKUP(I104,'[2]PO &amp; SC Sept 2025'!$I$14:$BK$686,55,FALSE)+(($F$3/1000)-1.5)*O104</f>
        <v>978.83539913073878</v>
      </c>
      <c r="AB104" s="124">
        <f t="shared" si="2"/>
        <v>864.31583767110101</v>
      </c>
      <c r="AC104" s="134">
        <f>VLOOKUP(I104,'[2]PO &amp; SC Sept 2025'!$I$14:$BE$686,49,FALSE)+(O104*(($F$4/1000)-1.5))</f>
        <v>847.42692641403573</v>
      </c>
      <c r="AD104" s="213">
        <v>0.09</v>
      </c>
      <c r="AE104" s="213">
        <v>0.09</v>
      </c>
      <c r="AF104" s="215">
        <v>0.24</v>
      </c>
      <c r="AG104" s="216" t="s">
        <v>9</v>
      </c>
      <c r="AH104" s="148">
        <f t="shared" si="208"/>
        <v>864.31583767110101</v>
      </c>
      <c r="AI104" s="149">
        <f t="shared" si="4"/>
        <v>0.24</v>
      </c>
      <c r="AJ104" s="444"/>
      <c r="AK104" s="150">
        <f t="shared" si="5"/>
        <v>825.81004709576143</v>
      </c>
      <c r="AL104" s="148">
        <f t="shared" si="6"/>
        <v>721.84619409894151</v>
      </c>
      <c r="AM104" s="125">
        <f t="shared" si="7"/>
        <v>0.18681318681318682</v>
      </c>
      <c r="AN104" s="125">
        <f t="shared" si="197"/>
        <v>0.1648351648351648</v>
      </c>
      <c r="AO104" s="140"/>
      <c r="AP104" s="17" t="s">
        <v>101</v>
      </c>
      <c r="AQ104" s="141">
        <v>30.95</v>
      </c>
      <c r="AR104" s="141">
        <v>4265.01</v>
      </c>
      <c r="AS104" s="141"/>
      <c r="AT104" s="141">
        <v>5</v>
      </c>
      <c r="AU104" s="141">
        <f t="shared" si="236"/>
        <v>5255.41</v>
      </c>
      <c r="AV104" s="141">
        <f t="shared" si="0"/>
        <v>5260.41</v>
      </c>
      <c r="AW104" s="142">
        <f t="shared" si="237"/>
        <v>751.48714285714289</v>
      </c>
      <c r="AX104" s="126">
        <f t="shared" si="238"/>
        <v>656.88003663003678</v>
      </c>
      <c r="AY104" s="130" t="s">
        <v>2218</v>
      </c>
      <c r="AZ104" s="128" t="s">
        <v>63</v>
      </c>
      <c r="BB104" s="134">
        <f t="shared" si="209"/>
        <v>2881.0527922370034</v>
      </c>
      <c r="BC104" s="134">
        <f t="shared" si="210"/>
        <v>1728.631675342202</v>
      </c>
      <c r="BD104" s="134">
        <f t="shared" si="211"/>
        <v>1440.5263961185017</v>
      </c>
      <c r="BE104" s="134">
        <f t="shared" si="212"/>
        <v>1152.4211168948013</v>
      </c>
    </row>
    <row r="105" spans="1:59" s="129" customFormat="1" hidden="1">
      <c r="A105" s="88" t="s">
        <v>1276</v>
      </c>
      <c r="B105" s="88" t="s">
        <v>1749</v>
      </c>
      <c r="C105" s="88" t="s">
        <v>1318</v>
      </c>
      <c r="D105" s="88" t="s">
        <v>1750</v>
      </c>
      <c r="E105" s="89" t="s">
        <v>1751</v>
      </c>
      <c r="F105" s="90"/>
      <c r="G105" s="131"/>
      <c r="H105" s="131">
        <v>26</v>
      </c>
      <c r="I105" s="132" t="s">
        <v>1754</v>
      </c>
      <c r="J105" s="132" t="str">
        <f>_xlfn.XLOOKUP(I105,[1]Sheet1!$A:$A,[1]Sheet1!$B:$B,"")</f>
        <v/>
      </c>
      <c r="K105" s="90" t="s">
        <v>1752</v>
      </c>
      <c r="L105" s="90" t="s">
        <v>2610</v>
      </c>
      <c r="M105" s="131"/>
      <c r="N105" s="91" t="s">
        <v>1746</v>
      </c>
      <c r="O105" s="92">
        <v>9.5299999999999994</v>
      </c>
      <c r="P105" s="88" t="s">
        <v>1756</v>
      </c>
      <c r="Q105" s="92" t="s">
        <v>62</v>
      </c>
      <c r="R105" s="92">
        <v>12</v>
      </c>
      <c r="S105" s="123"/>
      <c r="T105" s="131" t="s">
        <v>159</v>
      </c>
      <c r="U105" s="155">
        <v>0</v>
      </c>
      <c r="V105" s="207">
        <v>45</v>
      </c>
      <c r="W105" s="207">
        <v>45</v>
      </c>
      <c r="X105" s="207">
        <v>55</v>
      </c>
      <c r="Y105" s="207" t="s">
        <v>1706</v>
      </c>
      <c r="Z105" s="133"/>
      <c r="AA105" s="133"/>
      <c r="AB105" s="124"/>
      <c r="AC105" s="124"/>
      <c r="AD105" s="213"/>
      <c r="AE105" s="213"/>
      <c r="AF105" s="215"/>
      <c r="AG105" s="216" t="s">
        <v>1747</v>
      </c>
      <c r="AH105" s="148">
        <f t="shared" si="208"/>
        <v>0</v>
      </c>
      <c r="AI105" s="149"/>
      <c r="AJ105" s="444"/>
      <c r="AK105" s="150"/>
      <c r="AL105" s="148"/>
      <c r="AM105" s="125"/>
      <c r="AN105" s="125"/>
      <c r="AO105" s="140"/>
      <c r="AP105" s="17" t="s">
        <v>65</v>
      </c>
      <c r="AQ105" s="141">
        <f>0.59*2*7.3</f>
        <v>8.613999999999999</v>
      </c>
      <c r="AR105" s="141">
        <f>239.92*7.3</f>
        <v>1751.4159999999999</v>
      </c>
      <c r="AS105" s="141"/>
      <c r="AT105" s="141">
        <v>5</v>
      </c>
      <c r="AU105" s="141">
        <f t="shared" ref="AU105:AU106" si="247">($F$2-70000)/1000*AQ105+AR105</f>
        <v>2027.0639999999999</v>
      </c>
      <c r="AV105" s="141">
        <f t="shared" ref="AV105:AV106" si="248">AT105+AU105</f>
        <v>2032.0639999999999</v>
      </c>
      <c r="AW105" s="142">
        <f t="shared" ref="AW105:AW106" si="249">(AT105+AU105)/$F$5</f>
        <v>290.2948571428571</v>
      </c>
      <c r="AX105" s="126">
        <f t="shared" ref="AX105:AX106" si="250">(AW105/$F$6)+(($F$9+$G$9)/40/R105)+AW105*U105</f>
        <v>255.40692918192914</v>
      </c>
      <c r="AY105" s="130"/>
      <c r="AZ105" s="128"/>
      <c r="BB105" s="134">
        <f t="shared" si="209"/>
        <v>0</v>
      </c>
      <c r="BC105" s="134">
        <f t="shared" si="210"/>
        <v>0</v>
      </c>
      <c r="BD105" s="134">
        <f t="shared" si="211"/>
        <v>0</v>
      </c>
      <c r="BE105" s="134">
        <f t="shared" si="212"/>
        <v>0</v>
      </c>
    </row>
    <row r="106" spans="1:59" s="129" customFormat="1" hidden="1">
      <c r="A106" s="88" t="s">
        <v>1276</v>
      </c>
      <c r="B106" s="88" t="s">
        <v>1749</v>
      </c>
      <c r="C106" s="88" t="s">
        <v>1318</v>
      </c>
      <c r="D106" s="88" t="s">
        <v>1750</v>
      </c>
      <c r="E106" s="89" t="s">
        <v>1751</v>
      </c>
      <c r="F106" s="90"/>
      <c r="G106" s="131"/>
      <c r="H106" s="131">
        <v>22</v>
      </c>
      <c r="I106" s="132" t="s">
        <v>1755</v>
      </c>
      <c r="J106" s="132" t="str">
        <f>_xlfn.XLOOKUP(I106,[1]Sheet1!$A:$A,[1]Sheet1!$B:$B,"")</f>
        <v/>
      </c>
      <c r="K106" s="90" t="s">
        <v>1753</v>
      </c>
      <c r="L106" s="90" t="s">
        <v>2611</v>
      </c>
      <c r="M106" s="131"/>
      <c r="N106" s="91" t="s">
        <v>1746</v>
      </c>
      <c r="O106" s="92">
        <v>16.46</v>
      </c>
      <c r="P106" s="88" t="s">
        <v>1756</v>
      </c>
      <c r="Q106" s="92" t="s">
        <v>3145</v>
      </c>
      <c r="R106" s="92">
        <v>12</v>
      </c>
      <c r="S106" s="123"/>
      <c r="T106" s="131" t="s">
        <v>159</v>
      </c>
      <c r="U106" s="155">
        <v>0</v>
      </c>
      <c r="V106" s="207">
        <v>45</v>
      </c>
      <c r="W106" s="207">
        <v>45</v>
      </c>
      <c r="X106" s="207">
        <v>55</v>
      </c>
      <c r="Y106" s="207" t="s">
        <v>1706</v>
      </c>
      <c r="Z106" s="133"/>
      <c r="AA106" s="133"/>
      <c r="AB106" s="124"/>
      <c r="AC106" s="124"/>
      <c r="AD106" s="213"/>
      <c r="AE106" s="213"/>
      <c r="AF106" s="215"/>
      <c r="AG106" s="216" t="s">
        <v>1747</v>
      </c>
      <c r="AH106" s="148">
        <f t="shared" si="208"/>
        <v>0</v>
      </c>
      <c r="AI106" s="149"/>
      <c r="AJ106" s="444"/>
      <c r="AK106" s="150"/>
      <c r="AL106" s="148"/>
      <c r="AM106" s="125"/>
      <c r="AN106" s="125"/>
      <c r="AO106" s="140"/>
      <c r="AP106" s="17" t="s">
        <v>65</v>
      </c>
      <c r="AQ106" s="141">
        <f>1.05*2*7.3</f>
        <v>15.33</v>
      </c>
      <c r="AR106" s="141">
        <f>266.4*7.3</f>
        <v>1944.7199999999998</v>
      </c>
      <c r="AS106" s="141"/>
      <c r="AT106" s="141">
        <v>5</v>
      </c>
      <c r="AU106" s="141">
        <f t="shared" si="247"/>
        <v>2435.2799999999997</v>
      </c>
      <c r="AV106" s="141">
        <f t="shared" si="248"/>
        <v>2440.2799999999997</v>
      </c>
      <c r="AW106" s="142">
        <f t="shared" si="249"/>
        <v>348.61142857142852</v>
      </c>
      <c r="AX106" s="126">
        <f t="shared" si="250"/>
        <v>305.25015262515262</v>
      </c>
      <c r="AY106" s="130"/>
      <c r="AZ106" s="128"/>
      <c r="BB106" s="134">
        <f t="shared" si="209"/>
        <v>0</v>
      </c>
      <c r="BC106" s="134">
        <f t="shared" si="210"/>
        <v>0</v>
      </c>
      <c r="BD106" s="134">
        <f t="shared" si="211"/>
        <v>0</v>
      </c>
      <c r="BE106" s="134">
        <f t="shared" si="212"/>
        <v>0</v>
      </c>
    </row>
    <row r="107" spans="1:59" s="129" customFormat="1" hidden="1">
      <c r="A107" s="88" t="s">
        <v>1213</v>
      </c>
      <c r="B107" s="88" t="s">
        <v>1318</v>
      </c>
      <c r="C107" s="88" t="s">
        <v>1317</v>
      </c>
      <c r="D107" s="88" t="s">
        <v>55</v>
      </c>
      <c r="E107" s="89" t="s">
        <v>56</v>
      </c>
      <c r="F107" s="90" t="s">
        <v>192</v>
      </c>
      <c r="G107" s="131" t="s">
        <v>132</v>
      </c>
      <c r="H107" s="131" t="s">
        <v>193</v>
      </c>
      <c r="I107" s="132" t="s">
        <v>1777</v>
      </c>
      <c r="J107" s="132" t="str">
        <f>_xlfn.XLOOKUP(I107,[1]Sheet1!$A:$A,[1]Sheet1!$B:$B,"")</f>
        <v>O0101002</v>
      </c>
      <c r="K107" s="90" t="s">
        <v>2565</v>
      </c>
      <c r="L107" s="90" t="s">
        <v>2577</v>
      </c>
      <c r="M107" s="131" t="s">
        <v>69</v>
      </c>
      <c r="N107" s="91" t="s">
        <v>60</v>
      </c>
      <c r="O107" s="92">
        <v>17.8</v>
      </c>
      <c r="P107" s="88" t="s">
        <v>61</v>
      </c>
      <c r="Q107" s="92" t="s">
        <v>194</v>
      </c>
      <c r="R107" s="92">
        <v>8</v>
      </c>
      <c r="S107" s="123" t="s">
        <v>195</v>
      </c>
      <c r="T107" s="131" t="s">
        <v>159</v>
      </c>
      <c r="U107" s="155">
        <v>0</v>
      </c>
      <c r="V107" s="207">
        <v>45</v>
      </c>
      <c r="W107" s="207">
        <v>45</v>
      </c>
      <c r="X107" s="207">
        <v>55</v>
      </c>
      <c r="Y107" s="207" t="s">
        <v>64</v>
      </c>
      <c r="Z107" s="133">
        <f t="shared" si="1"/>
        <v>639.51356238697997</v>
      </c>
      <c r="AA107" s="133">
        <f>VLOOKUP(I107,'[2]PO &amp; SC Sept 2025'!$I$14:$BK$686,55,FALSE)+(($F$3/1000)-1.5)*O107</f>
        <v>619.64258940219361</v>
      </c>
      <c r="AB107" s="124">
        <f t="shared" si="2"/>
        <v>546.59975655346022</v>
      </c>
      <c r="AC107" s="134">
        <f>VLOOKUP(I107,'[2]PO &amp; SC Sept 2025'!$I$14:$BE$686,49,FALSE)+(O107*(($F$4/1000)-1.5))</f>
        <v>538.78804101490334</v>
      </c>
      <c r="AD107" s="213">
        <v>0.09</v>
      </c>
      <c r="AE107" s="213">
        <v>0.09</v>
      </c>
      <c r="AF107" s="215">
        <v>0.19</v>
      </c>
      <c r="AG107" s="216" t="s">
        <v>9</v>
      </c>
      <c r="AH107" s="148">
        <f t="shared" si="208"/>
        <v>546.59975655346022</v>
      </c>
      <c r="AI107" s="149">
        <f t="shared" si="4"/>
        <v>0.18999999999999995</v>
      </c>
      <c r="AJ107" s="444"/>
      <c r="AK107" s="150">
        <f t="shared" si="5"/>
        <v>555.18210361067497</v>
      </c>
      <c r="AL107" s="148">
        <f t="shared" si="6"/>
        <v>486.53384923989319</v>
      </c>
      <c r="AM107" s="125">
        <f t="shared" si="7"/>
        <v>0.13186813186813173</v>
      </c>
      <c r="AN107" s="125">
        <f t="shared" si="197"/>
        <v>0.10989010989010983</v>
      </c>
      <c r="AP107" s="17" t="s">
        <v>81</v>
      </c>
      <c r="AQ107" s="141">
        <v>20.22</v>
      </c>
      <c r="AR107" s="141">
        <v>2889.47</v>
      </c>
      <c r="AS107" s="141"/>
      <c r="AT107" s="141">
        <v>0</v>
      </c>
      <c r="AU107" s="141">
        <f t="shared" si="236"/>
        <v>3536.5099999999998</v>
      </c>
      <c r="AV107" s="141">
        <f t="shared" si="0"/>
        <v>3536.5099999999998</v>
      </c>
      <c r="AW107" s="142">
        <f t="shared" si="237"/>
        <v>505.21571428571423</v>
      </c>
      <c r="AX107" s="126">
        <f t="shared" si="238"/>
        <v>442.74580280830281</v>
      </c>
      <c r="AY107" s="130" t="s">
        <v>196</v>
      </c>
      <c r="AZ107" s="128" t="s">
        <v>63</v>
      </c>
      <c r="BB107" s="124">
        <f t="shared" si="209"/>
        <v>1821.9991885115342</v>
      </c>
      <c r="BC107" s="124">
        <f t="shared" si="210"/>
        <v>1093.1995131069204</v>
      </c>
      <c r="BD107" s="124">
        <f t="shared" si="211"/>
        <v>910.99959425576708</v>
      </c>
      <c r="BE107" s="124">
        <f t="shared" si="212"/>
        <v>728.79967540461371</v>
      </c>
    </row>
    <row r="108" spans="1:59" s="129" customFormat="1" hidden="1">
      <c r="A108" s="88" t="s">
        <v>1213</v>
      </c>
      <c r="B108" s="88" t="s">
        <v>1318</v>
      </c>
      <c r="C108" s="88" t="s">
        <v>1317</v>
      </c>
      <c r="D108" s="88" t="s">
        <v>55</v>
      </c>
      <c r="E108" s="89" t="s">
        <v>56</v>
      </c>
      <c r="F108" s="90" t="s">
        <v>192</v>
      </c>
      <c r="G108" s="131" t="s">
        <v>132</v>
      </c>
      <c r="H108" s="131" t="s">
        <v>193</v>
      </c>
      <c r="I108" s="132" t="s">
        <v>1217</v>
      </c>
      <c r="J108" s="132" t="str">
        <f>_xlfn.XLOOKUP(I108,[1]Sheet1!$A:$A,[1]Sheet1!$B:$B,"")</f>
        <v>O0101001</v>
      </c>
      <c r="K108" s="90" t="s">
        <v>1279</v>
      </c>
      <c r="L108" s="90" t="s">
        <v>2578</v>
      </c>
      <c r="M108" s="131" t="s">
        <v>69</v>
      </c>
      <c r="N108" s="91" t="s">
        <v>60</v>
      </c>
      <c r="O108" s="92">
        <v>17.8</v>
      </c>
      <c r="P108" s="88" t="s">
        <v>197</v>
      </c>
      <c r="Q108" s="92" t="s">
        <v>194</v>
      </c>
      <c r="R108" s="92">
        <v>8</v>
      </c>
      <c r="S108" s="123" t="s">
        <v>198</v>
      </c>
      <c r="T108" s="131" t="s">
        <v>159</v>
      </c>
      <c r="U108" s="155">
        <v>0</v>
      </c>
      <c r="V108" s="207">
        <v>45</v>
      </c>
      <c r="W108" s="207">
        <v>45</v>
      </c>
      <c r="X108" s="207">
        <v>55</v>
      </c>
      <c r="Y108" s="207" t="s">
        <v>64</v>
      </c>
      <c r="Z108" s="133">
        <f t="shared" si="1"/>
        <v>639.51356238697997</v>
      </c>
      <c r="AA108" s="133">
        <f>VLOOKUP(I108,'[2]PO &amp; SC Sept 2025'!$I$14:$BK$686,55,FALSE)+(($F$3/1000)-1.5)*O108</f>
        <v>619.64258940219361</v>
      </c>
      <c r="AB108" s="124">
        <f t="shared" si="2"/>
        <v>546.59975655346022</v>
      </c>
      <c r="AC108" s="134">
        <f>VLOOKUP(I108,'[2]PO &amp; SC Sept 2025'!$I$14:$BE$686,49,FALSE)+(O108*(($F$4/1000)-1.5))</f>
        <v>538.78804101490334</v>
      </c>
      <c r="AD108" s="213">
        <v>0.09</v>
      </c>
      <c r="AE108" s="213">
        <v>0.09</v>
      </c>
      <c r="AF108" s="215">
        <v>0.19</v>
      </c>
      <c r="AG108" s="216" t="s">
        <v>9</v>
      </c>
      <c r="AH108" s="148">
        <f t="shared" si="208"/>
        <v>546.59975655346022</v>
      </c>
      <c r="AI108" s="149">
        <f t="shared" si="4"/>
        <v>0.18999999999999995</v>
      </c>
      <c r="AJ108" s="444"/>
      <c r="AK108" s="150">
        <f t="shared" si="5"/>
        <v>555.18210361067497</v>
      </c>
      <c r="AL108" s="148">
        <f t="shared" si="6"/>
        <v>486.53384923989319</v>
      </c>
      <c r="AM108" s="125">
        <f>1-(AK108/Z108)</f>
        <v>0.13186813186813173</v>
      </c>
      <c r="AN108" s="125">
        <f t="shared" si="197"/>
        <v>0.10989010989010983</v>
      </c>
      <c r="AP108" s="17" t="s">
        <v>81</v>
      </c>
      <c r="AQ108" s="141">
        <v>20.22</v>
      </c>
      <c r="AR108" s="141">
        <v>2889.47</v>
      </c>
      <c r="AS108" s="141"/>
      <c r="AT108" s="141">
        <v>0</v>
      </c>
      <c r="AU108" s="141">
        <f t="shared" si="236"/>
        <v>3536.5099999999998</v>
      </c>
      <c r="AV108" s="141">
        <f t="shared" si="0"/>
        <v>3536.5099999999998</v>
      </c>
      <c r="AW108" s="142">
        <f t="shared" si="237"/>
        <v>505.21571428571423</v>
      </c>
      <c r="AX108" s="126">
        <f t="shared" si="238"/>
        <v>442.74580280830281</v>
      </c>
      <c r="AY108" s="130" t="s">
        <v>196</v>
      </c>
      <c r="AZ108" s="128" t="s">
        <v>63</v>
      </c>
      <c r="BB108" s="124">
        <f t="shared" si="209"/>
        <v>1821.9991885115342</v>
      </c>
      <c r="BC108" s="124">
        <f t="shared" si="210"/>
        <v>1093.1995131069204</v>
      </c>
      <c r="BD108" s="124">
        <f t="shared" si="211"/>
        <v>910.99959425576708</v>
      </c>
      <c r="BE108" s="124">
        <f t="shared" si="212"/>
        <v>728.79967540461371</v>
      </c>
    </row>
    <row r="109" spans="1:59" s="129" customFormat="1" hidden="1">
      <c r="A109" s="88" t="s">
        <v>1213</v>
      </c>
      <c r="B109" s="88" t="s">
        <v>1317</v>
      </c>
      <c r="C109" s="88" t="s">
        <v>1317</v>
      </c>
      <c r="D109" s="88" t="s">
        <v>55</v>
      </c>
      <c r="E109" s="89" t="s">
        <v>56</v>
      </c>
      <c r="F109" s="90" t="s">
        <v>192</v>
      </c>
      <c r="G109" s="131" t="s">
        <v>132</v>
      </c>
      <c r="H109" s="131" t="s">
        <v>193</v>
      </c>
      <c r="I109" s="132" t="s">
        <v>1216</v>
      </c>
      <c r="J109" s="132" t="str">
        <f>_xlfn.XLOOKUP(I109,[1]Sheet1!$A:$A,[1]Sheet1!$B:$B,"")</f>
        <v>O0101002</v>
      </c>
      <c r="K109" s="90" t="s">
        <v>1278</v>
      </c>
      <c r="L109" s="90" t="s">
        <v>2579</v>
      </c>
      <c r="M109" s="131" t="s">
        <v>69</v>
      </c>
      <c r="N109" s="91" t="s">
        <v>1223</v>
      </c>
      <c r="O109" s="92">
        <v>23</v>
      </c>
      <c r="P109" s="88" t="s">
        <v>61</v>
      </c>
      <c r="Q109" s="92" t="s">
        <v>194</v>
      </c>
      <c r="R109" s="92">
        <v>6</v>
      </c>
      <c r="S109" s="123" t="s">
        <v>195</v>
      </c>
      <c r="T109" s="131" t="s">
        <v>159</v>
      </c>
      <c r="U109" s="155">
        <v>0</v>
      </c>
      <c r="V109" s="207">
        <v>60</v>
      </c>
      <c r="W109" s="207">
        <v>14</v>
      </c>
      <c r="X109" s="207">
        <v>14</v>
      </c>
      <c r="Y109" s="207" t="s">
        <v>1224</v>
      </c>
      <c r="Z109" s="133">
        <f t="shared" ref="Z109:Z110" si="251">(AW109/(1-(AF109+2%)))*$F$6</f>
        <v>721.17911392405074</v>
      </c>
      <c r="AA109" s="133">
        <f>VLOOKUP(I109,'[2]PO &amp; SC Sept 2025'!$I$14:$BK$686,55,FALSE)+(($F$3/1000)-1.5)*O109</f>
        <v>679.67918940219351</v>
      </c>
      <c r="AB109" s="124">
        <f t="shared" ref="AB109:AB110" si="252">AX109/(1-AF109)</f>
        <v>614.36266751081564</v>
      </c>
      <c r="AC109" s="134">
        <f>VLOOKUP(I109,'[2]PO &amp; SC Sept 2025'!$I$14:$BE$686,49,FALSE)+(O109*(($F$4/1000)-1.5))</f>
        <v>588.96804101490329</v>
      </c>
      <c r="AD109" s="213">
        <f t="shared" ref="AD109:AD110" si="253">AE109</f>
        <v>7.0000000000000007E-2</v>
      </c>
      <c r="AE109" s="213">
        <v>7.0000000000000007E-2</v>
      </c>
      <c r="AF109" s="215">
        <v>0.19</v>
      </c>
      <c r="AG109" s="215" t="s">
        <v>9</v>
      </c>
      <c r="AH109" s="148">
        <f t="shared" si="208"/>
        <v>614.36266751081564</v>
      </c>
      <c r="AI109" s="135">
        <f t="shared" ref="AI109:AI110" si="254">1-(AX109/AH109)</f>
        <v>0.18999999999999995</v>
      </c>
      <c r="AJ109" s="444"/>
      <c r="AK109" s="150">
        <f t="shared" ref="AK109:AK110" si="255">AW109/(1-AD109)*$F$6</f>
        <v>612.61451612903238</v>
      </c>
      <c r="AL109" s="148">
        <f t="shared" si="6"/>
        <v>535.09006525135567</v>
      </c>
      <c r="AM109" s="139">
        <f t="shared" ref="AM109:AM110" si="256">1-(AK109/Z109)</f>
        <v>0.15053763440860213</v>
      </c>
      <c r="AN109" s="139">
        <f t="shared" ref="AN109:AN110" si="257">1-(AL109/AB109)</f>
        <v>0.1290322580645159</v>
      </c>
      <c r="AP109" s="17" t="s">
        <v>1220</v>
      </c>
      <c r="AQ109" s="141"/>
      <c r="AR109" s="141"/>
      <c r="AS109" s="326">
        <v>265</v>
      </c>
      <c r="AT109" s="141"/>
      <c r="AU109" s="141"/>
      <c r="AV109" s="141"/>
      <c r="AW109" s="154">
        <f t="shared" ref="AW109:AW110" si="258">AS109+($F$4-1500)/1000*O109</f>
        <v>486.95000000000005</v>
      </c>
      <c r="AX109" s="126">
        <f>(AS109+($F$4-1500)/1000*O109)+(($F$10+$G$10)/40/R109/$F$6)</f>
        <v>497.63376068376073</v>
      </c>
      <c r="AY109" s="130" t="s">
        <v>196</v>
      </c>
      <c r="AZ109" s="128" t="s">
        <v>63</v>
      </c>
      <c r="BB109" s="124">
        <f t="shared" si="209"/>
        <v>2047.8755583693855</v>
      </c>
      <c r="BC109" s="124">
        <f t="shared" si="210"/>
        <v>1228.7253350216313</v>
      </c>
      <c r="BD109" s="124">
        <f t="shared" si="211"/>
        <v>1023.9377791846928</v>
      </c>
      <c r="BE109" s="124">
        <f t="shared" si="212"/>
        <v>819.15022334775426</v>
      </c>
    </row>
    <row r="110" spans="1:59" s="129" customFormat="1" hidden="1">
      <c r="A110" s="88" t="s">
        <v>1213</v>
      </c>
      <c r="B110" s="88" t="s">
        <v>1317</v>
      </c>
      <c r="C110" s="88" t="s">
        <v>1317</v>
      </c>
      <c r="D110" s="88" t="s">
        <v>55</v>
      </c>
      <c r="E110" s="89" t="s">
        <v>56</v>
      </c>
      <c r="F110" s="90" t="s">
        <v>192</v>
      </c>
      <c r="G110" s="131" t="s">
        <v>132</v>
      </c>
      <c r="H110" s="131" t="s">
        <v>193</v>
      </c>
      <c r="I110" s="132" t="s">
        <v>1217</v>
      </c>
      <c r="J110" s="132" t="str">
        <f>_xlfn.XLOOKUP(I110,[1]Sheet1!$A:$A,[1]Sheet1!$B:$B,"")</f>
        <v>O0101001</v>
      </c>
      <c r="K110" s="90" t="s">
        <v>1279</v>
      </c>
      <c r="L110" s="90" t="s">
        <v>2580</v>
      </c>
      <c r="M110" s="131" t="s">
        <v>69</v>
      </c>
      <c r="N110" s="91" t="s">
        <v>1223</v>
      </c>
      <c r="O110" s="92">
        <v>23</v>
      </c>
      <c r="P110" s="88" t="s">
        <v>197</v>
      </c>
      <c r="Q110" s="92" t="s">
        <v>194</v>
      </c>
      <c r="R110" s="92">
        <v>4</v>
      </c>
      <c r="S110" s="123" t="s">
        <v>198</v>
      </c>
      <c r="T110" s="131" t="s">
        <v>159</v>
      </c>
      <c r="U110" s="155">
        <v>0</v>
      </c>
      <c r="V110" s="207">
        <v>60</v>
      </c>
      <c r="W110" s="207">
        <v>14</v>
      </c>
      <c r="X110" s="207">
        <v>14</v>
      </c>
      <c r="Y110" s="207" t="s">
        <v>1224</v>
      </c>
      <c r="Z110" s="133">
        <f t="shared" si="251"/>
        <v>721.17911392405074</v>
      </c>
      <c r="AA110" s="133">
        <f>VLOOKUP(I110,'[2]PO &amp; SC Sept 2025'!$I$14:$BK$686,55,FALSE)+(($F$3/1000)-1.5)*O110</f>
        <v>679.67918940219351</v>
      </c>
      <c r="AB110" s="124">
        <f t="shared" si="252"/>
        <v>620.95758151313714</v>
      </c>
      <c r="AC110" s="134">
        <f>VLOOKUP(I110,'[2]PO &amp; SC Sept 2025'!$I$14:$BE$686,49,FALSE)+(O110*(($F$4/1000)-1.5))</f>
        <v>588.96804101490329</v>
      </c>
      <c r="AD110" s="213">
        <f t="shared" si="253"/>
        <v>7.0000000000000007E-2</v>
      </c>
      <c r="AE110" s="213">
        <v>7.0000000000000007E-2</v>
      </c>
      <c r="AF110" s="215">
        <v>0.19</v>
      </c>
      <c r="AG110" s="215" t="s">
        <v>9</v>
      </c>
      <c r="AH110" s="148">
        <f t="shared" si="208"/>
        <v>620.95758151313714</v>
      </c>
      <c r="AI110" s="122">
        <f t="shared" si="254"/>
        <v>0.18999999999999995</v>
      </c>
      <c r="AJ110" s="444"/>
      <c r="AK110" s="150">
        <f t="shared" si="255"/>
        <v>612.61451612903238</v>
      </c>
      <c r="AL110" s="148">
        <f t="shared" si="6"/>
        <v>540.83402260821629</v>
      </c>
      <c r="AM110" s="125">
        <f t="shared" si="256"/>
        <v>0.15053763440860213</v>
      </c>
      <c r="AN110" s="125">
        <f t="shared" si="257"/>
        <v>0.12903225806451601</v>
      </c>
      <c r="AP110" s="17" t="s">
        <v>1220</v>
      </c>
      <c r="AQ110" s="141"/>
      <c r="AR110" s="141"/>
      <c r="AS110" s="326">
        <v>265</v>
      </c>
      <c r="AT110" s="141"/>
      <c r="AU110" s="141"/>
      <c r="AV110" s="141"/>
      <c r="AW110" s="154">
        <f t="shared" si="258"/>
        <v>486.95000000000005</v>
      </c>
      <c r="AX110" s="126">
        <f>(AS110+($F$4-1500)/1000*O110)+(($F$10+$G$10)/40/R110/$F$6)</f>
        <v>502.9756410256411</v>
      </c>
      <c r="AY110" s="130" t="s">
        <v>196</v>
      </c>
      <c r="AZ110" s="128" t="s">
        <v>63</v>
      </c>
      <c r="BB110" s="124">
        <f t="shared" si="209"/>
        <v>2069.8586050437907</v>
      </c>
      <c r="BC110" s="124">
        <f t="shared" si="210"/>
        <v>1241.9151630262743</v>
      </c>
      <c r="BD110" s="124">
        <f t="shared" si="211"/>
        <v>1034.9293025218954</v>
      </c>
      <c r="BE110" s="124">
        <f t="shared" si="212"/>
        <v>827.9434420175163</v>
      </c>
    </row>
    <row r="111" spans="1:59" s="160" customFormat="1" hidden="1">
      <c r="A111" s="88" t="s">
        <v>1213</v>
      </c>
      <c r="B111" s="88" t="s">
        <v>1318</v>
      </c>
      <c r="C111" s="88" t="s">
        <v>1317</v>
      </c>
      <c r="D111" s="88" t="s">
        <v>55</v>
      </c>
      <c r="E111" s="89" t="s">
        <v>56</v>
      </c>
      <c r="F111" s="90" t="s">
        <v>192</v>
      </c>
      <c r="G111" s="131" t="s">
        <v>132</v>
      </c>
      <c r="H111" s="131" t="s">
        <v>193</v>
      </c>
      <c r="I111" s="132" t="s">
        <v>3807</v>
      </c>
      <c r="J111" s="132" t="s">
        <v>3808</v>
      </c>
      <c r="K111" s="90" t="s">
        <v>2583</v>
      </c>
      <c r="L111" s="90" t="s">
        <v>2578</v>
      </c>
      <c r="M111" s="131" t="s">
        <v>125</v>
      </c>
      <c r="N111" s="91" t="s">
        <v>60</v>
      </c>
      <c r="O111" s="92">
        <v>17.8</v>
      </c>
      <c r="P111" s="88" t="s">
        <v>61</v>
      </c>
      <c r="Q111" s="92" t="s">
        <v>194</v>
      </c>
      <c r="R111" s="92">
        <v>8</v>
      </c>
      <c r="S111" s="123" t="s">
        <v>199</v>
      </c>
      <c r="T111" s="131" t="s">
        <v>159</v>
      </c>
      <c r="U111" s="155">
        <v>0</v>
      </c>
      <c r="V111" s="207">
        <v>45</v>
      </c>
      <c r="W111" s="207">
        <v>45</v>
      </c>
      <c r="X111" s="207">
        <v>55</v>
      </c>
      <c r="Y111" s="207" t="s">
        <v>64</v>
      </c>
      <c r="Z111" s="133">
        <f t="shared" si="1"/>
        <v>666.90777576853532</v>
      </c>
      <c r="AA111" s="133">
        <f>VLOOKUP(I111,'[2]PO &amp; SC Sept 2025'!$I$14:$BK$686,55,FALSE)+(($F$3/1000)-1.5)*O111</f>
        <v>647.15221386649227</v>
      </c>
      <c r="AB111" s="124">
        <f t="shared" si="2"/>
        <v>569.4354942040128</v>
      </c>
      <c r="AC111" s="134">
        <f>VLOOKUP(I111,'[2]PO &amp; SC Sept 2025'!$I$14:$BE$686,49,FALSE)+(O111*(($F$4/1000)-1.5))</f>
        <v>562.11141827811309</v>
      </c>
      <c r="AD111" s="213">
        <v>0.09</v>
      </c>
      <c r="AE111" s="213">
        <v>0.09</v>
      </c>
      <c r="AF111" s="215">
        <v>0.19</v>
      </c>
      <c r="AG111" s="215" t="s">
        <v>9</v>
      </c>
      <c r="AH111" s="148">
        <f t="shared" si="208"/>
        <v>569.4354942040128</v>
      </c>
      <c r="AI111" s="122">
        <f t="shared" si="4"/>
        <v>0.19000000000000006</v>
      </c>
      <c r="AJ111" s="444"/>
      <c r="AK111" s="150">
        <f t="shared" si="5"/>
        <v>578.96389324960751</v>
      </c>
      <c r="AL111" s="148">
        <f t="shared" si="6"/>
        <v>506.86016517060477</v>
      </c>
      <c r="AM111" s="125">
        <f t="shared" si="7"/>
        <v>0.13186813186813195</v>
      </c>
      <c r="AN111" s="125">
        <f t="shared" si="197"/>
        <v>0.10989010989010994</v>
      </c>
      <c r="AO111" s="129"/>
      <c r="AP111" s="17" t="s">
        <v>81</v>
      </c>
      <c r="AQ111" s="141">
        <v>20.22</v>
      </c>
      <c r="AR111" s="141">
        <v>3040.96</v>
      </c>
      <c r="AS111" s="141"/>
      <c r="AT111" s="141">
        <v>0</v>
      </c>
      <c r="AU111" s="141">
        <f>($F$2-70000)/1000*AQ111+AR111</f>
        <v>3688</v>
      </c>
      <c r="AV111" s="141">
        <f t="shared" si="0"/>
        <v>3688</v>
      </c>
      <c r="AW111" s="142">
        <f>(AT111+AU111)/$F$5</f>
        <v>526.85714285714289</v>
      </c>
      <c r="AX111" s="126">
        <f>(AW111/$F$6)+(($F$9+$G$9)/40/R111)+AW111*U111</f>
        <v>461.24275030525035</v>
      </c>
      <c r="AY111" s="130" t="s">
        <v>196</v>
      </c>
      <c r="AZ111" s="128" t="s">
        <v>63</v>
      </c>
      <c r="BA111" s="129"/>
      <c r="BB111" s="124">
        <f t="shared" si="209"/>
        <v>1898.118314013376</v>
      </c>
      <c r="BC111" s="124">
        <f t="shared" si="210"/>
        <v>1138.8709884080256</v>
      </c>
      <c r="BD111" s="124">
        <f t="shared" si="211"/>
        <v>949.059157006688</v>
      </c>
      <c r="BE111" s="124">
        <f t="shared" si="212"/>
        <v>759.2473256053504</v>
      </c>
      <c r="BF111" s="129"/>
      <c r="BG111" s="129"/>
    </row>
    <row r="112" spans="1:59" s="129" customFormat="1" hidden="1">
      <c r="A112" s="88" t="s">
        <v>1213</v>
      </c>
      <c r="B112" s="88" t="s">
        <v>1318</v>
      </c>
      <c r="C112" s="88" t="s">
        <v>1317</v>
      </c>
      <c r="D112" s="88" t="s">
        <v>55</v>
      </c>
      <c r="E112" s="89" t="s">
        <v>56</v>
      </c>
      <c r="F112" s="90" t="s">
        <v>192</v>
      </c>
      <c r="G112" s="131" t="s">
        <v>132</v>
      </c>
      <c r="H112" s="131" t="s">
        <v>193</v>
      </c>
      <c r="I112" s="132" t="s">
        <v>3809</v>
      </c>
      <c r="J112" s="132" t="s">
        <v>3810</v>
      </c>
      <c r="K112" s="90" t="s">
        <v>2581</v>
      </c>
      <c r="L112" s="90" t="s">
        <v>2582</v>
      </c>
      <c r="M112" s="131" t="s">
        <v>125</v>
      </c>
      <c r="N112" s="91" t="s">
        <v>60</v>
      </c>
      <c r="O112" s="92">
        <v>17.8</v>
      </c>
      <c r="P112" s="88" t="s">
        <v>197</v>
      </c>
      <c r="Q112" s="92" t="s">
        <v>194</v>
      </c>
      <c r="R112" s="92">
        <v>8</v>
      </c>
      <c r="S112" s="123" t="s">
        <v>200</v>
      </c>
      <c r="T112" s="131" t="s">
        <v>159</v>
      </c>
      <c r="U112" s="155">
        <v>0</v>
      </c>
      <c r="V112" s="207">
        <v>45</v>
      </c>
      <c r="W112" s="207">
        <v>45</v>
      </c>
      <c r="X112" s="207">
        <v>55</v>
      </c>
      <c r="Y112" s="207" t="s">
        <v>64</v>
      </c>
      <c r="Z112" s="133">
        <f t="shared" si="1"/>
        <v>666.90777576853532</v>
      </c>
      <c r="AA112" s="133">
        <f>VLOOKUP(I112,'[2]PO &amp; SC Sept 2025'!$I$14:$BK$686,55,FALSE)+(($F$3/1000)-1.5)*O112</f>
        <v>647.15221386649227</v>
      </c>
      <c r="AB112" s="124">
        <f t="shared" si="2"/>
        <v>569.4354942040128</v>
      </c>
      <c r="AC112" s="134">
        <f>VLOOKUP(I112,'[2]PO &amp; SC Sept 2025'!$I$14:$BE$686,49,FALSE)+(O112*(($F$4/1000)-1.5))</f>
        <v>562.11141827811309</v>
      </c>
      <c r="AD112" s="213">
        <v>0.09</v>
      </c>
      <c r="AE112" s="213">
        <v>0.09</v>
      </c>
      <c r="AF112" s="215">
        <v>0.19</v>
      </c>
      <c r="AG112" s="215" t="s">
        <v>9</v>
      </c>
      <c r="AH112" s="148">
        <f t="shared" si="208"/>
        <v>569.4354942040128</v>
      </c>
      <c r="AI112" s="122">
        <f t="shared" si="4"/>
        <v>0.19000000000000006</v>
      </c>
      <c r="AJ112" s="444"/>
      <c r="AK112" s="150">
        <f t="shared" si="5"/>
        <v>578.96389324960751</v>
      </c>
      <c r="AL112" s="148">
        <f t="shared" si="6"/>
        <v>506.86016517060477</v>
      </c>
      <c r="AM112" s="125">
        <f t="shared" si="7"/>
        <v>0.13186813186813195</v>
      </c>
      <c r="AN112" s="125">
        <f t="shared" si="197"/>
        <v>0.10989010989010994</v>
      </c>
      <c r="AP112" s="17" t="s">
        <v>81</v>
      </c>
      <c r="AQ112" s="141">
        <v>20.22</v>
      </c>
      <c r="AR112" s="141">
        <v>3040.96</v>
      </c>
      <c r="AS112" s="141"/>
      <c r="AT112" s="141">
        <v>0</v>
      </c>
      <c r="AU112" s="141">
        <f>($F$2-70000)/1000*AQ112+AR112</f>
        <v>3688</v>
      </c>
      <c r="AV112" s="141">
        <f t="shared" si="0"/>
        <v>3688</v>
      </c>
      <c r="AW112" s="142">
        <f>(AT112+AU112)/$F$5</f>
        <v>526.85714285714289</v>
      </c>
      <c r="AX112" s="126">
        <f>(AW112/$F$6)+(($F$9+$G$9)/40/R112)+AW112*U112</f>
        <v>461.24275030525035</v>
      </c>
      <c r="AY112" s="130" t="s">
        <v>196</v>
      </c>
      <c r="AZ112" s="128" t="s">
        <v>63</v>
      </c>
      <c r="BB112" s="124">
        <f t="shared" si="209"/>
        <v>1898.118314013376</v>
      </c>
      <c r="BC112" s="124">
        <f t="shared" si="210"/>
        <v>1138.8709884080256</v>
      </c>
      <c r="BD112" s="124">
        <f t="shared" si="211"/>
        <v>949.059157006688</v>
      </c>
      <c r="BE112" s="124">
        <f t="shared" si="212"/>
        <v>759.2473256053504</v>
      </c>
    </row>
    <row r="113" spans="1:59" s="160" customFormat="1" hidden="1">
      <c r="A113" s="88" t="s">
        <v>1213</v>
      </c>
      <c r="B113" s="88" t="s">
        <v>1317</v>
      </c>
      <c r="C113" s="88" t="s">
        <v>1317</v>
      </c>
      <c r="D113" s="88" t="s">
        <v>55</v>
      </c>
      <c r="E113" s="89" t="s">
        <v>56</v>
      </c>
      <c r="F113" s="90" t="s">
        <v>192</v>
      </c>
      <c r="G113" s="131" t="s">
        <v>132</v>
      </c>
      <c r="H113" s="131" t="s">
        <v>193</v>
      </c>
      <c r="I113" s="132" t="s">
        <v>1218</v>
      </c>
      <c r="J113" s="132" t="s">
        <v>3808</v>
      </c>
      <c r="K113" s="90" t="s">
        <v>2583</v>
      </c>
      <c r="L113" s="90" t="s">
        <v>1222</v>
      </c>
      <c r="M113" s="131" t="s">
        <v>125</v>
      </c>
      <c r="N113" s="91" t="s">
        <v>1223</v>
      </c>
      <c r="O113" s="92">
        <v>23</v>
      </c>
      <c r="P113" s="88" t="s">
        <v>61</v>
      </c>
      <c r="Q113" s="92" t="s">
        <v>194</v>
      </c>
      <c r="R113" s="92">
        <v>6</v>
      </c>
      <c r="S113" s="123" t="s">
        <v>199</v>
      </c>
      <c r="T113" s="131" t="s">
        <v>159</v>
      </c>
      <c r="U113" s="155">
        <v>0</v>
      </c>
      <c r="V113" s="207">
        <v>60</v>
      </c>
      <c r="W113" s="207">
        <v>14</v>
      </c>
      <c r="X113" s="207">
        <v>14</v>
      </c>
      <c r="Y113" s="207" t="s">
        <v>1224</v>
      </c>
      <c r="Z113" s="133">
        <f t="shared" ref="Z113:Z114" si="259">(AW113/(1-(AF113+2%)))*$F$6</f>
        <v>703.40696202531649</v>
      </c>
      <c r="AA113" s="133">
        <f>VLOOKUP(I113,'[2]PO &amp; SC Sept 2025'!$I$14:$BK$686,55,FALSE)+(($F$3/1000)-1.5)*O113</f>
        <v>707.18881386649241</v>
      </c>
      <c r="AB113" s="124">
        <f t="shared" ref="AB113:AB114" si="260">AX113/(1-AF113)</f>
        <v>599.54785269600086</v>
      </c>
      <c r="AC113" s="134">
        <f>VLOOKUP(I113,'[2]PO &amp; SC Sept 2025'!$I$14:$BE$686,49,FALSE)+(O113*(($F$4/1000)-1.5))</f>
        <v>612.29141827811316</v>
      </c>
      <c r="AD113" s="213">
        <f t="shared" ref="AD113:AD114" si="261">AE113</f>
        <v>7.0000000000000007E-2</v>
      </c>
      <c r="AE113" s="213">
        <v>7.0000000000000007E-2</v>
      </c>
      <c r="AF113" s="215">
        <v>0.19</v>
      </c>
      <c r="AG113" s="215" t="s">
        <v>9</v>
      </c>
      <c r="AH113" s="148">
        <f t="shared" si="208"/>
        <v>599.54785269600086</v>
      </c>
      <c r="AI113" s="122">
        <f t="shared" ref="AI113:AI114" si="262">1-(AX113/AH113)</f>
        <v>0.18999999999999995</v>
      </c>
      <c r="AJ113" s="444"/>
      <c r="AK113" s="150">
        <f t="shared" ref="AK113:AK114" si="263">AW113/(1-AD113)*$F$6</f>
        <v>597.51774193548397</v>
      </c>
      <c r="AL113" s="148">
        <f t="shared" si="6"/>
        <v>522.18683944490408</v>
      </c>
      <c r="AM113" s="125">
        <f t="shared" ref="AM113:AM114" si="264">1-(AK113/Z113)</f>
        <v>0.15053763440860202</v>
      </c>
      <c r="AN113" s="125">
        <f t="shared" ref="AN113:AN114" si="265">1-(AL113/AB113)</f>
        <v>0.1290322580645159</v>
      </c>
      <c r="AO113" s="129"/>
      <c r="AP113" s="17" t="s">
        <v>1220</v>
      </c>
      <c r="AQ113" s="141"/>
      <c r="AR113" s="141"/>
      <c r="AS113" s="153">
        <v>253</v>
      </c>
      <c r="AT113" s="141"/>
      <c r="AU113" s="141"/>
      <c r="AV113" s="141"/>
      <c r="AW113" s="154">
        <f>AS113+($F$4-1500)/1000*O113</f>
        <v>474.95000000000005</v>
      </c>
      <c r="AX113" s="126">
        <f>(AS113+($F$4-1500)/1000*O113)+(($F$10+$G$10)/40/R113/$F$6)</f>
        <v>485.63376068376073</v>
      </c>
      <c r="AY113" s="130" t="s">
        <v>196</v>
      </c>
      <c r="AZ113" s="128" t="s">
        <v>63</v>
      </c>
      <c r="BA113" s="129"/>
      <c r="BB113" s="124">
        <f t="shared" si="209"/>
        <v>1998.4928423200029</v>
      </c>
      <c r="BC113" s="124">
        <f t="shared" si="210"/>
        <v>1199.0957053920017</v>
      </c>
      <c r="BD113" s="124">
        <f t="shared" si="211"/>
        <v>999.24642116000143</v>
      </c>
      <c r="BE113" s="124">
        <f t="shared" si="212"/>
        <v>799.39713692800115</v>
      </c>
      <c r="BF113" s="129"/>
      <c r="BG113" s="129"/>
    </row>
    <row r="114" spans="1:59" s="129" customFormat="1" hidden="1">
      <c r="A114" s="88" t="s">
        <v>1213</v>
      </c>
      <c r="B114" s="88" t="s">
        <v>1317</v>
      </c>
      <c r="C114" s="88" t="s">
        <v>1317</v>
      </c>
      <c r="D114" s="88" t="s">
        <v>55</v>
      </c>
      <c r="E114" s="89" t="s">
        <v>56</v>
      </c>
      <c r="F114" s="90" t="s">
        <v>192</v>
      </c>
      <c r="G114" s="131" t="s">
        <v>132</v>
      </c>
      <c r="H114" s="131" t="s">
        <v>193</v>
      </c>
      <c r="I114" s="132" t="s">
        <v>1219</v>
      </c>
      <c r="J114" s="132" t="s">
        <v>3810</v>
      </c>
      <c r="K114" s="90" t="s">
        <v>2581</v>
      </c>
      <c r="L114" s="90" t="s">
        <v>1221</v>
      </c>
      <c r="M114" s="131" t="s">
        <v>125</v>
      </c>
      <c r="N114" s="91" t="s">
        <v>1223</v>
      </c>
      <c r="O114" s="92">
        <v>23</v>
      </c>
      <c r="P114" s="88" t="s">
        <v>197</v>
      </c>
      <c r="Q114" s="92" t="s">
        <v>194</v>
      </c>
      <c r="R114" s="92">
        <v>4</v>
      </c>
      <c r="S114" s="123" t="s">
        <v>200</v>
      </c>
      <c r="T114" s="131" t="s">
        <v>159</v>
      </c>
      <c r="U114" s="155">
        <v>0</v>
      </c>
      <c r="V114" s="207">
        <v>60</v>
      </c>
      <c r="W114" s="207">
        <v>14</v>
      </c>
      <c r="X114" s="207">
        <v>14</v>
      </c>
      <c r="Y114" s="207" t="s">
        <v>1224</v>
      </c>
      <c r="Z114" s="133">
        <f t="shared" si="259"/>
        <v>703.40696202531649</v>
      </c>
      <c r="AA114" s="133">
        <f>VLOOKUP(I114,'[2]PO &amp; SC Sept 2025'!$I$14:$BK$686,55,FALSE)+(($F$3/1000)-1.5)*O114</f>
        <v>707.18881386649241</v>
      </c>
      <c r="AB114" s="124">
        <f t="shared" si="260"/>
        <v>606.14276669832225</v>
      </c>
      <c r="AC114" s="134">
        <f>VLOOKUP(I114,'[2]PO &amp; SC Sept 2025'!$I$14:$BE$686,49,FALSE)+(O114*(($F$4/1000)-1.5))</f>
        <v>612.29141827811316</v>
      </c>
      <c r="AD114" s="213">
        <f t="shared" si="261"/>
        <v>7.0000000000000007E-2</v>
      </c>
      <c r="AE114" s="213">
        <v>7.0000000000000007E-2</v>
      </c>
      <c r="AF114" s="215">
        <v>0.19</v>
      </c>
      <c r="AG114" s="215" t="s">
        <v>9</v>
      </c>
      <c r="AH114" s="148">
        <f t="shared" si="208"/>
        <v>606.14276669832225</v>
      </c>
      <c r="AI114" s="122">
        <f t="shared" si="262"/>
        <v>0.18999999999999984</v>
      </c>
      <c r="AJ114" s="444"/>
      <c r="AK114" s="150">
        <f t="shared" si="263"/>
        <v>597.51774193548397</v>
      </c>
      <c r="AL114" s="148">
        <f t="shared" si="6"/>
        <v>527.9307968017647</v>
      </c>
      <c r="AM114" s="125">
        <f t="shared" si="264"/>
        <v>0.15053763440860202</v>
      </c>
      <c r="AN114" s="125">
        <f t="shared" si="265"/>
        <v>0.1290322580645159</v>
      </c>
      <c r="AP114" s="17" t="s">
        <v>1220</v>
      </c>
      <c r="AQ114" s="141"/>
      <c r="AR114" s="141"/>
      <c r="AS114" s="153">
        <v>253</v>
      </c>
      <c r="AT114" s="141"/>
      <c r="AU114" s="141"/>
      <c r="AV114" s="141"/>
      <c r="AW114" s="154">
        <f>AS114+($F$4-1500)/1000*O114</f>
        <v>474.95000000000005</v>
      </c>
      <c r="AX114" s="126">
        <f>(AS114+($F$4-1500)/1000*O114)+(($F$10+$G$10)/40/R114/$F$6)</f>
        <v>490.9756410256411</v>
      </c>
      <c r="AY114" s="130" t="s">
        <v>196</v>
      </c>
      <c r="AZ114" s="128" t="s">
        <v>63</v>
      </c>
      <c r="BB114" s="124">
        <f t="shared" si="209"/>
        <v>2020.4758889944076</v>
      </c>
      <c r="BC114" s="124">
        <f t="shared" si="210"/>
        <v>1212.2855333966445</v>
      </c>
      <c r="BD114" s="124">
        <f t="shared" si="211"/>
        <v>1010.2379444972038</v>
      </c>
      <c r="BE114" s="124">
        <f t="shared" si="212"/>
        <v>808.19035559776307</v>
      </c>
    </row>
    <row r="115" spans="1:59" s="129" customFormat="1" hidden="1">
      <c r="A115" s="88" t="s">
        <v>1302</v>
      </c>
      <c r="B115" s="88" t="s">
        <v>1318</v>
      </c>
      <c r="C115" s="88" t="s">
        <v>1318</v>
      </c>
      <c r="D115" s="88" t="s">
        <v>55</v>
      </c>
      <c r="E115" s="89" t="s">
        <v>201</v>
      </c>
      <c r="F115" s="89" t="s">
        <v>202</v>
      </c>
      <c r="G115" s="92"/>
      <c r="H115" s="92"/>
      <c r="I115" s="164" t="s">
        <v>2554</v>
      </c>
      <c r="J115" s="164" t="str">
        <f>_xlfn.XLOOKUP(I115,[1]Sheet1!$A:$A,[1]Sheet1!$B:$B,"")</f>
        <v>U0301003</v>
      </c>
      <c r="K115" s="89" t="s">
        <v>204</v>
      </c>
      <c r="L115" s="89" t="s">
        <v>205</v>
      </c>
      <c r="M115" s="92"/>
      <c r="N115" s="89" t="s">
        <v>60</v>
      </c>
      <c r="O115" s="165"/>
      <c r="P115" s="88" t="s">
        <v>206</v>
      </c>
      <c r="Q115" s="92" t="s">
        <v>207</v>
      </c>
      <c r="R115" s="92">
        <v>8640</v>
      </c>
      <c r="S115" s="92" t="s">
        <v>208</v>
      </c>
      <c r="T115" s="92" t="s">
        <v>3863</v>
      </c>
      <c r="U115" s="155">
        <v>2.3E-2</v>
      </c>
      <c r="V115" s="207">
        <v>45</v>
      </c>
      <c r="W115" s="207">
        <v>45</v>
      </c>
      <c r="X115" s="207">
        <v>55</v>
      </c>
      <c r="Y115" s="207" t="s">
        <v>210</v>
      </c>
      <c r="Z115" s="133">
        <f t="shared" si="1"/>
        <v>0.50301810865191154</v>
      </c>
      <c r="AA115" s="133"/>
      <c r="AB115" s="161">
        <f t="shared" si="2"/>
        <v>0.44327658325946007</v>
      </c>
      <c r="AC115" s="161"/>
      <c r="AD115" s="213">
        <f t="shared" si="214"/>
        <v>0.1</v>
      </c>
      <c r="AE115" s="213">
        <v>0.1</v>
      </c>
      <c r="AF115" s="215">
        <v>0.27</v>
      </c>
      <c r="AG115" s="215" t="s">
        <v>5</v>
      </c>
      <c r="AH115" s="123">
        <f>AB115*(1-$AH$3)</f>
        <v>0.39894892493351408</v>
      </c>
      <c r="AI115" s="122">
        <f>1-(AX115/AH115)</f>
        <v>0.18888888888888899</v>
      </c>
      <c r="AJ115" s="444"/>
      <c r="AK115" s="150">
        <f t="shared" si="5"/>
        <v>0.3968253968253968</v>
      </c>
      <c r="AL115" s="153">
        <f t="shared" ref="AL115:AL130" si="266">AX115/(1-AE115)</f>
        <v>0.3595465619771176</v>
      </c>
      <c r="AM115" s="125">
        <f t="shared" si="7"/>
        <v>0.21111111111111125</v>
      </c>
      <c r="AN115" s="125">
        <f t="shared" si="197"/>
        <v>0.18888888888888888</v>
      </c>
      <c r="AO115" s="166"/>
      <c r="AP115" s="17" t="s">
        <v>211</v>
      </c>
      <c r="AQ115" s="162"/>
      <c r="AR115" s="162"/>
      <c r="AS115" s="162"/>
      <c r="AT115" s="162">
        <v>0.94</v>
      </c>
      <c r="AU115" s="162">
        <v>1.56</v>
      </c>
      <c r="AV115" s="141">
        <f t="shared" si="0"/>
        <v>2.5</v>
      </c>
      <c r="AW115" s="142">
        <f t="shared" ref="AW115:AW140" si="267">(AT115+AU115)/$F$5</f>
        <v>0.35714285714285715</v>
      </c>
      <c r="AX115" s="126">
        <f t="shared" ref="AX115:AX153" si="268">(AW115/$F$6)+(($F$9+$G$9)/40/R115)+AW115*U115</f>
        <v>0.32359190577940583</v>
      </c>
      <c r="AY115" s="163"/>
      <c r="AZ115" s="128"/>
      <c r="BB115" s="161">
        <f t="shared" si="209"/>
        <v>1.477588610864867</v>
      </c>
      <c r="BC115" s="161">
        <f t="shared" si="210"/>
        <v>0.88655316651892024</v>
      </c>
      <c r="BD115" s="161">
        <f t="shared" si="211"/>
        <v>0.73879430543243352</v>
      </c>
      <c r="BE115" s="161">
        <f t="shared" si="212"/>
        <v>0.59103544434594679</v>
      </c>
      <c r="BF115" s="32"/>
    </row>
    <row r="116" spans="1:59" s="129" customFormat="1" hidden="1">
      <c r="A116" s="88" t="s">
        <v>1302</v>
      </c>
      <c r="B116" s="88" t="s">
        <v>1318</v>
      </c>
      <c r="C116" s="88" t="s">
        <v>1318</v>
      </c>
      <c r="D116" s="88" t="s">
        <v>55</v>
      </c>
      <c r="E116" s="89" t="s">
        <v>201</v>
      </c>
      <c r="F116" s="89" t="s">
        <v>202</v>
      </c>
      <c r="G116" s="92"/>
      <c r="H116" s="92"/>
      <c r="I116" s="164" t="s">
        <v>212</v>
      </c>
      <c r="J116" s="164" t="str">
        <f>_xlfn.XLOOKUP(I116,[1]Sheet1!$A:$A,[1]Sheet1!$B:$B,"")</f>
        <v>U0301006</v>
      </c>
      <c r="K116" s="89" t="s">
        <v>213</v>
      </c>
      <c r="L116" s="89" t="s">
        <v>214</v>
      </c>
      <c r="M116" s="92"/>
      <c r="N116" s="89" t="s">
        <v>60</v>
      </c>
      <c r="O116" s="165"/>
      <c r="P116" s="88" t="s">
        <v>215</v>
      </c>
      <c r="Q116" s="92" t="s">
        <v>207</v>
      </c>
      <c r="R116" s="92">
        <v>8640</v>
      </c>
      <c r="S116" s="92" t="s">
        <v>216</v>
      </c>
      <c r="T116" s="92" t="s">
        <v>3863</v>
      </c>
      <c r="U116" s="155">
        <v>2.3E-2</v>
      </c>
      <c r="V116" s="207">
        <v>45</v>
      </c>
      <c r="W116" s="207">
        <v>45</v>
      </c>
      <c r="X116" s="207">
        <v>55</v>
      </c>
      <c r="Y116" s="207" t="s">
        <v>210</v>
      </c>
      <c r="Z116" s="133">
        <f t="shared" si="1"/>
        <v>0.54325955734406439</v>
      </c>
      <c r="AA116" s="133"/>
      <c r="AB116" s="161">
        <f t="shared" si="2"/>
        <v>0.47762886720078512</v>
      </c>
      <c r="AC116" s="161"/>
      <c r="AD116" s="213">
        <f t="shared" si="214"/>
        <v>0.1</v>
      </c>
      <c r="AE116" s="213">
        <v>0.1</v>
      </c>
      <c r="AF116" s="215">
        <v>0.27</v>
      </c>
      <c r="AG116" s="215" t="s">
        <v>5</v>
      </c>
      <c r="AH116" s="123">
        <f t="shared" ref="AH116:AH120" si="269">AB116*(1-$AH$3)</f>
        <v>0.42986598048070662</v>
      </c>
      <c r="AI116" s="122">
        <f t="shared" ref="AI116:AI140" si="270">1-(AX116/AH116)</f>
        <v>0.18888888888888888</v>
      </c>
      <c r="AJ116" s="444"/>
      <c r="AK116" s="150">
        <f t="shared" si="5"/>
        <v>0.4285714285714286</v>
      </c>
      <c r="AL116" s="153">
        <f t="shared" si="266"/>
        <v>0.38741008117397013</v>
      </c>
      <c r="AM116" s="125">
        <f t="shared" si="7"/>
        <v>0.21111111111111103</v>
      </c>
      <c r="AN116" s="125">
        <f t="shared" si="197"/>
        <v>0.18888888888888888</v>
      </c>
      <c r="AO116" s="166"/>
      <c r="AP116" s="17" t="s">
        <v>211</v>
      </c>
      <c r="AQ116" s="162"/>
      <c r="AR116" s="162"/>
      <c r="AS116" s="162"/>
      <c r="AT116" s="162">
        <v>0.94</v>
      </c>
      <c r="AU116" s="162">
        <v>1.76</v>
      </c>
      <c r="AV116" s="141">
        <f t="shared" si="0"/>
        <v>2.7</v>
      </c>
      <c r="AW116" s="142">
        <f t="shared" si="267"/>
        <v>0.38571428571428573</v>
      </c>
      <c r="AX116" s="126">
        <f t="shared" si="268"/>
        <v>0.34866907305657313</v>
      </c>
      <c r="AY116" s="163"/>
      <c r="AZ116" s="128"/>
      <c r="BB116" s="161">
        <f t="shared" si="209"/>
        <v>1.5920962240026171</v>
      </c>
      <c r="BC116" s="161">
        <f t="shared" si="210"/>
        <v>0.95525773440157025</v>
      </c>
      <c r="BD116" s="161">
        <f t="shared" si="211"/>
        <v>0.79604811200130854</v>
      </c>
      <c r="BE116" s="161">
        <f t="shared" si="212"/>
        <v>0.63683848960104683</v>
      </c>
      <c r="BF116" s="32"/>
    </row>
    <row r="117" spans="1:59" s="129" customFormat="1" hidden="1">
      <c r="A117" s="88" t="s">
        <v>1302</v>
      </c>
      <c r="B117" s="88" t="s">
        <v>1318</v>
      </c>
      <c r="C117" s="88" t="s">
        <v>1318</v>
      </c>
      <c r="D117" s="88" t="s">
        <v>55</v>
      </c>
      <c r="E117" s="89" t="s">
        <v>201</v>
      </c>
      <c r="F117" s="89" t="s">
        <v>202</v>
      </c>
      <c r="G117" s="92"/>
      <c r="H117" s="92"/>
      <c r="I117" s="164" t="s">
        <v>217</v>
      </c>
      <c r="J117" s="164" t="str">
        <f>_xlfn.XLOOKUP(I117,[1]Sheet1!$A:$A,[1]Sheet1!$B:$B,"")</f>
        <v>U0301004</v>
      </c>
      <c r="K117" s="89" t="s">
        <v>218</v>
      </c>
      <c r="L117" s="89" t="s">
        <v>219</v>
      </c>
      <c r="M117" s="92"/>
      <c r="N117" s="89" t="s">
        <v>60</v>
      </c>
      <c r="O117" s="165"/>
      <c r="P117" s="88" t="s">
        <v>206</v>
      </c>
      <c r="Q117" s="92" t="s">
        <v>207</v>
      </c>
      <c r="R117" s="92">
        <v>11520</v>
      </c>
      <c r="S117" s="92" t="s">
        <v>220</v>
      </c>
      <c r="T117" s="92" t="s">
        <v>3863</v>
      </c>
      <c r="U117" s="155">
        <v>2.3E-2</v>
      </c>
      <c r="V117" s="207">
        <v>45</v>
      </c>
      <c r="W117" s="207">
        <v>45</v>
      </c>
      <c r="X117" s="207">
        <v>55</v>
      </c>
      <c r="Y117" s="207" t="s">
        <v>210</v>
      </c>
      <c r="Z117" s="133">
        <f t="shared" si="1"/>
        <v>0.45510204081632655</v>
      </c>
      <c r="AA117" s="133"/>
      <c r="AB117" s="161">
        <f t="shared" si="2"/>
        <v>0.39889708507156429</v>
      </c>
      <c r="AC117" s="161"/>
      <c r="AD117" s="213">
        <f t="shared" si="214"/>
        <v>0.1</v>
      </c>
      <c r="AE117" s="213">
        <v>0.1</v>
      </c>
      <c r="AF117" s="215">
        <v>0.28000000000000003</v>
      </c>
      <c r="AG117" s="215" t="s">
        <v>5</v>
      </c>
      <c r="AH117" s="123">
        <f t="shared" si="269"/>
        <v>0.3590073765644079</v>
      </c>
      <c r="AI117" s="122">
        <f t="shared" si="270"/>
        <v>0.20000000000000007</v>
      </c>
      <c r="AJ117" s="444"/>
      <c r="AK117" s="150">
        <f t="shared" si="5"/>
        <v>0.35396825396825393</v>
      </c>
      <c r="AL117" s="153">
        <f t="shared" si="266"/>
        <v>0.31911766805725145</v>
      </c>
      <c r="AM117" s="125">
        <f t="shared" si="7"/>
        <v>0.22222222222222232</v>
      </c>
      <c r="AN117" s="125">
        <f t="shared" si="197"/>
        <v>0.19999999999999996</v>
      </c>
      <c r="AO117" s="166"/>
      <c r="AP117" s="17" t="s">
        <v>211</v>
      </c>
      <c r="AQ117" s="162"/>
      <c r="AR117" s="162"/>
      <c r="AS117" s="162"/>
      <c r="AT117" s="162">
        <v>0.9</v>
      </c>
      <c r="AU117" s="162">
        <v>1.33</v>
      </c>
      <c r="AV117" s="141">
        <f t="shared" si="0"/>
        <v>2.23</v>
      </c>
      <c r="AW117" s="142">
        <f t="shared" si="267"/>
        <v>0.31857142857142856</v>
      </c>
      <c r="AX117" s="126">
        <f t="shared" si="268"/>
        <v>0.28720590125152629</v>
      </c>
      <c r="AY117" s="163"/>
      <c r="AZ117" s="128"/>
      <c r="BB117" s="161">
        <f t="shared" si="209"/>
        <v>1.3296569502385478</v>
      </c>
      <c r="BC117" s="161">
        <f t="shared" si="210"/>
        <v>0.7977941701431287</v>
      </c>
      <c r="BD117" s="161">
        <f t="shared" si="211"/>
        <v>0.6648284751192739</v>
      </c>
      <c r="BE117" s="161">
        <f t="shared" si="212"/>
        <v>0.5318627800954191</v>
      </c>
      <c r="BF117" s="32"/>
    </row>
    <row r="118" spans="1:59" s="129" customFormat="1" hidden="1">
      <c r="A118" s="88" t="s">
        <v>1302</v>
      </c>
      <c r="B118" s="88" t="s">
        <v>1318</v>
      </c>
      <c r="C118" s="88" t="s">
        <v>1318</v>
      </c>
      <c r="D118" s="88" t="s">
        <v>55</v>
      </c>
      <c r="E118" s="89" t="s">
        <v>201</v>
      </c>
      <c r="F118" s="89" t="s">
        <v>202</v>
      </c>
      <c r="G118" s="92"/>
      <c r="H118" s="92"/>
      <c r="I118" s="164" t="s">
        <v>221</v>
      </c>
      <c r="J118" s="164" t="str">
        <f>_xlfn.XLOOKUP(I118,[1]Sheet1!$A:$A,[1]Sheet1!$B:$B,"")</f>
        <v>U0301007</v>
      </c>
      <c r="K118" s="89" t="s">
        <v>222</v>
      </c>
      <c r="L118" s="89" t="s">
        <v>223</v>
      </c>
      <c r="M118" s="92"/>
      <c r="N118" s="89" t="s">
        <v>60</v>
      </c>
      <c r="O118" s="165"/>
      <c r="P118" s="88" t="s">
        <v>215</v>
      </c>
      <c r="Q118" s="92" t="s">
        <v>207</v>
      </c>
      <c r="R118" s="92">
        <v>11520</v>
      </c>
      <c r="S118" s="92" t="s">
        <v>224</v>
      </c>
      <c r="T118" s="92" t="s">
        <v>3863</v>
      </c>
      <c r="U118" s="155">
        <v>2.3E-2</v>
      </c>
      <c r="V118" s="207">
        <v>45</v>
      </c>
      <c r="W118" s="207">
        <v>45</v>
      </c>
      <c r="X118" s="207">
        <v>55</v>
      </c>
      <c r="Y118" s="207" t="s">
        <v>210</v>
      </c>
      <c r="Z118" s="133">
        <f t="shared" si="1"/>
        <v>0.48268398268398272</v>
      </c>
      <c r="AA118" s="133"/>
      <c r="AB118" s="161">
        <f t="shared" si="2"/>
        <v>0.4223616194875387</v>
      </c>
      <c r="AC118" s="161"/>
      <c r="AD118" s="213">
        <f t="shared" si="214"/>
        <v>0.1</v>
      </c>
      <c r="AE118" s="213">
        <v>0.1</v>
      </c>
      <c r="AF118" s="215">
        <v>0.32</v>
      </c>
      <c r="AG118" s="215" t="s">
        <v>5</v>
      </c>
      <c r="AH118" s="123">
        <f t="shared" si="269"/>
        <v>0.38012545753878485</v>
      </c>
      <c r="AI118" s="122">
        <f t="shared" si="270"/>
        <v>0.24444444444444458</v>
      </c>
      <c r="AJ118" s="444"/>
      <c r="AK118" s="150">
        <f t="shared" si="5"/>
        <v>0.35396825396825393</v>
      </c>
      <c r="AL118" s="153">
        <f t="shared" si="266"/>
        <v>0.31911766805725145</v>
      </c>
      <c r="AM118" s="125">
        <f t="shared" si="7"/>
        <v>0.26666666666666683</v>
      </c>
      <c r="AN118" s="125">
        <f t="shared" si="197"/>
        <v>0.24444444444444446</v>
      </c>
      <c r="AO118" s="166"/>
      <c r="AP118" s="17" t="s">
        <v>211</v>
      </c>
      <c r="AQ118" s="162"/>
      <c r="AR118" s="162"/>
      <c r="AS118" s="162"/>
      <c r="AT118" s="162">
        <v>0.9</v>
      </c>
      <c r="AU118" s="162">
        <v>1.33</v>
      </c>
      <c r="AV118" s="141">
        <f t="shared" si="0"/>
        <v>2.23</v>
      </c>
      <c r="AW118" s="142">
        <f t="shared" si="267"/>
        <v>0.31857142857142856</v>
      </c>
      <c r="AX118" s="126">
        <f t="shared" si="268"/>
        <v>0.28720590125152629</v>
      </c>
      <c r="AY118" s="163"/>
      <c r="AZ118" s="128"/>
      <c r="BB118" s="161">
        <f t="shared" si="209"/>
        <v>1.4078720649584624</v>
      </c>
      <c r="BC118" s="161">
        <f t="shared" si="210"/>
        <v>0.8447232389750774</v>
      </c>
      <c r="BD118" s="161">
        <f t="shared" si="211"/>
        <v>0.7039360324792312</v>
      </c>
      <c r="BE118" s="161">
        <f t="shared" si="212"/>
        <v>0.563148825983385</v>
      </c>
      <c r="BF118" s="32"/>
    </row>
    <row r="119" spans="1:59" s="129" customFormat="1" hidden="1">
      <c r="A119" s="88" t="s">
        <v>1302</v>
      </c>
      <c r="B119" s="88" t="s">
        <v>1318</v>
      </c>
      <c r="C119" s="88" t="s">
        <v>1318</v>
      </c>
      <c r="D119" s="88" t="s">
        <v>55</v>
      </c>
      <c r="E119" s="88" t="s">
        <v>201</v>
      </c>
      <c r="F119" s="89" t="s">
        <v>202</v>
      </c>
      <c r="G119" s="92"/>
      <c r="H119" s="92"/>
      <c r="I119" s="164" t="s">
        <v>225</v>
      </c>
      <c r="J119" s="164" t="str">
        <f>_xlfn.XLOOKUP(I119,[1]Sheet1!$A:$A,[1]Sheet1!$B:$B,"")</f>
        <v>U0301002</v>
      </c>
      <c r="K119" s="89" t="s">
        <v>226</v>
      </c>
      <c r="L119" s="89" t="s">
        <v>227</v>
      </c>
      <c r="M119" s="92"/>
      <c r="N119" s="89" t="s">
        <v>60</v>
      </c>
      <c r="O119" s="165"/>
      <c r="P119" s="88" t="s">
        <v>215</v>
      </c>
      <c r="Q119" s="92" t="s">
        <v>207</v>
      </c>
      <c r="R119" s="92">
        <v>11520</v>
      </c>
      <c r="S119" s="92" t="s">
        <v>228</v>
      </c>
      <c r="T119" s="92" t="s">
        <v>3863</v>
      </c>
      <c r="U119" s="155">
        <v>2.3E-2</v>
      </c>
      <c r="V119" s="207">
        <v>45</v>
      </c>
      <c r="W119" s="207">
        <v>45</v>
      </c>
      <c r="X119" s="207">
        <v>55</v>
      </c>
      <c r="Y119" s="207" t="s">
        <v>210</v>
      </c>
      <c r="Z119" s="133">
        <f t="shared" si="1"/>
        <v>0.63116883116883116</v>
      </c>
      <c r="AA119" s="133"/>
      <c r="AB119" s="161">
        <f t="shared" si="2"/>
        <v>0.54786503250647978</v>
      </c>
      <c r="AC119" s="161"/>
      <c r="AD119" s="213">
        <f t="shared" si="214"/>
        <v>0.1</v>
      </c>
      <c r="AE119" s="213">
        <v>0.1</v>
      </c>
      <c r="AF119" s="215">
        <v>0.43</v>
      </c>
      <c r="AG119" s="215" t="s">
        <v>5</v>
      </c>
      <c r="AH119" s="123">
        <f t="shared" si="269"/>
        <v>0.49307852925583179</v>
      </c>
      <c r="AI119" s="122">
        <f t="shared" si="270"/>
        <v>0.36666666666666659</v>
      </c>
      <c r="AJ119" s="444"/>
      <c r="AK119" s="150">
        <f t="shared" si="5"/>
        <v>0.38571428571428568</v>
      </c>
      <c r="AL119" s="153">
        <f t="shared" si="266"/>
        <v>0.34698118725410393</v>
      </c>
      <c r="AM119" s="125">
        <f t="shared" si="7"/>
        <v>0.38888888888888895</v>
      </c>
      <c r="AN119" s="125">
        <f t="shared" si="197"/>
        <v>0.36666666666666659</v>
      </c>
      <c r="AO119" s="166"/>
      <c r="AP119" s="17" t="s">
        <v>211</v>
      </c>
      <c r="AQ119" s="162"/>
      <c r="AR119" s="162"/>
      <c r="AS119" s="162"/>
      <c r="AT119" s="162">
        <v>0.1</v>
      </c>
      <c r="AU119" s="162">
        <v>2.33</v>
      </c>
      <c r="AV119" s="141">
        <f t="shared" si="0"/>
        <v>2.4300000000000002</v>
      </c>
      <c r="AW119" s="142">
        <f t="shared" si="267"/>
        <v>0.34714285714285714</v>
      </c>
      <c r="AX119" s="126">
        <f t="shared" si="268"/>
        <v>0.31228306852869353</v>
      </c>
      <c r="AY119" s="163"/>
      <c r="AZ119" s="128"/>
      <c r="BB119" s="161">
        <f t="shared" si="209"/>
        <v>1.8262167750215994</v>
      </c>
      <c r="BC119" s="161">
        <f t="shared" si="210"/>
        <v>1.0957300650129596</v>
      </c>
      <c r="BD119" s="161">
        <f t="shared" si="211"/>
        <v>0.9131083875107997</v>
      </c>
      <c r="BE119" s="161">
        <f t="shared" si="212"/>
        <v>0.73048671000863985</v>
      </c>
      <c r="BF119" s="32"/>
    </row>
    <row r="120" spans="1:59" s="129" customFormat="1" hidden="1">
      <c r="A120" s="88" t="s">
        <v>1302</v>
      </c>
      <c r="B120" s="88" t="s">
        <v>1318</v>
      </c>
      <c r="C120" s="88" t="s">
        <v>1318</v>
      </c>
      <c r="D120" s="88" t="s">
        <v>55</v>
      </c>
      <c r="E120" s="88" t="s">
        <v>201</v>
      </c>
      <c r="F120" s="89" t="s">
        <v>202</v>
      </c>
      <c r="G120" s="92"/>
      <c r="H120" s="92"/>
      <c r="I120" s="164" t="s">
        <v>229</v>
      </c>
      <c r="J120" s="164" t="str">
        <f>_xlfn.XLOOKUP(I120,[1]Sheet1!$A:$A,[1]Sheet1!$B:$B,"")</f>
        <v>U0301005</v>
      </c>
      <c r="K120" s="89" t="s">
        <v>230</v>
      </c>
      <c r="L120" s="89" t="s">
        <v>231</v>
      </c>
      <c r="M120" s="92"/>
      <c r="N120" s="89" t="s">
        <v>60</v>
      </c>
      <c r="O120" s="165"/>
      <c r="P120" s="88" t="s">
        <v>215</v>
      </c>
      <c r="Q120" s="92" t="s">
        <v>207</v>
      </c>
      <c r="R120" s="92">
        <v>11520</v>
      </c>
      <c r="S120" s="92" t="s">
        <v>232</v>
      </c>
      <c r="T120" s="92" t="s">
        <v>3863</v>
      </c>
      <c r="U120" s="155">
        <v>2.3E-2</v>
      </c>
      <c r="V120" s="207">
        <v>45</v>
      </c>
      <c r="W120" s="207">
        <v>45</v>
      </c>
      <c r="X120" s="207">
        <v>55</v>
      </c>
      <c r="Y120" s="207" t="s">
        <v>210</v>
      </c>
      <c r="Z120" s="133">
        <f t="shared" si="1"/>
        <v>0.66758241758241754</v>
      </c>
      <c r="AA120" s="133"/>
      <c r="AB120" s="161">
        <f t="shared" si="2"/>
        <v>0.57830197875683986</v>
      </c>
      <c r="AC120" s="161"/>
      <c r="AD120" s="213">
        <f t="shared" si="214"/>
        <v>0.1</v>
      </c>
      <c r="AE120" s="213">
        <v>0.1</v>
      </c>
      <c r="AF120" s="215">
        <v>0.46</v>
      </c>
      <c r="AG120" s="215" t="s">
        <v>5</v>
      </c>
      <c r="AH120" s="123">
        <f t="shared" si="269"/>
        <v>0.52047178088115587</v>
      </c>
      <c r="AI120" s="122">
        <f>1-(AX120/AH120)</f>
        <v>0.4</v>
      </c>
      <c r="AJ120" s="444"/>
      <c r="AK120" s="150">
        <f t="shared" si="5"/>
        <v>0.38571428571428568</v>
      </c>
      <c r="AL120" s="153">
        <f t="shared" si="266"/>
        <v>0.34698118725410393</v>
      </c>
      <c r="AM120" s="125">
        <f t="shared" si="7"/>
        <v>0.42222222222222228</v>
      </c>
      <c r="AN120" s="125">
        <f t="shared" si="197"/>
        <v>0.4</v>
      </c>
      <c r="AO120" s="166"/>
      <c r="AP120" s="17" t="s">
        <v>211</v>
      </c>
      <c r="AQ120" s="162"/>
      <c r="AR120" s="162"/>
      <c r="AS120" s="162"/>
      <c r="AT120" s="162">
        <v>0.1</v>
      </c>
      <c r="AU120" s="162">
        <v>2.33</v>
      </c>
      <c r="AV120" s="141">
        <f t="shared" si="0"/>
        <v>2.4300000000000002</v>
      </c>
      <c r="AW120" s="142">
        <f t="shared" si="267"/>
        <v>0.34714285714285714</v>
      </c>
      <c r="AX120" s="126">
        <f t="shared" si="268"/>
        <v>0.31228306852869353</v>
      </c>
      <c r="AY120" s="163"/>
      <c r="AZ120" s="128"/>
      <c r="BB120" s="161">
        <f t="shared" si="209"/>
        <v>1.9276732625227997</v>
      </c>
      <c r="BC120" s="161">
        <f t="shared" si="210"/>
        <v>1.1566039575136797</v>
      </c>
      <c r="BD120" s="161">
        <f t="shared" si="211"/>
        <v>0.96383663126139985</v>
      </c>
      <c r="BE120" s="161">
        <f t="shared" si="212"/>
        <v>0.77106930500911997</v>
      </c>
      <c r="BF120" s="32"/>
    </row>
    <row r="121" spans="1:59" s="129" customFormat="1" hidden="1">
      <c r="A121" s="88" t="s">
        <v>1302</v>
      </c>
      <c r="B121" s="88" t="s">
        <v>1317</v>
      </c>
      <c r="C121" s="88" t="s">
        <v>1318</v>
      </c>
      <c r="D121" s="88" t="s">
        <v>55</v>
      </c>
      <c r="E121" s="88" t="s">
        <v>201</v>
      </c>
      <c r="F121" s="89" t="s">
        <v>202</v>
      </c>
      <c r="G121" s="92"/>
      <c r="H121" s="92"/>
      <c r="I121" s="164" t="s">
        <v>233</v>
      </c>
      <c r="J121" s="164" t="str">
        <f>_xlfn.XLOOKUP(I121,[1]Sheet1!$A:$A,[1]Sheet1!$B:$B,"")</f>
        <v>U0301010</v>
      </c>
      <c r="K121" s="89" t="s">
        <v>234</v>
      </c>
      <c r="L121" s="89" t="s">
        <v>235</v>
      </c>
      <c r="M121" s="92"/>
      <c r="N121" s="89" t="s">
        <v>60</v>
      </c>
      <c r="O121" s="165"/>
      <c r="P121" s="88" t="s">
        <v>215</v>
      </c>
      <c r="Q121" s="92" t="s">
        <v>207</v>
      </c>
      <c r="R121" s="92">
        <v>4320</v>
      </c>
      <c r="S121" s="123" t="e">
        <v>#N/A</v>
      </c>
      <c r="T121" s="92" t="s">
        <v>3863</v>
      </c>
      <c r="U121" s="155">
        <v>2.3E-2</v>
      </c>
      <c r="V121" s="207">
        <v>45</v>
      </c>
      <c r="W121" s="207">
        <v>45</v>
      </c>
      <c r="X121" s="207">
        <v>55</v>
      </c>
      <c r="Y121" s="207" t="s">
        <v>210</v>
      </c>
      <c r="Z121" s="133">
        <f>AW121/(1-(AF121+2%))</f>
        <v>0.64835164835164849</v>
      </c>
      <c r="AA121" s="133"/>
      <c r="AB121" s="161">
        <f t="shared" si="2"/>
        <v>0.58230275666842835</v>
      </c>
      <c r="AC121" s="161"/>
      <c r="AD121" s="213">
        <f t="shared" si="214"/>
        <v>0.1</v>
      </c>
      <c r="AE121" s="213">
        <v>0.1</v>
      </c>
      <c r="AF121" s="215">
        <v>0.33</v>
      </c>
      <c r="AG121" s="215" t="s">
        <v>9</v>
      </c>
      <c r="AH121" s="148">
        <f t="shared" ref="AH121:AH126" si="271">AB121</f>
        <v>0.58230275666842835</v>
      </c>
      <c r="AI121" s="122">
        <f t="shared" ref="AI121:AI126" si="272">1-(AX121/AH121)</f>
        <v>0.33000000000000007</v>
      </c>
      <c r="AJ121" s="444"/>
      <c r="AK121" s="150">
        <f t="shared" si="5"/>
        <v>0.46825396825396826</v>
      </c>
      <c r="AL121" s="153">
        <f t="shared" si="266"/>
        <v>0.43349205218649661</v>
      </c>
      <c r="AM121" s="125">
        <f t="shared" si="7"/>
        <v>0.2777777777777779</v>
      </c>
      <c r="AN121" s="125">
        <f t="shared" si="197"/>
        <v>0.25555555555555565</v>
      </c>
      <c r="AO121" s="166"/>
      <c r="AP121" s="17" t="s">
        <v>1427</v>
      </c>
      <c r="AQ121" s="162"/>
      <c r="AR121" s="162"/>
      <c r="AS121" s="162"/>
      <c r="AT121" s="169">
        <v>0.25</v>
      </c>
      <c r="AU121" s="162">
        <v>2.7</v>
      </c>
      <c r="AV121" s="141">
        <f t="shared" si="0"/>
        <v>2.95</v>
      </c>
      <c r="AW121" s="142">
        <f t="shared" si="267"/>
        <v>0.42142857142857143</v>
      </c>
      <c r="AX121" s="126">
        <f t="shared" si="268"/>
        <v>0.39014284696784696</v>
      </c>
      <c r="AY121" s="130" t="s">
        <v>1428</v>
      </c>
      <c r="AZ121" s="128"/>
      <c r="BB121" s="161">
        <f t="shared" si="209"/>
        <v>1.9410091888947612</v>
      </c>
      <c r="BC121" s="161">
        <f t="shared" si="210"/>
        <v>1.1646055133368567</v>
      </c>
      <c r="BD121" s="161">
        <f t="shared" si="211"/>
        <v>0.97050459444738058</v>
      </c>
      <c r="BE121" s="161">
        <f t="shared" si="212"/>
        <v>0.77640367555790446</v>
      </c>
      <c r="BF121" s="32"/>
    </row>
    <row r="122" spans="1:59" s="129" customFormat="1" hidden="1">
      <c r="A122" s="88" t="s">
        <v>1302</v>
      </c>
      <c r="B122" s="88" t="s">
        <v>1317</v>
      </c>
      <c r="C122" s="88" t="s">
        <v>1318</v>
      </c>
      <c r="D122" s="88" t="s">
        <v>55</v>
      </c>
      <c r="E122" s="88" t="s">
        <v>201</v>
      </c>
      <c r="F122" s="89" t="s">
        <v>202</v>
      </c>
      <c r="G122" s="92"/>
      <c r="H122" s="92"/>
      <c r="I122" s="164" t="s">
        <v>236</v>
      </c>
      <c r="J122" s="164" t="str">
        <f>_xlfn.XLOOKUP(I122,[1]Sheet1!$A:$A,[1]Sheet1!$B:$B,"")</f>
        <v>U0301011</v>
      </c>
      <c r="K122" s="89" t="s">
        <v>237</v>
      </c>
      <c r="L122" s="89" t="s">
        <v>2584</v>
      </c>
      <c r="M122" s="92"/>
      <c r="N122" s="89" t="s">
        <v>60</v>
      </c>
      <c r="O122" s="165"/>
      <c r="P122" s="88" t="s">
        <v>215</v>
      </c>
      <c r="Q122" s="92" t="s">
        <v>207</v>
      </c>
      <c r="R122" s="92">
        <v>4320</v>
      </c>
      <c r="S122" s="123" t="e">
        <v>#N/A</v>
      </c>
      <c r="T122" s="92" t="s">
        <v>3863</v>
      </c>
      <c r="U122" s="155">
        <v>2.3E-2</v>
      </c>
      <c r="V122" s="207">
        <v>45</v>
      </c>
      <c r="W122" s="207">
        <v>45</v>
      </c>
      <c r="X122" s="207">
        <v>55</v>
      </c>
      <c r="Y122" s="207" t="s">
        <v>210</v>
      </c>
      <c r="Z122" s="133">
        <f t="shared" si="1"/>
        <v>0.74725274725274737</v>
      </c>
      <c r="AA122" s="133"/>
      <c r="AB122" s="161">
        <f t="shared" si="2"/>
        <v>0.66651712439025879</v>
      </c>
      <c r="AC122" s="161"/>
      <c r="AD122" s="213">
        <f t="shared" si="214"/>
        <v>0.1</v>
      </c>
      <c r="AE122" s="213">
        <v>0.1</v>
      </c>
      <c r="AF122" s="215">
        <v>0.33</v>
      </c>
      <c r="AG122" s="215" t="s">
        <v>9</v>
      </c>
      <c r="AH122" s="148">
        <f t="shared" si="271"/>
        <v>0.66651712439025879</v>
      </c>
      <c r="AI122" s="122">
        <f t="shared" si="272"/>
        <v>0.33000000000000007</v>
      </c>
      <c r="AJ122" s="444"/>
      <c r="AK122" s="150">
        <f t="shared" si="5"/>
        <v>0.53968253968253965</v>
      </c>
      <c r="AL122" s="153">
        <f t="shared" si="266"/>
        <v>0.49618497037941484</v>
      </c>
      <c r="AM122" s="125">
        <f>1-(AK122/Z122)</f>
        <v>0.2777777777777779</v>
      </c>
      <c r="AN122" s="125">
        <f t="shared" si="197"/>
        <v>0.25555555555555565</v>
      </c>
      <c r="AO122" s="166"/>
      <c r="AP122" s="17" t="s">
        <v>1427</v>
      </c>
      <c r="AQ122" s="162"/>
      <c r="AR122" s="162"/>
      <c r="AS122" s="162"/>
      <c r="AT122" s="169">
        <v>0.25</v>
      </c>
      <c r="AU122" s="162">
        <v>3.15</v>
      </c>
      <c r="AV122" s="141">
        <f t="shared" si="0"/>
        <v>3.4</v>
      </c>
      <c r="AW122" s="142">
        <f t="shared" si="267"/>
        <v>0.48571428571428571</v>
      </c>
      <c r="AX122" s="126">
        <f t="shared" si="268"/>
        <v>0.44656647334147337</v>
      </c>
      <c r="AY122" s="130" t="s">
        <v>1429</v>
      </c>
      <c r="AZ122" s="128"/>
      <c r="BB122" s="322">
        <f t="shared" si="209"/>
        <v>2.2217237479675296</v>
      </c>
      <c r="BC122" s="322">
        <f t="shared" si="210"/>
        <v>1.3330342487805178</v>
      </c>
      <c r="BD122" s="322">
        <f t="shared" si="211"/>
        <v>1.1108618739837648</v>
      </c>
      <c r="BE122" s="322">
        <f t="shared" si="212"/>
        <v>0.8886894991870119</v>
      </c>
      <c r="BF122" s="32"/>
    </row>
    <row r="123" spans="1:59" s="129" customFormat="1" hidden="1">
      <c r="A123" s="88" t="s">
        <v>1276</v>
      </c>
      <c r="B123" s="88" t="s">
        <v>1317</v>
      </c>
      <c r="C123" s="88" t="s">
        <v>1318</v>
      </c>
      <c r="D123" s="88" t="s">
        <v>1303</v>
      </c>
      <c r="E123" s="88" t="s">
        <v>3439</v>
      </c>
      <c r="F123" s="89" t="s">
        <v>3436</v>
      </c>
      <c r="G123" s="92"/>
      <c r="H123" s="92"/>
      <c r="I123" s="164" t="s">
        <v>3696</v>
      </c>
      <c r="J123" s="164" t="s">
        <v>3692</v>
      </c>
      <c r="K123" s="89" t="s">
        <v>3437</v>
      </c>
      <c r="L123" s="437" t="s">
        <v>3756</v>
      </c>
      <c r="M123" s="92"/>
      <c r="N123" s="89" t="s">
        <v>1295</v>
      </c>
      <c r="O123" s="165"/>
      <c r="P123" s="88" t="s">
        <v>206</v>
      </c>
      <c r="Q123" s="92" t="s">
        <v>3440</v>
      </c>
      <c r="R123" s="92">
        <v>4320</v>
      </c>
      <c r="S123" s="123"/>
      <c r="T123" s="92" t="s">
        <v>3863</v>
      </c>
      <c r="U123" s="155">
        <v>2.3E-2</v>
      </c>
      <c r="V123" s="207">
        <v>35</v>
      </c>
      <c r="W123" s="207">
        <v>35</v>
      </c>
      <c r="X123" s="207">
        <v>35</v>
      </c>
      <c r="Y123" s="207" t="s">
        <v>3441</v>
      </c>
      <c r="Z123" s="133">
        <f>AW123/(1-(AF123+2%))</f>
        <v>1.3538461538461541</v>
      </c>
      <c r="AA123" s="133"/>
      <c r="AB123" s="161">
        <f>AX123/(1-AF123)</f>
        <v>1.1830319130841522</v>
      </c>
      <c r="AC123" s="161"/>
      <c r="AD123" s="213">
        <f>AE123</f>
        <v>0.1</v>
      </c>
      <c r="AE123" s="213">
        <v>0.1</v>
      </c>
      <c r="AF123" s="215">
        <v>0.33</v>
      </c>
      <c r="AG123" s="215" t="s">
        <v>9</v>
      </c>
      <c r="AH123" s="148">
        <f>AB123</f>
        <v>1.1830319130841522</v>
      </c>
      <c r="AI123" s="122">
        <f>1-(AX123/AH123)</f>
        <v>0.33000000000000007</v>
      </c>
      <c r="AJ123" s="444"/>
      <c r="AK123" s="150">
        <f>AW123/(1-AD123)</f>
        <v>0.97777777777777775</v>
      </c>
      <c r="AL123" s="153">
        <f>AX123/(1-AE123)</f>
        <v>0.88070153529597994</v>
      </c>
      <c r="AM123" s="125">
        <f>1-(AK123/Z123)</f>
        <v>0.27777777777777801</v>
      </c>
      <c r="AN123" s="125">
        <f>1-(AL123/AB123)</f>
        <v>0.25555555555555565</v>
      </c>
      <c r="AO123" s="166"/>
      <c r="AP123" s="17" t="s">
        <v>3438</v>
      </c>
      <c r="AQ123" s="162"/>
      <c r="AR123" s="162"/>
      <c r="AS123" s="162"/>
      <c r="AT123" s="169"/>
      <c r="AU123" s="162"/>
      <c r="AV123" s="141"/>
      <c r="AW123" s="142">
        <v>0.88</v>
      </c>
      <c r="AX123" s="126">
        <f>(AW123/$F$6)+(($F$9+$G$9)/40/R123)+AW123*U123</f>
        <v>0.79263138176638193</v>
      </c>
      <c r="AY123" s="130" t="s">
        <v>3442</v>
      </c>
      <c r="AZ123" s="128"/>
      <c r="BB123" s="161">
        <f>AB123/0.3</f>
        <v>3.9434397102805074</v>
      </c>
      <c r="BC123" s="161">
        <f>BB123*0.6</f>
        <v>2.3660638261683045</v>
      </c>
      <c r="BD123" s="161">
        <f>BB123*0.5</f>
        <v>1.9717198551402537</v>
      </c>
      <c r="BE123" s="161">
        <f>BB123*0.4</f>
        <v>1.577375884112203</v>
      </c>
      <c r="BF123" s="32"/>
    </row>
    <row r="124" spans="1:59" s="129" customFormat="1" hidden="1">
      <c r="A124" s="88" t="s">
        <v>1276</v>
      </c>
      <c r="B124" s="88" t="s">
        <v>1317</v>
      </c>
      <c r="C124" s="88" t="s">
        <v>1318</v>
      </c>
      <c r="D124" s="88" t="s">
        <v>1303</v>
      </c>
      <c r="E124" s="88" t="s">
        <v>3439</v>
      </c>
      <c r="F124" s="89" t="s">
        <v>3436</v>
      </c>
      <c r="G124" s="92"/>
      <c r="H124" s="92"/>
      <c r="I124" s="164" t="s">
        <v>3474</v>
      </c>
      <c r="J124" s="164"/>
      <c r="K124" s="89" t="s">
        <v>3437</v>
      </c>
      <c r="L124" s="89" t="s">
        <v>3475</v>
      </c>
      <c r="M124" s="92"/>
      <c r="N124" s="89" t="s">
        <v>1295</v>
      </c>
      <c r="O124" s="165"/>
      <c r="P124" s="88" t="s">
        <v>206</v>
      </c>
      <c r="Q124" s="92" t="s">
        <v>3440</v>
      </c>
      <c r="R124" s="92">
        <v>4320</v>
      </c>
      <c r="S124" s="123"/>
      <c r="T124" s="92" t="s">
        <v>3863</v>
      </c>
      <c r="U124" s="155">
        <v>2.3E-2</v>
      </c>
      <c r="V124" s="207">
        <v>35</v>
      </c>
      <c r="W124" s="207">
        <v>35</v>
      </c>
      <c r="X124" s="207">
        <v>35</v>
      </c>
      <c r="Y124" s="207" t="s">
        <v>3441</v>
      </c>
      <c r="Z124" s="133">
        <f>AW124/(1-(AF124+2%))</f>
        <v>1.4615384615384617</v>
      </c>
      <c r="AA124" s="133"/>
      <c r="AB124" s="161">
        <f>AX124/(1-AF124)</f>
        <v>1.2747320023812563</v>
      </c>
      <c r="AC124" s="161"/>
      <c r="AD124" s="213">
        <f>AE124</f>
        <v>0.1</v>
      </c>
      <c r="AE124" s="213">
        <v>0.1</v>
      </c>
      <c r="AF124" s="215">
        <v>0.33</v>
      </c>
      <c r="AG124" s="215" t="s">
        <v>9</v>
      </c>
      <c r="AH124" s="148">
        <f>AB124</f>
        <v>1.2747320023812563</v>
      </c>
      <c r="AI124" s="122">
        <f>1-(AX124/AH124)</f>
        <v>0.33000000000000007</v>
      </c>
      <c r="AJ124" s="444"/>
      <c r="AK124" s="150">
        <f>AW124/(1-AD124)</f>
        <v>1.0555555555555556</v>
      </c>
      <c r="AL124" s="153">
        <f>AX124/(1-AE124)</f>
        <v>0.94896715732826853</v>
      </c>
      <c r="AM124" s="125">
        <f>1-(AK124/Z124)</f>
        <v>0.27777777777777779</v>
      </c>
      <c r="AN124" s="125">
        <f>1-(AL124/AB124)</f>
        <v>0.25555555555555554</v>
      </c>
      <c r="AO124" s="166"/>
      <c r="AP124" s="17" t="s">
        <v>3438</v>
      </c>
      <c r="AQ124" s="162"/>
      <c r="AR124" s="162"/>
      <c r="AS124" s="162"/>
      <c r="AT124" s="169"/>
      <c r="AU124" s="162"/>
      <c r="AV124" s="141"/>
      <c r="AW124" s="142">
        <v>0.95</v>
      </c>
      <c r="AX124" s="126">
        <f>(AW124/$F$6)+(($F$9+$G$9)/40/R124)+AW124*U124</f>
        <v>0.85407044159544165</v>
      </c>
      <c r="AY124" s="130"/>
      <c r="AZ124" s="128"/>
      <c r="BB124" s="322">
        <f>AB124/0.3</f>
        <v>4.2491066746041879</v>
      </c>
      <c r="BC124" s="322">
        <f>BB124*0.6</f>
        <v>2.5494640047625126</v>
      </c>
      <c r="BD124" s="322">
        <f>BB124*0.5</f>
        <v>2.1245533373020939</v>
      </c>
      <c r="BE124" s="322">
        <f>BB124*0.4</f>
        <v>1.6996426698416753</v>
      </c>
      <c r="BF124" s="32"/>
    </row>
    <row r="125" spans="1:59" s="129" customFormat="1" hidden="1">
      <c r="A125" s="90" t="s">
        <v>1302</v>
      </c>
      <c r="B125" s="88" t="s">
        <v>1317</v>
      </c>
      <c r="C125" s="88" t="s">
        <v>1318</v>
      </c>
      <c r="D125" s="90" t="s">
        <v>55</v>
      </c>
      <c r="E125" s="90" t="s">
        <v>201</v>
      </c>
      <c r="F125" s="90" t="s">
        <v>202</v>
      </c>
      <c r="G125" s="131"/>
      <c r="H125" s="92"/>
      <c r="I125" s="167" t="s">
        <v>238</v>
      </c>
      <c r="J125" s="167" t="str">
        <f>_xlfn.XLOOKUP(I125,[1]Sheet1!$A:$A,[1]Sheet1!$B:$B,"")</f>
        <v>U0301009</v>
      </c>
      <c r="K125" s="90" t="s">
        <v>239</v>
      </c>
      <c r="L125" s="90" t="s">
        <v>240</v>
      </c>
      <c r="M125" s="92"/>
      <c r="N125" s="89" t="s">
        <v>60</v>
      </c>
      <c r="O125" s="92"/>
      <c r="P125" s="88" t="s">
        <v>241</v>
      </c>
      <c r="Q125" s="92" t="s">
        <v>242</v>
      </c>
      <c r="R125" s="92">
        <v>2000</v>
      </c>
      <c r="S125" s="92" t="e">
        <v>#N/A</v>
      </c>
      <c r="T125" s="92" t="s">
        <v>3863</v>
      </c>
      <c r="U125" s="155">
        <v>2.3E-2</v>
      </c>
      <c r="V125" s="207">
        <v>45</v>
      </c>
      <c r="W125" s="207">
        <v>45</v>
      </c>
      <c r="X125" s="207">
        <v>55</v>
      </c>
      <c r="Y125" s="207" t="s">
        <v>210</v>
      </c>
      <c r="Z125" s="133">
        <f t="shared" si="1"/>
        <v>0.70989010989010992</v>
      </c>
      <c r="AA125" s="133"/>
      <c r="AB125" s="161">
        <f t="shared" si="2"/>
        <v>0.66977052466604714</v>
      </c>
      <c r="AC125" s="161"/>
      <c r="AD125" s="213">
        <f t="shared" si="214"/>
        <v>0.1</v>
      </c>
      <c r="AE125" s="213">
        <v>0.1</v>
      </c>
      <c r="AF125" s="215">
        <v>0.33</v>
      </c>
      <c r="AG125" s="215" t="s">
        <v>9</v>
      </c>
      <c r="AH125" s="148">
        <f t="shared" si="271"/>
        <v>0.66977052466604714</v>
      </c>
      <c r="AI125" s="122">
        <f t="shared" si="272"/>
        <v>0.33000000000000007</v>
      </c>
      <c r="AJ125" s="444"/>
      <c r="AK125" s="150">
        <f t="shared" si="5"/>
        <v>0.51269841269841265</v>
      </c>
      <c r="AL125" s="153">
        <f t="shared" si="266"/>
        <v>0.49860694614027945</v>
      </c>
      <c r="AM125" s="125">
        <f t="shared" si="7"/>
        <v>0.2777777777777779</v>
      </c>
      <c r="AN125" s="125">
        <f t="shared" si="197"/>
        <v>0.25555555555555565</v>
      </c>
      <c r="AO125" s="166"/>
      <c r="AP125" s="17" t="s">
        <v>211</v>
      </c>
      <c r="AQ125" s="162"/>
      <c r="AR125" s="162"/>
      <c r="AS125" s="162"/>
      <c r="AT125" s="169">
        <v>0.5</v>
      </c>
      <c r="AU125" s="162">
        <v>2.73</v>
      </c>
      <c r="AV125" s="141">
        <f t="shared" si="0"/>
        <v>3.23</v>
      </c>
      <c r="AW125" s="142">
        <f t="shared" si="267"/>
        <v>0.46142857142857141</v>
      </c>
      <c r="AX125" s="126">
        <f t="shared" si="268"/>
        <v>0.44874625152625153</v>
      </c>
      <c r="AY125" s="130" t="s">
        <v>243</v>
      </c>
      <c r="AZ125" s="128"/>
      <c r="BB125" s="161">
        <f t="shared" si="209"/>
        <v>2.2325684155534904</v>
      </c>
      <c r="BC125" s="161">
        <f t="shared" si="210"/>
        <v>1.3395410493320943</v>
      </c>
      <c r="BD125" s="161">
        <f t="shared" si="211"/>
        <v>1.1162842077767452</v>
      </c>
      <c r="BE125" s="161">
        <f t="shared" si="212"/>
        <v>0.89302736622139622</v>
      </c>
      <c r="BF125" s="32"/>
    </row>
    <row r="126" spans="1:59" s="129" customFormat="1" hidden="1">
      <c r="A126" s="90" t="s">
        <v>1302</v>
      </c>
      <c r="B126" s="88" t="s">
        <v>1317</v>
      </c>
      <c r="C126" s="88" t="s">
        <v>1318</v>
      </c>
      <c r="D126" s="90" t="s">
        <v>55</v>
      </c>
      <c r="E126" s="90" t="s">
        <v>201</v>
      </c>
      <c r="F126" s="90" t="s">
        <v>202</v>
      </c>
      <c r="G126" s="131"/>
      <c r="H126" s="92"/>
      <c r="I126" s="167" t="s">
        <v>244</v>
      </c>
      <c r="J126" s="167" t="str">
        <f>_xlfn.XLOOKUP(I126,[1]Sheet1!$A:$A,[1]Sheet1!$B:$B,"")</f>
        <v>U0301008</v>
      </c>
      <c r="K126" s="90" t="s">
        <v>245</v>
      </c>
      <c r="L126" s="90" t="s">
        <v>246</v>
      </c>
      <c r="M126" s="92"/>
      <c r="N126" s="89" t="s">
        <v>60</v>
      </c>
      <c r="O126" s="92"/>
      <c r="P126" s="88" t="s">
        <v>241</v>
      </c>
      <c r="Q126" s="92" t="s">
        <v>242</v>
      </c>
      <c r="R126" s="92">
        <v>2000</v>
      </c>
      <c r="S126" s="92" t="e">
        <v>#N/A</v>
      </c>
      <c r="T126" s="92" t="s">
        <v>3863</v>
      </c>
      <c r="U126" s="155">
        <v>2.3E-2</v>
      </c>
      <c r="V126" s="207">
        <v>45</v>
      </c>
      <c r="W126" s="207">
        <v>45</v>
      </c>
      <c r="X126" s="207">
        <v>55</v>
      </c>
      <c r="Y126" s="207" t="s">
        <v>210</v>
      </c>
      <c r="Z126" s="133">
        <f t="shared" ref="Z126:Z203" si="273">AW126/(1-(AF126+2%))</f>
        <v>0.58145363408521311</v>
      </c>
      <c r="AA126" s="133"/>
      <c r="AB126" s="161">
        <f t="shared" si="2"/>
        <v>0.56719515324600089</v>
      </c>
      <c r="AC126" s="161"/>
      <c r="AD126" s="213">
        <f t="shared" si="214"/>
        <v>0.1</v>
      </c>
      <c r="AE126" s="213">
        <v>0.1</v>
      </c>
      <c r="AF126" s="215">
        <v>0.41000000000000003</v>
      </c>
      <c r="AG126" s="215" t="s">
        <v>9</v>
      </c>
      <c r="AH126" s="148">
        <f t="shared" si="271"/>
        <v>0.56719515324600089</v>
      </c>
      <c r="AI126" s="122">
        <f t="shared" si="272"/>
        <v>0.41000000000000003</v>
      </c>
      <c r="AJ126" s="444"/>
      <c r="AK126" s="150">
        <f t="shared" si="5"/>
        <v>0.36825396825396828</v>
      </c>
      <c r="AL126" s="153">
        <f t="shared" si="266"/>
        <v>0.37182793379460055</v>
      </c>
      <c r="AM126" s="125">
        <f t="shared" si="7"/>
        <v>0.3666666666666667</v>
      </c>
      <c r="AN126" s="125">
        <f t="shared" si="197"/>
        <v>0.34444444444444455</v>
      </c>
      <c r="AO126" s="166"/>
      <c r="AP126" s="17" t="s">
        <v>211</v>
      </c>
      <c r="AQ126" s="162"/>
      <c r="AR126" s="162"/>
      <c r="AS126" s="162"/>
      <c r="AT126" s="169">
        <v>0.5</v>
      </c>
      <c r="AU126" s="169">
        <v>1.82</v>
      </c>
      <c r="AV126" s="191">
        <f t="shared" si="0"/>
        <v>2.3200000000000003</v>
      </c>
      <c r="AW126" s="142">
        <f t="shared" si="267"/>
        <v>0.33142857142857146</v>
      </c>
      <c r="AX126" s="126">
        <f t="shared" si="268"/>
        <v>0.33464514041514049</v>
      </c>
      <c r="AY126" s="163" t="s">
        <v>247</v>
      </c>
      <c r="AZ126" s="128"/>
      <c r="BB126" s="161">
        <f t="shared" si="209"/>
        <v>1.8906505108200031</v>
      </c>
      <c r="BC126" s="161">
        <f t="shared" si="210"/>
        <v>1.1343903064920018</v>
      </c>
      <c r="BD126" s="161">
        <f t="shared" si="211"/>
        <v>0.94532525541000156</v>
      </c>
      <c r="BE126" s="161">
        <f t="shared" si="212"/>
        <v>0.75626020432800134</v>
      </c>
      <c r="BF126" s="32"/>
    </row>
    <row r="127" spans="1:59" s="129" customFormat="1" hidden="1">
      <c r="A127" s="88" t="s">
        <v>1302</v>
      </c>
      <c r="B127" s="88" t="s">
        <v>1317</v>
      </c>
      <c r="C127" s="88" t="s">
        <v>1318</v>
      </c>
      <c r="D127" s="88" t="s">
        <v>55</v>
      </c>
      <c r="E127" s="89" t="s">
        <v>201</v>
      </c>
      <c r="F127" s="89" t="s">
        <v>202</v>
      </c>
      <c r="G127" s="92"/>
      <c r="H127" s="92"/>
      <c r="I127" s="164" t="s">
        <v>1444</v>
      </c>
      <c r="J127" s="164" t="str">
        <f>_xlfn.XLOOKUP(I127,[1]Sheet1!$A:$A,[1]Sheet1!$B:$B,"")</f>
        <v/>
      </c>
      <c r="K127" s="89" t="s">
        <v>1443</v>
      </c>
      <c r="L127" s="89" t="s">
        <v>1448</v>
      </c>
      <c r="M127" s="92"/>
      <c r="N127" s="89" t="s">
        <v>60</v>
      </c>
      <c r="O127" s="165"/>
      <c r="P127" s="88" t="s">
        <v>1445</v>
      </c>
      <c r="Q127" s="92" t="s">
        <v>248</v>
      </c>
      <c r="R127" s="92">
        <f>720*18</f>
        <v>12960</v>
      </c>
      <c r="S127" s="92" t="e">
        <v>#N/A</v>
      </c>
      <c r="T127" s="92" t="s">
        <v>3863</v>
      </c>
      <c r="U127" s="155">
        <v>2.3E-2</v>
      </c>
      <c r="V127" s="207">
        <v>45</v>
      </c>
      <c r="W127" s="207">
        <v>45</v>
      </c>
      <c r="X127" s="207">
        <v>55</v>
      </c>
      <c r="Y127" s="207" t="s">
        <v>210</v>
      </c>
      <c r="Z127" s="133">
        <f t="shared" si="273"/>
        <v>0.2461538461538462</v>
      </c>
      <c r="AA127" s="133"/>
      <c r="AB127" s="212">
        <f t="shared" si="2"/>
        <v>0.21967713427166163</v>
      </c>
      <c r="AC127" s="212"/>
      <c r="AD127" s="213">
        <f t="shared" si="214"/>
        <v>0.1</v>
      </c>
      <c r="AE127" s="213">
        <v>0.1</v>
      </c>
      <c r="AF127" s="215">
        <v>0.33</v>
      </c>
      <c r="AG127" s="215" t="s">
        <v>5</v>
      </c>
      <c r="AH127" s="123">
        <f>AB127*(1-$AH$3)</f>
        <v>0.19770942084449547</v>
      </c>
      <c r="AI127" s="122">
        <f t="shared" si="270"/>
        <v>0.25555555555555565</v>
      </c>
      <c r="AJ127" s="444"/>
      <c r="AK127" s="150">
        <f t="shared" si="5"/>
        <v>0.17777777777777778</v>
      </c>
      <c r="AL127" s="153">
        <f t="shared" si="266"/>
        <v>0.16353742218001477</v>
      </c>
      <c r="AM127" s="125">
        <f t="shared" si="7"/>
        <v>0.2777777777777779</v>
      </c>
      <c r="AN127" s="125">
        <f t="shared" si="197"/>
        <v>0.25555555555555554</v>
      </c>
      <c r="AO127" s="166"/>
      <c r="AP127" s="17" t="s">
        <v>249</v>
      </c>
      <c r="AQ127" s="162"/>
      <c r="AR127" s="162"/>
      <c r="AS127" s="162"/>
      <c r="AT127" s="162"/>
      <c r="AU127" s="162">
        <v>1.1200000000000001</v>
      </c>
      <c r="AV127" s="141">
        <f t="shared" si="0"/>
        <v>1.1200000000000001</v>
      </c>
      <c r="AW127" s="152">
        <f t="shared" si="267"/>
        <v>0.16</v>
      </c>
      <c r="AX127" s="153">
        <f t="shared" si="268"/>
        <v>0.14718367996201329</v>
      </c>
      <c r="AY127" s="147" t="s">
        <v>250</v>
      </c>
      <c r="AZ127" s="128"/>
      <c r="BB127" s="123">
        <f t="shared" si="209"/>
        <v>0.73225711423887219</v>
      </c>
      <c r="BC127" s="123">
        <f t="shared" si="210"/>
        <v>0.43935426854332332</v>
      </c>
      <c r="BD127" s="123">
        <f t="shared" si="211"/>
        <v>0.36612855711943609</v>
      </c>
      <c r="BE127" s="123">
        <f t="shared" si="212"/>
        <v>0.29290284569554886</v>
      </c>
      <c r="BF127" s="32"/>
    </row>
    <row r="128" spans="1:59" s="129" customFormat="1" hidden="1">
      <c r="A128" s="90" t="s">
        <v>1276</v>
      </c>
      <c r="B128" s="88" t="s">
        <v>1317</v>
      </c>
      <c r="C128" s="88" t="s">
        <v>1317</v>
      </c>
      <c r="D128" s="90" t="s">
        <v>55</v>
      </c>
      <c r="E128" s="90" t="s">
        <v>251</v>
      </c>
      <c r="F128" s="90" t="s">
        <v>252</v>
      </c>
      <c r="G128" s="131" t="s">
        <v>1496</v>
      </c>
      <c r="H128" s="92"/>
      <c r="I128" s="167" t="s">
        <v>1757</v>
      </c>
      <c r="J128" s="167" t="str">
        <f>_xlfn.XLOOKUP(I128,[1]Sheet1!$A:$A,[1]Sheet1!$B:$B,"")</f>
        <v/>
      </c>
      <c r="K128" s="90" t="s">
        <v>1765</v>
      </c>
      <c r="L128" s="90" t="s">
        <v>2597</v>
      </c>
      <c r="M128" s="92"/>
      <c r="N128" s="89" t="s">
        <v>60</v>
      </c>
      <c r="O128" s="92"/>
      <c r="P128" s="88" t="s">
        <v>1766</v>
      </c>
      <c r="Q128" s="92" t="s">
        <v>256</v>
      </c>
      <c r="R128" s="92">
        <v>8064</v>
      </c>
      <c r="S128" s="92" t="e">
        <v>#N/A</v>
      </c>
      <c r="T128" s="92" t="s">
        <v>257</v>
      </c>
      <c r="U128" s="155">
        <v>2.3E-2</v>
      </c>
      <c r="V128" s="207">
        <v>45</v>
      </c>
      <c r="W128" s="207">
        <v>45</v>
      </c>
      <c r="X128" s="207">
        <v>55</v>
      </c>
      <c r="Y128" s="207" t="s">
        <v>258</v>
      </c>
      <c r="Z128" s="133">
        <f t="shared" ref="Z128:Z130" si="274">AW128/(1-(AF128+2%))</f>
        <v>0</v>
      </c>
      <c r="AA128" s="133"/>
      <c r="AB128" s="161">
        <f t="shared" ref="AB128:AB130" si="275">AX128/(1-AF128)</f>
        <v>1.486396499238965E-2</v>
      </c>
      <c r="AC128" s="161"/>
      <c r="AD128" s="213">
        <f t="shared" ref="AD128:AD130" si="276">AE128</f>
        <v>0.1</v>
      </c>
      <c r="AE128" s="213">
        <v>0.1</v>
      </c>
      <c r="AF128" s="215">
        <v>0.27</v>
      </c>
      <c r="AG128" s="215" t="s">
        <v>9</v>
      </c>
      <c r="AH128" s="148">
        <f t="shared" ref="AH128:AH141" si="277">AB128</f>
        <v>1.486396499238965E-2</v>
      </c>
      <c r="AI128" s="122">
        <f t="shared" ref="AI128:AI130" si="278">1-(AX128/AH128)</f>
        <v>0.27</v>
      </c>
      <c r="AJ128" s="444"/>
      <c r="AK128" s="150">
        <f t="shared" ref="AK128:AK130" si="279">AW128/(1-AD128)</f>
        <v>0</v>
      </c>
      <c r="AL128" s="153">
        <f t="shared" si="266"/>
        <v>1.2056327160493827E-2</v>
      </c>
      <c r="AM128" s="125" t="e">
        <f>1-(AK128/Z128)</f>
        <v>#DIV/0!</v>
      </c>
      <c r="AN128" s="125">
        <f t="shared" ref="AN128:AN130" si="280">1-(AL128/AB128)</f>
        <v>0.18888888888888888</v>
      </c>
      <c r="AO128" s="140"/>
      <c r="AP128" s="17" t="s">
        <v>1495</v>
      </c>
      <c r="AQ128" s="162"/>
      <c r="AR128" s="162"/>
      <c r="AS128" s="162"/>
      <c r="AT128" s="162"/>
      <c r="AU128" s="169"/>
      <c r="AV128" s="141">
        <f t="shared" ref="AV128:AV130" si="281">AT128+AU128</f>
        <v>0</v>
      </c>
      <c r="AW128" s="142">
        <f t="shared" ref="AW128:AW130" si="282">(AT128+AU128)/$F$5</f>
        <v>0</v>
      </c>
      <c r="AX128" s="126">
        <f t="shared" ref="AX128:AX130" si="283">(AW128/$F$6)+(($F$9+$G$9)/40/R128)+AW128*U128</f>
        <v>1.0850694444444444E-2</v>
      </c>
      <c r="AY128" s="127"/>
      <c r="AZ128" s="128" t="s">
        <v>260</v>
      </c>
      <c r="BB128" s="168">
        <f t="shared" si="209"/>
        <v>4.9546549974632169E-2</v>
      </c>
      <c r="BC128" s="168">
        <f t="shared" si="210"/>
        <v>2.97279299847793E-2</v>
      </c>
      <c r="BD128" s="168">
        <f t="shared" si="211"/>
        <v>2.4773274987316084E-2</v>
      </c>
      <c r="BE128" s="168">
        <f t="shared" si="212"/>
        <v>1.9818619989852869E-2</v>
      </c>
      <c r="BF128" s="32"/>
    </row>
    <row r="129" spans="1:59" s="129" customFormat="1" hidden="1">
      <c r="A129" s="90" t="s">
        <v>1276</v>
      </c>
      <c r="B129" s="88" t="s">
        <v>1318</v>
      </c>
      <c r="C129" s="88" t="s">
        <v>1318</v>
      </c>
      <c r="D129" s="90" t="s">
        <v>55</v>
      </c>
      <c r="E129" s="90" t="s">
        <v>251</v>
      </c>
      <c r="F129" s="90" t="s">
        <v>252</v>
      </c>
      <c r="G129" s="131" t="s">
        <v>253</v>
      </c>
      <c r="H129" s="92"/>
      <c r="I129" s="167" t="s">
        <v>1758</v>
      </c>
      <c r="J129" s="167" t="str">
        <f>_xlfn.XLOOKUP(I129,[1]Sheet1!$A:$A,[1]Sheet1!$B:$B,"")</f>
        <v/>
      </c>
      <c r="K129" s="90" t="s">
        <v>1764</v>
      </c>
      <c r="L129" s="90" t="s">
        <v>2596</v>
      </c>
      <c r="M129" s="92"/>
      <c r="N129" s="89" t="s">
        <v>60</v>
      </c>
      <c r="O129" s="92"/>
      <c r="P129" s="88" t="s">
        <v>1766</v>
      </c>
      <c r="Q129" s="92" t="s">
        <v>256</v>
      </c>
      <c r="R129" s="92">
        <v>8064</v>
      </c>
      <c r="S129" s="92" t="e">
        <v>#N/A</v>
      </c>
      <c r="T129" s="92" t="s">
        <v>257</v>
      </c>
      <c r="U129" s="155">
        <v>2.3E-2</v>
      </c>
      <c r="V129" s="207">
        <v>45</v>
      </c>
      <c r="W129" s="207">
        <v>45</v>
      </c>
      <c r="X129" s="207">
        <v>55</v>
      </c>
      <c r="Y129" s="207" t="s">
        <v>258</v>
      </c>
      <c r="Z129" s="133">
        <f t="shared" si="274"/>
        <v>1.7164835164835166</v>
      </c>
      <c r="AA129" s="133"/>
      <c r="AB129" s="161">
        <f t="shared" si="275"/>
        <v>1.4777822039072042</v>
      </c>
      <c r="AC129" s="161"/>
      <c r="AD129" s="213">
        <f t="shared" si="276"/>
        <v>0.1</v>
      </c>
      <c r="AE129" s="213">
        <v>0.1</v>
      </c>
      <c r="AF129" s="215">
        <v>0.33</v>
      </c>
      <c r="AG129" s="215" t="s">
        <v>9</v>
      </c>
      <c r="AH129" s="148">
        <f t="shared" si="277"/>
        <v>1.4777822039072042</v>
      </c>
      <c r="AI129" s="122">
        <f t="shared" si="278"/>
        <v>0.33000000000000007</v>
      </c>
      <c r="AJ129" s="444"/>
      <c r="AK129" s="150">
        <f t="shared" si="279"/>
        <v>1.2396825396825395</v>
      </c>
      <c r="AL129" s="153">
        <f t="shared" si="266"/>
        <v>1.1001267517975852</v>
      </c>
      <c r="AM129" s="125">
        <f t="shared" ref="AM129:AM130" si="284">1-(AK129/Z129)</f>
        <v>0.2777777777777779</v>
      </c>
      <c r="AN129" s="125">
        <f t="shared" si="280"/>
        <v>0.25555555555555565</v>
      </c>
      <c r="AO129" s="140"/>
      <c r="AP129" s="17" t="s">
        <v>1495</v>
      </c>
      <c r="AQ129" s="162"/>
      <c r="AR129" s="162"/>
      <c r="AS129" s="162"/>
      <c r="AT129" s="162">
        <v>0.35</v>
      </c>
      <c r="AU129" s="162">
        <v>7.46</v>
      </c>
      <c r="AV129" s="141">
        <f t="shared" si="281"/>
        <v>7.81</v>
      </c>
      <c r="AW129" s="142">
        <f t="shared" si="282"/>
        <v>1.1157142857142857</v>
      </c>
      <c r="AX129" s="126">
        <f t="shared" si="283"/>
        <v>0.99011407661782669</v>
      </c>
      <c r="AY129" s="130"/>
      <c r="AZ129" s="128" t="s">
        <v>260</v>
      </c>
      <c r="BB129" s="168">
        <f t="shared" si="209"/>
        <v>4.9259406796906804</v>
      </c>
      <c r="BC129" s="168">
        <f t="shared" si="210"/>
        <v>2.9555644078144083</v>
      </c>
      <c r="BD129" s="168">
        <f t="shared" si="211"/>
        <v>2.4629703398453402</v>
      </c>
      <c r="BE129" s="168">
        <f t="shared" si="212"/>
        <v>1.9703762718762723</v>
      </c>
    </row>
    <row r="130" spans="1:59" s="129" customFormat="1" hidden="1">
      <c r="A130" s="90" t="s">
        <v>1276</v>
      </c>
      <c r="B130" s="88" t="s">
        <v>1318</v>
      </c>
      <c r="C130" s="88" t="s">
        <v>1318</v>
      </c>
      <c r="D130" s="90" t="s">
        <v>55</v>
      </c>
      <c r="E130" s="90" t="s">
        <v>251</v>
      </c>
      <c r="F130" s="90" t="s">
        <v>252</v>
      </c>
      <c r="G130" s="131" t="s">
        <v>266</v>
      </c>
      <c r="H130" s="92"/>
      <c r="I130" s="167" t="s">
        <v>1759</v>
      </c>
      <c r="J130" s="167" t="str">
        <f>_xlfn.XLOOKUP(I130,[1]Sheet1!$A:$A,[1]Sheet1!$B:$B,"")</f>
        <v/>
      </c>
      <c r="K130" s="90" t="s">
        <v>1761</v>
      </c>
      <c r="L130" s="90" t="s">
        <v>2595</v>
      </c>
      <c r="M130" s="92"/>
      <c r="N130" s="89" t="s">
        <v>60</v>
      </c>
      <c r="O130" s="92"/>
      <c r="P130" s="88" t="s">
        <v>1766</v>
      </c>
      <c r="Q130" s="92" t="s">
        <v>256</v>
      </c>
      <c r="R130" s="92">
        <v>8064</v>
      </c>
      <c r="S130" s="92" t="e">
        <v>#N/A</v>
      </c>
      <c r="T130" s="92" t="s">
        <v>257</v>
      </c>
      <c r="U130" s="155">
        <v>2.3E-2</v>
      </c>
      <c r="V130" s="207">
        <v>45</v>
      </c>
      <c r="W130" s="207">
        <v>45</v>
      </c>
      <c r="X130" s="207">
        <v>55</v>
      </c>
      <c r="Y130" s="207" t="s">
        <v>258</v>
      </c>
      <c r="Z130" s="133">
        <f t="shared" si="274"/>
        <v>0.88486140724946694</v>
      </c>
      <c r="AA130" s="133"/>
      <c r="AB130" s="161">
        <f t="shared" si="275"/>
        <v>0.76985784847197891</v>
      </c>
      <c r="AC130" s="161"/>
      <c r="AD130" s="213">
        <f t="shared" si="276"/>
        <v>0.1</v>
      </c>
      <c r="AE130" s="213">
        <v>0.1</v>
      </c>
      <c r="AF130" s="215">
        <v>0.31</v>
      </c>
      <c r="AG130" s="215" t="s">
        <v>9</v>
      </c>
      <c r="AH130" s="148">
        <f t="shared" si="277"/>
        <v>0.76985784847197891</v>
      </c>
      <c r="AI130" s="122">
        <f t="shared" si="278"/>
        <v>0.31000000000000005</v>
      </c>
      <c r="AJ130" s="444"/>
      <c r="AK130" s="150">
        <f t="shared" si="279"/>
        <v>0.65873015873015861</v>
      </c>
      <c r="AL130" s="153">
        <f t="shared" si="266"/>
        <v>0.59022435049518374</v>
      </c>
      <c r="AM130" s="125">
        <f t="shared" si="284"/>
        <v>0.25555555555555565</v>
      </c>
      <c r="AN130" s="125">
        <f t="shared" si="280"/>
        <v>0.2333333333333335</v>
      </c>
      <c r="AO130" s="140"/>
      <c r="AP130" s="17" t="s">
        <v>1495</v>
      </c>
      <c r="AQ130" s="162"/>
      <c r="AR130" s="162"/>
      <c r="AS130" s="162"/>
      <c r="AT130" s="162">
        <v>0.35</v>
      </c>
      <c r="AU130" s="162">
        <v>3.8</v>
      </c>
      <c r="AV130" s="141">
        <f t="shared" si="281"/>
        <v>4.1499999999999995</v>
      </c>
      <c r="AW130" s="142">
        <f t="shared" si="282"/>
        <v>0.59285714285714275</v>
      </c>
      <c r="AX130" s="126">
        <f t="shared" si="283"/>
        <v>0.53120191544566542</v>
      </c>
      <c r="AY130" s="170"/>
      <c r="AZ130" s="128" t="s">
        <v>260</v>
      </c>
      <c r="BB130" s="168">
        <f t="shared" si="209"/>
        <v>2.56619282823993</v>
      </c>
      <c r="BC130" s="168">
        <f t="shared" si="210"/>
        <v>1.539715696943958</v>
      </c>
      <c r="BD130" s="168">
        <f t="shared" si="211"/>
        <v>1.283096414119965</v>
      </c>
      <c r="BE130" s="168">
        <f t="shared" si="212"/>
        <v>1.026477131295972</v>
      </c>
    </row>
    <row r="131" spans="1:59" s="129" customFormat="1" ht="15.75" hidden="1" customHeight="1">
      <c r="A131" s="90" t="s">
        <v>1302</v>
      </c>
      <c r="B131" s="88" t="s">
        <v>1318</v>
      </c>
      <c r="C131" s="88" t="s">
        <v>1318</v>
      </c>
      <c r="D131" s="90" t="s">
        <v>55</v>
      </c>
      <c r="E131" s="90" t="s">
        <v>251</v>
      </c>
      <c r="F131" s="90" t="s">
        <v>252</v>
      </c>
      <c r="G131" s="131" t="s">
        <v>253</v>
      </c>
      <c r="H131" s="92"/>
      <c r="I131" s="167" t="s">
        <v>1760</v>
      </c>
      <c r="J131" s="167" t="str">
        <f>_xlfn.XLOOKUP(I131,[1]Sheet1!$A:$A,[1]Sheet1!$B:$B,"")</f>
        <v/>
      </c>
      <c r="K131" s="90" t="s">
        <v>1762</v>
      </c>
      <c r="L131" s="90" t="s">
        <v>1771</v>
      </c>
      <c r="M131" s="92"/>
      <c r="N131" s="89" t="s">
        <v>60</v>
      </c>
      <c r="O131" s="92"/>
      <c r="P131" s="88" t="s">
        <v>1766</v>
      </c>
      <c r="Q131" s="92" t="s">
        <v>256</v>
      </c>
      <c r="R131" s="92">
        <v>8064</v>
      </c>
      <c r="S131" s="92" t="e">
        <v>#N/A</v>
      </c>
      <c r="T131" s="92" t="s">
        <v>257</v>
      </c>
      <c r="U131" s="155">
        <v>2.3E-2</v>
      </c>
      <c r="V131" s="207">
        <v>45</v>
      </c>
      <c r="W131" s="207">
        <v>45</v>
      </c>
      <c r="X131" s="207">
        <v>55</v>
      </c>
      <c r="Y131" s="207" t="s">
        <v>258</v>
      </c>
      <c r="Z131" s="133">
        <f t="shared" si="273"/>
        <v>1.771889400921659</v>
      </c>
      <c r="AA131" s="133"/>
      <c r="AB131" s="161">
        <f t="shared" si="2"/>
        <v>1.5235434003930097</v>
      </c>
      <c r="AC131" s="161"/>
      <c r="AD131" s="213">
        <f t="shared" si="214"/>
        <v>0.1</v>
      </c>
      <c r="AE131" s="213">
        <v>0.1</v>
      </c>
      <c r="AF131" s="215">
        <v>0.36</v>
      </c>
      <c r="AG131" s="215" t="s">
        <v>9</v>
      </c>
      <c r="AH131" s="148">
        <f t="shared" si="277"/>
        <v>1.5235434003930097</v>
      </c>
      <c r="AI131" s="122">
        <f t="shared" si="270"/>
        <v>0.36</v>
      </c>
      <c r="AJ131" s="444"/>
      <c r="AK131" s="150">
        <f t="shared" si="5"/>
        <v>1.2206349206349205</v>
      </c>
      <c r="AL131" s="153">
        <f t="shared" si="6"/>
        <v>1.0834086402794736</v>
      </c>
      <c r="AM131" s="125">
        <f t="shared" si="7"/>
        <v>0.31111111111111123</v>
      </c>
      <c r="AN131" s="125">
        <f t="shared" si="197"/>
        <v>0.28888888888888886</v>
      </c>
      <c r="AO131" s="140"/>
      <c r="AP131" s="17" t="s">
        <v>1495</v>
      </c>
      <c r="AQ131" s="162"/>
      <c r="AR131" s="162"/>
      <c r="AS131" s="162"/>
      <c r="AT131" s="162">
        <v>0.35</v>
      </c>
      <c r="AU131" s="162">
        <v>7.34</v>
      </c>
      <c r="AV131" s="141">
        <f t="shared" si="0"/>
        <v>7.6899999999999995</v>
      </c>
      <c r="AW131" s="142">
        <f t="shared" si="267"/>
        <v>1.0985714285714285</v>
      </c>
      <c r="AX131" s="126">
        <f t="shared" si="268"/>
        <v>0.97506777625152619</v>
      </c>
      <c r="AY131" s="171" t="s">
        <v>1594</v>
      </c>
      <c r="AZ131" s="128" t="s">
        <v>260</v>
      </c>
      <c r="BB131" s="168">
        <f t="shared" si="209"/>
        <v>5.0784780013100326</v>
      </c>
      <c r="BC131" s="168">
        <f t="shared" si="210"/>
        <v>3.0470868007860195</v>
      </c>
      <c r="BD131" s="168">
        <f t="shared" si="211"/>
        <v>2.5392390006550163</v>
      </c>
      <c r="BE131" s="168">
        <f t="shared" si="212"/>
        <v>2.0313912005240131</v>
      </c>
    </row>
    <row r="132" spans="1:59" s="129" customFormat="1" hidden="1">
      <c r="A132" s="90" t="s">
        <v>1302</v>
      </c>
      <c r="B132" s="88" t="s">
        <v>1318</v>
      </c>
      <c r="C132" s="88" t="s">
        <v>1318</v>
      </c>
      <c r="D132" s="90" t="s">
        <v>55</v>
      </c>
      <c r="E132" s="90" t="s">
        <v>251</v>
      </c>
      <c r="F132" s="90" t="s">
        <v>252</v>
      </c>
      <c r="G132" s="131" t="s">
        <v>253</v>
      </c>
      <c r="H132" s="92"/>
      <c r="I132" s="167" t="s">
        <v>2802</v>
      </c>
      <c r="J132" s="167" t="str">
        <f>_xlfn.XLOOKUP(I132,[1]Sheet1!$A:$A,[1]Sheet1!$B:$B,"")</f>
        <v/>
      </c>
      <c r="K132" s="90" t="s">
        <v>1769</v>
      </c>
      <c r="L132" s="90" t="s">
        <v>1772</v>
      </c>
      <c r="M132" s="92"/>
      <c r="N132" s="89" t="s">
        <v>60</v>
      </c>
      <c r="O132" s="92"/>
      <c r="P132" s="88" t="s">
        <v>1766</v>
      </c>
      <c r="Q132" s="92" t="s">
        <v>256</v>
      </c>
      <c r="R132" s="92">
        <v>8064</v>
      </c>
      <c r="S132" s="92" t="e">
        <v>#N/A</v>
      </c>
      <c r="T132" s="92" t="s">
        <v>257</v>
      </c>
      <c r="U132" s="155">
        <v>2.3E-2</v>
      </c>
      <c r="V132" s="207">
        <v>45</v>
      </c>
      <c r="W132" s="207">
        <v>45</v>
      </c>
      <c r="X132" s="207">
        <v>55</v>
      </c>
      <c r="Y132" s="207" t="s">
        <v>258</v>
      </c>
      <c r="Z132" s="133">
        <f t="shared" si="273"/>
        <v>1.5783410138248848</v>
      </c>
      <c r="AA132" s="133"/>
      <c r="AB132" s="161">
        <f t="shared" si="2"/>
        <v>1.3589744901365994</v>
      </c>
      <c r="AC132" s="161"/>
      <c r="AD132" s="213">
        <f t="shared" si="214"/>
        <v>0.1</v>
      </c>
      <c r="AE132" s="213">
        <v>0.1</v>
      </c>
      <c r="AF132" s="215">
        <v>0.36</v>
      </c>
      <c r="AG132" s="215" t="s">
        <v>9</v>
      </c>
      <c r="AH132" s="148">
        <f t="shared" si="277"/>
        <v>1.3589744901365994</v>
      </c>
      <c r="AI132" s="122">
        <f t="shared" si="270"/>
        <v>0.36</v>
      </c>
      <c r="AJ132" s="444"/>
      <c r="AK132" s="150">
        <f t="shared" si="5"/>
        <v>1.0873015873015872</v>
      </c>
      <c r="AL132" s="153">
        <f t="shared" si="6"/>
        <v>0.96638185965269296</v>
      </c>
      <c r="AM132" s="125">
        <f t="shared" si="7"/>
        <v>0.31111111111111112</v>
      </c>
      <c r="AN132" s="125">
        <f t="shared" si="197"/>
        <v>0.28888888888888886</v>
      </c>
      <c r="AO132" s="140"/>
      <c r="AP132" s="17" t="s">
        <v>1495</v>
      </c>
      <c r="AQ132" s="162"/>
      <c r="AR132" s="162"/>
      <c r="AS132" s="162"/>
      <c r="AT132" s="162">
        <v>0.35</v>
      </c>
      <c r="AU132" s="162">
        <v>6.5</v>
      </c>
      <c r="AV132" s="141">
        <f t="shared" si="0"/>
        <v>6.85</v>
      </c>
      <c r="AW132" s="142">
        <f t="shared" si="267"/>
        <v>0.97857142857142854</v>
      </c>
      <c r="AX132" s="126">
        <f t="shared" si="268"/>
        <v>0.86974367368742367</v>
      </c>
      <c r="AY132" s="130" t="s">
        <v>1768</v>
      </c>
      <c r="AZ132" s="128" t="s">
        <v>260</v>
      </c>
      <c r="BB132" s="168">
        <f t="shared" si="209"/>
        <v>4.5299149671219983</v>
      </c>
      <c r="BC132" s="168">
        <f t="shared" si="210"/>
        <v>2.7179489802731989</v>
      </c>
      <c r="BD132" s="168">
        <f t="shared" si="211"/>
        <v>2.2649574835609991</v>
      </c>
      <c r="BE132" s="168">
        <f t="shared" si="212"/>
        <v>1.8119659868487994</v>
      </c>
    </row>
    <row r="133" spans="1:59" s="129" customFormat="1" hidden="1">
      <c r="A133" s="90" t="s">
        <v>1302</v>
      </c>
      <c r="B133" s="88" t="s">
        <v>1701</v>
      </c>
      <c r="C133" s="88" t="s">
        <v>1317</v>
      </c>
      <c r="D133" s="90" t="s">
        <v>55</v>
      </c>
      <c r="E133" s="90" t="s">
        <v>251</v>
      </c>
      <c r="F133" s="90" t="s">
        <v>252</v>
      </c>
      <c r="G133" s="131" t="s">
        <v>253</v>
      </c>
      <c r="H133" s="92"/>
      <c r="I133" s="167" t="s">
        <v>1763</v>
      </c>
      <c r="J133" s="167" t="str">
        <f>_xlfn.XLOOKUP(I133,[1]Sheet1!$A:$A,[1]Sheet1!$B:$B,"")</f>
        <v/>
      </c>
      <c r="K133" s="90" t="s">
        <v>3737</v>
      </c>
      <c r="L133" s="90" t="s">
        <v>1773</v>
      </c>
      <c r="M133" s="92"/>
      <c r="N133" s="89" t="s">
        <v>60</v>
      </c>
      <c r="O133" s="92"/>
      <c r="P133" s="88" t="s">
        <v>1766</v>
      </c>
      <c r="Q133" s="92" t="s">
        <v>256</v>
      </c>
      <c r="R133" s="92">
        <v>8064</v>
      </c>
      <c r="S133" s="123" t="e">
        <v>#N/A</v>
      </c>
      <c r="T133" s="92" t="s">
        <v>3862</v>
      </c>
      <c r="U133" s="155">
        <v>2.3E-2</v>
      </c>
      <c r="V133" s="207">
        <v>30</v>
      </c>
      <c r="W133" s="207">
        <v>45</v>
      </c>
      <c r="X133" s="207">
        <v>55</v>
      </c>
      <c r="Y133" s="207" t="s">
        <v>263</v>
      </c>
      <c r="Z133" s="133">
        <f t="shared" si="273"/>
        <v>4.5017421602787451</v>
      </c>
      <c r="AA133" s="133"/>
      <c r="AB133" s="161">
        <f t="shared" si="2"/>
        <v>3.8700246507791154</v>
      </c>
      <c r="AC133" s="161"/>
      <c r="AD133" s="213">
        <f t="shared" si="214"/>
        <v>0.1</v>
      </c>
      <c r="AE133" s="213">
        <v>0.1</v>
      </c>
      <c r="AF133" s="215">
        <v>0.16</v>
      </c>
      <c r="AG133" s="215" t="s">
        <v>9</v>
      </c>
      <c r="AH133" s="148">
        <f t="shared" si="277"/>
        <v>3.8700246507791154</v>
      </c>
      <c r="AI133" s="122">
        <f t="shared" si="270"/>
        <v>0.16000000000000003</v>
      </c>
      <c r="AJ133" s="444"/>
      <c r="AK133" s="150">
        <f t="shared" si="5"/>
        <v>4.1015873015873012</v>
      </c>
      <c r="AL133" s="153">
        <f t="shared" si="6"/>
        <v>3.6120230073938409</v>
      </c>
      <c r="AM133" s="125">
        <f t="shared" si="7"/>
        <v>8.8888888888888906E-2</v>
      </c>
      <c r="AN133" s="125">
        <f t="shared" si="197"/>
        <v>6.6666666666666763E-2</v>
      </c>
      <c r="AO133" s="140"/>
      <c r="AP133" s="17" t="s">
        <v>264</v>
      </c>
      <c r="AQ133" s="162"/>
      <c r="AR133" s="162"/>
      <c r="AS133" s="162"/>
      <c r="AT133" s="162"/>
      <c r="AU133" s="162">
        <v>25.84</v>
      </c>
      <c r="AV133" s="141">
        <f t="shared" si="0"/>
        <v>25.84</v>
      </c>
      <c r="AW133" s="142">
        <f t="shared" si="267"/>
        <v>3.6914285714285713</v>
      </c>
      <c r="AX133" s="126">
        <f t="shared" si="268"/>
        <v>3.2508207066544568</v>
      </c>
      <c r="AY133" s="127"/>
      <c r="AZ133" s="128" t="s">
        <v>260</v>
      </c>
      <c r="BB133" s="161">
        <f t="shared" si="209"/>
        <v>12.900082169263719</v>
      </c>
      <c r="BC133" s="161">
        <f t="shared" si="210"/>
        <v>7.7400493015582308</v>
      </c>
      <c r="BD133" s="161">
        <f t="shared" si="211"/>
        <v>6.4500410846318594</v>
      </c>
      <c r="BE133" s="161">
        <f t="shared" si="212"/>
        <v>5.1600328677054881</v>
      </c>
    </row>
    <row r="134" spans="1:59" s="129" customFormat="1" hidden="1">
      <c r="A134" s="90" t="s">
        <v>1276</v>
      </c>
      <c r="B134" s="88" t="s">
        <v>1702</v>
      </c>
      <c r="C134" s="88" t="s">
        <v>1318</v>
      </c>
      <c r="D134" s="90" t="s">
        <v>55</v>
      </c>
      <c r="E134" s="90" t="s">
        <v>251</v>
      </c>
      <c r="F134" s="90" t="s">
        <v>1591</v>
      </c>
      <c r="G134" s="131" t="s">
        <v>253</v>
      </c>
      <c r="H134" s="92"/>
      <c r="I134" s="167" t="s">
        <v>1737</v>
      </c>
      <c r="J134" s="167" t="str">
        <f>_xlfn.XLOOKUP(I134,[1]Sheet1!$A:$A,[1]Sheet1!$B:$B,"")</f>
        <v/>
      </c>
      <c r="K134" s="90" t="s">
        <v>1775</v>
      </c>
      <c r="L134" s="90" t="s">
        <v>1774</v>
      </c>
      <c r="M134" s="92"/>
      <c r="N134" s="89" t="s">
        <v>60</v>
      </c>
      <c r="O134" s="92"/>
      <c r="P134" s="88" t="s">
        <v>1766</v>
      </c>
      <c r="Q134" s="92" t="s">
        <v>1776</v>
      </c>
      <c r="R134" s="92">
        <v>8064</v>
      </c>
      <c r="S134" s="123"/>
      <c r="T134" s="92" t="s">
        <v>3862</v>
      </c>
      <c r="U134" s="155">
        <v>2.3E-2</v>
      </c>
      <c r="V134" s="207">
        <v>45</v>
      </c>
      <c r="W134" s="207">
        <v>45</v>
      </c>
      <c r="X134" s="207">
        <v>55</v>
      </c>
      <c r="Y134" s="207" t="s">
        <v>271</v>
      </c>
      <c r="Z134" s="133">
        <f t="shared" ref="Z134" si="285">AW134/(1-(AF134+2%))</f>
        <v>3.4285714285714293</v>
      </c>
      <c r="AA134" s="133"/>
      <c r="AB134" s="161">
        <f t="shared" ref="AB134" si="286">AX134/(1-AF134)</f>
        <v>2.9425918205293216</v>
      </c>
      <c r="AC134" s="161"/>
      <c r="AD134" s="213">
        <f t="shared" ref="AD134" si="287">AE134</f>
        <v>0.1</v>
      </c>
      <c r="AE134" s="213">
        <v>0.1</v>
      </c>
      <c r="AF134" s="215">
        <v>0.26</v>
      </c>
      <c r="AG134" s="215" t="s">
        <v>9</v>
      </c>
      <c r="AH134" s="148">
        <f t="shared" si="277"/>
        <v>2.9425918205293216</v>
      </c>
      <c r="AI134" s="122">
        <f t="shared" ref="AI134" si="288">1-(AX134/AH134)</f>
        <v>0.26</v>
      </c>
      <c r="AJ134" s="444"/>
      <c r="AK134" s="150">
        <f t="shared" ref="AK134" si="289">AW134/(1-AD134)</f>
        <v>2.7428571428571433</v>
      </c>
      <c r="AL134" s="153">
        <f t="shared" ref="AL134" si="290">AX134/(1-AE134)</f>
        <v>2.4194643857685532</v>
      </c>
      <c r="AM134" s="125">
        <f t="shared" ref="AM134" si="291">1-(AK134/Z134)</f>
        <v>0.20000000000000007</v>
      </c>
      <c r="AN134" s="125">
        <f t="shared" ref="AN134" si="292">1-(AL134/AB134)</f>
        <v>0.17777777777777781</v>
      </c>
      <c r="AO134" s="140"/>
      <c r="AP134" s="17" t="s">
        <v>1592</v>
      </c>
      <c r="AQ134" s="162"/>
      <c r="AR134" s="162"/>
      <c r="AS134" s="162"/>
      <c r="AT134" s="162"/>
      <c r="AU134" s="162">
        <f>2.4*7.2</f>
        <v>17.28</v>
      </c>
      <c r="AV134" s="141">
        <f>AT134+AU134</f>
        <v>17.28</v>
      </c>
      <c r="AW134" s="142">
        <f t="shared" ref="AW134" si="293">(AT134+AU134)/$F$5</f>
        <v>2.4685714285714289</v>
      </c>
      <c r="AX134" s="126">
        <f t="shared" ref="AX134" si="294">(AW134/$F$6)+(($F$9+$G$9)/40/R134)+AW134*U134</f>
        <v>2.1775179471916979</v>
      </c>
      <c r="AY134" s="130" t="s">
        <v>1767</v>
      </c>
      <c r="AZ134" s="128" t="s">
        <v>260</v>
      </c>
      <c r="BB134" s="168">
        <f t="shared" si="209"/>
        <v>9.8086394017644061</v>
      </c>
      <c r="BC134" s="168">
        <f t="shared" si="210"/>
        <v>5.8851836410586431</v>
      </c>
      <c r="BD134" s="168">
        <f t="shared" si="211"/>
        <v>4.904319700882203</v>
      </c>
      <c r="BE134" s="168">
        <f t="shared" si="212"/>
        <v>3.9234557607057625</v>
      </c>
    </row>
    <row r="135" spans="1:59" s="129" customFormat="1" hidden="1">
      <c r="A135" s="88" t="s">
        <v>1302</v>
      </c>
      <c r="B135" s="88" t="s">
        <v>1317</v>
      </c>
      <c r="C135" s="88" t="s">
        <v>1317</v>
      </c>
      <c r="D135" s="88" t="s">
        <v>55</v>
      </c>
      <c r="E135" s="89" t="s">
        <v>251</v>
      </c>
      <c r="F135" s="90" t="s">
        <v>265</v>
      </c>
      <c r="G135" s="131" t="s">
        <v>266</v>
      </c>
      <c r="H135" s="92"/>
      <c r="I135" s="167" t="s">
        <v>267</v>
      </c>
      <c r="J135" s="167" t="str">
        <f>_xlfn.XLOOKUP(I135,[1]Sheet1!$A:$A,[1]Sheet1!$B:$B,"")</f>
        <v>U0201002</v>
      </c>
      <c r="K135" s="90" t="s">
        <v>268</v>
      </c>
      <c r="L135" s="90" t="s">
        <v>269</v>
      </c>
      <c r="M135" s="92"/>
      <c r="N135" s="89" t="s">
        <v>60</v>
      </c>
      <c r="O135" s="92"/>
      <c r="P135" s="88" t="s">
        <v>270</v>
      </c>
      <c r="Q135" s="92" t="s">
        <v>256</v>
      </c>
      <c r="R135" s="92">
        <v>10368</v>
      </c>
      <c r="S135" s="92" t="e">
        <v>#N/A</v>
      </c>
      <c r="T135" s="92" t="s">
        <v>257</v>
      </c>
      <c r="U135" s="155">
        <v>2.3E-2</v>
      </c>
      <c r="V135" s="207">
        <v>45</v>
      </c>
      <c r="W135" s="207">
        <v>45</v>
      </c>
      <c r="X135" s="207">
        <v>55</v>
      </c>
      <c r="Y135" s="207" t="s">
        <v>271</v>
      </c>
      <c r="Z135" s="133">
        <f t="shared" si="273"/>
        <v>0.57569296375266521</v>
      </c>
      <c r="AA135" s="133"/>
      <c r="AB135" s="161">
        <f t="shared" si="2"/>
        <v>0.502871285875513</v>
      </c>
      <c r="AC135" s="161"/>
      <c r="AD135" s="213">
        <f t="shared" si="214"/>
        <v>0.1</v>
      </c>
      <c r="AE135" s="213">
        <v>0.1</v>
      </c>
      <c r="AF135" s="215">
        <v>0.31</v>
      </c>
      <c r="AG135" s="215" t="s">
        <v>9</v>
      </c>
      <c r="AH135" s="148">
        <f t="shared" si="277"/>
        <v>0.502871285875513</v>
      </c>
      <c r="AI135" s="122">
        <f t="shared" si="270"/>
        <v>0.31000000000000005</v>
      </c>
      <c r="AJ135" s="444"/>
      <c r="AK135" s="150">
        <f t="shared" si="5"/>
        <v>0.42857142857142849</v>
      </c>
      <c r="AL135" s="153">
        <f t="shared" si="6"/>
        <v>0.38553465250455993</v>
      </c>
      <c r="AM135" s="125">
        <f t="shared" si="7"/>
        <v>0.25555555555555565</v>
      </c>
      <c r="AN135" s="125">
        <f t="shared" si="197"/>
        <v>0.23333333333333339</v>
      </c>
      <c r="AO135" s="166"/>
      <c r="AP135" s="17" t="s">
        <v>249</v>
      </c>
      <c r="AQ135" s="162"/>
      <c r="AR135" s="162"/>
      <c r="AS135" s="162"/>
      <c r="AT135" s="169">
        <v>0.17</v>
      </c>
      <c r="AU135" s="162">
        <v>2.5299999999999998</v>
      </c>
      <c r="AV135" s="141">
        <f t="shared" si="0"/>
        <v>2.6999999999999997</v>
      </c>
      <c r="AW135" s="142">
        <f t="shared" si="267"/>
        <v>0.38571428571428568</v>
      </c>
      <c r="AX135" s="126">
        <f t="shared" si="268"/>
        <v>0.34698118725410393</v>
      </c>
      <c r="AY135" s="147" t="s">
        <v>272</v>
      </c>
      <c r="AZ135" s="128" t="s">
        <v>260</v>
      </c>
      <c r="BB135" s="161">
        <f t="shared" si="209"/>
        <v>1.6762376195850435</v>
      </c>
      <c r="BC135" s="161">
        <f t="shared" si="210"/>
        <v>1.005742571751026</v>
      </c>
      <c r="BD135" s="161">
        <f t="shared" si="211"/>
        <v>0.83811880979252174</v>
      </c>
      <c r="BE135" s="161">
        <f t="shared" si="212"/>
        <v>0.67049504783401748</v>
      </c>
    </row>
    <row r="136" spans="1:59" s="129" customFormat="1" hidden="1">
      <c r="A136" s="88" t="s">
        <v>1302</v>
      </c>
      <c r="B136" s="88" t="s">
        <v>1317</v>
      </c>
      <c r="C136" s="88" t="s">
        <v>1317</v>
      </c>
      <c r="D136" s="88" t="s">
        <v>55</v>
      </c>
      <c r="E136" s="89" t="s">
        <v>251</v>
      </c>
      <c r="F136" s="90" t="s">
        <v>265</v>
      </c>
      <c r="G136" s="131" t="s">
        <v>253</v>
      </c>
      <c r="H136" s="92"/>
      <c r="I136" s="167" t="s">
        <v>273</v>
      </c>
      <c r="J136" s="167" t="str">
        <f>_xlfn.XLOOKUP(I136,[1]Sheet1!$A:$A,[1]Sheet1!$B:$B,"")</f>
        <v>U0201001</v>
      </c>
      <c r="K136" s="90" t="s">
        <v>274</v>
      </c>
      <c r="L136" s="90" t="s">
        <v>275</v>
      </c>
      <c r="M136" s="92"/>
      <c r="N136" s="89" t="s">
        <v>60</v>
      </c>
      <c r="O136" s="92"/>
      <c r="P136" s="88" t="s">
        <v>276</v>
      </c>
      <c r="Q136" s="92" t="s">
        <v>256</v>
      </c>
      <c r="R136" s="92">
        <v>10368</v>
      </c>
      <c r="S136" s="92" t="e">
        <v>#N/A</v>
      </c>
      <c r="T136" s="92" t="s">
        <v>257</v>
      </c>
      <c r="U136" s="155">
        <v>2.3E-2</v>
      </c>
      <c r="V136" s="207">
        <v>45</v>
      </c>
      <c r="W136" s="207">
        <v>45</v>
      </c>
      <c r="X136" s="207">
        <v>55</v>
      </c>
      <c r="Y136" s="207" t="s">
        <v>271</v>
      </c>
      <c r="Z136" s="133">
        <f t="shared" si="273"/>
        <v>1.300639658848614</v>
      </c>
      <c r="AA136" s="133"/>
      <c r="AB136" s="161">
        <f t="shared" si="2"/>
        <v>1.1207145376318079</v>
      </c>
      <c r="AC136" s="161"/>
      <c r="AD136" s="213">
        <f t="shared" si="214"/>
        <v>0.1</v>
      </c>
      <c r="AE136" s="213">
        <v>0.1</v>
      </c>
      <c r="AF136" s="215">
        <v>0.31</v>
      </c>
      <c r="AG136" s="215" t="s">
        <v>9</v>
      </c>
      <c r="AH136" s="148">
        <f t="shared" si="277"/>
        <v>1.1207145376318079</v>
      </c>
      <c r="AI136" s="122">
        <f t="shared" si="270"/>
        <v>0.31000000000000005</v>
      </c>
      <c r="AJ136" s="444"/>
      <c r="AK136" s="150">
        <f t="shared" si="5"/>
        <v>0.96825396825396814</v>
      </c>
      <c r="AL136" s="153">
        <f t="shared" si="6"/>
        <v>0.85921447885105273</v>
      </c>
      <c r="AM136" s="125">
        <f t="shared" si="7"/>
        <v>0.25555555555555565</v>
      </c>
      <c r="AN136" s="125">
        <f t="shared" si="197"/>
        <v>0.23333333333333339</v>
      </c>
      <c r="AO136" s="166"/>
      <c r="AP136" s="17" t="s">
        <v>249</v>
      </c>
      <c r="AQ136" s="162"/>
      <c r="AR136" s="162"/>
      <c r="AS136" s="162"/>
      <c r="AT136" s="169">
        <v>0.17</v>
      </c>
      <c r="AU136" s="162">
        <v>5.93</v>
      </c>
      <c r="AV136" s="141">
        <f t="shared" si="0"/>
        <v>6.1</v>
      </c>
      <c r="AW136" s="142">
        <f t="shared" si="267"/>
        <v>0.87142857142857133</v>
      </c>
      <c r="AX136" s="126">
        <f t="shared" si="268"/>
        <v>0.77329303096594748</v>
      </c>
      <c r="AY136" s="147" t="s">
        <v>277</v>
      </c>
      <c r="AZ136" s="128" t="s">
        <v>260</v>
      </c>
      <c r="BB136" s="161">
        <f t="shared" si="209"/>
        <v>3.7357151254393601</v>
      </c>
      <c r="BC136" s="161">
        <f t="shared" si="210"/>
        <v>2.2414290752636159</v>
      </c>
      <c r="BD136" s="161">
        <f t="shared" si="211"/>
        <v>1.8678575627196801</v>
      </c>
      <c r="BE136" s="161">
        <f t="shared" si="212"/>
        <v>1.4942860501757442</v>
      </c>
    </row>
    <row r="137" spans="1:59" s="129" customFormat="1" hidden="1">
      <c r="A137" s="88" t="s">
        <v>1302</v>
      </c>
      <c r="B137" s="88" t="s">
        <v>1317</v>
      </c>
      <c r="C137" s="88" t="s">
        <v>1317</v>
      </c>
      <c r="D137" s="88" t="s">
        <v>55</v>
      </c>
      <c r="E137" s="89" t="s">
        <v>251</v>
      </c>
      <c r="F137" s="90" t="s">
        <v>265</v>
      </c>
      <c r="G137" s="131" t="s">
        <v>278</v>
      </c>
      <c r="H137" s="92"/>
      <c r="I137" s="167" t="s">
        <v>2423</v>
      </c>
      <c r="J137" s="167" t="str">
        <f>_xlfn.XLOOKUP(I137,[1]Sheet1!$A:$A,[1]Sheet1!$B:$B,"")</f>
        <v/>
      </c>
      <c r="K137" s="90" t="s">
        <v>279</v>
      </c>
      <c r="L137" s="90" t="s">
        <v>280</v>
      </c>
      <c r="M137" s="92"/>
      <c r="N137" s="89" t="s">
        <v>60</v>
      </c>
      <c r="O137" s="92"/>
      <c r="P137" s="88" t="s">
        <v>276</v>
      </c>
      <c r="Q137" s="92" t="s">
        <v>256</v>
      </c>
      <c r="R137" s="92">
        <v>10368</v>
      </c>
      <c r="S137" s="92" t="e">
        <v>#N/A</v>
      </c>
      <c r="T137" s="92" t="s">
        <v>257</v>
      </c>
      <c r="U137" s="155">
        <v>2.3E-2</v>
      </c>
      <c r="V137" s="207">
        <v>45</v>
      </c>
      <c r="W137" s="207">
        <v>45</v>
      </c>
      <c r="X137" s="207">
        <v>55</v>
      </c>
      <c r="Y137" s="207" t="s">
        <v>271</v>
      </c>
      <c r="Z137" s="133">
        <f t="shared" si="273"/>
        <v>0.60767590618336897</v>
      </c>
      <c r="AA137" s="133"/>
      <c r="AB137" s="161">
        <f t="shared" ref="AB137" si="295">AX137/(1-AF137)</f>
        <v>0.53012907639417306</v>
      </c>
      <c r="AC137" s="161"/>
      <c r="AD137" s="213">
        <f t="shared" si="214"/>
        <v>0.1</v>
      </c>
      <c r="AE137" s="213">
        <v>0.1</v>
      </c>
      <c r="AF137" s="215">
        <v>0.31</v>
      </c>
      <c r="AG137" s="215" t="s">
        <v>281</v>
      </c>
      <c r="AH137" s="148">
        <f t="shared" si="277"/>
        <v>0.53012907639417306</v>
      </c>
      <c r="AI137" s="122">
        <f t="shared" ref="AI137" si="296">1-(AX137/AH137)</f>
        <v>0.30999999999999994</v>
      </c>
      <c r="AJ137" s="444"/>
      <c r="AK137" s="150">
        <f t="shared" ref="AK137" si="297">AW137/(1-AD137)</f>
        <v>0.45238095238095238</v>
      </c>
      <c r="AL137" s="153">
        <f t="shared" ref="AL137" si="298">AX137/(1-AE137)</f>
        <v>0.40643229190219932</v>
      </c>
      <c r="AM137" s="125">
        <f t="shared" ref="AM137" si="299">1-(AK137/Z137)</f>
        <v>0.25555555555555565</v>
      </c>
      <c r="AN137" s="125">
        <f t="shared" ref="AN137" si="300">1-(AL137/AB137)</f>
        <v>0.23333333333333339</v>
      </c>
      <c r="AO137" s="166"/>
      <c r="AP137" s="17" t="s">
        <v>282</v>
      </c>
      <c r="AQ137" s="162"/>
      <c r="AR137" s="162"/>
      <c r="AS137" s="162"/>
      <c r="AT137" s="169">
        <v>0.17</v>
      </c>
      <c r="AU137" s="162">
        <v>2.68</v>
      </c>
      <c r="AV137" s="141">
        <f t="shared" si="0"/>
        <v>2.85</v>
      </c>
      <c r="AW137" s="142">
        <f t="shared" si="267"/>
        <v>0.40714285714285714</v>
      </c>
      <c r="AX137" s="126">
        <f t="shared" si="268"/>
        <v>0.36578906271197942</v>
      </c>
      <c r="AY137" s="147"/>
      <c r="AZ137" s="128" t="s">
        <v>260</v>
      </c>
      <c r="BB137" s="161">
        <f t="shared" si="209"/>
        <v>1.7670969213139103</v>
      </c>
      <c r="BC137" s="161">
        <f t="shared" si="210"/>
        <v>1.0602581527883461</v>
      </c>
      <c r="BD137" s="161">
        <f t="shared" si="211"/>
        <v>0.88354846065695514</v>
      </c>
      <c r="BE137" s="161">
        <f t="shared" si="212"/>
        <v>0.70683876852556415</v>
      </c>
    </row>
    <row r="138" spans="1:59" s="172" customFormat="1" hidden="1">
      <c r="A138" s="88" t="s">
        <v>1302</v>
      </c>
      <c r="B138" s="88" t="s">
        <v>1317</v>
      </c>
      <c r="C138" s="88" t="s">
        <v>1318</v>
      </c>
      <c r="D138" s="88" t="s">
        <v>55</v>
      </c>
      <c r="E138" s="89" t="s">
        <v>251</v>
      </c>
      <c r="F138" s="90" t="s">
        <v>283</v>
      </c>
      <c r="G138" s="131" t="s">
        <v>266</v>
      </c>
      <c r="H138" s="92"/>
      <c r="I138" s="167" t="s">
        <v>284</v>
      </c>
      <c r="J138" s="167" t="str">
        <f>_xlfn.XLOOKUP(I138,[1]Sheet1!$A:$A,[1]Sheet1!$B:$B,"")</f>
        <v>U0202007</v>
      </c>
      <c r="K138" s="90" t="s">
        <v>285</v>
      </c>
      <c r="L138" s="90" t="s">
        <v>286</v>
      </c>
      <c r="M138" s="92"/>
      <c r="N138" s="89" t="s">
        <v>60</v>
      </c>
      <c r="O138" s="92"/>
      <c r="P138" s="88" t="s">
        <v>270</v>
      </c>
      <c r="Q138" s="92" t="s">
        <v>256</v>
      </c>
      <c r="R138" s="92">
        <v>10368</v>
      </c>
      <c r="S138" s="123" t="s">
        <v>287</v>
      </c>
      <c r="T138" s="92" t="s">
        <v>257</v>
      </c>
      <c r="U138" s="155">
        <v>2.3E-2</v>
      </c>
      <c r="V138" s="207">
        <v>45</v>
      </c>
      <c r="W138" s="207">
        <v>45</v>
      </c>
      <c r="X138" s="207">
        <v>55</v>
      </c>
      <c r="Y138" s="207" t="s">
        <v>271</v>
      </c>
      <c r="Z138" s="133">
        <f>AW138/(1-(AF138+2%))</f>
        <v>0.71855010660980823</v>
      </c>
      <c r="AA138" s="133"/>
      <c r="AB138" s="161">
        <f t="shared" si="2"/>
        <v>0.62462275019219482</v>
      </c>
      <c r="AC138" s="161"/>
      <c r="AD138" s="213">
        <f t="shared" si="214"/>
        <v>0.1</v>
      </c>
      <c r="AE138" s="213">
        <v>0.1</v>
      </c>
      <c r="AF138" s="215">
        <v>0.31</v>
      </c>
      <c r="AG138" s="215" t="s">
        <v>9</v>
      </c>
      <c r="AH138" s="148">
        <f t="shared" si="277"/>
        <v>0.62462275019219482</v>
      </c>
      <c r="AI138" s="122">
        <f t="shared" si="270"/>
        <v>0.31000000000000016</v>
      </c>
      <c r="AJ138" s="444"/>
      <c r="AK138" s="150">
        <f t="shared" si="5"/>
        <v>0.53492063492063491</v>
      </c>
      <c r="AL138" s="153">
        <f t="shared" si="6"/>
        <v>0.47887744181401593</v>
      </c>
      <c r="AM138" s="125">
        <f t="shared" si="7"/>
        <v>0.25555555555555565</v>
      </c>
      <c r="AN138" s="125">
        <f t="shared" si="197"/>
        <v>0.2333333333333335</v>
      </c>
      <c r="AO138" s="140"/>
      <c r="AP138" s="17" t="s">
        <v>259</v>
      </c>
      <c r="AQ138" s="162"/>
      <c r="AR138" s="162"/>
      <c r="AS138" s="162"/>
      <c r="AT138" s="162">
        <v>0.17</v>
      </c>
      <c r="AU138" s="162">
        <v>3.2</v>
      </c>
      <c r="AV138" s="141">
        <f t="shared" si="0"/>
        <v>3.37</v>
      </c>
      <c r="AW138" s="142">
        <f t="shared" si="267"/>
        <v>0.48142857142857143</v>
      </c>
      <c r="AX138" s="126">
        <f t="shared" si="268"/>
        <v>0.43098969763261435</v>
      </c>
      <c r="AY138" s="127"/>
      <c r="AZ138" s="128" t="s">
        <v>260</v>
      </c>
      <c r="BB138" s="161">
        <f t="shared" si="209"/>
        <v>2.0820758339739829</v>
      </c>
      <c r="BC138" s="161">
        <f t="shared" si="210"/>
        <v>1.2492455003843896</v>
      </c>
      <c r="BD138" s="161">
        <f t="shared" si="211"/>
        <v>1.0410379169869914</v>
      </c>
      <c r="BE138" s="161">
        <f t="shared" si="212"/>
        <v>0.83283033358959324</v>
      </c>
      <c r="BF138" s="129"/>
      <c r="BG138" s="129"/>
    </row>
    <row r="139" spans="1:59" s="172" customFormat="1" hidden="1">
      <c r="A139" s="88" t="s">
        <v>1302</v>
      </c>
      <c r="B139" s="88" t="s">
        <v>1317</v>
      </c>
      <c r="C139" s="88" t="s">
        <v>1318</v>
      </c>
      <c r="D139" s="88" t="s">
        <v>55</v>
      </c>
      <c r="E139" s="89" t="s">
        <v>251</v>
      </c>
      <c r="F139" s="90" t="s">
        <v>283</v>
      </c>
      <c r="G139" s="131" t="s">
        <v>266</v>
      </c>
      <c r="H139" s="92"/>
      <c r="I139" s="167" t="s">
        <v>288</v>
      </c>
      <c r="J139" s="167" t="str">
        <f>_xlfn.XLOOKUP(I139,[1]Sheet1!$A:$A,[1]Sheet1!$B:$B,"")</f>
        <v>U0202006</v>
      </c>
      <c r="K139" s="90" t="s">
        <v>289</v>
      </c>
      <c r="L139" s="90" t="s">
        <v>290</v>
      </c>
      <c r="M139" s="92"/>
      <c r="N139" s="89" t="s">
        <v>60</v>
      </c>
      <c r="O139" s="92"/>
      <c r="P139" s="88" t="s">
        <v>270</v>
      </c>
      <c r="Q139" s="92" t="s">
        <v>256</v>
      </c>
      <c r="R139" s="92">
        <v>10368</v>
      </c>
      <c r="S139" s="123" t="s">
        <v>291</v>
      </c>
      <c r="T139" s="92" t="s">
        <v>257</v>
      </c>
      <c r="U139" s="155">
        <v>2.3E-2</v>
      </c>
      <c r="V139" s="207">
        <v>45</v>
      </c>
      <c r="W139" s="207">
        <v>45</v>
      </c>
      <c r="X139" s="207">
        <v>55</v>
      </c>
      <c r="Y139" s="207" t="s">
        <v>271</v>
      </c>
      <c r="Z139" s="133">
        <f t="shared" si="273"/>
        <v>0.71855010660980823</v>
      </c>
      <c r="AA139" s="133"/>
      <c r="AB139" s="161">
        <f t="shared" si="2"/>
        <v>0.62462275019219482</v>
      </c>
      <c r="AC139" s="161"/>
      <c r="AD139" s="213">
        <f t="shared" si="214"/>
        <v>0.1</v>
      </c>
      <c r="AE139" s="213">
        <v>0.1</v>
      </c>
      <c r="AF139" s="215">
        <v>0.31</v>
      </c>
      <c r="AG139" s="215" t="s">
        <v>9</v>
      </c>
      <c r="AH139" s="148">
        <f t="shared" si="277"/>
        <v>0.62462275019219482</v>
      </c>
      <c r="AI139" s="122">
        <f t="shared" si="270"/>
        <v>0.31000000000000016</v>
      </c>
      <c r="AJ139" s="444"/>
      <c r="AK139" s="150">
        <f t="shared" si="5"/>
        <v>0.53492063492063491</v>
      </c>
      <c r="AL139" s="153">
        <f t="shared" si="6"/>
        <v>0.47887744181401593</v>
      </c>
      <c r="AM139" s="125">
        <f t="shared" si="7"/>
        <v>0.25555555555555565</v>
      </c>
      <c r="AN139" s="125">
        <f t="shared" si="197"/>
        <v>0.2333333333333335</v>
      </c>
      <c r="AO139" s="140"/>
      <c r="AP139" s="17" t="s">
        <v>259</v>
      </c>
      <c r="AQ139" s="162"/>
      <c r="AR139" s="162"/>
      <c r="AS139" s="162"/>
      <c r="AT139" s="162">
        <v>0.17</v>
      </c>
      <c r="AU139" s="162">
        <v>3.2</v>
      </c>
      <c r="AV139" s="141">
        <f t="shared" si="0"/>
        <v>3.37</v>
      </c>
      <c r="AW139" s="142">
        <f t="shared" si="267"/>
        <v>0.48142857142857143</v>
      </c>
      <c r="AX139" s="126">
        <f t="shared" si="268"/>
        <v>0.43098969763261435</v>
      </c>
      <c r="AY139" s="127"/>
      <c r="AZ139" s="128" t="s">
        <v>260</v>
      </c>
      <c r="BB139" s="161">
        <f t="shared" si="209"/>
        <v>2.0820758339739829</v>
      </c>
      <c r="BC139" s="161">
        <f t="shared" si="210"/>
        <v>1.2492455003843896</v>
      </c>
      <c r="BD139" s="161">
        <f t="shared" si="211"/>
        <v>1.0410379169869914</v>
      </c>
      <c r="BE139" s="161">
        <f t="shared" si="212"/>
        <v>0.83283033358959324</v>
      </c>
      <c r="BF139" s="129"/>
      <c r="BG139" s="129"/>
    </row>
    <row r="140" spans="1:59" s="172" customFormat="1" hidden="1">
      <c r="A140" s="88" t="s">
        <v>1302</v>
      </c>
      <c r="B140" s="88" t="s">
        <v>1317</v>
      </c>
      <c r="C140" s="88" t="s">
        <v>1318</v>
      </c>
      <c r="D140" s="88" t="s">
        <v>55</v>
      </c>
      <c r="E140" s="89" t="s">
        <v>251</v>
      </c>
      <c r="F140" s="90" t="s">
        <v>283</v>
      </c>
      <c r="G140" s="131" t="s">
        <v>266</v>
      </c>
      <c r="H140" s="92"/>
      <c r="I140" s="167" t="s">
        <v>3790</v>
      </c>
      <c r="J140" s="167" t="str">
        <f>_xlfn.XLOOKUP(I140,[1]Sheet1!$A:$A,[1]Sheet1!$B:$B,"")</f>
        <v>U0202008</v>
      </c>
      <c r="K140" s="90" t="s">
        <v>292</v>
      </c>
      <c r="L140" s="90" t="s">
        <v>293</v>
      </c>
      <c r="M140" s="92"/>
      <c r="N140" s="89" t="s">
        <v>60</v>
      </c>
      <c r="O140" s="92"/>
      <c r="P140" s="88" t="s">
        <v>1212</v>
      </c>
      <c r="Q140" s="92" t="s">
        <v>256</v>
      </c>
      <c r="R140" s="92">
        <v>10368</v>
      </c>
      <c r="S140" s="123" t="s">
        <v>294</v>
      </c>
      <c r="T140" s="92" t="s">
        <v>257</v>
      </c>
      <c r="U140" s="155">
        <v>2.3E-2</v>
      </c>
      <c r="V140" s="207">
        <v>45</v>
      </c>
      <c r="W140" s="207">
        <v>45</v>
      </c>
      <c r="X140" s="207">
        <v>55</v>
      </c>
      <c r="Y140" s="207" t="s">
        <v>271</v>
      </c>
      <c r="Z140" s="133">
        <f t="shared" si="273"/>
        <v>0.7406593406593408</v>
      </c>
      <c r="AA140" s="133"/>
      <c r="AB140" s="161">
        <f t="shared" si="2"/>
        <v>0.64326820542181251</v>
      </c>
      <c r="AC140" s="161"/>
      <c r="AD140" s="213">
        <f t="shared" si="214"/>
        <v>0.1</v>
      </c>
      <c r="AE140" s="213">
        <v>0.1</v>
      </c>
      <c r="AF140" s="215">
        <v>0.33</v>
      </c>
      <c r="AG140" s="215" t="s">
        <v>9</v>
      </c>
      <c r="AH140" s="148">
        <f t="shared" si="277"/>
        <v>0.64326820542181251</v>
      </c>
      <c r="AI140" s="122">
        <f t="shared" si="270"/>
        <v>0.33000000000000007</v>
      </c>
      <c r="AJ140" s="444"/>
      <c r="AK140" s="150">
        <f t="shared" si="5"/>
        <v>0.53492063492063491</v>
      </c>
      <c r="AL140" s="153">
        <f t="shared" si="6"/>
        <v>0.47887744181401593</v>
      </c>
      <c r="AM140" s="125">
        <f t="shared" si="7"/>
        <v>0.2777777777777779</v>
      </c>
      <c r="AN140" s="125">
        <f t="shared" si="197"/>
        <v>0.25555555555555565</v>
      </c>
      <c r="AO140" s="140"/>
      <c r="AP140" s="17" t="s">
        <v>259</v>
      </c>
      <c r="AQ140" s="162"/>
      <c r="AR140" s="162"/>
      <c r="AS140" s="162"/>
      <c r="AT140" s="162">
        <v>0.17</v>
      </c>
      <c r="AU140" s="162">
        <v>3.2</v>
      </c>
      <c r="AV140" s="141">
        <f>AT140+AU140</f>
        <v>3.37</v>
      </c>
      <c r="AW140" s="142">
        <f t="shared" si="267"/>
        <v>0.48142857142857143</v>
      </c>
      <c r="AX140" s="126">
        <f t="shared" si="268"/>
        <v>0.43098969763261435</v>
      </c>
      <c r="AY140" s="127"/>
      <c r="AZ140" s="128" t="s">
        <v>260</v>
      </c>
      <c r="BB140" s="161">
        <f t="shared" si="209"/>
        <v>2.1442273514060419</v>
      </c>
      <c r="BC140" s="161">
        <f t="shared" si="210"/>
        <v>1.286536410843625</v>
      </c>
      <c r="BD140" s="161">
        <f t="shared" si="211"/>
        <v>1.072113675703021</v>
      </c>
      <c r="BE140" s="161">
        <f t="shared" si="212"/>
        <v>0.85769094056241679</v>
      </c>
      <c r="BF140" s="129"/>
      <c r="BG140" s="129"/>
    </row>
    <row r="141" spans="1:59" s="172" customFormat="1" hidden="1">
      <c r="A141" s="88" t="s">
        <v>1302</v>
      </c>
      <c r="B141" s="88" t="s">
        <v>1317</v>
      </c>
      <c r="C141" s="88" t="s">
        <v>1318</v>
      </c>
      <c r="D141" s="88" t="s">
        <v>55</v>
      </c>
      <c r="E141" s="89" t="s">
        <v>251</v>
      </c>
      <c r="F141" s="90" t="s">
        <v>283</v>
      </c>
      <c r="G141" s="131" t="s">
        <v>266</v>
      </c>
      <c r="H141" s="92"/>
      <c r="I141" s="167" t="s">
        <v>295</v>
      </c>
      <c r="J141" s="167" t="str">
        <f>_xlfn.XLOOKUP(I141,[1]Sheet1!$A:$A,[1]Sheet1!$B:$B,"")</f>
        <v>U0202009</v>
      </c>
      <c r="K141" s="90" t="s">
        <v>296</v>
      </c>
      <c r="L141" s="90" t="s">
        <v>297</v>
      </c>
      <c r="M141" s="92" t="s">
        <v>298</v>
      </c>
      <c r="N141" s="89" t="s">
        <v>60</v>
      </c>
      <c r="O141" s="92"/>
      <c r="P141" s="88" t="s">
        <v>270</v>
      </c>
      <c r="Q141" s="92" t="s">
        <v>256</v>
      </c>
      <c r="R141" s="92">
        <v>10368</v>
      </c>
      <c r="S141" s="123" t="s">
        <v>299</v>
      </c>
      <c r="T141" s="92" t="s">
        <v>257</v>
      </c>
      <c r="U141" s="155">
        <v>2.3E-2</v>
      </c>
      <c r="V141" s="207">
        <v>45</v>
      </c>
      <c r="W141" s="207">
        <v>45</v>
      </c>
      <c r="X141" s="207">
        <v>55</v>
      </c>
      <c r="Y141" s="207" t="s">
        <v>271</v>
      </c>
      <c r="Z141" s="133">
        <f t="shared" si="273"/>
        <v>0.95824175824175839</v>
      </c>
      <c r="AA141" s="133"/>
      <c r="AB141" s="161">
        <f t="shared" si="2"/>
        <v>0.82853981440983959</v>
      </c>
      <c r="AC141" s="161"/>
      <c r="AD141" s="213">
        <f t="shared" si="214"/>
        <v>0.1</v>
      </c>
      <c r="AE141" s="213">
        <v>0.1</v>
      </c>
      <c r="AF141" s="215">
        <v>0.33</v>
      </c>
      <c r="AG141" s="215" t="s">
        <v>9</v>
      </c>
      <c r="AH141" s="148">
        <f t="shared" si="277"/>
        <v>0.82853981440983959</v>
      </c>
      <c r="AI141" s="122">
        <f t="shared" ref="AI141" si="301">1-(AX141/AH141)</f>
        <v>0.33000000000000007</v>
      </c>
      <c r="AJ141" s="444"/>
      <c r="AK141" s="150">
        <f t="shared" si="5"/>
        <v>0.69206349206349205</v>
      </c>
      <c r="AL141" s="153">
        <f t="shared" si="6"/>
        <v>0.61680186183843611</v>
      </c>
      <c r="AM141" s="125">
        <f t="shared" si="7"/>
        <v>0.2777777777777779</v>
      </c>
      <c r="AN141" s="125">
        <f t="shared" si="197"/>
        <v>0.25555555555555565</v>
      </c>
      <c r="AO141" s="140"/>
      <c r="AP141" s="17" t="s">
        <v>259</v>
      </c>
      <c r="AQ141" s="162"/>
      <c r="AR141" s="162"/>
      <c r="AS141" s="162"/>
      <c r="AT141" s="162">
        <v>0.17</v>
      </c>
      <c r="AU141" s="162">
        <v>4.1900000000000004</v>
      </c>
      <c r="AV141" s="141">
        <f t="shared" ref="AV141:AV228" si="302">AT141+AU141</f>
        <v>4.3600000000000003</v>
      </c>
      <c r="AW141" s="142">
        <f t="shared" ref="AW141:AW228" si="303">(AT141+AU141)/$F$5</f>
        <v>0.62285714285714289</v>
      </c>
      <c r="AX141" s="126">
        <f t="shared" si="268"/>
        <v>0.55512167565459247</v>
      </c>
      <c r="AY141" s="127"/>
      <c r="AZ141" s="128" t="s">
        <v>260</v>
      </c>
      <c r="BB141" s="161">
        <f t="shared" si="209"/>
        <v>2.7617993813661319</v>
      </c>
      <c r="BC141" s="161">
        <f t="shared" si="210"/>
        <v>1.6570796288196792</v>
      </c>
      <c r="BD141" s="161">
        <f t="shared" si="211"/>
        <v>1.380899690683066</v>
      </c>
      <c r="BE141" s="161">
        <f t="shared" si="212"/>
        <v>1.1047197525464527</v>
      </c>
      <c r="BF141" s="129"/>
      <c r="BG141" s="129"/>
    </row>
    <row r="142" spans="1:59" s="129" customFormat="1" hidden="1">
      <c r="A142" s="88" t="s">
        <v>1302</v>
      </c>
      <c r="B142" s="88" t="s">
        <v>1318</v>
      </c>
      <c r="C142" s="88" t="s">
        <v>1318</v>
      </c>
      <c r="D142" s="88" t="s">
        <v>55</v>
      </c>
      <c r="E142" s="89" t="s">
        <v>251</v>
      </c>
      <c r="F142" s="90" t="s">
        <v>283</v>
      </c>
      <c r="G142" s="131" t="s">
        <v>253</v>
      </c>
      <c r="H142" s="92"/>
      <c r="I142" s="167" t="s">
        <v>300</v>
      </c>
      <c r="J142" s="167" t="str">
        <f>_xlfn.XLOOKUP(I142,[1]Sheet1!$A:$A,[1]Sheet1!$B:$B,"")</f>
        <v>U0202001</v>
      </c>
      <c r="K142" s="90" t="s">
        <v>301</v>
      </c>
      <c r="L142" s="90" t="s">
        <v>302</v>
      </c>
      <c r="M142" s="92"/>
      <c r="N142" s="89" t="s">
        <v>60</v>
      </c>
      <c r="O142" s="92"/>
      <c r="P142" s="88" t="s">
        <v>303</v>
      </c>
      <c r="Q142" s="92" t="s">
        <v>256</v>
      </c>
      <c r="R142" s="92">
        <v>6912</v>
      </c>
      <c r="S142" s="123" t="s">
        <v>304</v>
      </c>
      <c r="T142" s="92" t="s">
        <v>257</v>
      </c>
      <c r="U142" s="155">
        <v>2.3E-2</v>
      </c>
      <c r="V142" s="207">
        <v>45</v>
      </c>
      <c r="W142" s="207">
        <v>45</v>
      </c>
      <c r="X142" s="207">
        <v>55</v>
      </c>
      <c r="Y142" s="207" t="s">
        <v>271</v>
      </c>
      <c r="Z142" s="133">
        <f t="shared" si="273"/>
        <v>1.5964912280701755</v>
      </c>
      <c r="AA142" s="133"/>
      <c r="AB142" s="161">
        <f t="shared" ref="AB142:AB228" si="304">AX142/(1-AF142)</f>
        <v>1.3751981716886379</v>
      </c>
      <c r="AC142" s="161"/>
      <c r="AD142" s="213">
        <f t="shared" ref="AD142:AD228" si="305">AE142</f>
        <v>0.1</v>
      </c>
      <c r="AE142" s="213">
        <v>0.1</v>
      </c>
      <c r="AF142" s="215">
        <v>0.41000000000000003</v>
      </c>
      <c r="AG142" s="215" t="s">
        <v>5</v>
      </c>
      <c r="AH142" s="123">
        <f t="shared" ref="AH142:AH155" si="306">AB142*(1-$AH$3)</f>
        <v>1.237678354519774</v>
      </c>
      <c r="AI142" s="122">
        <f t="shared" ref="AI142:AI222" si="307">1-(AX142/AH142)</f>
        <v>0.34444444444444444</v>
      </c>
      <c r="AJ142" s="444"/>
      <c r="AK142" s="150">
        <f t="shared" ref="AK142:AK228" si="308">AW142/(1-AD142)</f>
        <v>1.0111111111111111</v>
      </c>
      <c r="AL142" s="153">
        <f t="shared" ref="AL142:AL228" si="309">AX142/(1-AE142)</f>
        <v>0.90151880144032914</v>
      </c>
      <c r="AM142" s="125">
        <f t="shared" ref="AM142:AM228" si="310">1-(AK142/Z142)</f>
        <v>0.3666666666666667</v>
      </c>
      <c r="AN142" s="125">
        <f t="shared" si="197"/>
        <v>0.34444444444444455</v>
      </c>
      <c r="AO142" s="140"/>
      <c r="AP142" s="17" t="s">
        <v>259</v>
      </c>
      <c r="AQ142" s="162"/>
      <c r="AR142" s="162"/>
      <c r="AS142" s="162"/>
      <c r="AT142" s="162">
        <v>0.35</v>
      </c>
      <c r="AU142" s="162">
        <v>6.02</v>
      </c>
      <c r="AV142" s="141">
        <f t="shared" si="302"/>
        <v>6.3699999999999992</v>
      </c>
      <c r="AW142" s="142">
        <f t="shared" si="303"/>
        <v>0.90999999999999992</v>
      </c>
      <c r="AX142" s="126">
        <f t="shared" si="268"/>
        <v>0.81136692129629628</v>
      </c>
      <c r="AY142" s="127"/>
      <c r="AZ142" s="128" t="s">
        <v>260</v>
      </c>
      <c r="BB142" s="161">
        <f t="shared" si="209"/>
        <v>4.5839939056287928</v>
      </c>
      <c r="BC142" s="161">
        <f t="shared" si="210"/>
        <v>2.7503963433772758</v>
      </c>
      <c r="BD142" s="161">
        <f t="shared" si="211"/>
        <v>2.2919969528143964</v>
      </c>
      <c r="BE142" s="161">
        <f t="shared" si="212"/>
        <v>1.8335975622515173</v>
      </c>
    </row>
    <row r="143" spans="1:59" s="129" customFormat="1" hidden="1">
      <c r="A143" s="88" t="s">
        <v>1302</v>
      </c>
      <c r="B143" s="88" t="s">
        <v>1317</v>
      </c>
      <c r="C143" s="88" t="s">
        <v>1317</v>
      </c>
      <c r="D143" s="88" t="s">
        <v>55</v>
      </c>
      <c r="E143" s="89" t="s">
        <v>251</v>
      </c>
      <c r="F143" s="90" t="s">
        <v>283</v>
      </c>
      <c r="G143" s="131" t="s">
        <v>253</v>
      </c>
      <c r="H143" s="92"/>
      <c r="I143" s="167" t="s">
        <v>305</v>
      </c>
      <c r="J143" s="167" t="str">
        <f>_xlfn.XLOOKUP(I143,[1]Sheet1!$A:$A,[1]Sheet1!$B:$B,"")</f>
        <v>U0202003</v>
      </c>
      <c r="K143" s="90" t="s">
        <v>306</v>
      </c>
      <c r="L143" s="90" t="s">
        <v>307</v>
      </c>
      <c r="M143" s="92"/>
      <c r="N143" s="89" t="s">
        <v>60</v>
      </c>
      <c r="O143" s="92"/>
      <c r="P143" s="88" t="s">
        <v>206</v>
      </c>
      <c r="Q143" s="92" t="s">
        <v>256</v>
      </c>
      <c r="R143" s="92">
        <v>8064</v>
      </c>
      <c r="S143" s="123" t="s">
        <v>308</v>
      </c>
      <c r="T143" s="92" t="s">
        <v>257</v>
      </c>
      <c r="U143" s="155">
        <v>2.3E-2</v>
      </c>
      <c r="V143" s="207">
        <v>45</v>
      </c>
      <c r="W143" s="207">
        <v>45</v>
      </c>
      <c r="X143" s="207">
        <v>55</v>
      </c>
      <c r="Y143" s="207" t="s">
        <v>271</v>
      </c>
      <c r="Z143" s="133">
        <f t="shared" si="273"/>
        <v>1.5764411027568921</v>
      </c>
      <c r="AA143" s="133"/>
      <c r="AB143" s="161">
        <f t="shared" si="304"/>
        <v>1.355131534426026</v>
      </c>
      <c r="AC143" s="161"/>
      <c r="AD143" s="213">
        <f t="shared" si="305"/>
        <v>0.1</v>
      </c>
      <c r="AE143" s="213">
        <v>0.1</v>
      </c>
      <c r="AF143" s="215">
        <v>0.41000000000000003</v>
      </c>
      <c r="AG143" s="215" t="s">
        <v>5</v>
      </c>
      <c r="AH143" s="123">
        <f t="shared" si="306"/>
        <v>1.2196183809834233</v>
      </c>
      <c r="AI143" s="122">
        <f t="shared" si="307"/>
        <v>0.34444444444444444</v>
      </c>
      <c r="AJ143" s="444"/>
      <c r="AK143" s="150">
        <f t="shared" si="308"/>
        <v>0.99841269841269831</v>
      </c>
      <c r="AL143" s="153">
        <f t="shared" si="309"/>
        <v>0.88836400590150577</v>
      </c>
      <c r="AM143" s="125">
        <f t="shared" si="310"/>
        <v>0.3666666666666667</v>
      </c>
      <c r="AN143" s="125">
        <f t="shared" si="197"/>
        <v>0.34444444444444455</v>
      </c>
      <c r="AO143" s="140"/>
      <c r="AP143" s="17" t="s">
        <v>259</v>
      </c>
      <c r="AQ143" s="162"/>
      <c r="AR143" s="162"/>
      <c r="AS143" s="162"/>
      <c r="AT143" s="162">
        <f>0.17+0.1</f>
        <v>0.27</v>
      </c>
      <c r="AU143" s="162">
        <v>6.02</v>
      </c>
      <c r="AV143" s="141">
        <f t="shared" si="302"/>
        <v>6.2899999999999991</v>
      </c>
      <c r="AW143" s="142">
        <f t="shared" si="303"/>
        <v>0.89857142857142847</v>
      </c>
      <c r="AX143" s="126">
        <f t="shared" si="268"/>
        <v>0.79952760531135525</v>
      </c>
      <c r="AY143" s="17"/>
      <c r="AZ143" s="128" t="s">
        <v>260</v>
      </c>
      <c r="BB143" s="161">
        <f t="shared" si="209"/>
        <v>4.51710511475342</v>
      </c>
      <c r="BC143" s="161">
        <f t="shared" si="210"/>
        <v>2.7102630688520519</v>
      </c>
      <c r="BD143" s="161">
        <f t="shared" si="211"/>
        <v>2.25855255737671</v>
      </c>
      <c r="BE143" s="161">
        <f t="shared" si="212"/>
        <v>1.8068420459013681</v>
      </c>
    </row>
    <row r="144" spans="1:59" s="129" customFormat="1" hidden="1">
      <c r="A144" s="88" t="s">
        <v>1302</v>
      </c>
      <c r="B144" s="88" t="s">
        <v>1318</v>
      </c>
      <c r="C144" s="88" t="s">
        <v>1318</v>
      </c>
      <c r="D144" s="88" t="s">
        <v>55</v>
      </c>
      <c r="E144" s="89" t="s">
        <v>251</v>
      </c>
      <c r="F144" s="90" t="s">
        <v>283</v>
      </c>
      <c r="G144" s="131" t="s">
        <v>253</v>
      </c>
      <c r="H144" s="92"/>
      <c r="I144" s="167" t="s">
        <v>309</v>
      </c>
      <c r="J144" s="167" t="str">
        <f>_xlfn.XLOOKUP(I144,[1]Sheet1!$A:$A,[1]Sheet1!$B:$B,"")</f>
        <v>U0202002</v>
      </c>
      <c r="K144" s="90" t="s">
        <v>310</v>
      </c>
      <c r="L144" s="90" t="s">
        <v>311</v>
      </c>
      <c r="M144" s="92"/>
      <c r="N144" s="89" t="s">
        <v>60</v>
      </c>
      <c r="O144" s="92"/>
      <c r="P144" s="88" t="s">
        <v>276</v>
      </c>
      <c r="Q144" s="92" t="s">
        <v>256</v>
      </c>
      <c r="R144" s="92">
        <v>10368</v>
      </c>
      <c r="S144" s="123" t="s">
        <v>312</v>
      </c>
      <c r="T144" s="92" t="s">
        <v>257</v>
      </c>
      <c r="U144" s="155">
        <v>2.3E-2</v>
      </c>
      <c r="V144" s="207">
        <v>45</v>
      </c>
      <c r="W144" s="207">
        <v>45</v>
      </c>
      <c r="X144" s="207">
        <v>55</v>
      </c>
      <c r="Y144" s="207" t="s">
        <v>271</v>
      </c>
      <c r="Z144" s="133">
        <f t="shared" si="273"/>
        <v>1.5513784461152882</v>
      </c>
      <c r="AA144" s="133"/>
      <c r="AB144" s="161">
        <f t="shared" si="304"/>
        <v>1.3297928071875813</v>
      </c>
      <c r="AC144" s="161"/>
      <c r="AD144" s="213">
        <f t="shared" si="305"/>
        <v>0.1</v>
      </c>
      <c r="AE144" s="213">
        <v>0.1</v>
      </c>
      <c r="AF144" s="215">
        <v>0.41000000000000003</v>
      </c>
      <c r="AG144" s="215" t="s">
        <v>5</v>
      </c>
      <c r="AH144" s="123">
        <f t="shared" si="306"/>
        <v>1.1968135264688231</v>
      </c>
      <c r="AI144" s="122">
        <f t="shared" si="307"/>
        <v>0.34444444444444444</v>
      </c>
      <c r="AJ144" s="444"/>
      <c r="AK144" s="150">
        <f t="shared" si="308"/>
        <v>0.98253968253968249</v>
      </c>
      <c r="AL144" s="153">
        <f t="shared" si="309"/>
        <v>0.87175306248963658</v>
      </c>
      <c r="AM144" s="125">
        <f t="shared" si="310"/>
        <v>0.3666666666666667</v>
      </c>
      <c r="AN144" s="125">
        <f t="shared" si="197"/>
        <v>0.34444444444444444</v>
      </c>
      <c r="AO144" s="140"/>
      <c r="AP144" s="17" t="s">
        <v>259</v>
      </c>
      <c r="AQ144" s="162"/>
      <c r="AR144" s="162"/>
      <c r="AS144" s="162"/>
      <c r="AT144" s="162">
        <v>0.17</v>
      </c>
      <c r="AU144" s="162">
        <v>6.02</v>
      </c>
      <c r="AV144" s="141">
        <f t="shared" si="302"/>
        <v>6.1899999999999995</v>
      </c>
      <c r="AW144" s="142">
        <f t="shared" si="303"/>
        <v>0.88428571428571423</v>
      </c>
      <c r="AX144" s="126">
        <f t="shared" si="268"/>
        <v>0.78457775624067294</v>
      </c>
      <c r="AY144" s="127"/>
      <c r="AZ144" s="128" t="s">
        <v>260</v>
      </c>
      <c r="BB144" s="161">
        <f t="shared" si="209"/>
        <v>4.4326426906252712</v>
      </c>
      <c r="BC144" s="161">
        <f t="shared" si="210"/>
        <v>2.6595856143751626</v>
      </c>
      <c r="BD144" s="161">
        <f t="shared" si="211"/>
        <v>2.2163213453126356</v>
      </c>
      <c r="BE144" s="161">
        <f t="shared" si="212"/>
        <v>1.7730570762501086</v>
      </c>
    </row>
    <row r="145" spans="1:57" s="129" customFormat="1" hidden="1">
      <c r="A145" s="88" t="s">
        <v>1302</v>
      </c>
      <c r="B145" s="88" t="s">
        <v>1317</v>
      </c>
      <c r="C145" s="88" t="s">
        <v>1318</v>
      </c>
      <c r="D145" s="88" t="s">
        <v>55</v>
      </c>
      <c r="E145" s="89" t="s">
        <v>251</v>
      </c>
      <c r="F145" s="90" t="s">
        <v>283</v>
      </c>
      <c r="G145" s="131" t="s">
        <v>253</v>
      </c>
      <c r="H145" s="92"/>
      <c r="I145" s="167" t="s">
        <v>313</v>
      </c>
      <c r="J145" s="167" t="str">
        <f>_xlfn.XLOOKUP(I145,[1]Sheet1!$A:$A,[1]Sheet1!$B:$B,"")</f>
        <v>U0202005</v>
      </c>
      <c r="K145" s="90" t="s">
        <v>314</v>
      </c>
      <c r="L145" s="90" t="s">
        <v>315</v>
      </c>
      <c r="M145" s="92" t="s">
        <v>298</v>
      </c>
      <c r="N145" s="89" t="s">
        <v>60</v>
      </c>
      <c r="O145" s="92"/>
      <c r="P145" s="88" t="s">
        <v>206</v>
      </c>
      <c r="Q145" s="92" t="s">
        <v>256</v>
      </c>
      <c r="R145" s="92">
        <v>8064</v>
      </c>
      <c r="S145" s="123" t="s">
        <v>316</v>
      </c>
      <c r="T145" s="92" t="s">
        <v>257</v>
      </c>
      <c r="U145" s="155">
        <v>2.3E-2</v>
      </c>
      <c r="V145" s="207">
        <v>45</v>
      </c>
      <c r="W145" s="207">
        <v>45</v>
      </c>
      <c r="X145" s="207">
        <v>55</v>
      </c>
      <c r="Y145" s="207" t="s">
        <v>271</v>
      </c>
      <c r="Z145" s="133">
        <f t="shared" si="273"/>
        <v>1.7006802721088439</v>
      </c>
      <c r="AA145" s="133"/>
      <c r="AB145" s="161">
        <f t="shared" si="304"/>
        <v>1.463453026674181</v>
      </c>
      <c r="AC145" s="161"/>
      <c r="AD145" s="213">
        <f t="shared" si="305"/>
        <v>0.1</v>
      </c>
      <c r="AE145" s="213">
        <v>0.1</v>
      </c>
      <c r="AF145" s="215">
        <v>0.35000000000000003</v>
      </c>
      <c r="AG145" s="215" t="s">
        <v>5</v>
      </c>
      <c r="AH145" s="123">
        <f t="shared" si="306"/>
        <v>1.317107724006763</v>
      </c>
      <c r="AI145" s="122">
        <f t="shared" si="307"/>
        <v>0.27777777777777801</v>
      </c>
      <c r="AJ145" s="444"/>
      <c r="AK145" s="150">
        <f t="shared" si="308"/>
        <v>1.1904761904761905</v>
      </c>
      <c r="AL145" s="153">
        <f t="shared" si="309"/>
        <v>1.0569382970424639</v>
      </c>
      <c r="AM145" s="125">
        <f t="shared" si="310"/>
        <v>0.30000000000000016</v>
      </c>
      <c r="AN145" s="125">
        <f t="shared" si="197"/>
        <v>0.2777777777777779</v>
      </c>
      <c r="AO145" s="140"/>
      <c r="AP145" s="17" t="s">
        <v>259</v>
      </c>
      <c r="AQ145" s="162"/>
      <c r="AR145" s="162"/>
      <c r="AS145" s="162"/>
      <c r="AT145" s="162">
        <f>0.17+0.1</f>
        <v>0.27</v>
      </c>
      <c r="AU145" s="162">
        <v>7.23</v>
      </c>
      <c r="AV145" s="141">
        <f t="shared" si="302"/>
        <v>7.5</v>
      </c>
      <c r="AW145" s="142">
        <f t="shared" si="303"/>
        <v>1.0714285714285714</v>
      </c>
      <c r="AX145" s="126">
        <f t="shared" si="268"/>
        <v>0.95124446733821744</v>
      </c>
      <c r="AY145" s="17"/>
      <c r="AZ145" s="128" t="s">
        <v>260</v>
      </c>
      <c r="BB145" s="161">
        <f t="shared" si="209"/>
        <v>4.8781767555806033</v>
      </c>
      <c r="BC145" s="161">
        <f t="shared" si="210"/>
        <v>2.926906053348362</v>
      </c>
      <c r="BD145" s="161">
        <f t="shared" si="211"/>
        <v>2.4390883777903016</v>
      </c>
      <c r="BE145" s="161">
        <f t="shared" si="212"/>
        <v>1.9512707022322413</v>
      </c>
    </row>
    <row r="146" spans="1:57" s="129" customFormat="1" hidden="1">
      <c r="A146" s="88" t="s">
        <v>1302</v>
      </c>
      <c r="B146" s="88" t="s">
        <v>1317</v>
      </c>
      <c r="C146" s="88" t="s">
        <v>1318</v>
      </c>
      <c r="D146" s="88" t="s">
        <v>55</v>
      </c>
      <c r="E146" s="89" t="s">
        <v>251</v>
      </c>
      <c r="F146" s="90" t="s">
        <v>283</v>
      </c>
      <c r="G146" s="131" t="s">
        <v>253</v>
      </c>
      <c r="H146" s="92"/>
      <c r="I146" s="167" t="s">
        <v>317</v>
      </c>
      <c r="J146" s="167" t="str">
        <f>_xlfn.XLOOKUP(I146,[1]Sheet1!$A:$A,[1]Sheet1!$B:$B,"")</f>
        <v>U0202004</v>
      </c>
      <c r="K146" s="90" t="s">
        <v>318</v>
      </c>
      <c r="L146" s="90" t="s">
        <v>319</v>
      </c>
      <c r="M146" s="92" t="s">
        <v>298</v>
      </c>
      <c r="N146" s="89" t="s">
        <v>60</v>
      </c>
      <c r="O146" s="92"/>
      <c r="P146" s="88" t="s">
        <v>276</v>
      </c>
      <c r="Q146" s="92" t="s">
        <v>256</v>
      </c>
      <c r="R146" s="92">
        <v>10368</v>
      </c>
      <c r="S146" s="123" t="s">
        <v>320</v>
      </c>
      <c r="T146" s="92" t="s">
        <v>257</v>
      </c>
      <c r="U146" s="155">
        <v>2.3E-2</v>
      </c>
      <c r="V146" s="207">
        <v>45</v>
      </c>
      <c r="W146" s="207">
        <v>45</v>
      </c>
      <c r="X146" s="207">
        <v>55</v>
      </c>
      <c r="Y146" s="207" t="s">
        <v>271</v>
      </c>
      <c r="Z146" s="133">
        <f t="shared" si="273"/>
        <v>1.6780045351473927</v>
      </c>
      <c r="AA146" s="133"/>
      <c r="AB146" s="161">
        <f t="shared" si="304"/>
        <v>1.4404532588731311</v>
      </c>
      <c r="AC146" s="161"/>
      <c r="AD146" s="213">
        <f t="shared" si="305"/>
        <v>0.1</v>
      </c>
      <c r="AE146" s="213">
        <v>0.1</v>
      </c>
      <c r="AF146" s="215">
        <v>0.35000000000000003</v>
      </c>
      <c r="AG146" s="215" t="s">
        <v>5</v>
      </c>
      <c r="AH146" s="123">
        <f t="shared" si="306"/>
        <v>1.296407932985818</v>
      </c>
      <c r="AI146" s="122">
        <f t="shared" si="307"/>
        <v>0.2777777777777779</v>
      </c>
      <c r="AJ146" s="444"/>
      <c r="AK146" s="150">
        <f t="shared" si="308"/>
        <v>1.1746031746031746</v>
      </c>
      <c r="AL146" s="153">
        <f t="shared" si="309"/>
        <v>1.0403273536305946</v>
      </c>
      <c r="AM146" s="125">
        <f t="shared" si="310"/>
        <v>0.30000000000000016</v>
      </c>
      <c r="AN146" s="125">
        <f t="shared" si="197"/>
        <v>0.2777777777777779</v>
      </c>
      <c r="AO146" s="140"/>
      <c r="AP146" s="17" t="s">
        <v>259</v>
      </c>
      <c r="AQ146" s="162"/>
      <c r="AR146" s="162"/>
      <c r="AS146" s="162"/>
      <c r="AT146" s="162">
        <v>0.17</v>
      </c>
      <c r="AU146" s="162">
        <v>7.23</v>
      </c>
      <c r="AV146" s="141">
        <f t="shared" si="302"/>
        <v>7.4</v>
      </c>
      <c r="AW146" s="142">
        <f t="shared" si="303"/>
        <v>1.0571428571428572</v>
      </c>
      <c r="AX146" s="126">
        <f t="shared" si="268"/>
        <v>0.93629461826753513</v>
      </c>
      <c r="AY146" s="127"/>
      <c r="AZ146" s="128" t="s">
        <v>260</v>
      </c>
      <c r="BB146" s="161">
        <f t="shared" si="209"/>
        <v>4.8015108629104377</v>
      </c>
      <c r="BC146" s="161">
        <f t="shared" si="210"/>
        <v>2.8809065177462627</v>
      </c>
      <c r="BD146" s="161">
        <f t="shared" si="211"/>
        <v>2.4007554314552189</v>
      </c>
      <c r="BE146" s="161">
        <f t="shared" si="212"/>
        <v>1.9206043451641752</v>
      </c>
    </row>
    <row r="147" spans="1:57" s="129" customFormat="1" hidden="1">
      <c r="A147" s="88" t="s">
        <v>1302</v>
      </c>
      <c r="B147" s="88" t="s">
        <v>1317</v>
      </c>
      <c r="C147" s="88" t="s">
        <v>1318</v>
      </c>
      <c r="D147" s="88" t="s">
        <v>55</v>
      </c>
      <c r="E147" s="89" t="s">
        <v>251</v>
      </c>
      <c r="F147" s="90" t="s">
        <v>321</v>
      </c>
      <c r="G147" s="131" t="s">
        <v>266</v>
      </c>
      <c r="H147" s="92"/>
      <c r="I147" s="167" t="s">
        <v>322</v>
      </c>
      <c r="J147" s="167" t="str">
        <f>_xlfn.XLOOKUP(I147,[1]Sheet1!$A:$A,[1]Sheet1!$B:$B,"")</f>
        <v>U0203011</v>
      </c>
      <c r="K147" s="90" t="s">
        <v>323</v>
      </c>
      <c r="L147" s="90" t="s">
        <v>324</v>
      </c>
      <c r="M147" s="92"/>
      <c r="N147" s="89" t="s">
        <v>60</v>
      </c>
      <c r="O147" s="92"/>
      <c r="P147" s="88" t="s">
        <v>276</v>
      </c>
      <c r="Q147" s="92" t="s">
        <v>256</v>
      </c>
      <c r="R147" s="92">
        <v>10368</v>
      </c>
      <c r="S147" s="123" t="s">
        <v>325</v>
      </c>
      <c r="T147" s="92" t="s">
        <v>257</v>
      </c>
      <c r="U147" s="155">
        <v>2.3E-2</v>
      </c>
      <c r="V147" s="207">
        <v>45</v>
      </c>
      <c r="W147" s="207">
        <v>45</v>
      </c>
      <c r="X147" s="207">
        <v>55</v>
      </c>
      <c r="Y147" s="207" t="s">
        <v>271</v>
      </c>
      <c r="Z147" s="133">
        <f>AW147/(1-(AF147+2%))</f>
        <v>1.0551181102362204</v>
      </c>
      <c r="AA147" s="133"/>
      <c r="AB147" s="161">
        <f t="shared" si="304"/>
        <v>0.9106854987204861</v>
      </c>
      <c r="AC147" s="161"/>
      <c r="AD147" s="213">
        <f t="shared" si="305"/>
        <v>0.1</v>
      </c>
      <c r="AE147" s="213">
        <v>0.1</v>
      </c>
      <c r="AF147" s="215">
        <v>0.34500000000000003</v>
      </c>
      <c r="AG147" s="215" t="s">
        <v>5</v>
      </c>
      <c r="AH147" s="123">
        <f t="shared" si="306"/>
        <v>0.8196169488484375</v>
      </c>
      <c r="AI147" s="122">
        <f t="shared" si="307"/>
        <v>0.27222222222222225</v>
      </c>
      <c r="AJ147" s="444"/>
      <c r="AK147" s="150">
        <f t="shared" si="308"/>
        <v>0.74444444444444435</v>
      </c>
      <c r="AL147" s="153">
        <f t="shared" si="309"/>
        <v>0.66277666851324268</v>
      </c>
      <c r="AM147" s="125">
        <f t="shared" si="310"/>
        <v>0.29444444444444451</v>
      </c>
      <c r="AN147" s="125">
        <f t="shared" si="197"/>
        <v>0.27222222222222214</v>
      </c>
      <c r="AO147" s="140"/>
      <c r="AP147" s="17" t="s">
        <v>259</v>
      </c>
      <c r="AQ147" s="162"/>
      <c r="AR147" s="162"/>
      <c r="AS147" s="162"/>
      <c r="AT147" s="162">
        <v>0.17</v>
      </c>
      <c r="AU147" s="162">
        <v>4.5199999999999996</v>
      </c>
      <c r="AV147" s="141">
        <f t="shared" si="302"/>
        <v>4.6899999999999995</v>
      </c>
      <c r="AW147" s="142">
        <f t="shared" si="303"/>
        <v>0.66999999999999993</v>
      </c>
      <c r="AX147" s="126">
        <f t="shared" si="268"/>
        <v>0.59649900166191838</v>
      </c>
      <c r="AY147" s="127"/>
      <c r="AZ147" s="128" t="s">
        <v>260</v>
      </c>
      <c r="BB147" s="161">
        <f t="shared" si="209"/>
        <v>3.0356183290682872</v>
      </c>
      <c r="BC147" s="161">
        <f t="shared" si="210"/>
        <v>1.8213709974409722</v>
      </c>
      <c r="BD147" s="161">
        <f t="shared" si="211"/>
        <v>1.5178091645341436</v>
      </c>
      <c r="BE147" s="161">
        <f t="shared" si="212"/>
        <v>1.214247331627315</v>
      </c>
    </row>
    <row r="148" spans="1:57" s="129" customFormat="1" hidden="1">
      <c r="A148" s="88" t="s">
        <v>1276</v>
      </c>
      <c r="B148" s="88" t="s">
        <v>1317</v>
      </c>
      <c r="C148" s="88" t="s">
        <v>1318</v>
      </c>
      <c r="D148" s="88" t="s">
        <v>55</v>
      </c>
      <c r="E148" s="89" t="s">
        <v>251</v>
      </c>
      <c r="F148" s="90" t="s">
        <v>321</v>
      </c>
      <c r="G148" s="131" t="s">
        <v>266</v>
      </c>
      <c r="H148" s="92"/>
      <c r="I148" s="167" t="s">
        <v>3697</v>
      </c>
      <c r="J148" s="167" t="str">
        <f>_xlfn.XLOOKUP(I148,[1]Sheet1!$A:$A,[1]Sheet1!$B:$B,"")</f>
        <v/>
      </c>
      <c r="K148" s="90" t="s">
        <v>3699</v>
      </c>
      <c r="L148" s="90" t="s">
        <v>3701</v>
      </c>
      <c r="M148" s="92" t="s">
        <v>328</v>
      </c>
      <c r="N148" s="89" t="s">
        <v>60</v>
      </c>
      <c r="O148" s="92"/>
      <c r="P148" s="88" t="s">
        <v>303</v>
      </c>
      <c r="Q148" s="92" t="s">
        <v>256</v>
      </c>
      <c r="R148" s="92">
        <v>6912</v>
      </c>
      <c r="S148" s="123"/>
      <c r="T148" s="92" t="s">
        <v>257</v>
      </c>
      <c r="U148" s="155">
        <v>2.3E-2</v>
      </c>
      <c r="V148" s="207">
        <v>45</v>
      </c>
      <c r="W148" s="207">
        <v>45</v>
      </c>
      <c r="X148" s="207">
        <v>55</v>
      </c>
      <c r="Y148" s="207" t="s">
        <v>271</v>
      </c>
      <c r="Z148" s="133">
        <f t="shared" ref="Z148" si="311">AW148/(1-(AF148+2%))</f>
        <v>1.421875</v>
      </c>
      <c r="AA148" s="133"/>
      <c r="AB148" s="161">
        <f t="shared" ref="AB148" si="312">AX148/(1-AF148)</f>
        <v>1.2293438201459037</v>
      </c>
      <c r="AC148" s="161"/>
      <c r="AD148" s="213">
        <f t="shared" ref="AD148" si="313">AE148</f>
        <v>0.1</v>
      </c>
      <c r="AE148" s="213">
        <v>0.1</v>
      </c>
      <c r="AF148" s="215">
        <v>0.34</v>
      </c>
      <c r="AG148" s="215" t="s">
        <v>5</v>
      </c>
      <c r="AH148" s="123">
        <f t="shared" ref="AH148" si="314">AB148*(1-$AH$3)</f>
        <v>1.1064094381313134</v>
      </c>
      <c r="AI148" s="122">
        <f t="shared" ref="AI148" si="315">1-(AX148/AH148)</f>
        <v>0.26666666666666683</v>
      </c>
      <c r="AJ148" s="444"/>
      <c r="AK148" s="150">
        <f t="shared" ref="AK148" si="316">AW148/(1-AD148)</f>
        <v>1.0111111111111111</v>
      </c>
      <c r="AL148" s="153">
        <f t="shared" ref="AL148" si="317">AX148/(1-AE148)</f>
        <v>0.90151880144032914</v>
      </c>
      <c r="AM148" s="125">
        <f t="shared" ref="AM148" si="318">1-(AK148/Z148)</f>
        <v>0.28888888888888886</v>
      </c>
      <c r="AN148" s="125">
        <f t="shared" ref="AN148" si="319">1-(AL148/AB148)</f>
        <v>0.26666666666666683</v>
      </c>
      <c r="AO148" s="140"/>
      <c r="AP148" s="17" t="s">
        <v>259</v>
      </c>
      <c r="AQ148" s="162"/>
      <c r="AR148" s="162"/>
      <c r="AS148" s="162"/>
      <c r="AT148" s="162">
        <v>0.35</v>
      </c>
      <c r="AU148" s="162">
        <v>6.02</v>
      </c>
      <c r="AV148" s="141">
        <f>AT148+AU148</f>
        <v>6.3699999999999992</v>
      </c>
      <c r="AW148" s="142">
        <f t="shared" ref="AW148" si="320">(AT148+AU148)/$F$5</f>
        <v>0.90999999999999992</v>
      </c>
      <c r="AX148" s="126">
        <f t="shared" ref="AX148" si="321">(AW148/$F$6)+(($F$9+$G$9)/40/R148)+AW148*U148</f>
        <v>0.81136692129629628</v>
      </c>
      <c r="AY148" s="127"/>
      <c r="AZ148" s="128" t="s">
        <v>260</v>
      </c>
      <c r="BB148" s="161">
        <f t="shared" ref="BB148" si="322">AB148/0.3</f>
        <v>4.097812733819679</v>
      </c>
      <c r="BC148" s="161">
        <f t="shared" ref="BC148" si="323">BB148*0.6</f>
        <v>2.4586876402918074</v>
      </c>
      <c r="BD148" s="161">
        <f t="shared" ref="BD148" si="324">BB148*0.5</f>
        <v>2.0489063669098395</v>
      </c>
      <c r="BE148" s="161">
        <f t="shared" ref="BE148" si="325">BB148*0.4</f>
        <v>1.6391250935278716</v>
      </c>
    </row>
    <row r="149" spans="1:57" s="129" customFormat="1" hidden="1">
      <c r="A149" s="88" t="s">
        <v>1302</v>
      </c>
      <c r="B149" s="88" t="s">
        <v>1317</v>
      </c>
      <c r="C149" s="88" t="s">
        <v>1318</v>
      </c>
      <c r="D149" s="88" t="s">
        <v>55</v>
      </c>
      <c r="E149" s="89" t="s">
        <v>251</v>
      </c>
      <c r="F149" s="90" t="s">
        <v>321</v>
      </c>
      <c r="G149" s="131" t="s">
        <v>266</v>
      </c>
      <c r="H149" s="92"/>
      <c r="I149" s="167" t="s">
        <v>1691</v>
      </c>
      <c r="J149" s="167" t="str">
        <f>_xlfn.XLOOKUP(I149,[1]Sheet1!$A:$A,[1]Sheet1!$B:$B,"")</f>
        <v>U0203012</v>
      </c>
      <c r="K149" s="90" t="s">
        <v>326</v>
      </c>
      <c r="L149" s="90" t="s">
        <v>327</v>
      </c>
      <c r="M149" s="92" t="s">
        <v>328</v>
      </c>
      <c r="N149" s="89" t="s">
        <v>60</v>
      </c>
      <c r="O149" s="92"/>
      <c r="P149" s="88" t="s">
        <v>270</v>
      </c>
      <c r="Q149" s="92" t="s">
        <v>256</v>
      </c>
      <c r="R149" s="92">
        <v>10368</v>
      </c>
      <c r="S149" s="123" t="s">
        <v>329</v>
      </c>
      <c r="T149" s="92" t="s">
        <v>257</v>
      </c>
      <c r="U149" s="155">
        <v>2.3E-2</v>
      </c>
      <c r="V149" s="207">
        <v>45</v>
      </c>
      <c r="W149" s="207">
        <v>45</v>
      </c>
      <c r="X149" s="207">
        <v>55</v>
      </c>
      <c r="Y149" s="207" t="s">
        <v>271</v>
      </c>
      <c r="Z149" s="133">
        <f t="shared" si="273"/>
        <v>1.3816964285714286</v>
      </c>
      <c r="AA149" s="133"/>
      <c r="AB149" s="161">
        <f t="shared" si="304"/>
        <v>1.1887541761222318</v>
      </c>
      <c r="AC149" s="161"/>
      <c r="AD149" s="213">
        <f t="shared" si="305"/>
        <v>0.1</v>
      </c>
      <c r="AE149" s="213">
        <v>0.1</v>
      </c>
      <c r="AF149" s="215">
        <v>0.34</v>
      </c>
      <c r="AG149" s="215" t="s">
        <v>5</v>
      </c>
      <c r="AH149" s="123">
        <f t="shared" si="306"/>
        <v>1.0698787585100087</v>
      </c>
      <c r="AI149" s="122">
        <f t="shared" si="307"/>
        <v>0.26666666666666672</v>
      </c>
      <c r="AJ149" s="444"/>
      <c r="AK149" s="150">
        <f t="shared" si="308"/>
        <v>0.98253968253968249</v>
      </c>
      <c r="AL149" s="153">
        <f t="shared" si="309"/>
        <v>0.87175306248963658</v>
      </c>
      <c r="AM149" s="125">
        <f t="shared" si="310"/>
        <v>0.28888888888888897</v>
      </c>
      <c r="AN149" s="125">
        <f t="shared" si="197"/>
        <v>0.26666666666666672</v>
      </c>
      <c r="AO149" s="140"/>
      <c r="AP149" s="17" t="s">
        <v>259</v>
      </c>
      <c r="AQ149" s="162"/>
      <c r="AR149" s="162"/>
      <c r="AS149" s="162"/>
      <c r="AT149" s="162">
        <v>0.17</v>
      </c>
      <c r="AU149" s="162">
        <v>6.02</v>
      </c>
      <c r="AV149" s="141">
        <f t="shared" si="302"/>
        <v>6.1899999999999995</v>
      </c>
      <c r="AW149" s="142">
        <f t="shared" si="303"/>
        <v>0.88428571428571423</v>
      </c>
      <c r="AX149" s="126">
        <f t="shared" si="268"/>
        <v>0.78457775624067294</v>
      </c>
      <c r="AY149" s="127"/>
      <c r="AZ149" s="128" t="s">
        <v>260</v>
      </c>
      <c r="BB149" s="161">
        <f t="shared" si="209"/>
        <v>3.9625139204074395</v>
      </c>
      <c r="BC149" s="161">
        <f t="shared" si="210"/>
        <v>2.3775083522444636</v>
      </c>
      <c r="BD149" s="161">
        <f t="shared" si="211"/>
        <v>1.9812569602037198</v>
      </c>
      <c r="BE149" s="161">
        <f t="shared" si="212"/>
        <v>1.585005568162976</v>
      </c>
    </row>
    <row r="150" spans="1:57" s="129" customFormat="1" hidden="1">
      <c r="A150" s="88" t="s">
        <v>1302</v>
      </c>
      <c r="B150" s="88" t="s">
        <v>1318</v>
      </c>
      <c r="C150" s="88" t="s">
        <v>1318</v>
      </c>
      <c r="D150" s="88" t="s">
        <v>55</v>
      </c>
      <c r="E150" s="89" t="s">
        <v>251</v>
      </c>
      <c r="F150" s="90" t="s">
        <v>321</v>
      </c>
      <c r="G150" s="131" t="s">
        <v>253</v>
      </c>
      <c r="H150" s="92"/>
      <c r="I150" s="167" t="s">
        <v>330</v>
      </c>
      <c r="J150" s="167" t="str">
        <f>_xlfn.XLOOKUP(I150,[1]Sheet1!$A:$A,[1]Sheet1!$B:$B,"")</f>
        <v>U0203005</v>
      </c>
      <c r="K150" s="90" t="s">
        <v>3698</v>
      </c>
      <c r="L150" s="90" t="s">
        <v>3700</v>
      </c>
      <c r="M150" s="92"/>
      <c r="N150" s="89" t="s">
        <v>60</v>
      </c>
      <c r="O150" s="92"/>
      <c r="P150" s="88" t="s">
        <v>303</v>
      </c>
      <c r="Q150" s="92" t="s">
        <v>256</v>
      </c>
      <c r="R150" s="92">
        <v>6912</v>
      </c>
      <c r="S150" s="123" t="s">
        <v>332</v>
      </c>
      <c r="T150" s="92" t="s">
        <v>257</v>
      </c>
      <c r="U150" s="155">
        <v>2.3E-2</v>
      </c>
      <c r="V150" s="207">
        <v>45</v>
      </c>
      <c r="W150" s="207">
        <v>45</v>
      </c>
      <c r="X150" s="207">
        <v>55</v>
      </c>
      <c r="Y150" s="207" t="s">
        <v>271</v>
      </c>
      <c r="Z150" s="133">
        <f t="shared" si="273"/>
        <v>1.705215419501134</v>
      </c>
      <c r="AA150" s="133"/>
      <c r="AB150" s="161">
        <f t="shared" si="304"/>
        <v>1.470093281753859</v>
      </c>
      <c r="AC150" s="161"/>
      <c r="AD150" s="213">
        <f t="shared" si="305"/>
        <v>0.1</v>
      </c>
      <c r="AE150" s="213">
        <v>0.1</v>
      </c>
      <c r="AF150" s="215">
        <v>0.35000000000000003</v>
      </c>
      <c r="AG150" s="215" t="s">
        <v>5</v>
      </c>
      <c r="AH150" s="123">
        <f t="shared" si="306"/>
        <v>1.3230839535784731</v>
      </c>
      <c r="AI150" s="122">
        <f t="shared" si="307"/>
        <v>0.2777777777777779</v>
      </c>
      <c r="AJ150" s="444"/>
      <c r="AK150" s="150">
        <f t="shared" si="308"/>
        <v>1.1936507936507936</v>
      </c>
      <c r="AL150" s="153">
        <f t="shared" si="309"/>
        <v>1.0617340368222312</v>
      </c>
      <c r="AM150" s="125">
        <f t="shared" si="310"/>
        <v>0.30000000000000004</v>
      </c>
      <c r="AN150" s="125">
        <f t="shared" si="197"/>
        <v>0.27777777777777801</v>
      </c>
      <c r="AO150" s="140"/>
      <c r="AP150" s="17" t="s">
        <v>259</v>
      </c>
      <c r="AQ150" s="162"/>
      <c r="AR150" s="162"/>
      <c r="AS150" s="162"/>
      <c r="AT150" s="162">
        <v>0.35</v>
      </c>
      <c r="AU150" s="162">
        <v>7.17</v>
      </c>
      <c r="AV150" s="141">
        <f t="shared" si="302"/>
        <v>7.52</v>
      </c>
      <c r="AW150" s="142">
        <f t="shared" si="303"/>
        <v>1.0742857142857143</v>
      </c>
      <c r="AX150" s="126">
        <f t="shared" si="268"/>
        <v>0.95556063314000816</v>
      </c>
      <c r="AY150" s="127"/>
      <c r="AZ150" s="128" t="s">
        <v>260</v>
      </c>
      <c r="BB150" s="161">
        <f t="shared" si="209"/>
        <v>4.9003109391795299</v>
      </c>
      <c r="BC150" s="161">
        <f t="shared" si="210"/>
        <v>2.940186563507718</v>
      </c>
      <c r="BD150" s="161">
        <f t="shared" si="211"/>
        <v>2.4501554695897649</v>
      </c>
      <c r="BE150" s="161">
        <f t="shared" si="212"/>
        <v>1.9601243756718121</v>
      </c>
    </row>
    <row r="151" spans="1:57" s="129" customFormat="1" hidden="1">
      <c r="A151" s="88" t="s">
        <v>1302</v>
      </c>
      <c r="B151" s="88" t="s">
        <v>1317</v>
      </c>
      <c r="C151" s="88" t="s">
        <v>1317</v>
      </c>
      <c r="D151" s="88" t="s">
        <v>55</v>
      </c>
      <c r="E151" s="89" t="s">
        <v>251</v>
      </c>
      <c r="F151" s="90" t="s">
        <v>321</v>
      </c>
      <c r="G151" s="131" t="s">
        <v>253</v>
      </c>
      <c r="H151" s="92"/>
      <c r="I151" s="167" t="s">
        <v>333</v>
      </c>
      <c r="J151" s="167" t="str">
        <f>_xlfn.XLOOKUP(I151,[1]Sheet1!$A:$A,[1]Sheet1!$B:$B,"")</f>
        <v>U0203007</v>
      </c>
      <c r="K151" s="90" t="s">
        <v>334</v>
      </c>
      <c r="L151" s="90" t="s">
        <v>335</v>
      </c>
      <c r="M151" s="92"/>
      <c r="N151" s="89" t="s">
        <v>60</v>
      </c>
      <c r="O151" s="92"/>
      <c r="P151" s="88" t="s">
        <v>206</v>
      </c>
      <c r="Q151" s="92" t="s">
        <v>256</v>
      </c>
      <c r="R151" s="92">
        <v>8064</v>
      </c>
      <c r="S151" s="123" t="s">
        <v>336</v>
      </c>
      <c r="T151" s="92" t="s">
        <v>257</v>
      </c>
      <c r="U151" s="155">
        <v>2.3E-2</v>
      </c>
      <c r="V151" s="207">
        <v>45</v>
      </c>
      <c r="W151" s="207">
        <v>45</v>
      </c>
      <c r="X151" s="207">
        <v>55</v>
      </c>
      <c r="Y151" s="207" t="s">
        <v>271</v>
      </c>
      <c r="Z151" s="133">
        <f t="shared" si="273"/>
        <v>1.6870748299319729</v>
      </c>
      <c r="AA151" s="133"/>
      <c r="AB151" s="161">
        <f t="shared" si="304"/>
        <v>1.4518789494693343</v>
      </c>
      <c r="AC151" s="161"/>
      <c r="AD151" s="213">
        <f t="shared" si="305"/>
        <v>0.1</v>
      </c>
      <c r="AE151" s="213">
        <v>0.1</v>
      </c>
      <c r="AF151" s="215">
        <v>0.35000000000000003</v>
      </c>
      <c r="AG151" s="215" t="s">
        <v>5</v>
      </c>
      <c r="AH151" s="123">
        <f t="shared" si="306"/>
        <v>1.3066910545224009</v>
      </c>
      <c r="AI151" s="122">
        <f t="shared" si="307"/>
        <v>0.2777777777777779</v>
      </c>
      <c r="AJ151" s="444"/>
      <c r="AK151" s="150">
        <f t="shared" si="308"/>
        <v>1.1809523809523808</v>
      </c>
      <c r="AL151" s="153">
        <f t="shared" si="309"/>
        <v>1.0485792412834078</v>
      </c>
      <c r="AM151" s="125">
        <f t="shared" si="310"/>
        <v>0.30000000000000016</v>
      </c>
      <c r="AN151" s="125">
        <f t="shared" si="197"/>
        <v>0.2777777777777779</v>
      </c>
      <c r="AO151" s="140"/>
      <c r="AP151" s="17" t="s">
        <v>259</v>
      </c>
      <c r="AQ151" s="162"/>
      <c r="AR151" s="162"/>
      <c r="AS151" s="162"/>
      <c r="AT151" s="162">
        <f>0.17+0.1</f>
        <v>0.27</v>
      </c>
      <c r="AU151" s="162">
        <v>7.17</v>
      </c>
      <c r="AV151" s="141">
        <f t="shared" si="302"/>
        <v>7.4399999999999995</v>
      </c>
      <c r="AW151" s="142">
        <f t="shared" si="303"/>
        <v>1.0628571428571427</v>
      </c>
      <c r="AX151" s="126">
        <f t="shared" si="268"/>
        <v>0.94372131715506713</v>
      </c>
      <c r="AY151" s="17"/>
      <c r="AZ151" s="128" t="s">
        <v>260</v>
      </c>
      <c r="BB151" s="161">
        <f t="shared" si="209"/>
        <v>4.8395964982311144</v>
      </c>
      <c r="BC151" s="161">
        <f t="shared" si="210"/>
        <v>2.9037578989386685</v>
      </c>
      <c r="BD151" s="161">
        <f t="shared" si="211"/>
        <v>2.4197982491155572</v>
      </c>
      <c r="BE151" s="161">
        <f t="shared" si="212"/>
        <v>1.9358385992924458</v>
      </c>
    </row>
    <row r="152" spans="1:57" s="129" customFormat="1" hidden="1">
      <c r="A152" s="88" t="s">
        <v>1302</v>
      </c>
      <c r="B152" s="88" t="s">
        <v>1318</v>
      </c>
      <c r="C152" s="88" t="s">
        <v>1318</v>
      </c>
      <c r="D152" s="88" t="s">
        <v>55</v>
      </c>
      <c r="E152" s="89" t="s">
        <v>251</v>
      </c>
      <c r="F152" s="90" t="s">
        <v>321</v>
      </c>
      <c r="G152" s="131" t="s">
        <v>253</v>
      </c>
      <c r="H152" s="92"/>
      <c r="I152" s="167" t="s">
        <v>337</v>
      </c>
      <c r="J152" s="167" t="str">
        <f>_xlfn.XLOOKUP(I152,[1]Sheet1!$A:$A,[1]Sheet1!$B:$B,"")</f>
        <v>U0203006</v>
      </c>
      <c r="K152" s="90" t="s">
        <v>338</v>
      </c>
      <c r="L152" s="90" t="s">
        <v>339</v>
      </c>
      <c r="M152" s="92"/>
      <c r="N152" s="89" t="s">
        <v>60</v>
      </c>
      <c r="O152" s="92"/>
      <c r="P152" s="88" t="s">
        <v>270</v>
      </c>
      <c r="Q152" s="92" t="s">
        <v>256</v>
      </c>
      <c r="R152" s="92">
        <v>10368</v>
      </c>
      <c r="S152" s="123" t="s">
        <v>340</v>
      </c>
      <c r="T152" s="92" t="s">
        <v>257</v>
      </c>
      <c r="U152" s="155">
        <v>2.3E-2</v>
      </c>
      <c r="V152" s="207">
        <v>45</v>
      </c>
      <c r="W152" s="207">
        <v>45</v>
      </c>
      <c r="X152" s="207">
        <v>55</v>
      </c>
      <c r="Y152" s="207" t="s">
        <v>271</v>
      </c>
      <c r="Z152" s="133">
        <f t="shared" si="273"/>
        <v>1.6643990929705217</v>
      </c>
      <c r="AA152" s="133"/>
      <c r="AB152" s="161">
        <f t="shared" si="304"/>
        <v>1.4288791816682844</v>
      </c>
      <c r="AC152" s="161"/>
      <c r="AD152" s="213">
        <f t="shared" si="305"/>
        <v>0.1</v>
      </c>
      <c r="AE152" s="213">
        <v>0.1</v>
      </c>
      <c r="AF152" s="215">
        <v>0.35000000000000003</v>
      </c>
      <c r="AG152" s="215" t="s">
        <v>5</v>
      </c>
      <c r="AH152" s="123">
        <f t="shared" si="306"/>
        <v>1.2859912635014561</v>
      </c>
      <c r="AI152" s="122">
        <f t="shared" si="307"/>
        <v>0.27777777777777801</v>
      </c>
      <c r="AJ152" s="444"/>
      <c r="AK152" s="150">
        <f t="shared" si="308"/>
        <v>1.1650793650793649</v>
      </c>
      <c r="AL152" s="153">
        <f t="shared" si="309"/>
        <v>1.0319682978715385</v>
      </c>
      <c r="AM152" s="125">
        <f t="shared" si="310"/>
        <v>0.30000000000000016</v>
      </c>
      <c r="AN152" s="125">
        <f t="shared" si="197"/>
        <v>0.2777777777777779</v>
      </c>
      <c r="AO152" s="140"/>
      <c r="AP152" s="17" t="s">
        <v>259</v>
      </c>
      <c r="AQ152" s="162"/>
      <c r="AR152" s="162"/>
      <c r="AS152" s="162"/>
      <c r="AT152" s="162">
        <v>0.17</v>
      </c>
      <c r="AU152" s="162">
        <v>7.17</v>
      </c>
      <c r="AV152" s="141">
        <f t="shared" si="302"/>
        <v>7.34</v>
      </c>
      <c r="AW152" s="142">
        <f t="shared" si="303"/>
        <v>1.0485714285714285</v>
      </c>
      <c r="AX152" s="126">
        <f>(AW152/$F$6)+(($F$9+$G$9)/40/R152)+AW152*U152</f>
        <v>0.92877146808438471</v>
      </c>
      <c r="AY152" s="127"/>
      <c r="AZ152" s="128" t="s">
        <v>260</v>
      </c>
      <c r="BB152" s="161">
        <f t="shared" si="209"/>
        <v>4.7629306055609479</v>
      </c>
      <c r="BC152" s="161">
        <f t="shared" si="210"/>
        <v>2.8577583633365689</v>
      </c>
      <c r="BD152" s="161">
        <f t="shared" si="211"/>
        <v>2.381465302780474</v>
      </c>
      <c r="BE152" s="161">
        <f t="shared" si="212"/>
        <v>1.9051722422243793</v>
      </c>
    </row>
    <row r="153" spans="1:57" s="129" customFormat="1" hidden="1">
      <c r="A153" s="88" t="s">
        <v>1302</v>
      </c>
      <c r="B153" s="88" t="s">
        <v>1317</v>
      </c>
      <c r="C153" s="88" t="s">
        <v>1318</v>
      </c>
      <c r="D153" s="88" t="s">
        <v>55</v>
      </c>
      <c r="E153" s="89" t="s">
        <v>251</v>
      </c>
      <c r="F153" s="90" t="s">
        <v>321</v>
      </c>
      <c r="G153" s="131" t="s">
        <v>253</v>
      </c>
      <c r="H153" s="92"/>
      <c r="I153" s="167" t="s">
        <v>341</v>
      </c>
      <c r="J153" s="167" t="str">
        <f>_xlfn.XLOOKUP(I153,[1]Sheet1!$A:$A,[1]Sheet1!$B:$B,"")</f>
        <v>U0203008</v>
      </c>
      <c r="K153" s="90" t="s">
        <v>342</v>
      </c>
      <c r="L153" s="90" t="s">
        <v>343</v>
      </c>
      <c r="M153" s="92" t="s">
        <v>328</v>
      </c>
      <c r="N153" s="89" t="s">
        <v>60</v>
      </c>
      <c r="O153" s="92"/>
      <c r="P153" s="88" t="s">
        <v>303</v>
      </c>
      <c r="Q153" s="92" t="s">
        <v>256</v>
      </c>
      <c r="R153" s="92">
        <v>6912</v>
      </c>
      <c r="S153" s="123" t="s">
        <v>344</v>
      </c>
      <c r="T153" s="92" t="s">
        <v>257</v>
      </c>
      <c r="U153" s="155">
        <v>2.3E-2</v>
      </c>
      <c r="V153" s="207">
        <v>45</v>
      </c>
      <c r="W153" s="207">
        <v>45</v>
      </c>
      <c r="X153" s="207">
        <v>55</v>
      </c>
      <c r="Y153" s="207" t="s">
        <v>271</v>
      </c>
      <c r="Z153" s="133">
        <f t="shared" si="273"/>
        <v>2.0066964285714288</v>
      </c>
      <c r="AA153" s="133"/>
      <c r="AB153" s="161">
        <f t="shared" si="304"/>
        <v>1.7270875948896787</v>
      </c>
      <c r="AC153" s="161"/>
      <c r="AD153" s="213">
        <f t="shared" si="305"/>
        <v>0.1</v>
      </c>
      <c r="AE153" s="213">
        <v>0.1</v>
      </c>
      <c r="AF153" s="215">
        <v>0.34</v>
      </c>
      <c r="AG153" s="215" t="s">
        <v>5</v>
      </c>
      <c r="AH153" s="123">
        <f t="shared" si="306"/>
        <v>1.5543788354007109</v>
      </c>
      <c r="AI153" s="122">
        <f t="shared" si="307"/>
        <v>0.26666666666666683</v>
      </c>
      <c r="AJ153" s="444"/>
      <c r="AK153" s="150">
        <f t="shared" si="308"/>
        <v>1.426984126984127</v>
      </c>
      <c r="AL153" s="153">
        <f t="shared" si="309"/>
        <v>1.2665309029190974</v>
      </c>
      <c r="AM153" s="125">
        <f t="shared" si="310"/>
        <v>0.28888888888888897</v>
      </c>
      <c r="AN153" s="125">
        <f t="shared" si="197"/>
        <v>0.26666666666666683</v>
      </c>
      <c r="AO153" s="140"/>
      <c r="AP153" s="17" t="s">
        <v>259</v>
      </c>
      <c r="AQ153" s="162"/>
      <c r="AR153" s="162"/>
      <c r="AS153" s="162"/>
      <c r="AT153" s="162">
        <v>0.35</v>
      </c>
      <c r="AU153" s="162">
        <v>8.64</v>
      </c>
      <c r="AV153" s="141">
        <f t="shared" si="302"/>
        <v>8.99</v>
      </c>
      <c r="AW153" s="142">
        <f t="shared" si="303"/>
        <v>1.2842857142857143</v>
      </c>
      <c r="AX153" s="126">
        <f t="shared" si="268"/>
        <v>1.1398778126271878</v>
      </c>
      <c r="AY153" s="127"/>
      <c r="AZ153" s="128" t="s">
        <v>260</v>
      </c>
      <c r="BB153" s="161">
        <f t="shared" si="209"/>
        <v>5.7569586496322627</v>
      </c>
      <c r="BC153" s="161">
        <f t="shared" si="210"/>
        <v>3.4541751897793573</v>
      </c>
      <c r="BD153" s="161">
        <f t="shared" si="211"/>
        <v>2.8784793248161313</v>
      </c>
      <c r="BE153" s="161">
        <f t="shared" si="212"/>
        <v>2.3027834598529053</v>
      </c>
    </row>
    <row r="154" spans="1:57" s="129" customFormat="1" hidden="1">
      <c r="A154" s="88" t="s">
        <v>1302</v>
      </c>
      <c r="B154" s="88" t="s">
        <v>1317</v>
      </c>
      <c r="C154" s="88" t="s">
        <v>1317</v>
      </c>
      <c r="D154" s="88" t="s">
        <v>55</v>
      </c>
      <c r="E154" s="89" t="s">
        <v>251</v>
      </c>
      <c r="F154" s="90" t="s">
        <v>321</v>
      </c>
      <c r="G154" s="131" t="s">
        <v>253</v>
      </c>
      <c r="H154" s="92"/>
      <c r="I154" s="167" t="s">
        <v>345</v>
      </c>
      <c r="J154" s="167" t="str">
        <f>_xlfn.XLOOKUP(I154,[1]Sheet1!$A:$A,[1]Sheet1!$B:$B,"")</f>
        <v>U0203010</v>
      </c>
      <c r="K154" s="90" t="s">
        <v>346</v>
      </c>
      <c r="L154" s="90" t="s">
        <v>347</v>
      </c>
      <c r="M154" s="92" t="s">
        <v>328</v>
      </c>
      <c r="N154" s="89" t="s">
        <v>60</v>
      </c>
      <c r="O154" s="92"/>
      <c r="P154" s="88" t="s">
        <v>215</v>
      </c>
      <c r="Q154" s="92" t="s">
        <v>256</v>
      </c>
      <c r="R154" s="92">
        <v>8064</v>
      </c>
      <c r="S154" s="123" t="s">
        <v>348</v>
      </c>
      <c r="T154" s="92" t="s">
        <v>257</v>
      </c>
      <c r="U154" s="155">
        <v>2.3E-2</v>
      </c>
      <c r="V154" s="207">
        <v>45</v>
      </c>
      <c r="W154" s="207">
        <v>45</v>
      </c>
      <c r="X154" s="207">
        <v>55</v>
      </c>
      <c r="Y154" s="207" t="s">
        <v>271</v>
      </c>
      <c r="Z154" s="133">
        <f t="shared" si="273"/>
        <v>1.988839285714286</v>
      </c>
      <c r="AA154" s="133"/>
      <c r="AB154" s="161">
        <f t="shared" si="304"/>
        <v>1.7091492373367376</v>
      </c>
      <c r="AC154" s="161"/>
      <c r="AD154" s="213">
        <f t="shared" si="305"/>
        <v>0.1</v>
      </c>
      <c r="AE154" s="213">
        <v>0.1</v>
      </c>
      <c r="AF154" s="215">
        <v>0.34</v>
      </c>
      <c r="AG154" s="215" t="s">
        <v>5</v>
      </c>
      <c r="AH154" s="123">
        <f t="shared" si="306"/>
        <v>1.5382343136030638</v>
      </c>
      <c r="AI154" s="122">
        <f t="shared" si="307"/>
        <v>0.26666666666666672</v>
      </c>
      <c r="AJ154" s="444"/>
      <c r="AK154" s="150">
        <f t="shared" si="308"/>
        <v>1.4142857142857144</v>
      </c>
      <c r="AL154" s="153">
        <f t="shared" si="309"/>
        <v>1.2533761073802741</v>
      </c>
      <c r="AM154" s="125">
        <f t="shared" si="310"/>
        <v>0.28888888888888897</v>
      </c>
      <c r="AN154" s="125">
        <f t="shared" si="197"/>
        <v>0.26666666666666683</v>
      </c>
      <c r="AO154" s="140"/>
      <c r="AP154" s="17" t="s">
        <v>259</v>
      </c>
      <c r="AQ154" s="162"/>
      <c r="AR154" s="162"/>
      <c r="AS154" s="162"/>
      <c r="AT154" s="162">
        <f>0.17+0.1</f>
        <v>0.27</v>
      </c>
      <c r="AU154" s="162">
        <v>8.64</v>
      </c>
      <c r="AV154" s="141">
        <f t="shared" si="302"/>
        <v>8.91</v>
      </c>
      <c r="AW154" s="142">
        <f t="shared" si="303"/>
        <v>1.2728571428571429</v>
      </c>
      <c r="AX154" s="126">
        <f t="shared" ref="AX154:AX182" si="326">(AW154/$F$6)+(($F$9+$G$9)/40/R154)+AW154*U154</f>
        <v>1.1280384966422468</v>
      </c>
      <c r="AY154" s="17"/>
      <c r="AZ154" s="128" t="s">
        <v>260</v>
      </c>
      <c r="BB154" s="161">
        <f t="shared" si="209"/>
        <v>5.6971641244557922</v>
      </c>
      <c r="BC154" s="161">
        <f t="shared" si="210"/>
        <v>3.4182984746734753</v>
      </c>
      <c r="BD154" s="161">
        <f t="shared" si="211"/>
        <v>2.8485820622278961</v>
      </c>
      <c r="BE154" s="161">
        <f t="shared" si="212"/>
        <v>2.278865649782317</v>
      </c>
    </row>
    <row r="155" spans="1:57" s="129" customFormat="1" hidden="1">
      <c r="A155" s="88" t="s">
        <v>1302</v>
      </c>
      <c r="B155" s="88" t="s">
        <v>1318</v>
      </c>
      <c r="C155" s="88" t="s">
        <v>1318</v>
      </c>
      <c r="D155" s="88" t="s">
        <v>55</v>
      </c>
      <c r="E155" s="89" t="s">
        <v>251</v>
      </c>
      <c r="F155" s="90" t="s">
        <v>321</v>
      </c>
      <c r="G155" s="131" t="s">
        <v>253</v>
      </c>
      <c r="H155" s="92"/>
      <c r="I155" s="167" t="s">
        <v>349</v>
      </c>
      <c r="J155" s="167" t="str">
        <f>_xlfn.XLOOKUP(I155,[1]Sheet1!$A:$A,[1]Sheet1!$B:$B,"")</f>
        <v>U0203009</v>
      </c>
      <c r="K155" s="90" t="s">
        <v>350</v>
      </c>
      <c r="L155" s="90" t="s">
        <v>351</v>
      </c>
      <c r="M155" s="92" t="s">
        <v>328</v>
      </c>
      <c r="N155" s="89" t="s">
        <v>60</v>
      </c>
      <c r="O155" s="92"/>
      <c r="P155" s="88" t="s">
        <v>276</v>
      </c>
      <c r="Q155" s="92" t="s">
        <v>256</v>
      </c>
      <c r="R155" s="92">
        <v>10368</v>
      </c>
      <c r="S155" s="123" t="s">
        <v>352</v>
      </c>
      <c r="T155" s="92" t="s">
        <v>257</v>
      </c>
      <c r="U155" s="155">
        <v>2.3E-2</v>
      </c>
      <c r="V155" s="207">
        <v>45</v>
      </c>
      <c r="W155" s="207">
        <v>45</v>
      </c>
      <c r="X155" s="207">
        <v>55</v>
      </c>
      <c r="Y155" s="207" t="s">
        <v>271</v>
      </c>
      <c r="Z155" s="133">
        <f t="shared" si="273"/>
        <v>1.9665178571428577</v>
      </c>
      <c r="AA155" s="133"/>
      <c r="AB155" s="161">
        <f>AX155/(1-AF155)</f>
        <v>1.686497950866007</v>
      </c>
      <c r="AC155" s="161"/>
      <c r="AD155" s="213">
        <f t="shared" si="305"/>
        <v>0.1</v>
      </c>
      <c r="AE155" s="213">
        <v>0.1</v>
      </c>
      <c r="AF155" s="215">
        <v>0.34</v>
      </c>
      <c r="AG155" s="215" t="s">
        <v>5</v>
      </c>
      <c r="AH155" s="123">
        <f t="shared" si="306"/>
        <v>1.5178481557794063</v>
      </c>
      <c r="AI155" s="122">
        <f t="shared" si="307"/>
        <v>0.26666666666666683</v>
      </c>
      <c r="AJ155" s="444"/>
      <c r="AK155" s="150">
        <f t="shared" si="308"/>
        <v>1.3984126984126986</v>
      </c>
      <c r="AL155" s="153">
        <f t="shared" si="309"/>
        <v>1.236765163968405</v>
      </c>
      <c r="AM155" s="125">
        <f t="shared" si="310"/>
        <v>0.28888888888888897</v>
      </c>
      <c r="AN155" s="125">
        <f t="shared" si="197"/>
        <v>0.26666666666666672</v>
      </c>
      <c r="AO155" s="140"/>
      <c r="AP155" s="17" t="s">
        <v>259</v>
      </c>
      <c r="AQ155" s="162"/>
      <c r="AR155" s="162"/>
      <c r="AS155" s="162"/>
      <c r="AT155" s="162">
        <v>0.17</v>
      </c>
      <c r="AU155" s="162">
        <v>8.64</v>
      </c>
      <c r="AV155" s="141">
        <f t="shared" si="302"/>
        <v>8.81</v>
      </c>
      <c r="AW155" s="142">
        <f t="shared" si="303"/>
        <v>1.2585714285714287</v>
      </c>
      <c r="AX155" s="126">
        <f t="shared" si="326"/>
        <v>1.1130886475715644</v>
      </c>
      <c r="AY155" s="127"/>
      <c r="AZ155" s="128" t="s">
        <v>260</v>
      </c>
      <c r="BB155" s="161">
        <f t="shared" si="209"/>
        <v>5.6216598362200232</v>
      </c>
      <c r="BC155" s="161">
        <f t="shared" si="210"/>
        <v>3.3729959017320139</v>
      </c>
      <c r="BD155" s="161">
        <f t="shared" si="211"/>
        <v>2.8108299181100116</v>
      </c>
      <c r="BE155" s="161">
        <f t="shared" si="212"/>
        <v>2.2486639344880093</v>
      </c>
    </row>
    <row r="156" spans="1:57" s="129" customFormat="1" hidden="1">
      <c r="A156" s="90" t="s">
        <v>1276</v>
      </c>
      <c r="B156" s="88" t="s">
        <v>1317</v>
      </c>
      <c r="C156" s="88" t="s">
        <v>1317</v>
      </c>
      <c r="D156" s="90" t="s">
        <v>55</v>
      </c>
      <c r="E156" s="90" t="s">
        <v>251</v>
      </c>
      <c r="F156" s="90" t="s">
        <v>1823</v>
      </c>
      <c r="G156" s="131" t="s">
        <v>1824</v>
      </c>
      <c r="H156" s="92"/>
      <c r="I156" s="167" t="s">
        <v>2424</v>
      </c>
      <c r="J156" s="167" t="str">
        <f>_xlfn.XLOOKUP(I156,[1]Sheet1!$A:$A,[1]Sheet1!$B:$B,"")</f>
        <v/>
      </c>
      <c r="K156" s="90" t="s">
        <v>2598</v>
      </c>
      <c r="L156" s="90" t="s">
        <v>2599</v>
      </c>
      <c r="M156" s="92"/>
      <c r="N156" s="89" t="s">
        <v>60</v>
      </c>
      <c r="O156" s="92"/>
      <c r="P156" s="88" t="s">
        <v>241</v>
      </c>
      <c r="Q156" s="92" t="s">
        <v>1825</v>
      </c>
      <c r="R156" s="92">
        <v>1000</v>
      </c>
      <c r="S156" s="92" t="e">
        <v>#N/A</v>
      </c>
      <c r="T156" s="92" t="s">
        <v>257</v>
      </c>
      <c r="U156" s="155">
        <v>0</v>
      </c>
      <c r="V156" s="207">
        <v>30</v>
      </c>
      <c r="W156" s="207">
        <v>45</v>
      </c>
      <c r="X156" s="207">
        <v>55</v>
      </c>
      <c r="Y156" s="207" t="s">
        <v>359</v>
      </c>
      <c r="Z156" s="133">
        <f t="shared" ref="Z156:Z157" si="327">AW156/(1-(AF156+2%))</f>
        <v>0.85000000000000009</v>
      </c>
      <c r="AA156" s="133"/>
      <c r="AB156" s="161">
        <f t="shared" ref="AB156:AB157" si="328">AX156/(1-AF156)</f>
        <v>0.86162551440329238</v>
      </c>
      <c r="AC156" s="161"/>
      <c r="AD156" s="213">
        <f t="shared" ref="AD156:AD157" si="329">AE156</f>
        <v>0.1</v>
      </c>
      <c r="AE156" s="213">
        <v>0.1</v>
      </c>
      <c r="AF156" s="215">
        <v>0.46</v>
      </c>
      <c r="AG156" s="215" t="s">
        <v>9</v>
      </c>
      <c r="AH156" s="148">
        <f t="shared" ref="AH156:AH224" si="330">AB156</f>
        <v>0.86162551440329238</v>
      </c>
      <c r="AI156" s="122">
        <f t="shared" ref="AI156:AI157" si="331">1-(AX156/AH156)</f>
        <v>0.45999999999999996</v>
      </c>
      <c r="AJ156" s="444"/>
      <c r="AK156" s="150">
        <f t="shared" ref="AK156:AK157" si="332">AW156/(1-AD156)</f>
        <v>0.49111111111111116</v>
      </c>
      <c r="AL156" s="153">
        <f t="shared" ref="AL156:AL157" si="333">AX156/(1-AE156)</f>
        <v>0.51697530864197538</v>
      </c>
      <c r="AM156" s="125">
        <f t="shared" ref="AM156:AM157" si="334">1-(AK156/Z156)</f>
        <v>0.42222222222222217</v>
      </c>
      <c r="AN156" s="125">
        <f t="shared" ref="AN156:AN157" si="335">1-(AL156/AB156)</f>
        <v>0.4</v>
      </c>
      <c r="AO156" s="166"/>
      <c r="AP156" s="17" t="s">
        <v>211</v>
      </c>
      <c r="AQ156" s="162"/>
      <c r="AR156" s="162"/>
      <c r="AS156" s="162"/>
      <c r="AT156" s="162">
        <f>0.01*2*7.2</f>
        <v>0.14400000000000002</v>
      </c>
      <c r="AU156" s="141">
        <v>2.95</v>
      </c>
      <c r="AV156" s="141">
        <f>AT156+AU156</f>
        <v>3.0940000000000003</v>
      </c>
      <c r="AW156" s="142">
        <f>(AT156+AU156)/$F$5</f>
        <v>0.44200000000000006</v>
      </c>
      <c r="AX156" s="126">
        <f t="shared" ref="AX156:AX157" si="336">(AW156/$F$6)+(($F$9+$G$9)/40/R156)+AW156*U156</f>
        <v>0.4652777777777779</v>
      </c>
      <c r="AY156" s="130" t="s">
        <v>1829</v>
      </c>
      <c r="AZ156" s="128"/>
      <c r="BB156" s="168">
        <f t="shared" si="209"/>
        <v>2.8720850480109745</v>
      </c>
      <c r="BC156" s="168">
        <f t="shared" si="210"/>
        <v>1.7232510288065848</v>
      </c>
      <c r="BD156" s="168">
        <f t="shared" si="211"/>
        <v>1.4360425240054873</v>
      </c>
      <c r="BE156" s="168">
        <f t="shared" si="212"/>
        <v>1.1488340192043898</v>
      </c>
    </row>
    <row r="157" spans="1:57" s="129" customFormat="1" hidden="1">
      <c r="A157" s="90" t="s">
        <v>1276</v>
      </c>
      <c r="B157" s="88" t="s">
        <v>1317</v>
      </c>
      <c r="C157" s="88" t="s">
        <v>1317</v>
      </c>
      <c r="D157" s="90" t="s">
        <v>55</v>
      </c>
      <c r="E157" s="90" t="s">
        <v>251</v>
      </c>
      <c r="F157" s="90" t="s">
        <v>1823</v>
      </c>
      <c r="G157" s="131" t="s">
        <v>1496</v>
      </c>
      <c r="H157" s="92"/>
      <c r="I157" s="167" t="s">
        <v>1826</v>
      </c>
      <c r="J157" s="167" t="str">
        <f>_xlfn.XLOOKUP(I157,[1]Sheet1!$A:$A,[1]Sheet1!$B:$B,"")</f>
        <v/>
      </c>
      <c r="K157" s="90" t="s">
        <v>1827</v>
      </c>
      <c r="L157" s="90" t="s">
        <v>2600</v>
      </c>
      <c r="M157" s="92"/>
      <c r="N157" s="89" t="s">
        <v>60</v>
      </c>
      <c r="O157" s="92"/>
      <c r="P157" s="88" t="s">
        <v>241</v>
      </c>
      <c r="Q157" s="92" t="s">
        <v>1825</v>
      </c>
      <c r="R157" s="92">
        <v>1000</v>
      </c>
      <c r="S157" s="92" t="e">
        <v>#N/A</v>
      </c>
      <c r="T157" s="92" t="s">
        <v>257</v>
      </c>
      <c r="U157" s="155">
        <v>0</v>
      </c>
      <c r="V157" s="207">
        <v>30</v>
      </c>
      <c r="W157" s="207">
        <v>45</v>
      </c>
      <c r="X157" s="207">
        <v>55</v>
      </c>
      <c r="Y157" s="207" t="s">
        <v>359</v>
      </c>
      <c r="Z157" s="133">
        <f t="shared" si="327"/>
        <v>1.6651629072681706</v>
      </c>
      <c r="AA157" s="133"/>
      <c r="AB157" s="161">
        <f t="shared" si="328"/>
        <v>1.5232766292088329</v>
      </c>
      <c r="AC157" s="161"/>
      <c r="AD157" s="213">
        <f t="shared" si="329"/>
        <v>0.1</v>
      </c>
      <c r="AE157" s="213">
        <v>0.1</v>
      </c>
      <c r="AF157" s="215">
        <v>0.41000000000000003</v>
      </c>
      <c r="AG157" s="215" t="s">
        <v>9</v>
      </c>
      <c r="AH157" s="148">
        <f t="shared" si="330"/>
        <v>1.5232766292088329</v>
      </c>
      <c r="AI157" s="122">
        <f t="shared" si="331"/>
        <v>0.41000000000000003</v>
      </c>
      <c r="AJ157" s="444"/>
      <c r="AK157" s="150">
        <f t="shared" si="332"/>
        <v>1.0546031746031745</v>
      </c>
      <c r="AL157" s="153">
        <f t="shared" si="333"/>
        <v>0.99859245692579035</v>
      </c>
      <c r="AM157" s="125">
        <f t="shared" si="334"/>
        <v>0.36666666666666681</v>
      </c>
      <c r="AN157" s="125">
        <f t="shared" si="335"/>
        <v>0.34444444444444455</v>
      </c>
      <c r="AO157" s="166"/>
      <c r="AP157" s="17" t="s">
        <v>211</v>
      </c>
      <c r="AQ157" s="162"/>
      <c r="AR157" s="162"/>
      <c r="AS157" s="162"/>
      <c r="AT157" s="162">
        <f>0.01*2*7.2</f>
        <v>0.14400000000000002</v>
      </c>
      <c r="AU157" s="141">
        <v>6.5</v>
      </c>
      <c r="AV157" s="141">
        <f t="shared" si="302"/>
        <v>6.6440000000000001</v>
      </c>
      <c r="AW157" s="142">
        <f t="shared" ref="AW157" si="337">(AT157+AU157)/$F$5</f>
        <v>0.94914285714285718</v>
      </c>
      <c r="AX157" s="126">
        <f t="shared" si="336"/>
        <v>0.89873321123321137</v>
      </c>
      <c r="AY157" s="130" t="s">
        <v>1828</v>
      </c>
      <c r="AZ157" s="128"/>
      <c r="BB157" s="168">
        <f t="shared" si="209"/>
        <v>5.0775887640294428</v>
      </c>
      <c r="BC157" s="168">
        <f t="shared" si="210"/>
        <v>3.0465532584176658</v>
      </c>
      <c r="BD157" s="168">
        <f t="shared" si="211"/>
        <v>2.5387943820147214</v>
      </c>
      <c r="BE157" s="168">
        <f t="shared" si="212"/>
        <v>2.031035505611777</v>
      </c>
    </row>
    <row r="158" spans="1:57" s="129" customFormat="1" hidden="1">
      <c r="A158" s="88" t="s">
        <v>1302</v>
      </c>
      <c r="B158" s="88" t="s">
        <v>1318</v>
      </c>
      <c r="C158" s="88" t="s">
        <v>1318</v>
      </c>
      <c r="D158" s="88" t="s">
        <v>55</v>
      </c>
      <c r="E158" s="89" t="s">
        <v>251</v>
      </c>
      <c r="F158" s="90" t="s">
        <v>372</v>
      </c>
      <c r="G158" s="131" t="s">
        <v>253</v>
      </c>
      <c r="H158" s="92"/>
      <c r="I158" s="167" t="s">
        <v>2562</v>
      </c>
      <c r="J158" s="167" t="str">
        <f>_xlfn.XLOOKUP(I158,[1]Sheet1!$A:$A,[1]Sheet1!$B:$B,"")</f>
        <v>U0204001</v>
      </c>
      <c r="K158" s="90" t="s">
        <v>373</v>
      </c>
      <c r="L158" s="90" t="s">
        <v>374</v>
      </c>
      <c r="M158" s="92"/>
      <c r="N158" s="89" t="s">
        <v>60</v>
      </c>
      <c r="O158" s="92"/>
      <c r="P158" s="88" t="s">
        <v>276</v>
      </c>
      <c r="Q158" s="92" t="s">
        <v>1776</v>
      </c>
      <c r="R158" s="92">
        <v>10368</v>
      </c>
      <c r="S158" s="123" t="e">
        <v>#N/A</v>
      </c>
      <c r="T158" s="92" t="s">
        <v>257</v>
      </c>
      <c r="U158" s="155">
        <v>2.3E-2</v>
      </c>
      <c r="V158" s="207">
        <v>45</v>
      </c>
      <c r="W158" s="207">
        <v>45</v>
      </c>
      <c r="X158" s="207">
        <v>55</v>
      </c>
      <c r="Y158" s="207" t="s">
        <v>271</v>
      </c>
      <c r="Z158" s="133">
        <f>AW158/(1-(AF158+2%))</f>
        <v>3.5952380952380953</v>
      </c>
      <c r="AA158" s="133"/>
      <c r="AB158" s="161">
        <f>AX158/(1-AF158)</f>
        <v>3.0673638039330244</v>
      </c>
      <c r="AC158" s="161"/>
      <c r="AD158" s="213">
        <f>AE158</f>
        <v>0.1</v>
      </c>
      <c r="AE158" s="213">
        <v>0.1</v>
      </c>
      <c r="AF158" s="215">
        <v>0.38</v>
      </c>
      <c r="AG158" s="215" t="s">
        <v>9</v>
      </c>
      <c r="AH158" s="148">
        <f t="shared" si="330"/>
        <v>3.0673638039330244</v>
      </c>
      <c r="AI158" s="122">
        <f>1-(AX158/AH158)</f>
        <v>0.38</v>
      </c>
      <c r="AJ158" s="444"/>
      <c r="AK158" s="150">
        <f>AW158/(1-AD158)</f>
        <v>2.3968253968253967</v>
      </c>
      <c r="AL158" s="153">
        <f>AX158/(1-AE158)</f>
        <v>2.1130728427094168</v>
      </c>
      <c r="AM158" s="125">
        <f>1-(AK158/Z158)</f>
        <v>0.33333333333333337</v>
      </c>
      <c r="AN158" s="125">
        <f>1-(AL158/AB158)</f>
        <v>0.31111111111111112</v>
      </c>
      <c r="AO158" s="140"/>
      <c r="AP158" s="17" t="s">
        <v>375</v>
      </c>
      <c r="AQ158" s="162"/>
      <c r="AR158" s="162"/>
      <c r="AS158" s="162"/>
      <c r="AT158" s="162">
        <f>0.1</f>
        <v>0.1</v>
      </c>
      <c r="AU158" s="162">
        <v>15</v>
      </c>
      <c r="AV158" s="141">
        <f>AT158+AU158</f>
        <v>15.1</v>
      </c>
      <c r="AW158" s="142">
        <f>(AT158+AU158)/$F$5</f>
        <v>2.157142857142857</v>
      </c>
      <c r="AX158" s="126">
        <f>(AW158/$F$6)+(($F$9+$G$9)/40/R158)+AW158*U158</f>
        <v>1.9017655584384752</v>
      </c>
      <c r="AY158" s="17"/>
      <c r="AZ158" s="128"/>
      <c r="BB158" s="168">
        <f t="shared" si="209"/>
        <v>10.224546013110082</v>
      </c>
      <c r="BC158" s="168">
        <f t="shared" si="210"/>
        <v>6.1347276078660489</v>
      </c>
      <c r="BD158" s="168">
        <f t="shared" si="211"/>
        <v>5.112273006555041</v>
      </c>
      <c r="BE158" s="168">
        <f t="shared" si="212"/>
        <v>4.0898184052440332</v>
      </c>
    </row>
    <row r="159" spans="1:57" s="129" customFormat="1" hidden="1">
      <c r="A159" s="90" t="s">
        <v>1302</v>
      </c>
      <c r="B159" s="88" t="s">
        <v>1318</v>
      </c>
      <c r="C159" s="88" t="s">
        <v>1318</v>
      </c>
      <c r="D159" s="90" t="s">
        <v>55</v>
      </c>
      <c r="E159" s="90" t="s">
        <v>251</v>
      </c>
      <c r="F159" s="90" t="s">
        <v>376</v>
      </c>
      <c r="G159" s="131"/>
      <c r="H159" s="92"/>
      <c r="I159" s="167" t="s">
        <v>353</v>
      </c>
      <c r="J159" s="167" t="str">
        <f>_xlfn.XLOOKUP(I159,[1]Sheet1!$A:$A,[1]Sheet1!$B:$B,"")</f>
        <v>U0203004</v>
      </c>
      <c r="K159" s="90" t="s">
        <v>354</v>
      </c>
      <c r="L159" s="90" t="s">
        <v>1770</v>
      </c>
      <c r="M159" s="92"/>
      <c r="N159" s="89" t="s">
        <v>60</v>
      </c>
      <c r="O159" s="92"/>
      <c r="P159" s="88" t="s">
        <v>356</v>
      </c>
      <c r="Q159" s="92" t="s">
        <v>357</v>
      </c>
      <c r="R159" s="92">
        <v>86400</v>
      </c>
      <c r="S159" s="123" t="s">
        <v>358</v>
      </c>
      <c r="T159" s="92" t="s">
        <v>3863</v>
      </c>
      <c r="U159" s="155">
        <v>2.3E-2</v>
      </c>
      <c r="V159" s="207">
        <v>45</v>
      </c>
      <c r="W159" s="207">
        <v>45</v>
      </c>
      <c r="X159" s="207">
        <v>55</v>
      </c>
      <c r="Y159" s="207" t="s">
        <v>359</v>
      </c>
      <c r="Z159" s="133">
        <f t="shared" si="273"/>
        <v>5.2910052910052914E-2</v>
      </c>
      <c r="AA159" s="133"/>
      <c r="AB159" s="161">
        <f t="shared" si="304"/>
        <v>4.6728672827810756E-2</v>
      </c>
      <c r="AC159" s="161"/>
      <c r="AD159" s="213">
        <f t="shared" si="305"/>
        <v>0.1</v>
      </c>
      <c r="AE159" s="213">
        <v>0.1</v>
      </c>
      <c r="AF159" s="215">
        <v>0.71</v>
      </c>
      <c r="AG159" s="215" t="s">
        <v>9</v>
      </c>
      <c r="AH159" s="148">
        <f t="shared" si="330"/>
        <v>4.6728672827810756E-2</v>
      </c>
      <c r="AI159" s="122">
        <f t="shared" si="307"/>
        <v>0.71</v>
      </c>
      <c r="AJ159" s="444"/>
      <c r="AK159" s="150">
        <f t="shared" si="308"/>
        <v>1.5873015873015876E-2</v>
      </c>
      <c r="AL159" s="153">
        <f t="shared" si="309"/>
        <v>1.5057016800072355E-2</v>
      </c>
      <c r="AM159" s="125">
        <f t="shared" si="310"/>
        <v>0.7</v>
      </c>
      <c r="AN159" s="125">
        <f t="shared" si="197"/>
        <v>0.67777777777777781</v>
      </c>
      <c r="AO159" s="140"/>
      <c r="AP159" s="17" t="s">
        <v>259</v>
      </c>
      <c r="AQ159" s="162"/>
      <c r="AR159" s="162"/>
      <c r="AS159" s="162"/>
      <c r="AT159" s="162"/>
      <c r="AU159" s="162">
        <v>0.1</v>
      </c>
      <c r="AV159" s="141">
        <f t="shared" si="302"/>
        <v>0.1</v>
      </c>
      <c r="AW159" s="142">
        <f t="shared" si="303"/>
        <v>1.4285714285714287E-2</v>
      </c>
      <c r="AX159" s="126">
        <f t="shared" si="326"/>
        <v>1.3551315120065121E-2</v>
      </c>
      <c r="AY159" s="127"/>
      <c r="AZ159" s="128" t="s">
        <v>260</v>
      </c>
      <c r="BB159" s="161">
        <f t="shared" ref="BB159:BB227" si="338">AB159/0.3</f>
        <v>0.1557622427593692</v>
      </c>
      <c r="BC159" s="161">
        <f t="shared" ref="BC159:BC227" si="339">BB159*0.6</f>
        <v>9.3457345655621513E-2</v>
      </c>
      <c r="BD159" s="161">
        <f t="shared" ref="BD159:BD227" si="340">BB159*0.5</f>
        <v>7.7881121379684601E-2</v>
      </c>
      <c r="BE159" s="161">
        <f t="shared" ref="BE159:BE227" si="341">BB159*0.4</f>
        <v>6.2304897103747682E-2</v>
      </c>
    </row>
    <row r="160" spans="1:57" s="129" customFormat="1" hidden="1">
      <c r="A160" s="90" t="s">
        <v>1302</v>
      </c>
      <c r="B160" s="88" t="s">
        <v>1318</v>
      </c>
      <c r="C160" s="88" t="s">
        <v>1318</v>
      </c>
      <c r="D160" s="90" t="s">
        <v>55</v>
      </c>
      <c r="E160" s="90" t="s">
        <v>251</v>
      </c>
      <c r="F160" s="90" t="s">
        <v>376</v>
      </c>
      <c r="G160" s="131"/>
      <c r="H160" s="92"/>
      <c r="I160" s="167" t="s">
        <v>360</v>
      </c>
      <c r="J160" s="167" t="str">
        <f>_xlfn.XLOOKUP(I160,[1]Sheet1!$A:$A,[1]Sheet1!$B:$B,"")</f>
        <v>U0203001</v>
      </c>
      <c r="K160" s="90" t="s">
        <v>361</v>
      </c>
      <c r="L160" s="90" t="s">
        <v>362</v>
      </c>
      <c r="M160" s="92"/>
      <c r="N160" s="89" t="s">
        <v>60</v>
      </c>
      <c r="O160" s="92"/>
      <c r="P160" s="88" t="s">
        <v>356</v>
      </c>
      <c r="Q160" s="92" t="s">
        <v>357</v>
      </c>
      <c r="R160" s="92">
        <v>86400</v>
      </c>
      <c r="S160" s="123" t="s">
        <v>363</v>
      </c>
      <c r="T160" s="92" t="s">
        <v>3863</v>
      </c>
      <c r="U160" s="155">
        <v>2.3E-2</v>
      </c>
      <c r="V160" s="207">
        <v>45</v>
      </c>
      <c r="W160" s="207">
        <v>45</v>
      </c>
      <c r="X160" s="207">
        <v>55</v>
      </c>
      <c r="Y160" s="207" t="s">
        <v>359</v>
      </c>
      <c r="Z160" s="133">
        <f t="shared" si="273"/>
        <v>5.2910052910052914E-2</v>
      </c>
      <c r="AA160" s="133"/>
      <c r="AB160" s="161">
        <f t="shared" si="304"/>
        <v>4.6728672827810756E-2</v>
      </c>
      <c r="AC160" s="161"/>
      <c r="AD160" s="213">
        <f t="shared" si="305"/>
        <v>0.1</v>
      </c>
      <c r="AE160" s="213">
        <v>0.1</v>
      </c>
      <c r="AF160" s="215">
        <v>0.71</v>
      </c>
      <c r="AG160" s="215" t="s">
        <v>9</v>
      </c>
      <c r="AH160" s="148">
        <f t="shared" si="330"/>
        <v>4.6728672827810756E-2</v>
      </c>
      <c r="AI160" s="122">
        <f t="shared" si="307"/>
        <v>0.71</v>
      </c>
      <c r="AJ160" s="444"/>
      <c r="AK160" s="150">
        <f t="shared" si="308"/>
        <v>1.5873015873015876E-2</v>
      </c>
      <c r="AL160" s="153">
        <f t="shared" si="309"/>
        <v>1.5057016800072355E-2</v>
      </c>
      <c r="AM160" s="125">
        <f t="shared" si="310"/>
        <v>0.7</v>
      </c>
      <c r="AN160" s="125">
        <f t="shared" si="197"/>
        <v>0.67777777777777781</v>
      </c>
      <c r="AO160" s="140"/>
      <c r="AP160" s="17" t="s">
        <v>259</v>
      </c>
      <c r="AQ160" s="162"/>
      <c r="AR160" s="162"/>
      <c r="AS160" s="162"/>
      <c r="AT160" s="162"/>
      <c r="AU160" s="162">
        <v>0.1</v>
      </c>
      <c r="AV160" s="141">
        <f t="shared" si="302"/>
        <v>0.1</v>
      </c>
      <c r="AW160" s="142">
        <f t="shared" si="303"/>
        <v>1.4285714285714287E-2</v>
      </c>
      <c r="AX160" s="126">
        <f t="shared" si="326"/>
        <v>1.3551315120065121E-2</v>
      </c>
      <c r="AY160" s="127"/>
      <c r="AZ160" s="128" t="s">
        <v>260</v>
      </c>
      <c r="BB160" s="161">
        <f t="shared" si="338"/>
        <v>0.1557622427593692</v>
      </c>
      <c r="BC160" s="161">
        <f t="shared" si="339"/>
        <v>9.3457345655621513E-2</v>
      </c>
      <c r="BD160" s="161">
        <f t="shared" si="340"/>
        <v>7.7881121379684601E-2</v>
      </c>
      <c r="BE160" s="161">
        <f t="shared" si="341"/>
        <v>6.2304897103747682E-2</v>
      </c>
    </row>
    <row r="161" spans="1:57" s="129" customFormat="1" hidden="1">
      <c r="A161" s="90" t="s">
        <v>1302</v>
      </c>
      <c r="B161" s="88" t="s">
        <v>1318</v>
      </c>
      <c r="C161" s="88" t="s">
        <v>1318</v>
      </c>
      <c r="D161" s="90" t="s">
        <v>55</v>
      </c>
      <c r="E161" s="90" t="s">
        <v>251</v>
      </c>
      <c r="F161" s="90" t="s">
        <v>376</v>
      </c>
      <c r="G161" s="131"/>
      <c r="H161" s="92"/>
      <c r="I161" s="167" t="s">
        <v>364</v>
      </c>
      <c r="J161" s="167" t="str">
        <f>_xlfn.XLOOKUP(I161,[1]Sheet1!$A:$A,[1]Sheet1!$B:$B,"")</f>
        <v>U0203002</v>
      </c>
      <c r="K161" s="90" t="s">
        <v>365</v>
      </c>
      <c r="L161" s="90" t="s">
        <v>366</v>
      </c>
      <c r="M161" s="92"/>
      <c r="N161" s="89" t="s">
        <v>60</v>
      </c>
      <c r="O161" s="92"/>
      <c r="P161" s="88" t="s">
        <v>356</v>
      </c>
      <c r="Q161" s="92" t="s">
        <v>357</v>
      </c>
      <c r="R161" s="92">
        <v>86400</v>
      </c>
      <c r="S161" s="123" t="s">
        <v>367</v>
      </c>
      <c r="T161" s="92" t="s">
        <v>3863</v>
      </c>
      <c r="U161" s="155">
        <v>2.3E-2</v>
      </c>
      <c r="V161" s="207">
        <v>45</v>
      </c>
      <c r="W161" s="207">
        <v>45</v>
      </c>
      <c r="X161" s="207">
        <v>55</v>
      </c>
      <c r="Y161" s="207" t="s">
        <v>359</v>
      </c>
      <c r="Z161" s="133">
        <f t="shared" si="273"/>
        <v>5.2910052910052914E-2</v>
      </c>
      <c r="AA161" s="133"/>
      <c r="AB161" s="161">
        <f t="shared" si="304"/>
        <v>4.6728672827810756E-2</v>
      </c>
      <c r="AC161" s="161"/>
      <c r="AD161" s="213">
        <f t="shared" si="305"/>
        <v>0.1</v>
      </c>
      <c r="AE161" s="213">
        <v>0.1</v>
      </c>
      <c r="AF161" s="215">
        <v>0.71</v>
      </c>
      <c r="AG161" s="215" t="s">
        <v>9</v>
      </c>
      <c r="AH161" s="148">
        <f t="shared" si="330"/>
        <v>4.6728672827810756E-2</v>
      </c>
      <c r="AI161" s="122">
        <f t="shared" si="307"/>
        <v>0.71</v>
      </c>
      <c r="AJ161" s="444"/>
      <c r="AK161" s="150">
        <f t="shared" si="308"/>
        <v>1.5873015873015876E-2</v>
      </c>
      <c r="AL161" s="153">
        <f t="shared" si="309"/>
        <v>1.5057016800072355E-2</v>
      </c>
      <c r="AM161" s="125">
        <f t="shared" si="310"/>
        <v>0.7</v>
      </c>
      <c r="AN161" s="125">
        <f t="shared" si="197"/>
        <v>0.67777777777777781</v>
      </c>
      <c r="AO161" s="140"/>
      <c r="AP161" s="17" t="s">
        <v>259</v>
      </c>
      <c r="AQ161" s="162"/>
      <c r="AR161" s="162"/>
      <c r="AS161" s="162"/>
      <c r="AT161" s="162"/>
      <c r="AU161" s="162">
        <v>0.1</v>
      </c>
      <c r="AV161" s="141">
        <f t="shared" si="302"/>
        <v>0.1</v>
      </c>
      <c r="AW161" s="142">
        <f t="shared" si="303"/>
        <v>1.4285714285714287E-2</v>
      </c>
      <c r="AX161" s="126">
        <f t="shared" si="326"/>
        <v>1.3551315120065121E-2</v>
      </c>
      <c r="AY161" s="127"/>
      <c r="AZ161" s="128" t="s">
        <v>260</v>
      </c>
      <c r="BB161" s="161">
        <f t="shared" si="338"/>
        <v>0.1557622427593692</v>
      </c>
      <c r="BC161" s="161">
        <f t="shared" si="339"/>
        <v>9.3457345655621513E-2</v>
      </c>
      <c r="BD161" s="161">
        <f t="shared" si="340"/>
        <v>7.7881121379684601E-2</v>
      </c>
      <c r="BE161" s="161">
        <f t="shared" si="341"/>
        <v>6.2304897103747682E-2</v>
      </c>
    </row>
    <row r="162" spans="1:57" s="129" customFormat="1" hidden="1">
      <c r="A162" s="90" t="s">
        <v>1302</v>
      </c>
      <c r="B162" s="88" t="s">
        <v>1318</v>
      </c>
      <c r="C162" s="88" t="s">
        <v>1318</v>
      </c>
      <c r="D162" s="90" t="s">
        <v>55</v>
      </c>
      <c r="E162" s="90" t="s">
        <v>251</v>
      </c>
      <c r="F162" s="90" t="s">
        <v>376</v>
      </c>
      <c r="G162" s="131"/>
      <c r="H162" s="92"/>
      <c r="I162" s="167" t="s">
        <v>368</v>
      </c>
      <c r="J162" s="167" t="str">
        <f>_xlfn.XLOOKUP(I162,[1]Sheet1!$A:$A,[1]Sheet1!$B:$B,"")</f>
        <v>U0203003</v>
      </c>
      <c r="K162" s="90" t="s">
        <v>369</v>
      </c>
      <c r="L162" s="90" t="s">
        <v>370</v>
      </c>
      <c r="M162" s="92"/>
      <c r="N162" s="89" t="s">
        <v>60</v>
      </c>
      <c r="O162" s="92"/>
      <c r="P162" s="88" t="s">
        <v>356</v>
      </c>
      <c r="Q162" s="92" t="s">
        <v>357</v>
      </c>
      <c r="R162" s="92">
        <v>86400</v>
      </c>
      <c r="S162" s="123" t="s">
        <v>371</v>
      </c>
      <c r="T162" s="92" t="s">
        <v>3863</v>
      </c>
      <c r="U162" s="155">
        <v>2.3E-2</v>
      </c>
      <c r="V162" s="207">
        <v>45</v>
      </c>
      <c r="W162" s="207">
        <v>45</v>
      </c>
      <c r="X162" s="207">
        <v>55</v>
      </c>
      <c r="Y162" s="207" t="s">
        <v>359</v>
      </c>
      <c r="Z162" s="133">
        <f t="shared" si="273"/>
        <v>5.2910052910052914E-2</v>
      </c>
      <c r="AA162" s="133"/>
      <c r="AB162" s="161">
        <f t="shared" si="304"/>
        <v>4.6728672827810756E-2</v>
      </c>
      <c r="AC162" s="161"/>
      <c r="AD162" s="213">
        <f t="shared" si="305"/>
        <v>0.1</v>
      </c>
      <c r="AE162" s="213">
        <v>0.1</v>
      </c>
      <c r="AF162" s="215">
        <v>0.71</v>
      </c>
      <c r="AG162" s="215" t="s">
        <v>9</v>
      </c>
      <c r="AH162" s="148">
        <f t="shared" si="330"/>
        <v>4.6728672827810756E-2</v>
      </c>
      <c r="AI162" s="122">
        <f t="shared" si="307"/>
        <v>0.71</v>
      </c>
      <c r="AJ162" s="444"/>
      <c r="AK162" s="150">
        <f t="shared" si="308"/>
        <v>1.5873015873015876E-2</v>
      </c>
      <c r="AL162" s="153">
        <f t="shared" si="309"/>
        <v>1.5057016800072355E-2</v>
      </c>
      <c r="AM162" s="125">
        <f t="shared" si="310"/>
        <v>0.7</v>
      </c>
      <c r="AN162" s="125">
        <f t="shared" si="197"/>
        <v>0.67777777777777781</v>
      </c>
      <c r="AO162" s="140"/>
      <c r="AP162" s="17" t="s">
        <v>259</v>
      </c>
      <c r="AQ162" s="162"/>
      <c r="AR162" s="162"/>
      <c r="AS162" s="162"/>
      <c r="AT162" s="162"/>
      <c r="AU162" s="162">
        <v>0.1</v>
      </c>
      <c r="AV162" s="141">
        <f t="shared" si="302"/>
        <v>0.1</v>
      </c>
      <c r="AW162" s="142">
        <f t="shared" si="303"/>
        <v>1.4285714285714287E-2</v>
      </c>
      <c r="AX162" s="126">
        <f t="shared" si="326"/>
        <v>1.3551315120065121E-2</v>
      </c>
      <c r="AY162" s="127"/>
      <c r="AZ162" s="128" t="s">
        <v>260</v>
      </c>
      <c r="BB162" s="161">
        <f t="shared" si="338"/>
        <v>0.1557622427593692</v>
      </c>
      <c r="BC162" s="161">
        <f t="shared" si="339"/>
        <v>9.3457345655621513E-2</v>
      </c>
      <c r="BD162" s="161">
        <f t="shared" si="340"/>
        <v>7.7881121379684601E-2</v>
      </c>
      <c r="BE162" s="161">
        <f t="shared" si="341"/>
        <v>6.2304897103747682E-2</v>
      </c>
    </row>
    <row r="163" spans="1:57" s="129" customFormat="1" hidden="1">
      <c r="A163" s="90" t="s">
        <v>1302</v>
      </c>
      <c r="B163" s="88" t="s">
        <v>1317</v>
      </c>
      <c r="C163" s="88" t="s">
        <v>1318</v>
      </c>
      <c r="D163" s="90" t="s">
        <v>55</v>
      </c>
      <c r="E163" s="90" t="s">
        <v>251</v>
      </c>
      <c r="F163" s="90" t="s">
        <v>376</v>
      </c>
      <c r="G163" s="131" t="s">
        <v>253</v>
      </c>
      <c r="H163" s="92"/>
      <c r="I163" s="167" t="s">
        <v>377</v>
      </c>
      <c r="J163" s="167" t="str">
        <f>_xlfn.XLOOKUP(I163,[1]Sheet1!$A:$A,[1]Sheet1!$B:$B,"")</f>
        <v>U0206005</v>
      </c>
      <c r="K163" s="90" t="s">
        <v>3738</v>
      </c>
      <c r="L163" s="90" t="s">
        <v>3739</v>
      </c>
      <c r="M163" s="92"/>
      <c r="N163" s="89" t="s">
        <v>60</v>
      </c>
      <c r="O163" s="92"/>
      <c r="P163" s="88" t="s">
        <v>356</v>
      </c>
      <c r="Q163" s="92" t="s">
        <v>207</v>
      </c>
      <c r="R163" s="92">
        <v>60000</v>
      </c>
      <c r="S163" s="123" t="e">
        <v>#N/A</v>
      </c>
      <c r="T163" s="92">
        <v>8536699099</v>
      </c>
      <c r="U163" s="155">
        <v>0</v>
      </c>
      <c r="V163" s="207">
        <v>30</v>
      </c>
      <c r="W163" s="207">
        <v>45</v>
      </c>
      <c r="X163" s="207">
        <v>55</v>
      </c>
      <c r="Y163" s="207" t="s">
        <v>263</v>
      </c>
      <c r="Z163" s="133">
        <f t="shared" si="273"/>
        <v>0.28395989974937347</v>
      </c>
      <c r="AA163" s="133"/>
      <c r="AB163" s="161">
        <f t="shared" si="304"/>
        <v>0.23694537571656218</v>
      </c>
      <c r="AC163" s="161"/>
      <c r="AD163" s="213">
        <f t="shared" si="305"/>
        <v>0.1</v>
      </c>
      <c r="AE163" s="213">
        <v>0.1</v>
      </c>
      <c r="AF163" s="215">
        <v>0.41000000000000003</v>
      </c>
      <c r="AG163" s="215" t="s">
        <v>9</v>
      </c>
      <c r="AH163" s="148">
        <f t="shared" si="330"/>
        <v>0.23694537571656218</v>
      </c>
      <c r="AI163" s="122">
        <f t="shared" si="307"/>
        <v>0.41000000000000003</v>
      </c>
      <c r="AJ163" s="444"/>
      <c r="AK163" s="150">
        <f t="shared" si="308"/>
        <v>0.17984126984126986</v>
      </c>
      <c r="AL163" s="153">
        <f t="shared" si="309"/>
        <v>0.15533085741419075</v>
      </c>
      <c r="AM163" s="125">
        <f t="shared" si="310"/>
        <v>0.3666666666666667</v>
      </c>
      <c r="AN163" s="125">
        <f t="shared" si="197"/>
        <v>0.34444444444444444</v>
      </c>
      <c r="AO163" s="140"/>
      <c r="AP163" s="17" t="s">
        <v>264</v>
      </c>
      <c r="AQ163" s="162"/>
      <c r="AR163" s="162"/>
      <c r="AS163" s="162"/>
      <c r="AT163" s="162"/>
      <c r="AU163" s="173">
        <v>1.133</v>
      </c>
      <c r="AV163" s="141">
        <f t="shared" si="302"/>
        <v>1.133</v>
      </c>
      <c r="AW163" s="142">
        <f t="shared" si="303"/>
        <v>0.16185714285714287</v>
      </c>
      <c r="AX163" s="126">
        <f t="shared" si="326"/>
        <v>0.13979777167277169</v>
      </c>
      <c r="AY163" s="127"/>
      <c r="AZ163" s="128"/>
      <c r="BB163" s="161">
        <f t="shared" si="338"/>
        <v>0.78981791905520726</v>
      </c>
      <c r="BC163" s="161">
        <f t="shared" si="339"/>
        <v>0.47389075143312431</v>
      </c>
      <c r="BD163" s="161">
        <f t="shared" si="340"/>
        <v>0.39490895952760363</v>
      </c>
      <c r="BE163" s="161">
        <f t="shared" si="341"/>
        <v>0.31592716762208295</v>
      </c>
    </row>
    <row r="164" spans="1:57" s="129" customFormat="1" hidden="1">
      <c r="A164" s="90" t="s">
        <v>1302</v>
      </c>
      <c r="B164" s="88" t="s">
        <v>1317</v>
      </c>
      <c r="C164" s="88" t="s">
        <v>1318</v>
      </c>
      <c r="D164" s="90" t="s">
        <v>55</v>
      </c>
      <c r="E164" s="90" t="s">
        <v>251</v>
      </c>
      <c r="F164" s="90" t="s">
        <v>376</v>
      </c>
      <c r="G164" s="131"/>
      <c r="H164" s="92"/>
      <c r="I164" s="167" t="s">
        <v>378</v>
      </c>
      <c r="J164" s="167" t="str">
        <f>_xlfn.XLOOKUP(I164,[1]Sheet1!$A:$A,[1]Sheet1!$B:$B,"")</f>
        <v>U0206001</v>
      </c>
      <c r="K164" s="445" t="s">
        <v>3854</v>
      </c>
      <c r="L164" s="90" t="s">
        <v>379</v>
      </c>
      <c r="M164" s="92"/>
      <c r="N164" s="89" t="s">
        <v>60</v>
      </c>
      <c r="O164" s="92"/>
      <c r="P164" s="88" t="s">
        <v>356</v>
      </c>
      <c r="Q164" s="92" t="s">
        <v>207</v>
      </c>
      <c r="R164" s="92">
        <v>60000</v>
      </c>
      <c r="S164" s="123" t="e">
        <v>#N/A</v>
      </c>
      <c r="T164" s="92" t="s">
        <v>3863</v>
      </c>
      <c r="U164" s="155">
        <v>0</v>
      </c>
      <c r="V164" s="207">
        <v>30</v>
      </c>
      <c r="W164" s="207">
        <v>45</v>
      </c>
      <c r="X164" s="207">
        <v>55</v>
      </c>
      <c r="Y164" s="207" t="s">
        <v>263</v>
      </c>
      <c r="Z164" s="133">
        <f t="shared" si="273"/>
        <v>9.7297297297297289E-2</v>
      </c>
      <c r="AA164" s="133"/>
      <c r="AB164" s="161">
        <f t="shared" si="304"/>
        <v>8.2634779750164367E-2</v>
      </c>
      <c r="AC164" s="161"/>
      <c r="AD164" s="213">
        <f t="shared" si="305"/>
        <v>0.1</v>
      </c>
      <c r="AE164" s="213">
        <v>0.1</v>
      </c>
      <c r="AF164" s="215">
        <v>0.61</v>
      </c>
      <c r="AG164" s="215" t="s">
        <v>9</v>
      </c>
      <c r="AH164" s="148">
        <f t="shared" si="330"/>
        <v>8.2634779750164367E-2</v>
      </c>
      <c r="AI164" s="122">
        <f t="shared" si="307"/>
        <v>0.61</v>
      </c>
      <c r="AJ164" s="444"/>
      <c r="AK164" s="150">
        <f t="shared" si="308"/>
        <v>3.9999999999999994E-2</v>
      </c>
      <c r="AL164" s="153">
        <f t="shared" si="309"/>
        <v>3.5808404558404561E-2</v>
      </c>
      <c r="AM164" s="125">
        <f t="shared" si="310"/>
        <v>0.58888888888888891</v>
      </c>
      <c r="AN164" s="125">
        <f t="shared" si="197"/>
        <v>0.56666666666666665</v>
      </c>
      <c r="AO164" s="140"/>
      <c r="AP164" s="17" t="s">
        <v>264</v>
      </c>
      <c r="AQ164" s="162"/>
      <c r="AR164" s="162"/>
      <c r="AS164" s="162"/>
      <c r="AT164" s="162"/>
      <c r="AU164" s="173"/>
      <c r="AV164" s="141"/>
      <c r="AW164" s="446">
        <v>3.5999999999999997E-2</v>
      </c>
      <c r="AX164" s="126">
        <f t="shared" si="326"/>
        <v>3.2227564102564103E-2</v>
      </c>
      <c r="AY164" s="130" t="s">
        <v>3798</v>
      </c>
      <c r="AZ164" s="128"/>
      <c r="BB164" s="161">
        <f t="shared" si="338"/>
        <v>0.27544926583388124</v>
      </c>
      <c r="BC164" s="161">
        <f t="shared" si="339"/>
        <v>0.16526955950032873</v>
      </c>
      <c r="BD164" s="161">
        <f t="shared" si="340"/>
        <v>0.13772463291694062</v>
      </c>
      <c r="BE164" s="161">
        <f t="shared" si="341"/>
        <v>0.11017970633355251</v>
      </c>
    </row>
    <row r="165" spans="1:57" s="539" customFormat="1" hidden="1">
      <c r="A165" s="515" t="s">
        <v>1276</v>
      </c>
      <c r="B165" s="513" t="s">
        <v>1317</v>
      </c>
      <c r="C165" s="513" t="s">
        <v>1318</v>
      </c>
      <c r="D165" s="515" t="s">
        <v>55</v>
      </c>
      <c r="E165" s="515" t="s">
        <v>251</v>
      </c>
      <c r="F165" s="515" t="s">
        <v>376</v>
      </c>
      <c r="G165" s="516"/>
      <c r="H165" s="519"/>
      <c r="I165" s="540" t="s">
        <v>3875</v>
      </c>
      <c r="J165" s="540" t="str">
        <f>_xlfn.XLOOKUP(I165,[1]Sheet1!$A:$A,[1]Sheet1!$B:$B,"")</f>
        <v/>
      </c>
      <c r="K165" s="541" t="s">
        <v>3876</v>
      </c>
      <c r="L165" s="515" t="s">
        <v>3877</v>
      </c>
      <c r="M165" s="519"/>
      <c r="N165" s="514" t="s">
        <v>60</v>
      </c>
      <c r="O165" s="519"/>
      <c r="P165" s="513" t="s">
        <v>356</v>
      </c>
      <c r="Q165" s="519" t="s">
        <v>207</v>
      </c>
      <c r="R165" s="519">
        <v>60000</v>
      </c>
      <c r="S165" s="520" t="e">
        <v>#N/A</v>
      </c>
      <c r="T165" s="519" t="s">
        <v>3863</v>
      </c>
      <c r="U165" s="521">
        <v>0</v>
      </c>
      <c r="V165" s="522">
        <v>30</v>
      </c>
      <c r="W165" s="522">
        <v>45</v>
      </c>
      <c r="X165" s="522">
        <v>55</v>
      </c>
      <c r="Y165" s="522" t="s">
        <v>263</v>
      </c>
      <c r="Z165" s="523">
        <f t="shared" ref="Z165" si="342">AW165/(1-(AF165+2%))</f>
        <v>9.7297297297297289E-2</v>
      </c>
      <c r="AA165" s="523"/>
      <c r="AB165" s="542">
        <f t="shared" ref="AB165" si="343">AX165/(1-AF165)</f>
        <v>8.2634779750164367E-2</v>
      </c>
      <c r="AC165" s="542"/>
      <c r="AD165" s="525">
        <f t="shared" ref="AD165" si="344">AE165</f>
        <v>0.1</v>
      </c>
      <c r="AE165" s="525">
        <v>0.1</v>
      </c>
      <c r="AF165" s="525">
        <v>0.61</v>
      </c>
      <c r="AG165" s="525" t="s">
        <v>9</v>
      </c>
      <c r="AH165" s="527">
        <f t="shared" ref="AH165" si="345">AB165</f>
        <v>8.2634779750164367E-2</v>
      </c>
      <c r="AI165" s="525">
        <f t="shared" ref="AI165" si="346">1-(AX165/AH165)</f>
        <v>0.61</v>
      </c>
      <c r="AJ165" s="529"/>
      <c r="AK165" s="530">
        <f t="shared" ref="AK165" si="347">AW165/(1-AD165)</f>
        <v>3.9999999999999994E-2</v>
      </c>
      <c r="AL165" s="543">
        <f t="shared" ref="AL165" si="348">AX165/(1-AE165)</f>
        <v>3.5808404558404561E-2</v>
      </c>
      <c r="AM165" s="531">
        <f t="shared" ref="AM165" si="349">1-(AK165/Z165)</f>
        <v>0.58888888888888891</v>
      </c>
      <c r="AN165" s="531">
        <f t="shared" ref="AN165" si="350">1-(AL165/AB165)</f>
        <v>0.56666666666666665</v>
      </c>
      <c r="AO165" s="532"/>
      <c r="AP165" s="533" t="s">
        <v>264</v>
      </c>
      <c r="AQ165" s="544"/>
      <c r="AR165" s="544"/>
      <c r="AS165" s="544"/>
      <c r="AT165" s="544"/>
      <c r="AU165" s="545"/>
      <c r="AV165" s="534"/>
      <c r="AW165" s="546">
        <v>3.5999999999999997E-2</v>
      </c>
      <c r="AX165" s="536">
        <f t="shared" ref="AX165" si="351">(AW165/$F$6)+(($F$9+$G$9)/40/R165)+AW165*U165</f>
        <v>3.2227564102564103E-2</v>
      </c>
      <c r="AY165" s="547" t="s">
        <v>3798</v>
      </c>
      <c r="AZ165" s="538"/>
      <c r="BB165" s="542">
        <f t="shared" ref="BB165" si="352">AB165/0.3</f>
        <v>0.27544926583388124</v>
      </c>
      <c r="BC165" s="542">
        <f t="shared" ref="BC165" si="353">BB165*0.6</f>
        <v>0.16526955950032873</v>
      </c>
      <c r="BD165" s="542">
        <f t="shared" ref="BD165" si="354">BB165*0.5</f>
        <v>0.13772463291694062</v>
      </c>
      <c r="BE165" s="542">
        <f t="shared" ref="BE165" si="355">BB165*0.4</f>
        <v>0.11017970633355251</v>
      </c>
    </row>
    <row r="166" spans="1:57" s="129" customFormat="1" hidden="1">
      <c r="A166" s="90" t="s">
        <v>1302</v>
      </c>
      <c r="B166" s="88" t="s">
        <v>1317</v>
      </c>
      <c r="C166" s="88" t="s">
        <v>1318</v>
      </c>
      <c r="D166" s="90" t="s">
        <v>55</v>
      </c>
      <c r="E166" s="90" t="s">
        <v>251</v>
      </c>
      <c r="F166" s="90" t="s">
        <v>376</v>
      </c>
      <c r="G166" s="131"/>
      <c r="H166" s="92"/>
      <c r="I166" s="167" t="s">
        <v>380</v>
      </c>
      <c r="J166" s="167" t="str">
        <f>_xlfn.XLOOKUP(I166,[1]Sheet1!$A:$A,[1]Sheet1!$B:$B,"")</f>
        <v>U0206002</v>
      </c>
      <c r="K166" s="445" t="s">
        <v>381</v>
      </c>
      <c r="L166" s="90" t="s">
        <v>382</v>
      </c>
      <c r="M166" s="92"/>
      <c r="N166" s="89" t="s">
        <v>60</v>
      </c>
      <c r="O166" s="92"/>
      <c r="P166" s="88" t="s">
        <v>241</v>
      </c>
      <c r="Q166" s="92" t="s">
        <v>383</v>
      </c>
      <c r="R166" s="92">
        <v>480</v>
      </c>
      <c r="S166" s="92" t="e">
        <v>#N/A</v>
      </c>
      <c r="T166" s="92">
        <v>8203200000</v>
      </c>
      <c r="U166" s="155">
        <v>0</v>
      </c>
      <c r="V166" s="207">
        <v>30</v>
      </c>
      <c r="W166" s="207">
        <v>45</v>
      </c>
      <c r="X166" s="207">
        <v>55</v>
      </c>
      <c r="Y166" s="207" t="s">
        <v>359</v>
      </c>
      <c r="Z166" s="133">
        <f t="shared" si="273"/>
        <v>15.057915057915057</v>
      </c>
      <c r="AA166" s="133"/>
      <c r="AB166" s="161">
        <f t="shared" si="304"/>
        <v>12.677426739926741</v>
      </c>
      <c r="AC166" s="161"/>
      <c r="AD166" s="213">
        <f t="shared" si="305"/>
        <v>0.1</v>
      </c>
      <c r="AE166" s="213">
        <v>0.1</v>
      </c>
      <c r="AF166" s="215">
        <v>0.61</v>
      </c>
      <c r="AG166" s="215" t="s">
        <v>9</v>
      </c>
      <c r="AH166" s="148">
        <f t="shared" si="330"/>
        <v>12.677426739926741</v>
      </c>
      <c r="AI166" s="122">
        <f t="shared" si="307"/>
        <v>0.61</v>
      </c>
      <c r="AJ166" s="444"/>
      <c r="AK166" s="150">
        <f t="shared" si="308"/>
        <v>6.1904761904761898</v>
      </c>
      <c r="AL166" s="153">
        <f t="shared" si="309"/>
        <v>5.4935515873015879</v>
      </c>
      <c r="AM166" s="125">
        <f t="shared" si="310"/>
        <v>0.58888888888888891</v>
      </c>
      <c r="AN166" s="125">
        <f t="shared" si="197"/>
        <v>0.56666666666666665</v>
      </c>
      <c r="AO166" s="166"/>
      <c r="AP166" s="17" t="s">
        <v>211</v>
      </c>
      <c r="AQ166" s="162"/>
      <c r="AR166" s="162"/>
      <c r="AS166" s="162"/>
      <c r="AT166" s="162"/>
      <c r="AU166" s="162">
        <v>39</v>
      </c>
      <c r="AV166" s="141">
        <f t="shared" si="302"/>
        <v>39</v>
      </c>
      <c r="AW166" s="142">
        <f t="shared" si="303"/>
        <v>5.5714285714285712</v>
      </c>
      <c r="AX166" s="126">
        <f t="shared" si="326"/>
        <v>4.9441964285714288</v>
      </c>
      <c r="AY166" s="130" t="s">
        <v>384</v>
      </c>
      <c r="AZ166" s="128"/>
      <c r="BB166" s="168">
        <f t="shared" si="338"/>
        <v>42.258089133089136</v>
      </c>
      <c r="BC166" s="168">
        <f t="shared" si="339"/>
        <v>25.354853479853482</v>
      </c>
      <c r="BD166" s="168">
        <f t="shared" si="340"/>
        <v>21.129044566544568</v>
      </c>
      <c r="BE166" s="168">
        <f t="shared" si="341"/>
        <v>16.903235653235654</v>
      </c>
    </row>
    <row r="167" spans="1:57" s="129" customFormat="1" hidden="1">
      <c r="A167" s="90" t="s">
        <v>1302</v>
      </c>
      <c r="B167" s="88" t="s">
        <v>1317</v>
      </c>
      <c r="C167" s="88" t="s">
        <v>1317</v>
      </c>
      <c r="D167" s="90" t="s">
        <v>55</v>
      </c>
      <c r="E167" s="90" t="s">
        <v>251</v>
      </c>
      <c r="F167" s="90" t="s">
        <v>376</v>
      </c>
      <c r="G167" s="131" t="s">
        <v>385</v>
      </c>
      <c r="H167" s="92"/>
      <c r="I167" s="167" t="s">
        <v>386</v>
      </c>
      <c r="J167" s="167" t="str">
        <f>_xlfn.XLOOKUP(I167,[1]Sheet1!$A:$A,[1]Sheet1!$B:$B,"")</f>
        <v>U0206006</v>
      </c>
      <c r="K167" s="90" t="s">
        <v>3740</v>
      </c>
      <c r="L167" s="90" t="s">
        <v>3741</v>
      </c>
      <c r="M167" s="92"/>
      <c r="N167" s="89" t="s">
        <v>60</v>
      </c>
      <c r="O167" s="92"/>
      <c r="P167" s="88" t="s">
        <v>356</v>
      </c>
      <c r="Q167" s="92" t="s">
        <v>207</v>
      </c>
      <c r="R167" s="92">
        <v>60000</v>
      </c>
      <c r="S167" s="123" t="e">
        <v>#N/A</v>
      </c>
      <c r="T167" s="92">
        <v>8536699099</v>
      </c>
      <c r="U167" s="155">
        <v>0</v>
      </c>
      <c r="V167" s="207">
        <v>30</v>
      </c>
      <c r="W167" s="207">
        <v>45</v>
      </c>
      <c r="X167" s="207">
        <v>55</v>
      </c>
      <c r="Y167" s="207" t="s">
        <v>263</v>
      </c>
      <c r="Z167" s="133">
        <f t="shared" si="273"/>
        <v>8.6616541353383467E-2</v>
      </c>
      <c r="AA167" s="133"/>
      <c r="AB167" s="161">
        <f t="shared" si="304"/>
        <v>7.3993450052772095E-2</v>
      </c>
      <c r="AC167" s="161"/>
      <c r="AD167" s="213">
        <f t="shared" si="305"/>
        <v>0.1</v>
      </c>
      <c r="AE167" s="213">
        <v>0.1</v>
      </c>
      <c r="AF167" s="215">
        <v>0.41000000000000003</v>
      </c>
      <c r="AG167" s="215" t="s">
        <v>9</v>
      </c>
      <c r="AH167" s="148">
        <f t="shared" si="330"/>
        <v>7.3993450052772095E-2</v>
      </c>
      <c r="AI167" s="122">
        <f t="shared" si="307"/>
        <v>0.41000000000000003</v>
      </c>
      <c r="AJ167" s="444"/>
      <c r="AK167" s="150">
        <f t="shared" si="308"/>
        <v>5.4857142857142854E-2</v>
      </c>
      <c r="AL167" s="153">
        <f t="shared" si="309"/>
        <v>4.8506817256817263E-2</v>
      </c>
      <c r="AM167" s="125">
        <f t="shared" si="310"/>
        <v>0.36666666666666681</v>
      </c>
      <c r="AN167" s="125">
        <f t="shared" si="197"/>
        <v>0.34444444444444444</v>
      </c>
      <c r="AO167" s="140"/>
      <c r="AP167" s="17" t="s">
        <v>387</v>
      </c>
      <c r="AQ167" s="162"/>
      <c r="AR167" s="162"/>
      <c r="AS167" s="162"/>
      <c r="AT167" s="162"/>
      <c r="AU167" s="173">
        <f>0.048*7.2</f>
        <v>0.34560000000000002</v>
      </c>
      <c r="AV167" s="141">
        <f t="shared" si="302"/>
        <v>0.34560000000000002</v>
      </c>
      <c r="AW167" s="142">
        <f t="shared" si="303"/>
        <v>4.9371428571428573E-2</v>
      </c>
      <c r="AX167" s="126">
        <f t="shared" si="326"/>
        <v>4.3656135531135537E-2</v>
      </c>
      <c r="AY167" s="174" t="s">
        <v>388</v>
      </c>
      <c r="AZ167" s="128"/>
      <c r="BB167" s="161">
        <f t="shared" si="338"/>
        <v>0.24664483350924032</v>
      </c>
      <c r="BC167" s="161">
        <f t="shared" si="339"/>
        <v>0.14798690010554419</v>
      </c>
      <c r="BD167" s="161">
        <f t="shared" si="340"/>
        <v>0.12332241675462016</v>
      </c>
      <c r="BE167" s="161">
        <f t="shared" si="341"/>
        <v>9.8657933403696135E-2</v>
      </c>
    </row>
    <row r="168" spans="1:57" s="129" customFormat="1" hidden="1">
      <c r="A168" s="90" t="s">
        <v>1302</v>
      </c>
      <c r="B168" s="88" t="s">
        <v>1317</v>
      </c>
      <c r="C168" s="88" t="s">
        <v>1317</v>
      </c>
      <c r="D168" s="90" t="s">
        <v>55</v>
      </c>
      <c r="E168" s="90" t="s">
        <v>251</v>
      </c>
      <c r="F168" s="90" t="s">
        <v>376</v>
      </c>
      <c r="G168" s="131" t="s">
        <v>253</v>
      </c>
      <c r="H168" s="92"/>
      <c r="I168" s="167" t="s">
        <v>389</v>
      </c>
      <c r="J168" s="167" t="str">
        <f>_xlfn.XLOOKUP(I168,[1]Sheet1!$A:$A,[1]Sheet1!$B:$B,"")</f>
        <v/>
      </c>
      <c r="K168" s="90" t="s">
        <v>3742</v>
      </c>
      <c r="L168" s="90" t="s">
        <v>3743</v>
      </c>
      <c r="M168" s="92"/>
      <c r="N168" s="89" t="s">
        <v>60</v>
      </c>
      <c r="O168" s="92"/>
      <c r="P168" s="88" t="s">
        <v>356</v>
      </c>
      <c r="Q168" s="92" t="s">
        <v>207</v>
      </c>
      <c r="R168" s="92">
        <v>60000</v>
      </c>
      <c r="S168" s="123" t="e">
        <v>#N/A</v>
      </c>
      <c r="T168" s="92">
        <v>8536699099</v>
      </c>
      <c r="U168" s="155">
        <v>0</v>
      </c>
      <c r="V168" s="207">
        <v>30</v>
      </c>
      <c r="W168" s="207">
        <v>45</v>
      </c>
      <c r="X168" s="207">
        <v>55</v>
      </c>
      <c r="Y168" s="207" t="s">
        <v>263</v>
      </c>
      <c r="Z168" s="133">
        <f>AW168/(1-(AF168+2%))</f>
        <v>0.15879699248120299</v>
      </c>
      <c r="AA168" s="133"/>
      <c r="AB168" s="161">
        <f t="shared" si="304"/>
        <v>0.133594865586391</v>
      </c>
      <c r="AC168" s="161"/>
      <c r="AD168" s="213">
        <f t="shared" si="305"/>
        <v>0.1</v>
      </c>
      <c r="AE168" s="213">
        <v>0.1</v>
      </c>
      <c r="AF168" s="215">
        <v>0.41000000000000003</v>
      </c>
      <c r="AG168" s="215" t="s">
        <v>9</v>
      </c>
      <c r="AH168" s="148">
        <f t="shared" si="330"/>
        <v>0.133594865586391</v>
      </c>
      <c r="AI168" s="122">
        <f t="shared" si="307"/>
        <v>0.41000000000000003</v>
      </c>
      <c r="AJ168" s="444"/>
      <c r="AK168" s="150">
        <f t="shared" si="308"/>
        <v>0.10057142857142855</v>
      </c>
      <c r="AL168" s="153">
        <f t="shared" si="309"/>
        <v>8.7578856328856314E-2</v>
      </c>
      <c r="AM168" s="125">
        <f t="shared" si="310"/>
        <v>0.36666666666666681</v>
      </c>
      <c r="AN168" s="125">
        <f t="shared" si="197"/>
        <v>0.34444444444444455</v>
      </c>
      <c r="AO168" s="140"/>
      <c r="AP168" s="17" t="s">
        <v>387</v>
      </c>
      <c r="AQ168" s="162"/>
      <c r="AR168" s="162"/>
      <c r="AS168" s="162"/>
      <c r="AT168" s="162"/>
      <c r="AU168" s="173">
        <f>0.088*7.2</f>
        <v>0.63359999999999994</v>
      </c>
      <c r="AV168" s="141">
        <f t="shared" si="302"/>
        <v>0.63359999999999994</v>
      </c>
      <c r="AW168" s="142">
        <f t="shared" si="303"/>
        <v>9.05142857142857E-2</v>
      </c>
      <c r="AX168" s="126">
        <f t="shared" si="326"/>
        <v>7.8820970695970688E-2</v>
      </c>
      <c r="AY168" s="174" t="s">
        <v>390</v>
      </c>
      <c r="AZ168" s="128"/>
      <c r="BB168" s="161">
        <f t="shared" si="338"/>
        <v>0.44531621862130333</v>
      </c>
      <c r="BC168" s="161">
        <f t="shared" si="339"/>
        <v>0.267189731172782</v>
      </c>
      <c r="BD168" s="161">
        <f t="shared" si="340"/>
        <v>0.22265810931065166</v>
      </c>
      <c r="BE168" s="161">
        <f t="shared" si="341"/>
        <v>0.17812648744852133</v>
      </c>
    </row>
    <row r="169" spans="1:57" s="129" customFormat="1" hidden="1">
      <c r="A169" s="90" t="s">
        <v>1302</v>
      </c>
      <c r="B169" s="88" t="s">
        <v>1317</v>
      </c>
      <c r="C169" s="88" t="s">
        <v>1318</v>
      </c>
      <c r="D169" s="90" t="s">
        <v>55</v>
      </c>
      <c r="E169" s="90" t="s">
        <v>251</v>
      </c>
      <c r="F169" s="90" t="s">
        <v>376</v>
      </c>
      <c r="G169" s="131" t="s">
        <v>385</v>
      </c>
      <c r="H169" s="92"/>
      <c r="I169" s="167" t="s">
        <v>3273</v>
      </c>
      <c r="J169" s="167" t="str">
        <f>_xlfn.XLOOKUP(I169,[1]Sheet1!$A:$A,[1]Sheet1!$B:$B,"")</f>
        <v>U0206007</v>
      </c>
      <c r="K169" s="90" t="s">
        <v>3744</v>
      </c>
      <c r="L169" s="90" t="s">
        <v>3745</v>
      </c>
      <c r="M169" s="92"/>
      <c r="N169" s="89" t="s">
        <v>60</v>
      </c>
      <c r="O169" s="92"/>
      <c r="P169" s="88" t="s">
        <v>356</v>
      </c>
      <c r="Q169" s="92" t="s">
        <v>207</v>
      </c>
      <c r="R169" s="92">
        <v>60000</v>
      </c>
      <c r="S169" s="123" t="e">
        <v>#N/A</v>
      </c>
      <c r="T169" s="92">
        <v>8536699099</v>
      </c>
      <c r="U169" s="155">
        <v>0</v>
      </c>
      <c r="V169" s="207">
        <v>30</v>
      </c>
      <c r="W169" s="207">
        <v>45</v>
      </c>
      <c r="X169" s="207">
        <v>55</v>
      </c>
      <c r="Y169" s="207" t="s">
        <v>263</v>
      </c>
      <c r="Z169" s="133">
        <f t="shared" si="273"/>
        <v>0.1172932330827068</v>
      </c>
      <c r="AA169" s="133"/>
      <c r="AB169" s="161">
        <f t="shared" si="304"/>
        <v>9.9324051654560153E-2</v>
      </c>
      <c r="AC169" s="161"/>
      <c r="AD169" s="213">
        <f t="shared" si="305"/>
        <v>0.1</v>
      </c>
      <c r="AE169" s="213">
        <v>0.1</v>
      </c>
      <c r="AF169" s="215">
        <v>0.41000000000000003</v>
      </c>
      <c r="AG169" s="215" t="s">
        <v>9</v>
      </c>
      <c r="AH169" s="148">
        <f t="shared" si="330"/>
        <v>9.9324051654560153E-2</v>
      </c>
      <c r="AI169" s="122">
        <f t="shared" si="307"/>
        <v>0.41000000000000003</v>
      </c>
      <c r="AJ169" s="444"/>
      <c r="AK169" s="150">
        <f t="shared" si="308"/>
        <v>7.4285714285714288E-2</v>
      </c>
      <c r="AL169" s="153">
        <f t="shared" si="309"/>
        <v>6.5112433862433872E-2</v>
      </c>
      <c r="AM169" s="125">
        <f t="shared" si="310"/>
        <v>0.36666666666666681</v>
      </c>
      <c r="AN169" s="125">
        <f t="shared" si="197"/>
        <v>0.34444444444444455</v>
      </c>
      <c r="AO169" s="140"/>
      <c r="AP169" s="17" t="s">
        <v>387</v>
      </c>
      <c r="AQ169" s="162"/>
      <c r="AR169" s="162"/>
      <c r="AS169" s="162"/>
      <c r="AT169" s="162"/>
      <c r="AU169" s="173">
        <f>0.065*7.2</f>
        <v>0.46800000000000003</v>
      </c>
      <c r="AV169" s="141">
        <f t="shared" si="302"/>
        <v>0.46800000000000003</v>
      </c>
      <c r="AW169" s="142">
        <f t="shared" si="303"/>
        <v>6.6857142857142865E-2</v>
      </c>
      <c r="AX169" s="126">
        <f t="shared" si="326"/>
        <v>5.8601190476190487E-2</v>
      </c>
      <c r="AY169" s="174" t="s">
        <v>391</v>
      </c>
      <c r="AZ169" s="128"/>
      <c r="BB169" s="161">
        <f t="shared" si="338"/>
        <v>0.33108017218186719</v>
      </c>
      <c r="BC169" s="161">
        <f t="shared" si="339"/>
        <v>0.19864810330912031</v>
      </c>
      <c r="BD169" s="161">
        <f t="shared" si="340"/>
        <v>0.1655400860909336</v>
      </c>
      <c r="BE169" s="161">
        <f t="shared" si="341"/>
        <v>0.13243206887274689</v>
      </c>
    </row>
    <row r="170" spans="1:57" s="129" customFormat="1" hidden="1">
      <c r="A170" s="90" t="s">
        <v>1302</v>
      </c>
      <c r="B170" s="88" t="s">
        <v>1317</v>
      </c>
      <c r="C170" s="88" t="s">
        <v>1318</v>
      </c>
      <c r="D170" s="90" t="s">
        <v>55</v>
      </c>
      <c r="E170" s="90" t="s">
        <v>251</v>
      </c>
      <c r="F170" s="90" t="s">
        <v>376</v>
      </c>
      <c r="G170" s="131" t="s">
        <v>253</v>
      </c>
      <c r="H170" s="92"/>
      <c r="I170" s="167" t="s">
        <v>392</v>
      </c>
      <c r="J170" s="167" t="str">
        <f>_xlfn.XLOOKUP(I170,[1]Sheet1!$A:$A,[1]Sheet1!$B:$B,"")</f>
        <v>U0206003</v>
      </c>
      <c r="K170" s="90" t="s">
        <v>3746</v>
      </c>
      <c r="L170" s="90" t="s">
        <v>3747</v>
      </c>
      <c r="M170" s="92"/>
      <c r="N170" s="89" t="s">
        <v>60</v>
      </c>
      <c r="O170" s="92"/>
      <c r="P170" s="88" t="s">
        <v>356</v>
      </c>
      <c r="Q170" s="92" t="s">
        <v>207</v>
      </c>
      <c r="R170" s="92">
        <v>60000</v>
      </c>
      <c r="S170" s="123" t="e">
        <v>#N/A</v>
      </c>
      <c r="T170" s="92">
        <v>8536699099</v>
      </c>
      <c r="U170" s="155">
        <v>0</v>
      </c>
      <c r="V170" s="207">
        <v>30</v>
      </c>
      <c r="W170" s="207">
        <v>45</v>
      </c>
      <c r="X170" s="207">
        <v>55</v>
      </c>
      <c r="Y170" s="207" t="s">
        <v>263</v>
      </c>
      <c r="Z170" s="133">
        <f t="shared" si="273"/>
        <v>0.18947368421052632</v>
      </c>
      <c r="AA170" s="133"/>
      <c r="AB170" s="161">
        <f t="shared" si="304"/>
        <v>0.15892546718817907</v>
      </c>
      <c r="AC170" s="161"/>
      <c r="AD170" s="213">
        <f t="shared" si="305"/>
        <v>0.1</v>
      </c>
      <c r="AE170" s="213">
        <v>0.1</v>
      </c>
      <c r="AF170" s="215">
        <v>0.41000000000000003</v>
      </c>
      <c r="AG170" s="215" t="s">
        <v>9</v>
      </c>
      <c r="AH170" s="148">
        <f t="shared" si="330"/>
        <v>0.15892546718817907</v>
      </c>
      <c r="AI170" s="122">
        <f t="shared" si="307"/>
        <v>0.41000000000000003</v>
      </c>
      <c r="AJ170" s="444"/>
      <c r="AK170" s="150">
        <f t="shared" si="308"/>
        <v>0.12</v>
      </c>
      <c r="AL170" s="153">
        <f t="shared" si="309"/>
        <v>0.10418447293447294</v>
      </c>
      <c r="AM170" s="125">
        <f t="shared" si="310"/>
        <v>0.3666666666666667</v>
      </c>
      <c r="AN170" s="125">
        <f t="shared" si="197"/>
        <v>0.34444444444444444</v>
      </c>
      <c r="AO170" s="140"/>
      <c r="AP170" s="17" t="s">
        <v>387</v>
      </c>
      <c r="AQ170" s="162"/>
      <c r="AR170" s="162"/>
      <c r="AS170" s="162"/>
      <c r="AT170" s="162"/>
      <c r="AU170" s="173">
        <f>0.105*7.2</f>
        <v>0.75600000000000001</v>
      </c>
      <c r="AV170" s="141">
        <f t="shared" si="302"/>
        <v>0.75600000000000001</v>
      </c>
      <c r="AW170" s="142">
        <f t="shared" si="303"/>
        <v>0.108</v>
      </c>
      <c r="AX170" s="126">
        <f t="shared" si="326"/>
        <v>9.3766025641025652E-2</v>
      </c>
      <c r="AY170" s="174" t="s">
        <v>393</v>
      </c>
      <c r="AZ170" s="128"/>
      <c r="BB170" s="161">
        <f t="shared" si="338"/>
        <v>0.52975155729393031</v>
      </c>
      <c r="BC170" s="161">
        <f t="shared" si="339"/>
        <v>0.3178509343763582</v>
      </c>
      <c r="BD170" s="161">
        <f t="shared" si="340"/>
        <v>0.26487577864696515</v>
      </c>
      <c r="BE170" s="161">
        <f t="shared" si="341"/>
        <v>0.21190062291757214</v>
      </c>
    </row>
    <row r="171" spans="1:57" s="129" customFormat="1" ht="14.25" hidden="1" customHeight="1">
      <c r="A171" s="90" t="s">
        <v>1302</v>
      </c>
      <c r="B171" s="88" t="s">
        <v>1317</v>
      </c>
      <c r="C171" s="88" t="s">
        <v>1318</v>
      </c>
      <c r="D171" s="90" t="s">
        <v>55</v>
      </c>
      <c r="E171" s="90" t="s">
        <v>251</v>
      </c>
      <c r="F171" s="90" t="s">
        <v>376</v>
      </c>
      <c r="G171" s="131" t="s">
        <v>253</v>
      </c>
      <c r="H171" s="92"/>
      <c r="I171" s="167" t="s">
        <v>394</v>
      </c>
      <c r="J171" s="167" t="str">
        <f>_xlfn.XLOOKUP(I171,[1]Sheet1!$A:$A,[1]Sheet1!$B:$B,"")</f>
        <v>U0206004</v>
      </c>
      <c r="K171" s="90" t="s">
        <v>3799</v>
      </c>
      <c r="L171" s="90" t="s">
        <v>3800</v>
      </c>
      <c r="M171" s="92"/>
      <c r="N171" s="89" t="s">
        <v>60</v>
      </c>
      <c r="O171" s="92"/>
      <c r="P171" s="88" t="s">
        <v>356</v>
      </c>
      <c r="Q171" s="92" t="s">
        <v>207</v>
      </c>
      <c r="R171" s="92">
        <v>60000</v>
      </c>
      <c r="S171" s="123" t="e">
        <v>#N/A</v>
      </c>
      <c r="T171" s="92">
        <v>8536699099</v>
      </c>
      <c r="U171" s="155">
        <v>0</v>
      </c>
      <c r="V171" s="207">
        <v>30</v>
      </c>
      <c r="W171" s="207">
        <v>45</v>
      </c>
      <c r="X171" s="207">
        <v>55</v>
      </c>
      <c r="Y171" s="207" t="s">
        <v>263</v>
      </c>
      <c r="Z171" s="133">
        <f t="shared" si="273"/>
        <v>0.30000000000000004</v>
      </c>
      <c r="AA171" s="133"/>
      <c r="AB171" s="161">
        <f t="shared" si="304"/>
        <v>0.25019013472403306</v>
      </c>
      <c r="AC171" s="161"/>
      <c r="AD171" s="213">
        <f t="shared" si="305"/>
        <v>0.1</v>
      </c>
      <c r="AE171" s="213">
        <v>0.1</v>
      </c>
      <c r="AF171" s="215">
        <v>0.41000000000000003</v>
      </c>
      <c r="AG171" s="215" t="s">
        <v>9</v>
      </c>
      <c r="AH171" s="148">
        <f t="shared" si="330"/>
        <v>0.25019013472403306</v>
      </c>
      <c r="AI171" s="122">
        <f t="shared" si="307"/>
        <v>0.41000000000000003</v>
      </c>
      <c r="AJ171" s="444"/>
      <c r="AK171" s="150">
        <f t="shared" si="308"/>
        <v>0.19</v>
      </c>
      <c r="AL171" s="153">
        <f t="shared" si="309"/>
        <v>0.16401353276353278</v>
      </c>
      <c r="AM171" s="125">
        <f t="shared" si="310"/>
        <v>0.36666666666666681</v>
      </c>
      <c r="AN171" s="125">
        <f t="shared" si="197"/>
        <v>0.34444444444444444</v>
      </c>
      <c r="AO171" s="140"/>
      <c r="AP171" s="17" t="s">
        <v>387</v>
      </c>
      <c r="AQ171" s="162"/>
      <c r="AR171" s="162"/>
      <c r="AS171" s="162"/>
      <c r="AT171" s="162"/>
      <c r="AU171" s="173"/>
      <c r="AV171" s="141"/>
      <c r="AW171" s="446">
        <v>0.17100000000000001</v>
      </c>
      <c r="AX171" s="126">
        <f t="shared" si="326"/>
        <v>0.1476121794871795</v>
      </c>
      <c r="AY171" s="174" t="s">
        <v>3796</v>
      </c>
      <c r="AZ171" s="128"/>
      <c r="BB171" s="161">
        <f t="shared" si="338"/>
        <v>0.83396711574677695</v>
      </c>
      <c r="BC171" s="161">
        <f t="shared" si="339"/>
        <v>0.50038026944806613</v>
      </c>
      <c r="BD171" s="161">
        <f t="shared" si="340"/>
        <v>0.41698355787338848</v>
      </c>
      <c r="BE171" s="161">
        <f t="shared" si="341"/>
        <v>0.33358684629871083</v>
      </c>
    </row>
    <row r="172" spans="1:57" s="129" customFormat="1" ht="14.25" hidden="1" customHeight="1">
      <c r="A172" s="90" t="s">
        <v>1276</v>
      </c>
      <c r="B172" s="88" t="s">
        <v>1317</v>
      </c>
      <c r="C172" s="88" t="s">
        <v>1318</v>
      </c>
      <c r="D172" s="90" t="s">
        <v>55</v>
      </c>
      <c r="E172" s="90" t="s">
        <v>251</v>
      </c>
      <c r="F172" s="90" t="s">
        <v>376</v>
      </c>
      <c r="G172" s="131" t="s">
        <v>253</v>
      </c>
      <c r="H172" s="92"/>
      <c r="I172" s="167" t="s">
        <v>3443</v>
      </c>
      <c r="J172" s="167" t="str">
        <f>_xlfn.XLOOKUP(I172,[1]Sheet1!$A:$A,[1]Sheet1!$B:$B,"")</f>
        <v/>
      </c>
      <c r="K172" s="90" t="s">
        <v>3753</v>
      </c>
      <c r="L172" s="90" t="s">
        <v>3748</v>
      </c>
      <c r="M172" s="92"/>
      <c r="N172" s="89" t="s">
        <v>60</v>
      </c>
      <c r="O172" s="92"/>
      <c r="P172" s="164" t="s">
        <v>3472</v>
      </c>
      <c r="Q172" s="92" t="s">
        <v>207</v>
      </c>
      <c r="R172" s="92">
        <v>60000</v>
      </c>
      <c r="S172" s="123" t="e">
        <v>#N/A</v>
      </c>
      <c r="T172" s="92">
        <v>8536699099</v>
      </c>
      <c r="U172" s="324">
        <v>0</v>
      </c>
      <c r="V172" s="207">
        <v>30</v>
      </c>
      <c r="W172" s="207">
        <v>45</v>
      </c>
      <c r="X172" s="207">
        <v>55</v>
      </c>
      <c r="Y172" s="207" t="s">
        <v>263</v>
      </c>
      <c r="Z172" s="133">
        <f>AW172/(1-(AF172+2%))</f>
        <v>0.20390977443609024</v>
      </c>
      <c r="AA172" s="133"/>
      <c r="AB172" s="161">
        <f>AX172/(1-AF172)</f>
        <v>0.17084575029490287</v>
      </c>
      <c r="AC172" s="161"/>
      <c r="AD172" s="213">
        <f>AE172</f>
        <v>0.1</v>
      </c>
      <c r="AE172" s="213">
        <v>0.1</v>
      </c>
      <c r="AF172" s="215">
        <v>0.41000000000000003</v>
      </c>
      <c r="AG172" s="215" t="s">
        <v>9</v>
      </c>
      <c r="AH172" s="148">
        <f>AB172</f>
        <v>0.17084575029490287</v>
      </c>
      <c r="AI172" s="122">
        <f>1-(AX172/AH172)</f>
        <v>0.41000000000000003</v>
      </c>
      <c r="AJ172" s="444"/>
      <c r="AK172" s="150">
        <f>AW172/(1-AD172)</f>
        <v>0.12914285714285714</v>
      </c>
      <c r="AL172" s="153">
        <f>AX172/(1-AE172)</f>
        <v>0.11199888074888076</v>
      </c>
      <c r="AM172" s="325">
        <f>1-(AK172/Z172)</f>
        <v>0.3666666666666667</v>
      </c>
      <c r="AN172" s="325">
        <f>1-(AL172/AB172)</f>
        <v>0.34444444444444455</v>
      </c>
      <c r="AO172" s="140"/>
      <c r="AP172" s="17" t="s">
        <v>387</v>
      </c>
      <c r="AQ172" s="162"/>
      <c r="AR172" s="162"/>
      <c r="AS172" s="162"/>
      <c r="AT172" s="162"/>
      <c r="AU172" s="173">
        <f>0.113*7.2</f>
        <v>0.81359999999999999</v>
      </c>
      <c r="AV172" s="141">
        <f>AT172+AU172</f>
        <v>0.81359999999999999</v>
      </c>
      <c r="AW172" s="142">
        <f>(AT172+AU172)/$F$5</f>
        <v>0.11622857142857143</v>
      </c>
      <c r="AX172" s="126">
        <f>(AW172/$F$6)+(($F$9+$G$9)/40/R172)+AW172*U172</f>
        <v>0.10079899267399269</v>
      </c>
      <c r="AY172" s="174" t="s">
        <v>3444</v>
      </c>
      <c r="AZ172" s="128"/>
      <c r="BB172" s="168">
        <f>AB172/0.3</f>
        <v>0.56948583431634292</v>
      </c>
      <c r="BC172" s="168">
        <f>BB172*0.6</f>
        <v>0.34169150058980574</v>
      </c>
      <c r="BD172" s="168">
        <f>BB172*0.5</f>
        <v>0.28474291715817146</v>
      </c>
      <c r="BE172" s="168">
        <f>BB172*0.4</f>
        <v>0.22779433372653718</v>
      </c>
    </row>
    <row r="173" spans="1:57" s="129" customFormat="1" ht="14.25" hidden="1" customHeight="1" thickBot="1">
      <c r="A173" s="90" t="s">
        <v>1276</v>
      </c>
      <c r="B173" s="88" t="s">
        <v>1317</v>
      </c>
      <c r="C173" s="88" t="s">
        <v>1318</v>
      </c>
      <c r="D173" s="90" t="s">
        <v>55</v>
      </c>
      <c r="E173" s="90" t="s">
        <v>251</v>
      </c>
      <c r="F173" s="90" t="s">
        <v>376</v>
      </c>
      <c r="G173" s="131" t="s">
        <v>253</v>
      </c>
      <c r="H173" s="92"/>
      <c r="I173" s="167" t="s">
        <v>3685</v>
      </c>
      <c r="J173" s="167" t="s">
        <v>3686</v>
      </c>
      <c r="K173" s="90" t="s">
        <v>3754</v>
      </c>
      <c r="L173" s="90" t="s">
        <v>3749</v>
      </c>
      <c r="M173" s="92"/>
      <c r="N173" s="89" t="s">
        <v>60</v>
      </c>
      <c r="O173" s="92"/>
      <c r="P173" s="164" t="s">
        <v>3472</v>
      </c>
      <c r="Q173" s="92" t="s">
        <v>207</v>
      </c>
      <c r="R173" s="92">
        <v>60000</v>
      </c>
      <c r="S173" s="123" t="e">
        <v>#N/A</v>
      </c>
      <c r="T173" s="92">
        <v>8536699099</v>
      </c>
      <c r="U173" s="155">
        <v>0</v>
      </c>
      <c r="V173" s="207">
        <v>30</v>
      </c>
      <c r="W173" s="207">
        <v>45</v>
      </c>
      <c r="X173" s="207">
        <v>55</v>
      </c>
      <c r="Y173" s="207" t="s">
        <v>263</v>
      </c>
      <c r="Z173" s="133">
        <f t="shared" ref="Z173:Z177" si="356">AW173/(1-(AF173+2%))</f>
        <v>0.30877192982456142</v>
      </c>
      <c r="AA173" s="133"/>
      <c r="AB173" s="161">
        <f t="shared" ref="AB173:AB177" si="357">AX173/(1-AF173)</f>
        <v>0.2574333623062437</v>
      </c>
      <c r="AC173" s="161"/>
      <c r="AD173" s="213">
        <f t="shared" ref="AD173:AD177" si="358">AE173</f>
        <v>0.1</v>
      </c>
      <c r="AE173" s="213">
        <v>0.1</v>
      </c>
      <c r="AF173" s="215">
        <v>0.41000000000000003</v>
      </c>
      <c r="AG173" s="215" t="s">
        <v>9</v>
      </c>
      <c r="AH173" s="148">
        <f t="shared" si="330"/>
        <v>0.2574333623062437</v>
      </c>
      <c r="AI173" s="122">
        <f t="shared" ref="AI173:AI177" si="359">1-(AX173/AH173)</f>
        <v>0.41000000000000003</v>
      </c>
      <c r="AJ173" s="444"/>
      <c r="AK173" s="150">
        <f t="shared" ref="AK173:AK177" si="360">AW173/(1-AD173)</f>
        <v>0.19555555555555554</v>
      </c>
      <c r="AL173" s="153">
        <f t="shared" ref="AL173:AL177" si="361">AX173/(1-AE173)</f>
        <v>0.16876187084520416</v>
      </c>
      <c r="AM173" s="125">
        <f t="shared" ref="AM173:AM177" si="362">1-(AK173/Z173)</f>
        <v>0.36666666666666681</v>
      </c>
      <c r="AN173" s="125">
        <f t="shared" ref="AN173:AN177" si="363">1-(AL173/AB173)</f>
        <v>0.34444444444444455</v>
      </c>
      <c r="AO173" s="140"/>
      <c r="AP173" s="17" t="s">
        <v>387</v>
      </c>
      <c r="AQ173" s="162"/>
      <c r="AR173" s="162"/>
      <c r="AS173" s="162"/>
      <c r="AT173" s="162"/>
      <c r="AU173" s="173"/>
      <c r="AV173" s="141"/>
      <c r="AW173" s="446">
        <v>0.17599999999999999</v>
      </c>
      <c r="AX173" s="126">
        <f t="shared" ref="AX173:AX177" si="364">(AW173/$F$6)+(($F$9+$G$9)/40/R173)+AW173*U173</f>
        <v>0.15188568376068376</v>
      </c>
      <c r="AY173" s="447" t="s">
        <v>3797</v>
      </c>
      <c r="AZ173" s="128"/>
      <c r="BB173" s="168">
        <f t="shared" si="338"/>
        <v>0.85811120768747906</v>
      </c>
      <c r="BC173" s="168">
        <f t="shared" si="339"/>
        <v>0.51486672461248739</v>
      </c>
      <c r="BD173" s="168">
        <f t="shared" si="340"/>
        <v>0.42905560384373953</v>
      </c>
      <c r="BE173" s="168">
        <f t="shared" si="341"/>
        <v>0.34324448307499167</v>
      </c>
    </row>
    <row r="174" spans="1:57" s="129" customFormat="1" ht="14.25" hidden="1" customHeight="1">
      <c r="A174" s="90" t="s">
        <v>1276</v>
      </c>
      <c r="B174" s="88" t="s">
        <v>1317</v>
      </c>
      <c r="C174" s="88" t="s">
        <v>1318</v>
      </c>
      <c r="D174" s="90" t="s">
        <v>55</v>
      </c>
      <c r="E174" s="90" t="s">
        <v>251</v>
      </c>
      <c r="F174" s="90" t="s">
        <v>376</v>
      </c>
      <c r="G174" s="131" t="s">
        <v>1832</v>
      </c>
      <c r="H174" s="92"/>
      <c r="I174" s="167" t="s">
        <v>3412</v>
      </c>
      <c r="J174" s="167" t="str">
        <f>_xlfn.XLOOKUP(I174,[1]Sheet1!$A:$A,[1]Sheet1!$B:$B,"")</f>
        <v/>
      </c>
      <c r="K174" s="90" t="s">
        <v>3755</v>
      </c>
      <c r="L174" s="90" t="s">
        <v>3750</v>
      </c>
      <c r="M174" s="92"/>
      <c r="N174" s="89" t="s">
        <v>60</v>
      </c>
      <c r="O174" s="92"/>
      <c r="P174" s="164" t="s">
        <v>3472</v>
      </c>
      <c r="Q174" s="92" t="s">
        <v>207</v>
      </c>
      <c r="R174" s="92">
        <v>60000</v>
      </c>
      <c r="S174" s="123" t="e">
        <v>#N/A</v>
      </c>
      <c r="T174" s="92">
        <v>8536699099</v>
      </c>
      <c r="U174" s="155">
        <v>0</v>
      </c>
      <c r="V174" s="207">
        <v>30</v>
      </c>
      <c r="W174" s="207">
        <v>45</v>
      </c>
      <c r="X174" s="207">
        <v>55</v>
      </c>
      <c r="Y174" s="207" t="s">
        <v>263</v>
      </c>
      <c r="Z174" s="133">
        <f>AW174/(1-(AF174+2%))</f>
        <v>0.1317293233082707</v>
      </c>
      <c r="AA174" s="133"/>
      <c r="AB174" s="161">
        <f>AX174/(1-AF174)</f>
        <v>0.11124433476128394</v>
      </c>
      <c r="AC174" s="161"/>
      <c r="AD174" s="213">
        <f t="shared" si="358"/>
        <v>0.1</v>
      </c>
      <c r="AE174" s="213">
        <v>0.1</v>
      </c>
      <c r="AF174" s="215">
        <v>0.41000000000000003</v>
      </c>
      <c r="AG174" s="215" t="s">
        <v>9</v>
      </c>
      <c r="AH174" s="148">
        <f t="shared" si="330"/>
        <v>0.11124433476128394</v>
      </c>
      <c r="AI174" s="122">
        <f t="shared" si="359"/>
        <v>0.41000000000000003</v>
      </c>
      <c r="AJ174" s="444"/>
      <c r="AK174" s="150">
        <f t="shared" si="360"/>
        <v>8.3428571428571421E-2</v>
      </c>
      <c r="AL174" s="153">
        <f t="shared" si="361"/>
        <v>7.2926841676841686E-2</v>
      </c>
      <c r="AM174" s="125">
        <f t="shared" si="362"/>
        <v>0.36666666666666681</v>
      </c>
      <c r="AN174" s="125">
        <f t="shared" si="363"/>
        <v>0.34444444444444455</v>
      </c>
      <c r="AO174" s="140"/>
      <c r="AP174" s="17" t="s">
        <v>387</v>
      </c>
      <c r="AQ174" s="162"/>
      <c r="AR174" s="162"/>
      <c r="AS174" s="162"/>
      <c r="AT174" s="162"/>
      <c r="AU174" s="173">
        <f>0.073*7.2</f>
        <v>0.52559999999999996</v>
      </c>
      <c r="AV174" s="141">
        <f t="shared" ref="AV174:AV177" si="365">AT174+AU174</f>
        <v>0.52559999999999996</v>
      </c>
      <c r="AW174" s="142">
        <f t="shared" ref="AW174:AW177" si="366">(AT174+AU174)/$F$5</f>
        <v>7.5085714285714283E-2</v>
      </c>
      <c r="AX174" s="126">
        <f t="shared" si="364"/>
        <v>6.563415750915752E-2</v>
      </c>
      <c r="AY174" s="174" t="s">
        <v>2569</v>
      </c>
      <c r="AZ174" s="128"/>
      <c r="BB174" s="168">
        <f t="shared" si="338"/>
        <v>0.37081444920427981</v>
      </c>
      <c r="BC174" s="168">
        <f t="shared" si="339"/>
        <v>0.22248866952256788</v>
      </c>
      <c r="BD174" s="168">
        <f t="shared" si="340"/>
        <v>0.1854072246021399</v>
      </c>
      <c r="BE174" s="168">
        <f t="shared" si="341"/>
        <v>0.14832577968171193</v>
      </c>
    </row>
    <row r="175" spans="1:57" s="129" customFormat="1" ht="14.25" hidden="1" customHeight="1">
      <c r="A175" s="90" t="s">
        <v>1276</v>
      </c>
      <c r="B175" s="88" t="s">
        <v>1317</v>
      </c>
      <c r="C175" s="88" t="s">
        <v>1318</v>
      </c>
      <c r="D175" s="90" t="s">
        <v>55</v>
      </c>
      <c r="E175" s="90" t="s">
        <v>251</v>
      </c>
      <c r="F175" s="90" t="s">
        <v>376</v>
      </c>
      <c r="G175" s="131" t="s">
        <v>1496</v>
      </c>
      <c r="H175" s="92"/>
      <c r="I175" s="167" t="s">
        <v>3736</v>
      </c>
      <c r="J175" s="167" t="s">
        <v>2825</v>
      </c>
      <c r="K175" s="90" t="s">
        <v>3752</v>
      </c>
      <c r="L175" s="90" t="s">
        <v>3751</v>
      </c>
      <c r="M175" s="92"/>
      <c r="N175" s="89" t="s">
        <v>60</v>
      </c>
      <c r="O175" s="92"/>
      <c r="P175" s="164" t="s">
        <v>3472</v>
      </c>
      <c r="Q175" s="92" t="s">
        <v>207</v>
      </c>
      <c r="R175" s="92">
        <v>60000</v>
      </c>
      <c r="S175" s="123" t="e">
        <v>#N/A</v>
      </c>
      <c r="T175" s="92">
        <v>8536699099</v>
      </c>
      <c r="U175" s="155">
        <v>0</v>
      </c>
      <c r="V175" s="207">
        <v>30</v>
      </c>
      <c r="W175" s="207">
        <v>45</v>
      </c>
      <c r="X175" s="207">
        <v>55</v>
      </c>
      <c r="Y175" s="207" t="s">
        <v>263</v>
      </c>
      <c r="Z175" s="133">
        <f>AW175/(1-(AF175+2%))</f>
        <v>0.1368421052631579</v>
      </c>
      <c r="AA175" s="133"/>
      <c r="AB175" s="161">
        <f>AX175/(1-AF175)</f>
        <v>0.11546610169491527</v>
      </c>
      <c r="AC175" s="161"/>
      <c r="AD175" s="213">
        <f t="shared" ref="AD175" si="367">AE175</f>
        <v>0.1</v>
      </c>
      <c r="AE175" s="213">
        <v>0.1</v>
      </c>
      <c r="AF175" s="215">
        <v>0.41000000000000003</v>
      </c>
      <c r="AG175" s="215" t="s">
        <v>9</v>
      </c>
      <c r="AH175" s="148">
        <f t="shared" ref="AH175" si="368">AB175</f>
        <v>0.11546610169491527</v>
      </c>
      <c r="AI175" s="122">
        <f t="shared" ref="AI175" si="369">1-(AX175/AH175)</f>
        <v>0.41000000000000003</v>
      </c>
      <c r="AJ175" s="444"/>
      <c r="AK175" s="150">
        <f t="shared" ref="AK175" si="370">AW175/(1-AD175)</f>
        <v>8.666666666666667E-2</v>
      </c>
      <c r="AL175" s="153">
        <f t="shared" ref="AL175" si="371">AX175/(1-AE175)</f>
        <v>7.5694444444444453E-2</v>
      </c>
      <c r="AM175" s="125">
        <f>1-(AK175/Z175)</f>
        <v>0.3666666666666667</v>
      </c>
      <c r="AN175" s="125">
        <f t="shared" ref="AN175" si="372">1-(AL175/AB175)</f>
        <v>0.34444444444444444</v>
      </c>
      <c r="AO175" s="140"/>
      <c r="AP175" s="17" t="s">
        <v>387</v>
      </c>
      <c r="AQ175" s="162"/>
      <c r="AR175" s="162"/>
      <c r="AS175" s="162"/>
      <c r="AT175" s="162"/>
      <c r="AU175" s="173"/>
      <c r="AV175" s="141"/>
      <c r="AW175" s="446">
        <v>7.8E-2</v>
      </c>
      <c r="AX175" s="126">
        <f t="shared" si="364"/>
        <v>6.8125000000000005E-2</v>
      </c>
      <c r="AY175" s="174"/>
      <c r="AZ175" s="128"/>
      <c r="BB175" s="161"/>
      <c r="BC175" s="161"/>
      <c r="BD175" s="161"/>
      <c r="BE175" s="161"/>
    </row>
    <row r="176" spans="1:57" s="129" customFormat="1" ht="14.25" hidden="1" customHeight="1">
      <c r="A176" s="90" t="s">
        <v>1276</v>
      </c>
      <c r="B176" s="88" t="s">
        <v>1317</v>
      </c>
      <c r="C176" s="88" t="s">
        <v>1318</v>
      </c>
      <c r="D176" s="90" t="s">
        <v>55</v>
      </c>
      <c r="E176" s="90" t="s">
        <v>251</v>
      </c>
      <c r="F176" s="90" t="s">
        <v>376</v>
      </c>
      <c r="G176" s="131"/>
      <c r="H176" s="92"/>
      <c r="I176" s="167" t="s">
        <v>1834</v>
      </c>
      <c r="J176" s="167" t="str">
        <f>_xlfn.XLOOKUP(I176,[1]Sheet1!$A:$A,[1]Sheet1!$B:$B,"")</f>
        <v/>
      </c>
      <c r="K176" s="90" t="s">
        <v>1830</v>
      </c>
      <c r="L176" s="90" t="s">
        <v>1831</v>
      </c>
      <c r="M176" s="92"/>
      <c r="N176" s="89" t="s">
        <v>60</v>
      </c>
      <c r="O176" s="92"/>
      <c r="P176" s="88" t="s">
        <v>356</v>
      </c>
      <c r="Q176" s="92" t="s">
        <v>207</v>
      </c>
      <c r="R176" s="92">
        <v>60000</v>
      </c>
      <c r="S176" s="123" t="e">
        <v>#N/A</v>
      </c>
      <c r="T176" s="92">
        <v>8536699099</v>
      </c>
      <c r="U176" s="155">
        <v>0</v>
      </c>
      <c r="V176" s="207">
        <v>30</v>
      </c>
      <c r="W176" s="207">
        <v>45</v>
      </c>
      <c r="X176" s="207">
        <v>55</v>
      </c>
      <c r="Y176" s="207" t="s">
        <v>263</v>
      </c>
      <c r="Z176" s="133">
        <f t="shared" si="356"/>
        <v>7.7837837837837834E-2</v>
      </c>
      <c r="AA176" s="133"/>
      <c r="AB176" s="161">
        <f t="shared" si="357"/>
        <v>6.685568704799473E-2</v>
      </c>
      <c r="AC176" s="161"/>
      <c r="AD176" s="213">
        <f t="shared" si="358"/>
        <v>0.1</v>
      </c>
      <c r="AE176" s="213">
        <v>0.1</v>
      </c>
      <c r="AF176" s="215">
        <v>0.61</v>
      </c>
      <c r="AG176" s="215" t="s">
        <v>9</v>
      </c>
      <c r="AH176" s="148">
        <f t="shared" si="330"/>
        <v>6.685568704799473E-2</v>
      </c>
      <c r="AI176" s="122">
        <f t="shared" si="359"/>
        <v>0.60999999999999988</v>
      </c>
      <c r="AJ176" s="444"/>
      <c r="AK176" s="150">
        <f t="shared" si="360"/>
        <v>3.2000000000000001E-2</v>
      </c>
      <c r="AL176" s="153">
        <f t="shared" si="361"/>
        <v>2.897079772079772E-2</v>
      </c>
      <c r="AM176" s="125">
        <f t="shared" si="362"/>
        <v>0.5888888888888888</v>
      </c>
      <c r="AN176" s="125">
        <f t="shared" si="363"/>
        <v>0.56666666666666665</v>
      </c>
      <c r="AO176" s="140"/>
      <c r="AP176" s="17" t="s">
        <v>264</v>
      </c>
      <c r="AQ176" s="162"/>
      <c r="AR176" s="162"/>
      <c r="AS176" s="162"/>
      <c r="AT176" s="162"/>
      <c r="AU176" s="162">
        <f>0.028*7.2</f>
        <v>0.2016</v>
      </c>
      <c r="AV176" s="141">
        <f t="shared" si="365"/>
        <v>0.2016</v>
      </c>
      <c r="AW176" s="142">
        <f t="shared" si="366"/>
        <v>2.8799999999999999E-2</v>
      </c>
      <c r="AX176" s="126">
        <f t="shared" si="364"/>
        <v>2.6073717948717948E-2</v>
      </c>
      <c r="AY176" s="174" t="s">
        <v>3445</v>
      </c>
      <c r="AZ176" s="128"/>
      <c r="BB176" s="168">
        <f t="shared" si="338"/>
        <v>0.22285229015998245</v>
      </c>
      <c r="BC176" s="168">
        <f t="shared" si="339"/>
        <v>0.13371137409598946</v>
      </c>
      <c r="BD176" s="168">
        <f t="shared" si="340"/>
        <v>0.11142614507999123</v>
      </c>
      <c r="BE176" s="168">
        <f t="shared" si="341"/>
        <v>8.9140916063992992E-2</v>
      </c>
    </row>
    <row r="177" spans="1:57" s="129" customFormat="1" ht="14.25" hidden="1" customHeight="1">
      <c r="A177" s="90" t="s">
        <v>1276</v>
      </c>
      <c r="B177" s="88" t="s">
        <v>1317</v>
      </c>
      <c r="C177" s="88" t="s">
        <v>1318</v>
      </c>
      <c r="D177" s="90" t="s">
        <v>55</v>
      </c>
      <c r="E177" s="90" t="s">
        <v>251</v>
      </c>
      <c r="F177" s="90" t="s">
        <v>376</v>
      </c>
      <c r="G177" s="131"/>
      <c r="H177" s="92"/>
      <c r="I177" s="167" t="s">
        <v>1833</v>
      </c>
      <c r="J177" s="167" t="str">
        <f>_xlfn.XLOOKUP(I177,[1]Sheet1!$A:$A,[1]Sheet1!$B:$B,"")</f>
        <v/>
      </c>
      <c r="K177" s="90" t="s">
        <v>381</v>
      </c>
      <c r="L177" s="90" t="s">
        <v>382</v>
      </c>
      <c r="M177" s="92"/>
      <c r="N177" s="89" t="s">
        <v>60</v>
      </c>
      <c r="O177" s="92"/>
      <c r="P177" s="88" t="s">
        <v>241</v>
      </c>
      <c r="Q177" s="92" t="s">
        <v>1835</v>
      </c>
      <c r="R177" s="92">
        <v>10</v>
      </c>
      <c r="S177" s="123" t="e">
        <v>#N/A</v>
      </c>
      <c r="T177" s="92">
        <v>8203200000</v>
      </c>
      <c r="U177" s="155">
        <v>0</v>
      </c>
      <c r="V177" s="207">
        <v>30</v>
      </c>
      <c r="W177" s="207">
        <v>45</v>
      </c>
      <c r="X177" s="207">
        <v>55</v>
      </c>
      <c r="Y177" s="207" t="s">
        <v>359</v>
      </c>
      <c r="Z177" s="133">
        <f t="shared" si="356"/>
        <v>50.174216027874564</v>
      </c>
      <c r="AA177" s="133"/>
      <c r="AB177" s="161">
        <f t="shared" si="357"/>
        <v>52.279565672422819</v>
      </c>
      <c r="AC177" s="161"/>
      <c r="AD177" s="213">
        <f t="shared" si="358"/>
        <v>0.1</v>
      </c>
      <c r="AE177" s="213">
        <v>0.1</v>
      </c>
      <c r="AF177" s="215">
        <v>0.16</v>
      </c>
      <c r="AG177" s="215" t="s">
        <v>9</v>
      </c>
      <c r="AH177" s="148">
        <f t="shared" si="330"/>
        <v>52.279565672422819</v>
      </c>
      <c r="AI177" s="122">
        <f t="shared" si="359"/>
        <v>0.16000000000000003</v>
      </c>
      <c r="AJ177" s="444"/>
      <c r="AK177" s="150">
        <f t="shared" si="360"/>
        <v>45.714285714285715</v>
      </c>
      <c r="AL177" s="153">
        <f t="shared" si="361"/>
        <v>48.794261294261297</v>
      </c>
      <c r="AM177" s="125">
        <f t="shared" si="362"/>
        <v>8.8888888888888906E-2</v>
      </c>
      <c r="AN177" s="125">
        <f t="shared" si="363"/>
        <v>6.6666666666666652E-2</v>
      </c>
      <c r="AO177" s="166"/>
      <c r="AP177" s="17" t="s">
        <v>1836</v>
      </c>
      <c r="AQ177" s="162"/>
      <c r="AR177" s="162"/>
      <c r="AS177" s="162"/>
      <c r="AT177" s="162"/>
      <c r="AU177" s="162">
        <f>40*7.2</f>
        <v>288</v>
      </c>
      <c r="AV177" s="141">
        <f t="shared" si="365"/>
        <v>288</v>
      </c>
      <c r="AW177" s="142">
        <f t="shared" si="366"/>
        <v>41.142857142857146</v>
      </c>
      <c r="AX177" s="126">
        <f t="shared" si="364"/>
        <v>43.914835164835168</v>
      </c>
      <c r="AY177" s="130"/>
      <c r="AZ177" s="128"/>
      <c r="BB177" s="168">
        <f t="shared" si="338"/>
        <v>174.26521890807606</v>
      </c>
      <c r="BC177" s="168">
        <f t="shared" si="339"/>
        <v>104.55913134484564</v>
      </c>
      <c r="BD177" s="168">
        <f t="shared" si="340"/>
        <v>87.132609454038032</v>
      </c>
      <c r="BE177" s="168">
        <f t="shared" si="341"/>
        <v>69.706087563230426</v>
      </c>
    </row>
    <row r="178" spans="1:57" s="129" customFormat="1" ht="14.25" hidden="1" customHeight="1">
      <c r="A178" s="90" t="s">
        <v>1302</v>
      </c>
      <c r="B178" s="88" t="s">
        <v>1317</v>
      </c>
      <c r="C178" s="88" t="s">
        <v>1317</v>
      </c>
      <c r="D178" s="90" t="s">
        <v>55</v>
      </c>
      <c r="E178" s="90" t="s">
        <v>395</v>
      </c>
      <c r="F178" s="90" t="s">
        <v>396</v>
      </c>
      <c r="G178" s="131" t="s">
        <v>397</v>
      </c>
      <c r="H178" s="92">
        <v>26</v>
      </c>
      <c r="I178" s="167" t="s">
        <v>398</v>
      </c>
      <c r="J178" s="167" t="str">
        <f>_xlfn.XLOOKUP(I178,[1]Sheet1!$A:$A,[1]Sheet1!$B:$B,"")</f>
        <v>U0401001</v>
      </c>
      <c r="K178" s="90" t="s">
        <v>399</v>
      </c>
      <c r="L178" s="90" t="s">
        <v>400</v>
      </c>
      <c r="M178" s="92"/>
      <c r="N178" s="89" t="s">
        <v>60</v>
      </c>
      <c r="O178" s="92"/>
      <c r="P178" s="88" t="s">
        <v>1446</v>
      </c>
      <c r="Q178" s="92" t="s">
        <v>402</v>
      </c>
      <c r="R178" s="92">
        <v>4800</v>
      </c>
      <c r="S178" s="123" t="e">
        <v>#N/A</v>
      </c>
      <c r="T178" s="131" t="s">
        <v>403</v>
      </c>
      <c r="U178" s="155">
        <v>0</v>
      </c>
      <c r="V178" s="207">
        <v>50</v>
      </c>
      <c r="W178" s="207">
        <v>45</v>
      </c>
      <c r="X178" s="207">
        <v>55</v>
      </c>
      <c r="Y178" s="207" t="s">
        <v>64</v>
      </c>
      <c r="Z178" s="133">
        <f t="shared" si="273"/>
        <v>0.50196232339089497</v>
      </c>
      <c r="AA178" s="133"/>
      <c r="AB178" s="175">
        <f t="shared" si="304"/>
        <v>0.44192684358125545</v>
      </c>
      <c r="AC178" s="175"/>
      <c r="AD178" s="213">
        <f t="shared" si="305"/>
        <v>0.1</v>
      </c>
      <c r="AE178" s="213">
        <v>0.1</v>
      </c>
      <c r="AF178" s="215">
        <v>0.252</v>
      </c>
      <c r="AG178" s="215" t="s">
        <v>9</v>
      </c>
      <c r="AH178" s="148">
        <f t="shared" si="330"/>
        <v>0.44192684358125545</v>
      </c>
      <c r="AI178" s="122">
        <f t="shared" si="307"/>
        <v>0.252</v>
      </c>
      <c r="AJ178" s="444"/>
      <c r="AK178" s="177">
        <f t="shared" si="308"/>
        <v>0.40603174603174608</v>
      </c>
      <c r="AL178" s="178">
        <f>AX178/(1-AE178)</f>
        <v>0.36729030999864343</v>
      </c>
      <c r="AM178" s="125">
        <f>1-(AK178/Z178)</f>
        <v>0.19111111111111123</v>
      </c>
      <c r="AN178" s="125">
        <f t="shared" ref="AN178:AN257" si="373">1-(AL178/AB178)</f>
        <v>0.16888888888888887</v>
      </c>
      <c r="AO178" s="140"/>
      <c r="AP178" s="17" t="s">
        <v>1225</v>
      </c>
      <c r="AQ178" s="179">
        <v>6.0000000000000001E-3</v>
      </c>
      <c r="AR178" s="179">
        <v>2.302</v>
      </c>
      <c r="AS178" s="162"/>
      <c r="AT178" s="179">
        <v>0.16</v>
      </c>
      <c r="AU178" s="180">
        <f t="shared" ref="AU178:AU191" si="374">($F$2-70000)/2000*AQ178+AR178</f>
        <v>2.3980000000000001</v>
      </c>
      <c r="AV178" s="180">
        <f t="shared" si="302"/>
        <v>2.5580000000000003</v>
      </c>
      <c r="AW178" s="433">
        <f t="shared" si="303"/>
        <v>0.36542857142857149</v>
      </c>
      <c r="AX178" s="126">
        <f t="shared" si="326"/>
        <v>0.33056127899877907</v>
      </c>
      <c r="AY178" s="130" t="s">
        <v>405</v>
      </c>
      <c r="AZ178" s="128" t="s">
        <v>260</v>
      </c>
      <c r="BB178" s="176">
        <f t="shared" si="338"/>
        <v>1.4730894786041848</v>
      </c>
      <c r="BC178" s="176">
        <f t="shared" si="339"/>
        <v>0.88385368716251089</v>
      </c>
      <c r="BD178" s="176">
        <f t="shared" si="340"/>
        <v>0.73654473930209241</v>
      </c>
      <c r="BE178" s="176">
        <f t="shared" si="341"/>
        <v>0.58923579144167393</v>
      </c>
    </row>
    <row r="179" spans="1:57" s="129" customFormat="1" ht="14.25" hidden="1" customHeight="1">
      <c r="A179" s="90" t="s">
        <v>1302</v>
      </c>
      <c r="B179" s="88" t="s">
        <v>1317</v>
      </c>
      <c r="C179" s="88" t="s">
        <v>1317</v>
      </c>
      <c r="D179" s="90" t="s">
        <v>55</v>
      </c>
      <c r="E179" s="90" t="s">
        <v>395</v>
      </c>
      <c r="F179" s="90" t="s">
        <v>396</v>
      </c>
      <c r="G179" s="131" t="s">
        <v>397</v>
      </c>
      <c r="H179" s="92">
        <v>26</v>
      </c>
      <c r="I179" s="167" t="s">
        <v>406</v>
      </c>
      <c r="J179" s="167" t="str">
        <f>_xlfn.XLOOKUP(I179,[1]Sheet1!$A:$A,[1]Sheet1!$B:$B,"")</f>
        <v>U0401002</v>
      </c>
      <c r="K179" s="90" t="s">
        <v>407</v>
      </c>
      <c r="L179" s="90" t="s">
        <v>408</v>
      </c>
      <c r="M179" s="92"/>
      <c r="N179" s="89" t="s">
        <v>60</v>
      </c>
      <c r="O179" s="92"/>
      <c r="P179" s="88" t="s">
        <v>1446</v>
      </c>
      <c r="Q179" s="92" t="s">
        <v>402</v>
      </c>
      <c r="R179" s="92">
        <v>4800</v>
      </c>
      <c r="S179" s="123" t="e">
        <v>#N/A</v>
      </c>
      <c r="T179" s="131" t="s">
        <v>403</v>
      </c>
      <c r="U179" s="155">
        <v>0</v>
      </c>
      <c r="V179" s="207">
        <v>50</v>
      </c>
      <c r="W179" s="207">
        <v>45</v>
      </c>
      <c r="X179" s="207">
        <v>55</v>
      </c>
      <c r="Y179" s="207" t="s">
        <v>64</v>
      </c>
      <c r="Z179" s="133">
        <f t="shared" si="273"/>
        <v>0.57103610675039251</v>
      </c>
      <c r="AA179" s="133"/>
      <c r="AB179" s="175">
        <f>AX179/(1-AF179)</f>
        <v>0.49938572456954822</v>
      </c>
      <c r="AC179" s="175"/>
      <c r="AD179" s="213">
        <f t="shared" si="305"/>
        <v>0.1</v>
      </c>
      <c r="AE179" s="213">
        <v>0.1</v>
      </c>
      <c r="AF179" s="215">
        <v>0.252</v>
      </c>
      <c r="AG179" s="215" t="s">
        <v>9</v>
      </c>
      <c r="AH179" s="148">
        <f t="shared" si="330"/>
        <v>0.49938572456954822</v>
      </c>
      <c r="AI179" s="122">
        <f t="shared" si="307"/>
        <v>0.252</v>
      </c>
      <c r="AJ179" s="444"/>
      <c r="AK179" s="177">
        <f t="shared" si="308"/>
        <v>0.46190476190476193</v>
      </c>
      <c r="AL179" s="178">
        <f t="shared" si="309"/>
        <v>0.4150450244200245</v>
      </c>
      <c r="AM179" s="125">
        <f t="shared" si="310"/>
        <v>0.19111111111111112</v>
      </c>
      <c r="AN179" s="125">
        <f t="shared" si="373"/>
        <v>0.16888888888888898</v>
      </c>
      <c r="AO179" s="140"/>
      <c r="AP179" s="17" t="s">
        <v>1225</v>
      </c>
      <c r="AQ179" s="179">
        <v>8.9999999999999993E-3</v>
      </c>
      <c r="AR179" s="179">
        <v>2.6059999999999999</v>
      </c>
      <c r="AS179" s="162"/>
      <c r="AT179" s="179">
        <v>0.16</v>
      </c>
      <c r="AU179" s="180">
        <f t="shared" si="374"/>
        <v>2.75</v>
      </c>
      <c r="AV179" s="180">
        <f t="shared" si="302"/>
        <v>2.91</v>
      </c>
      <c r="AW179" s="433">
        <f t="shared" si="303"/>
        <v>0.41571428571428576</v>
      </c>
      <c r="AX179" s="126">
        <f t="shared" si="326"/>
        <v>0.37354052197802207</v>
      </c>
      <c r="AY179" s="130" t="s">
        <v>405</v>
      </c>
      <c r="AZ179" s="128" t="s">
        <v>260</v>
      </c>
      <c r="BB179" s="176">
        <f t="shared" si="338"/>
        <v>1.6646190818984941</v>
      </c>
      <c r="BC179" s="176">
        <f t="shared" si="339"/>
        <v>0.99877144913909643</v>
      </c>
      <c r="BD179" s="176">
        <f t="shared" si="340"/>
        <v>0.83230954094924703</v>
      </c>
      <c r="BE179" s="176">
        <f t="shared" si="341"/>
        <v>0.66584763275939762</v>
      </c>
    </row>
    <row r="180" spans="1:57" s="129" customFormat="1" ht="14.25" hidden="1" customHeight="1">
      <c r="A180" s="90" t="s">
        <v>1302</v>
      </c>
      <c r="B180" s="88" t="s">
        <v>1317</v>
      </c>
      <c r="C180" s="88" t="s">
        <v>1317</v>
      </c>
      <c r="D180" s="90" t="s">
        <v>55</v>
      </c>
      <c r="E180" s="90" t="s">
        <v>395</v>
      </c>
      <c r="F180" s="90" t="s">
        <v>396</v>
      </c>
      <c r="G180" s="131" t="s">
        <v>397</v>
      </c>
      <c r="H180" s="92">
        <v>26</v>
      </c>
      <c r="I180" s="167" t="s">
        <v>409</v>
      </c>
      <c r="J180" s="167" t="str">
        <f>_xlfn.XLOOKUP(I180,[1]Sheet1!$A:$A,[1]Sheet1!$B:$B,"")</f>
        <v>U0401004</v>
      </c>
      <c r="K180" s="90" t="s">
        <v>410</v>
      </c>
      <c r="L180" s="90" t="s">
        <v>411</v>
      </c>
      <c r="M180" s="92"/>
      <c r="N180" s="89" t="s">
        <v>60</v>
      </c>
      <c r="O180" s="92"/>
      <c r="P180" s="88" t="s">
        <v>1446</v>
      </c>
      <c r="Q180" s="92" t="s">
        <v>402</v>
      </c>
      <c r="R180" s="92">
        <v>3200</v>
      </c>
      <c r="S180" s="123" t="e">
        <v>#N/A</v>
      </c>
      <c r="T180" s="131" t="s">
        <v>403</v>
      </c>
      <c r="U180" s="155">
        <v>0</v>
      </c>
      <c r="V180" s="207">
        <v>50</v>
      </c>
      <c r="W180" s="207">
        <v>45</v>
      </c>
      <c r="X180" s="207">
        <v>55</v>
      </c>
      <c r="Y180" s="207" t="s">
        <v>64</v>
      </c>
      <c r="Z180" s="133">
        <f t="shared" si="273"/>
        <v>0.7454866562009419</v>
      </c>
      <c r="AA180" s="133"/>
      <c r="AB180" s="175">
        <f t="shared" si="304"/>
        <v>0.65668731799246505</v>
      </c>
      <c r="AC180" s="175"/>
      <c r="AD180" s="213">
        <f t="shared" si="305"/>
        <v>0.1</v>
      </c>
      <c r="AE180" s="213">
        <v>0.1</v>
      </c>
      <c r="AF180" s="215">
        <v>0.252</v>
      </c>
      <c r="AG180" s="215" t="s">
        <v>9</v>
      </c>
      <c r="AH180" s="148">
        <f t="shared" si="330"/>
        <v>0.65668731799246505</v>
      </c>
      <c r="AI180" s="122">
        <f t="shared" si="307"/>
        <v>0.252</v>
      </c>
      <c r="AJ180" s="444"/>
      <c r="AK180" s="177">
        <f>AW180/(1-AD180)</f>
        <v>0.60301587301587301</v>
      </c>
      <c r="AL180" s="178">
        <f t="shared" si="309"/>
        <v>0.5457801265092932</v>
      </c>
      <c r="AM180" s="125">
        <f t="shared" si="310"/>
        <v>0.19111111111111112</v>
      </c>
      <c r="AN180" s="125">
        <f t="shared" si="373"/>
        <v>0.16888888888888887</v>
      </c>
      <c r="AO180" s="140"/>
      <c r="AP180" s="17" t="s">
        <v>1225</v>
      </c>
      <c r="AQ180" s="179">
        <v>1.7999999999999999E-2</v>
      </c>
      <c r="AR180" s="179">
        <v>3.351</v>
      </c>
      <c r="AS180" s="162"/>
      <c r="AT180" s="179">
        <v>0.16</v>
      </c>
      <c r="AU180" s="180">
        <f t="shared" si="374"/>
        <v>3.6389999999999998</v>
      </c>
      <c r="AV180" s="180">
        <f t="shared" si="302"/>
        <v>3.7989999999999999</v>
      </c>
      <c r="AW180" s="433">
        <f t="shared" si="303"/>
        <v>0.5427142857142857</v>
      </c>
      <c r="AX180" s="126">
        <f t="shared" si="326"/>
        <v>0.49120211385836388</v>
      </c>
      <c r="AY180" s="130" t="s">
        <v>405</v>
      </c>
      <c r="AZ180" s="128" t="s">
        <v>260</v>
      </c>
      <c r="BB180" s="176">
        <f t="shared" si="338"/>
        <v>2.1889577266415503</v>
      </c>
      <c r="BC180" s="176">
        <f t="shared" si="339"/>
        <v>1.3133746359849301</v>
      </c>
      <c r="BD180" s="176">
        <f t="shared" si="340"/>
        <v>1.0944788633207752</v>
      </c>
      <c r="BE180" s="176">
        <f t="shared" si="341"/>
        <v>0.87558309065662021</v>
      </c>
    </row>
    <row r="181" spans="1:57" s="129" customFormat="1" hidden="1">
      <c r="A181" s="90" t="s">
        <v>1302</v>
      </c>
      <c r="B181" s="88" t="s">
        <v>1317</v>
      </c>
      <c r="C181" s="88" t="s">
        <v>1317</v>
      </c>
      <c r="D181" s="90" t="s">
        <v>55</v>
      </c>
      <c r="E181" s="90" t="s">
        <v>395</v>
      </c>
      <c r="F181" s="90" t="s">
        <v>396</v>
      </c>
      <c r="G181" s="131" t="s">
        <v>397</v>
      </c>
      <c r="H181" s="92">
        <v>26</v>
      </c>
      <c r="I181" s="167" t="s">
        <v>412</v>
      </c>
      <c r="J181" s="167" t="str">
        <f>_xlfn.XLOOKUP(I181,[1]Sheet1!$A:$A,[1]Sheet1!$B:$B,"")</f>
        <v>U0401005</v>
      </c>
      <c r="K181" s="90" t="s">
        <v>413</v>
      </c>
      <c r="L181" s="90" t="s">
        <v>414</v>
      </c>
      <c r="M181" s="92"/>
      <c r="N181" s="89" t="s">
        <v>60</v>
      </c>
      <c r="O181" s="92"/>
      <c r="P181" s="88" t="s">
        <v>1446</v>
      </c>
      <c r="Q181" s="92" t="s">
        <v>402</v>
      </c>
      <c r="R181" s="92">
        <v>2240</v>
      </c>
      <c r="S181" s="123" t="e">
        <v>#N/A</v>
      </c>
      <c r="T181" s="131" t="s">
        <v>403</v>
      </c>
      <c r="U181" s="155">
        <v>0</v>
      </c>
      <c r="V181" s="207">
        <v>50</v>
      </c>
      <c r="W181" s="207">
        <v>45</v>
      </c>
      <c r="X181" s="207">
        <v>55</v>
      </c>
      <c r="Y181" s="207" t="s">
        <v>64</v>
      </c>
      <c r="Z181" s="133">
        <f t="shared" si="273"/>
        <v>1.0863422291993721</v>
      </c>
      <c r="AA181" s="133"/>
      <c r="AB181" s="175">
        <f t="shared" si="304"/>
        <v>0.95589408548967381</v>
      </c>
      <c r="AC181" s="175"/>
      <c r="AD181" s="213">
        <f t="shared" si="305"/>
        <v>0.1</v>
      </c>
      <c r="AE181" s="213">
        <v>0.1</v>
      </c>
      <c r="AF181" s="215">
        <v>0.252</v>
      </c>
      <c r="AG181" s="215" t="s">
        <v>9</v>
      </c>
      <c r="AH181" s="148">
        <f t="shared" si="330"/>
        <v>0.95589408548967381</v>
      </c>
      <c r="AI181" s="122">
        <f t="shared" si="307"/>
        <v>0.252</v>
      </c>
      <c r="AJ181" s="444"/>
      <c r="AK181" s="177">
        <f t="shared" si="308"/>
        <v>0.87873015873015869</v>
      </c>
      <c r="AL181" s="178">
        <f t="shared" si="309"/>
        <v>0.79445419549586216</v>
      </c>
      <c r="AM181" s="125">
        <f t="shared" si="310"/>
        <v>0.19111111111111112</v>
      </c>
      <c r="AN181" s="125">
        <f t="shared" si="373"/>
        <v>0.16888888888888898</v>
      </c>
      <c r="AO181" s="140"/>
      <c r="AP181" s="17" t="s">
        <v>1225</v>
      </c>
      <c r="AQ181" s="179">
        <v>3.5999999999999997E-2</v>
      </c>
      <c r="AR181" s="179">
        <v>4.8</v>
      </c>
      <c r="AS181" s="162"/>
      <c r="AT181" s="179">
        <v>0.16</v>
      </c>
      <c r="AU181" s="180">
        <f t="shared" si="374"/>
        <v>5.3759999999999994</v>
      </c>
      <c r="AV181" s="180">
        <f t="shared" si="302"/>
        <v>5.5359999999999996</v>
      </c>
      <c r="AW181" s="433">
        <f t="shared" si="303"/>
        <v>0.79085714285714281</v>
      </c>
      <c r="AX181" s="126">
        <f t="shared" si="326"/>
        <v>0.71500877594627599</v>
      </c>
      <c r="AY181" s="130" t="s">
        <v>405</v>
      </c>
      <c r="AZ181" s="128" t="s">
        <v>260</v>
      </c>
      <c r="BB181" s="176">
        <f t="shared" si="338"/>
        <v>3.1863136182989127</v>
      </c>
      <c r="BC181" s="176">
        <f t="shared" si="339"/>
        <v>1.9117881709793476</v>
      </c>
      <c r="BD181" s="176">
        <f t="shared" si="340"/>
        <v>1.5931568091494563</v>
      </c>
      <c r="BE181" s="176">
        <f t="shared" si="341"/>
        <v>1.2745254473195651</v>
      </c>
    </row>
    <row r="182" spans="1:57" s="129" customFormat="1" hidden="1">
      <c r="A182" s="90" t="s">
        <v>1302</v>
      </c>
      <c r="B182" s="88" t="s">
        <v>1317</v>
      </c>
      <c r="C182" s="88" t="s">
        <v>1317</v>
      </c>
      <c r="D182" s="90" t="s">
        <v>55</v>
      </c>
      <c r="E182" s="90" t="s">
        <v>395</v>
      </c>
      <c r="F182" s="90" t="s">
        <v>396</v>
      </c>
      <c r="G182" s="131" t="s">
        <v>397</v>
      </c>
      <c r="H182" s="92">
        <v>26</v>
      </c>
      <c r="I182" s="167" t="s">
        <v>415</v>
      </c>
      <c r="J182" s="167" t="str">
        <f>_xlfn.XLOOKUP(I182,[1]Sheet1!$A:$A,[1]Sheet1!$B:$B,"")</f>
        <v>U0401006</v>
      </c>
      <c r="K182" s="90" t="s">
        <v>416</v>
      </c>
      <c r="L182" s="90" t="s">
        <v>417</v>
      </c>
      <c r="M182" s="92"/>
      <c r="N182" s="89" t="s">
        <v>60</v>
      </c>
      <c r="O182" s="92"/>
      <c r="P182" s="88" t="s">
        <v>1446</v>
      </c>
      <c r="Q182" s="92" t="s">
        <v>402</v>
      </c>
      <c r="R182" s="92">
        <v>1600</v>
      </c>
      <c r="S182" s="123" t="e">
        <v>#N/A</v>
      </c>
      <c r="T182" s="131" t="s">
        <v>403</v>
      </c>
      <c r="U182" s="155">
        <v>0</v>
      </c>
      <c r="V182" s="207">
        <v>50</v>
      </c>
      <c r="W182" s="207">
        <v>45</v>
      </c>
      <c r="X182" s="207">
        <v>55</v>
      </c>
      <c r="Y182" s="207" t="s">
        <v>64</v>
      </c>
      <c r="Z182" s="133">
        <f t="shared" si="273"/>
        <v>1.4342621664050237</v>
      </c>
      <c r="AA182" s="133"/>
      <c r="AB182" s="175">
        <f t="shared" si="304"/>
        <v>1.2661995888098831</v>
      </c>
      <c r="AC182" s="175"/>
      <c r="AD182" s="213">
        <f t="shared" si="305"/>
        <v>0.1</v>
      </c>
      <c r="AE182" s="213">
        <v>0.1</v>
      </c>
      <c r="AF182" s="215">
        <v>0.252</v>
      </c>
      <c r="AG182" s="215" t="s">
        <v>9</v>
      </c>
      <c r="AH182" s="148">
        <f t="shared" si="330"/>
        <v>1.2661995888098831</v>
      </c>
      <c r="AI182" s="122">
        <f t="shared" si="307"/>
        <v>0.252</v>
      </c>
      <c r="AJ182" s="444"/>
      <c r="AK182" s="177">
        <f t="shared" si="308"/>
        <v>1.1601587301587302</v>
      </c>
      <c r="AL182" s="178">
        <f t="shared" si="309"/>
        <v>1.0523525471442139</v>
      </c>
      <c r="AM182" s="125">
        <f t="shared" si="310"/>
        <v>0.19111111111111123</v>
      </c>
      <c r="AN182" s="125">
        <f t="shared" si="373"/>
        <v>0.16888888888888898</v>
      </c>
      <c r="AO182" s="140"/>
      <c r="AP182" s="17" t="s">
        <v>1225</v>
      </c>
      <c r="AQ182" s="179">
        <v>5.3999999999999999E-2</v>
      </c>
      <c r="AR182" s="179">
        <v>6.2850000000000001</v>
      </c>
      <c r="AS182" s="162"/>
      <c r="AT182" s="179">
        <v>0.16</v>
      </c>
      <c r="AU182" s="180">
        <f t="shared" si="374"/>
        <v>7.149</v>
      </c>
      <c r="AV182" s="180">
        <f t="shared" si="302"/>
        <v>7.3090000000000002</v>
      </c>
      <c r="AW182" s="433">
        <f t="shared" si="303"/>
        <v>1.0441428571428573</v>
      </c>
      <c r="AX182" s="126">
        <f t="shared" si="326"/>
        <v>0.94711729242979259</v>
      </c>
      <c r="AY182" s="130" t="s">
        <v>405</v>
      </c>
      <c r="AZ182" s="128" t="s">
        <v>260</v>
      </c>
      <c r="BB182" s="176">
        <f t="shared" si="338"/>
        <v>4.2206652960329443</v>
      </c>
      <c r="BC182" s="176">
        <f t="shared" si="339"/>
        <v>2.5323991776197663</v>
      </c>
      <c r="BD182" s="176">
        <f t="shared" si="340"/>
        <v>2.1103326480164721</v>
      </c>
      <c r="BE182" s="176">
        <f t="shared" si="341"/>
        <v>1.6882661184131778</v>
      </c>
    </row>
    <row r="183" spans="1:57" s="129" customFormat="1" hidden="1">
      <c r="A183" s="90" t="s">
        <v>1302</v>
      </c>
      <c r="B183" s="88" t="s">
        <v>1317</v>
      </c>
      <c r="C183" s="88" t="s">
        <v>1317</v>
      </c>
      <c r="D183" s="90" t="s">
        <v>55</v>
      </c>
      <c r="E183" s="90" t="s">
        <v>395</v>
      </c>
      <c r="F183" s="90" t="s">
        <v>396</v>
      </c>
      <c r="G183" s="131" t="s">
        <v>397</v>
      </c>
      <c r="H183" s="92">
        <v>26</v>
      </c>
      <c r="I183" s="167" t="s">
        <v>418</v>
      </c>
      <c r="J183" s="167" t="str">
        <f>_xlfn.XLOOKUP(I183,[1]Sheet1!$A:$A,[1]Sheet1!$B:$B,"")</f>
        <v>U0401007</v>
      </c>
      <c r="K183" s="90" t="s">
        <v>419</v>
      </c>
      <c r="L183" s="90" t="s">
        <v>420</v>
      </c>
      <c r="M183" s="92"/>
      <c r="N183" s="89" t="s">
        <v>60</v>
      </c>
      <c r="O183" s="92"/>
      <c r="P183" s="88" t="s">
        <v>1446</v>
      </c>
      <c r="Q183" s="92" t="s">
        <v>402</v>
      </c>
      <c r="R183" s="92">
        <v>960</v>
      </c>
      <c r="S183" s="123" t="e">
        <v>#N/A</v>
      </c>
      <c r="T183" s="131" t="s">
        <v>403</v>
      </c>
      <c r="U183" s="155">
        <v>0</v>
      </c>
      <c r="V183" s="207">
        <v>50</v>
      </c>
      <c r="W183" s="207">
        <v>45</v>
      </c>
      <c r="X183" s="207">
        <v>55</v>
      </c>
      <c r="Y183" s="207" t="s">
        <v>64</v>
      </c>
      <c r="Z183" s="133">
        <f t="shared" si="273"/>
        <v>2.1395211930926217</v>
      </c>
      <c r="AA183" s="133"/>
      <c r="AB183" s="175">
        <f t="shared" si="304"/>
        <v>1.9016089098809688</v>
      </c>
      <c r="AC183" s="175"/>
      <c r="AD183" s="213">
        <f t="shared" si="305"/>
        <v>0.1</v>
      </c>
      <c r="AE183" s="213">
        <v>0.1</v>
      </c>
      <c r="AF183" s="215">
        <v>0.252</v>
      </c>
      <c r="AG183" s="215" t="s">
        <v>9</v>
      </c>
      <c r="AH183" s="148">
        <f t="shared" si="330"/>
        <v>1.9016089098809688</v>
      </c>
      <c r="AI183" s="122">
        <f t="shared" si="307"/>
        <v>0.252</v>
      </c>
      <c r="AJ183" s="444"/>
      <c r="AK183" s="177">
        <f t="shared" si="308"/>
        <v>1.7306349206349205</v>
      </c>
      <c r="AL183" s="178">
        <f t="shared" si="309"/>
        <v>1.5804482939899607</v>
      </c>
      <c r="AM183" s="125">
        <f t="shared" si="310"/>
        <v>0.19111111111111112</v>
      </c>
      <c r="AN183" s="125">
        <f t="shared" si="373"/>
        <v>0.16888888888888887</v>
      </c>
      <c r="AO183" s="140"/>
      <c r="AP183" s="17" t="s">
        <v>1225</v>
      </c>
      <c r="AQ183" s="179">
        <v>8.8999999999999996E-2</v>
      </c>
      <c r="AR183" s="179">
        <v>9.3190000000000008</v>
      </c>
      <c r="AS183" s="162"/>
      <c r="AT183" s="179">
        <v>0.16</v>
      </c>
      <c r="AU183" s="180">
        <f t="shared" si="374"/>
        <v>10.743</v>
      </c>
      <c r="AV183" s="180">
        <f t="shared" si="302"/>
        <v>10.903</v>
      </c>
      <c r="AW183" s="433">
        <f t="shared" si="303"/>
        <v>1.5575714285714286</v>
      </c>
      <c r="AX183" s="126">
        <f t="shared" ref="AX183:AX262" si="375">(AW183/$F$6)+(($F$9+$G$9)/40/R183)+AW183*U183</f>
        <v>1.4224034645909647</v>
      </c>
      <c r="AY183" s="130" t="s">
        <v>405</v>
      </c>
      <c r="AZ183" s="128" t="s">
        <v>260</v>
      </c>
      <c r="BB183" s="176">
        <f t="shared" si="338"/>
        <v>6.3386963662698959</v>
      </c>
      <c r="BC183" s="176">
        <f t="shared" si="339"/>
        <v>3.8032178197619375</v>
      </c>
      <c r="BD183" s="176">
        <f t="shared" si="340"/>
        <v>3.1693481831349479</v>
      </c>
      <c r="BE183" s="176">
        <f t="shared" si="341"/>
        <v>2.5354785465079583</v>
      </c>
    </row>
    <row r="184" spans="1:57" s="129" customFormat="1" hidden="1">
      <c r="A184" s="90" t="s">
        <v>1302</v>
      </c>
      <c r="B184" s="88" t="s">
        <v>1317</v>
      </c>
      <c r="C184" s="88" t="s">
        <v>1317</v>
      </c>
      <c r="D184" s="90" t="s">
        <v>55</v>
      </c>
      <c r="E184" s="90" t="s">
        <v>395</v>
      </c>
      <c r="F184" s="90" t="s">
        <v>396</v>
      </c>
      <c r="G184" s="131" t="s">
        <v>397</v>
      </c>
      <c r="H184" s="92">
        <v>26</v>
      </c>
      <c r="I184" s="167" t="s">
        <v>421</v>
      </c>
      <c r="J184" s="167" t="str">
        <f>_xlfn.XLOOKUP(I184,[1]Sheet1!$A:$A,[1]Sheet1!$B:$B,"")</f>
        <v>U0401003</v>
      </c>
      <c r="K184" s="90" t="s">
        <v>422</v>
      </c>
      <c r="L184" s="90" t="s">
        <v>423</v>
      </c>
      <c r="M184" s="92"/>
      <c r="N184" s="89" t="s">
        <v>60</v>
      </c>
      <c r="O184" s="92"/>
      <c r="P184" s="88" t="s">
        <v>1446</v>
      </c>
      <c r="Q184" s="92" t="s">
        <v>402</v>
      </c>
      <c r="R184" s="92">
        <v>640</v>
      </c>
      <c r="S184" s="123" t="e">
        <v>#N/A</v>
      </c>
      <c r="T184" s="131" t="s">
        <v>403</v>
      </c>
      <c r="U184" s="155">
        <v>0</v>
      </c>
      <c r="V184" s="207">
        <v>50</v>
      </c>
      <c r="W184" s="207">
        <v>45</v>
      </c>
      <c r="X184" s="207">
        <v>55</v>
      </c>
      <c r="Y184" s="207" t="s">
        <v>64</v>
      </c>
      <c r="Z184" s="133">
        <f t="shared" si="273"/>
        <v>3.8137755102040813</v>
      </c>
      <c r="AA184" s="133"/>
      <c r="AB184" s="175">
        <f t="shared" si="304"/>
        <v>3.3552601911976914</v>
      </c>
      <c r="AC184" s="175"/>
      <c r="AD184" s="213">
        <f t="shared" si="305"/>
        <v>0.1</v>
      </c>
      <c r="AE184" s="213">
        <v>0.1</v>
      </c>
      <c r="AF184" s="215">
        <v>0.252</v>
      </c>
      <c r="AG184" s="215" t="s">
        <v>9</v>
      </c>
      <c r="AH184" s="148">
        <f t="shared" si="330"/>
        <v>3.3552601911976914</v>
      </c>
      <c r="AI184" s="122">
        <f t="shared" si="307"/>
        <v>0.252</v>
      </c>
      <c r="AJ184" s="444"/>
      <c r="AK184" s="177">
        <f t="shared" si="308"/>
        <v>3.0849206349206346</v>
      </c>
      <c r="AL184" s="178">
        <f t="shared" si="309"/>
        <v>2.7885940255731922</v>
      </c>
      <c r="AM184" s="125">
        <f t="shared" si="310"/>
        <v>0.19111111111111112</v>
      </c>
      <c r="AN184" s="125">
        <f t="shared" si="373"/>
        <v>0.16888888888888898</v>
      </c>
      <c r="AO184" s="140"/>
      <c r="AP184" s="17" t="s">
        <v>1225</v>
      </c>
      <c r="AQ184" s="179">
        <v>0.17799999999999999</v>
      </c>
      <c r="AR184" s="179">
        <v>16.427</v>
      </c>
      <c r="AS184" s="162"/>
      <c r="AT184" s="179">
        <v>0.16</v>
      </c>
      <c r="AU184" s="180">
        <f t="shared" si="374"/>
        <v>19.274999999999999</v>
      </c>
      <c r="AV184" s="180">
        <f t="shared" si="302"/>
        <v>19.434999999999999</v>
      </c>
      <c r="AW184" s="433">
        <f t="shared" si="303"/>
        <v>2.7764285714285712</v>
      </c>
      <c r="AX184" s="126">
        <f t="shared" si="375"/>
        <v>2.509734623015873</v>
      </c>
      <c r="AY184" s="130" t="s">
        <v>405</v>
      </c>
      <c r="AZ184" s="128" t="s">
        <v>260</v>
      </c>
      <c r="BB184" s="176">
        <f t="shared" si="338"/>
        <v>11.184200637325638</v>
      </c>
      <c r="BC184" s="176">
        <f t="shared" si="339"/>
        <v>6.7105203823953827</v>
      </c>
      <c r="BD184" s="176">
        <f t="shared" si="340"/>
        <v>5.5921003186628191</v>
      </c>
      <c r="BE184" s="176">
        <f t="shared" si="341"/>
        <v>4.4736802549302555</v>
      </c>
    </row>
    <row r="185" spans="1:57" s="129" customFormat="1" hidden="1">
      <c r="A185" s="90" t="s">
        <v>1302</v>
      </c>
      <c r="B185" s="88" t="s">
        <v>1317</v>
      </c>
      <c r="C185" s="88" t="s">
        <v>1317</v>
      </c>
      <c r="D185" s="90" t="s">
        <v>55</v>
      </c>
      <c r="E185" s="90" t="s">
        <v>395</v>
      </c>
      <c r="F185" s="90" t="s">
        <v>424</v>
      </c>
      <c r="G185" s="131" t="s">
        <v>266</v>
      </c>
      <c r="H185" s="92">
        <v>24</v>
      </c>
      <c r="I185" s="167" t="s">
        <v>425</v>
      </c>
      <c r="J185" s="167" t="str">
        <f>_xlfn.XLOOKUP(I185,[1]Sheet1!$A:$A,[1]Sheet1!$B:$B,"")</f>
        <v>U0402001</v>
      </c>
      <c r="K185" s="90" t="s">
        <v>426</v>
      </c>
      <c r="L185" s="90" t="s">
        <v>427</v>
      </c>
      <c r="M185" s="92"/>
      <c r="N185" s="89" t="s">
        <v>60</v>
      </c>
      <c r="O185" s="92"/>
      <c r="P185" s="88" t="s">
        <v>1446</v>
      </c>
      <c r="Q185" s="92" t="s">
        <v>402</v>
      </c>
      <c r="R185" s="92">
        <v>4800</v>
      </c>
      <c r="S185" s="123" t="e">
        <v>#N/A</v>
      </c>
      <c r="T185" s="131" t="s">
        <v>403</v>
      </c>
      <c r="U185" s="155">
        <v>0</v>
      </c>
      <c r="V185" s="207">
        <v>50</v>
      </c>
      <c r="W185" s="207">
        <v>45</v>
      </c>
      <c r="X185" s="207">
        <v>55</v>
      </c>
      <c r="Y185" s="207" t="s">
        <v>64</v>
      </c>
      <c r="Z185" s="133">
        <f t="shared" si="273"/>
        <v>0.42150706436420726</v>
      </c>
      <c r="AA185" s="133"/>
      <c r="AB185" s="175">
        <f t="shared" si="304"/>
        <v>0.3750003060664826</v>
      </c>
      <c r="AC185" s="175"/>
      <c r="AD185" s="213">
        <f t="shared" si="305"/>
        <v>0.1</v>
      </c>
      <c r="AE185" s="213">
        <v>0.1</v>
      </c>
      <c r="AF185" s="215">
        <v>0.252</v>
      </c>
      <c r="AG185" s="215" t="s">
        <v>9</v>
      </c>
      <c r="AH185" s="148">
        <f t="shared" si="330"/>
        <v>0.3750003060664826</v>
      </c>
      <c r="AI185" s="122">
        <f t="shared" si="307"/>
        <v>0.252</v>
      </c>
      <c r="AJ185" s="444"/>
      <c r="AK185" s="177">
        <f t="shared" si="308"/>
        <v>0.34095238095238095</v>
      </c>
      <c r="AL185" s="178">
        <f t="shared" si="309"/>
        <v>0.31166692104192106</v>
      </c>
      <c r="AM185" s="125">
        <f t="shared" si="310"/>
        <v>0.19111111111111123</v>
      </c>
      <c r="AN185" s="125">
        <f t="shared" si="373"/>
        <v>0.16888888888888898</v>
      </c>
      <c r="AO185" s="140"/>
      <c r="AP185" s="17" t="s">
        <v>1225</v>
      </c>
      <c r="AQ185" s="179">
        <v>6.0000000000000001E-3</v>
      </c>
      <c r="AR185" s="179">
        <v>1.8919999999999999</v>
      </c>
      <c r="AS185" s="162"/>
      <c r="AT185" s="179">
        <v>0.16</v>
      </c>
      <c r="AU185" s="180">
        <f t="shared" si="374"/>
        <v>1.988</v>
      </c>
      <c r="AV185" s="180">
        <f t="shared" si="302"/>
        <v>2.1480000000000001</v>
      </c>
      <c r="AW185" s="433">
        <f t="shared" si="303"/>
        <v>0.30685714285714288</v>
      </c>
      <c r="AX185" s="126">
        <f t="shared" si="375"/>
        <v>0.28050022893772897</v>
      </c>
      <c r="AY185" s="130" t="s">
        <v>428</v>
      </c>
      <c r="AZ185" s="128" t="s">
        <v>260</v>
      </c>
      <c r="BB185" s="176">
        <f t="shared" si="338"/>
        <v>1.2500010202216087</v>
      </c>
      <c r="BC185" s="176">
        <f t="shared" si="339"/>
        <v>0.75000061213296521</v>
      </c>
      <c r="BD185" s="176">
        <f t="shared" si="340"/>
        <v>0.62500051011080437</v>
      </c>
      <c r="BE185" s="176">
        <f t="shared" si="341"/>
        <v>0.50000040808864354</v>
      </c>
    </row>
    <row r="186" spans="1:57" s="129" customFormat="1" hidden="1">
      <c r="A186" s="90" t="s">
        <v>1302</v>
      </c>
      <c r="B186" s="88" t="s">
        <v>1317</v>
      </c>
      <c r="C186" s="88" t="s">
        <v>1317</v>
      </c>
      <c r="D186" s="90" t="s">
        <v>55</v>
      </c>
      <c r="E186" s="90" t="s">
        <v>395</v>
      </c>
      <c r="F186" s="90" t="s">
        <v>424</v>
      </c>
      <c r="G186" s="131" t="s">
        <v>266</v>
      </c>
      <c r="H186" s="92">
        <v>24</v>
      </c>
      <c r="I186" s="167" t="s">
        <v>429</v>
      </c>
      <c r="J186" s="167" t="str">
        <f>_xlfn.XLOOKUP(I186,[1]Sheet1!$A:$A,[1]Sheet1!$B:$B,"")</f>
        <v>U0402002</v>
      </c>
      <c r="K186" s="90" t="s">
        <v>430</v>
      </c>
      <c r="L186" s="90" t="s">
        <v>431</v>
      </c>
      <c r="M186" s="92"/>
      <c r="N186" s="89" t="s">
        <v>60</v>
      </c>
      <c r="O186" s="92"/>
      <c r="P186" s="88" t="s">
        <v>1446</v>
      </c>
      <c r="Q186" s="92" t="s">
        <v>402</v>
      </c>
      <c r="R186" s="92">
        <v>4800</v>
      </c>
      <c r="S186" s="123" t="e">
        <v>#N/A</v>
      </c>
      <c r="T186" s="131" t="s">
        <v>403</v>
      </c>
      <c r="U186" s="155">
        <v>0</v>
      </c>
      <c r="V186" s="207">
        <v>50</v>
      </c>
      <c r="W186" s="207">
        <v>45</v>
      </c>
      <c r="X186" s="207">
        <v>55</v>
      </c>
      <c r="Y186" s="207" t="s">
        <v>64</v>
      </c>
      <c r="Z186" s="133">
        <f t="shared" si="273"/>
        <v>0.48233908948194665</v>
      </c>
      <c r="AA186" s="133"/>
      <c r="AB186" s="175">
        <f t="shared" si="304"/>
        <v>0.42560329784594497</v>
      </c>
      <c r="AC186" s="175"/>
      <c r="AD186" s="213">
        <f t="shared" si="305"/>
        <v>0.1</v>
      </c>
      <c r="AE186" s="213">
        <v>0.1</v>
      </c>
      <c r="AF186" s="215">
        <v>0.252</v>
      </c>
      <c r="AG186" s="215" t="s">
        <v>9</v>
      </c>
      <c r="AH186" s="148">
        <f t="shared" si="330"/>
        <v>0.42560329784594497</v>
      </c>
      <c r="AI186" s="122">
        <f t="shared" si="307"/>
        <v>0.252</v>
      </c>
      <c r="AJ186" s="444"/>
      <c r="AK186" s="177">
        <f t="shared" si="308"/>
        <v>0.39015873015873015</v>
      </c>
      <c r="AL186" s="178">
        <f t="shared" si="309"/>
        <v>0.35372362976529648</v>
      </c>
      <c r="AM186" s="125">
        <f t="shared" si="310"/>
        <v>0.19111111111111112</v>
      </c>
      <c r="AN186" s="125">
        <f t="shared" si="373"/>
        <v>0.16888888888888887</v>
      </c>
      <c r="AO186" s="140"/>
      <c r="AP186" s="17" t="s">
        <v>1225</v>
      </c>
      <c r="AQ186" s="179">
        <v>8.9999999999999993E-3</v>
      </c>
      <c r="AR186" s="179">
        <v>2.1539999999999999</v>
      </c>
      <c r="AS186" s="162"/>
      <c r="AT186" s="179">
        <v>0.16</v>
      </c>
      <c r="AU186" s="180">
        <f t="shared" si="374"/>
        <v>2.298</v>
      </c>
      <c r="AV186" s="180">
        <f t="shared" si="302"/>
        <v>2.4580000000000002</v>
      </c>
      <c r="AW186" s="433">
        <f t="shared" si="303"/>
        <v>0.35114285714285715</v>
      </c>
      <c r="AX186" s="126">
        <f t="shared" si="375"/>
        <v>0.31835126678876685</v>
      </c>
      <c r="AY186" s="130" t="s">
        <v>428</v>
      </c>
      <c r="AZ186" s="128" t="s">
        <v>260</v>
      </c>
      <c r="BB186" s="176">
        <f t="shared" si="338"/>
        <v>1.4186776594864834</v>
      </c>
      <c r="BC186" s="176">
        <f t="shared" si="339"/>
        <v>0.85120659569189006</v>
      </c>
      <c r="BD186" s="176">
        <f t="shared" si="340"/>
        <v>0.70933882974324169</v>
      </c>
      <c r="BE186" s="176">
        <f t="shared" si="341"/>
        <v>0.56747106379459333</v>
      </c>
    </row>
    <row r="187" spans="1:57" s="129" customFormat="1" hidden="1">
      <c r="A187" s="90" t="s">
        <v>1302</v>
      </c>
      <c r="B187" s="88" t="s">
        <v>1317</v>
      </c>
      <c r="C187" s="88" t="s">
        <v>1317</v>
      </c>
      <c r="D187" s="90" t="s">
        <v>55</v>
      </c>
      <c r="E187" s="90" t="s">
        <v>395</v>
      </c>
      <c r="F187" s="90" t="s">
        <v>424</v>
      </c>
      <c r="G187" s="131" t="s">
        <v>266</v>
      </c>
      <c r="H187" s="92">
        <v>24</v>
      </c>
      <c r="I187" s="167" t="s">
        <v>432</v>
      </c>
      <c r="J187" s="167" t="str">
        <f>_xlfn.XLOOKUP(I187,[1]Sheet1!$A:$A,[1]Sheet1!$B:$B,"")</f>
        <v>U0402004</v>
      </c>
      <c r="K187" s="90" t="s">
        <v>433</v>
      </c>
      <c r="L187" s="90" t="s">
        <v>434</v>
      </c>
      <c r="M187" s="92"/>
      <c r="N187" s="89" t="s">
        <v>60</v>
      </c>
      <c r="O187" s="92"/>
      <c r="P187" s="88" t="s">
        <v>1446</v>
      </c>
      <c r="Q187" s="92" t="s">
        <v>402</v>
      </c>
      <c r="R187" s="92">
        <v>3200</v>
      </c>
      <c r="S187" s="123" t="e">
        <v>#N/A</v>
      </c>
      <c r="T187" s="131" t="s">
        <v>403</v>
      </c>
      <c r="U187" s="155">
        <v>0</v>
      </c>
      <c r="V187" s="207">
        <v>50</v>
      </c>
      <c r="W187" s="207">
        <v>45</v>
      </c>
      <c r="X187" s="207">
        <v>55</v>
      </c>
      <c r="Y187" s="207" t="s">
        <v>64</v>
      </c>
      <c r="Z187" s="133">
        <f t="shared" si="273"/>
        <v>0.63598901098901106</v>
      </c>
      <c r="AA187" s="133"/>
      <c r="AB187" s="175">
        <f t="shared" si="304"/>
        <v>0.56560193278943283</v>
      </c>
      <c r="AC187" s="175"/>
      <c r="AD187" s="213">
        <f t="shared" si="305"/>
        <v>0.1</v>
      </c>
      <c r="AE187" s="213">
        <v>0.1</v>
      </c>
      <c r="AF187" s="215">
        <v>0.252</v>
      </c>
      <c r="AG187" s="215" t="s">
        <v>9</v>
      </c>
      <c r="AH187" s="148">
        <f t="shared" si="330"/>
        <v>0.56560193278943283</v>
      </c>
      <c r="AI187" s="122">
        <f t="shared" si="307"/>
        <v>0.252</v>
      </c>
      <c r="AJ187" s="444"/>
      <c r="AK187" s="177">
        <f t="shared" si="308"/>
        <v>0.51444444444444448</v>
      </c>
      <c r="AL187" s="178">
        <f t="shared" si="309"/>
        <v>0.47007805080721748</v>
      </c>
      <c r="AM187" s="125">
        <f t="shared" si="310"/>
        <v>0.19111111111111112</v>
      </c>
      <c r="AN187" s="125">
        <f t="shared" si="373"/>
        <v>0.16888888888888898</v>
      </c>
      <c r="AO187" s="140"/>
      <c r="AP187" s="17" t="s">
        <v>1225</v>
      </c>
      <c r="AQ187" s="179">
        <v>1.7999999999999999E-2</v>
      </c>
      <c r="AR187" s="179">
        <v>2.7930000000000001</v>
      </c>
      <c r="AS187" s="162"/>
      <c r="AT187" s="179">
        <v>0.16</v>
      </c>
      <c r="AU187" s="180">
        <f t="shared" si="374"/>
        <v>3.081</v>
      </c>
      <c r="AV187" s="180">
        <f t="shared" si="302"/>
        <v>3.2410000000000001</v>
      </c>
      <c r="AW187" s="433">
        <f t="shared" si="303"/>
        <v>0.46300000000000002</v>
      </c>
      <c r="AX187" s="126">
        <f t="shared" si="375"/>
        <v>0.42307024572649576</v>
      </c>
      <c r="AY187" s="130" t="s">
        <v>428</v>
      </c>
      <c r="AZ187" s="128" t="s">
        <v>260</v>
      </c>
      <c r="BB187" s="176">
        <f t="shared" si="338"/>
        <v>1.8853397759647761</v>
      </c>
      <c r="BC187" s="176">
        <f t="shared" si="339"/>
        <v>1.1312038655788657</v>
      </c>
      <c r="BD187" s="176">
        <f t="shared" si="340"/>
        <v>0.94266988798238804</v>
      </c>
      <c r="BE187" s="176">
        <f t="shared" si="341"/>
        <v>0.75413591038591044</v>
      </c>
    </row>
    <row r="188" spans="1:57" s="129" customFormat="1" hidden="1">
      <c r="A188" s="90" t="s">
        <v>1302</v>
      </c>
      <c r="B188" s="88" t="s">
        <v>1317</v>
      </c>
      <c r="C188" s="88" t="s">
        <v>1317</v>
      </c>
      <c r="D188" s="90" t="s">
        <v>55</v>
      </c>
      <c r="E188" s="90" t="s">
        <v>395</v>
      </c>
      <c r="F188" s="90" t="s">
        <v>424</v>
      </c>
      <c r="G188" s="131" t="s">
        <v>266</v>
      </c>
      <c r="H188" s="92">
        <v>24</v>
      </c>
      <c r="I188" s="167" t="s">
        <v>435</v>
      </c>
      <c r="J188" s="167" t="str">
        <f>_xlfn.XLOOKUP(I188,[1]Sheet1!$A:$A,[1]Sheet1!$B:$B,"")</f>
        <v>U0402005</v>
      </c>
      <c r="K188" s="90" t="s">
        <v>436</v>
      </c>
      <c r="L188" s="90" t="s">
        <v>437</v>
      </c>
      <c r="M188" s="92"/>
      <c r="N188" s="89" t="s">
        <v>60</v>
      </c>
      <c r="O188" s="92"/>
      <c r="P188" s="88" t="s">
        <v>1446</v>
      </c>
      <c r="Q188" s="92" t="s">
        <v>402</v>
      </c>
      <c r="R188" s="92">
        <v>2240</v>
      </c>
      <c r="S188" s="123" t="e">
        <v>#N/A</v>
      </c>
      <c r="T188" s="131" t="s">
        <v>403</v>
      </c>
      <c r="U188" s="155">
        <v>0</v>
      </c>
      <c r="V188" s="207">
        <v>50</v>
      </c>
      <c r="W188" s="207">
        <v>45</v>
      </c>
      <c r="X188" s="207">
        <v>55</v>
      </c>
      <c r="Y188" s="207" t="s">
        <v>64</v>
      </c>
      <c r="Z188" s="133">
        <f t="shared" si="273"/>
        <v>0.9328885400313971</v>
      </c>
      <c r="AA188" s="133"/>
      <c r="AB188" s="175">
        <f t="shared" si="304"/>
        <v>0.82824395783954596</v>
      </c>
      <c r="AC188" s="175"/>
      <c r="AD188" s="213">
        <f t="shared" si="305"/>
        <v>0.1</v>
      </c>
      <c r="AE188" s="213">
        <v>0.1</v>
      </c>
      <c r="AF188" s="215">
        <v>0.252</v>
      </c>
      <c r="AG188" s="215" t="s">
        <v>9</v>
      </c>
      <c r="AH188" s="148">
        <f t="shared" si="330"/>
        <v>0.82824395783954596</v>
      </c>
      <c r="AI188" s="122">
        <f t="shared" si="307"/>
        <v>0.252</v>
      </c>
      <c r="AJ188" s="444"/>
      <c r="AK188" s="177">
        <f t="shared" si="308"/>
        <v>0.7546031746031745</v>
      </c>
      <c r="AL188" s="178">
        <f t="shared" si="309"/>
        <v>0.68836275607108932</v>
      </c>
      <c r="AM188" s="125">
        <f t="shared" si="310"/>
        <v>0.19111111111111112</v>
      </c>
      <c r="AN188" s="125">
        <f t="shared" si="373"/>
        <v>0.16888888888888887</v>
      </c>
      <c r="AO188" s="140"/>
      <c r="AP188" s="17" t="s">
        <v>1225</v>
      </c>
      <c r="AQ188" s="179">
        <v>3.5000000000000003E-2</v>
      </c>
      <c r="AR188" s="179">
        <v>4.0339999999999998</v>
      </c>
      <c r="AS188" s="162"/>
      <c r="AT188" s="179">
        <v>0.16</v>
      </c>
      <c r="AU188" s="180">
        <f t="shared" si="374"/>
        <v>4.5939999999999994</v>
      </c>
      <c r="AV188" s="180">
        <f t="shared" si="302"/>
        <v>4.7539999999999996</v>
      </c>
      <c r="AW188" s="433">
        <f t="shared" si="303"/>
        <v>0.67914285714285705</v>
      </c>
      <c r="AX188" s="126">
        <f t="shared" si="375"/>
        <v>0.6195264804639804</v>
      </c>
      <c r="AY188" s="130" t="s">
        <v>428</v>
      </c>
      <c r="AZ188" s="128" t="s">
        <v>260</v>
      </c>
      <c r="BB188" s="176">
        <f t="shared" si="338"/>
        <v>2.7608131927984867</v>
      </c>
      <c r="BC188" s="176">
        <f t="shared" si="339"/>
        <v>1.6564879156790919</v>
      </c>
      <c r="BD188" s="176">
        <f t="shared" si="340"/>
        <v>1.3804065963992433</v>
      </c>
      <c r="BE188" s="176">
        <f t="shared" si="341"/>
        <v>1.1043252771193948</v>
      </c>
    </row>
    <row r="189" spans="1:57" s="129" customFormat="1" hidden="1">
      <c r="A189" s="90" t="s">
        <v>1302</v>
      </c>
      <c r="B189" s="88" t="s">
        <v>1317</v>
      </c>
      <c r="C189" s="88" t="s">
        <v>1317</v>
      </c>
      <c r="D189" s="90" t="s">
        <v>55</v>
      </c>
      <c r="E189" s="90" t="s">
        <v>395</v>
      </c>
      <c r="F189" s="90" t="s">
        <v>424</v>
      </c>
      <c r="G189" s="131" t="s">
        <v>266</v>
      </c>
      <c r="H189" s="92">
        <v>24</v>
      </c>
      <c r="I189" s="167" t="s">
        <v>438</v>
      </c>
      <c r="J189" s="167" t="str">
        <f>_xlfn.XLOOKUP(I189,[1]Sheet1!$A:$A,[1]Sheet1!$B:$B,"")</f>
        <v>U0402006</v>
      </c>
      <c r="K189" s="90" t="s">
        <v>439</v>
      </c>
      <c r="L189" s="90" t="s">
        <v>440</v>
      </c>
      <c r="M189" s="92"/>
      <c r="N189" s="89" t="s">
        <v>60</v>
      </c>
      <c r="O189" s="92"/>
      <c r="P189" s="88" t="s">
        <v>1446</v>
      </c>
      <c r="Q189" s="92" t="s">
        <v>402</v>
      </c>
      <c r="R189" s="92">
        <v>1600</v>
      </c>
      <c r="S189" s="123" t="e">
        <v>#N/A</v>
      </c>
      <c r="T189" s="131" t="s">
        <v>403</v>
      </c>
      <c r="U189" s="155">
        <v>0</v>
      </c>
      <c r="V189" s="207">
        <v>50</v>
      </c>
      <c r="W189" s="207">
        <v>45</v>
      </c>
      <c r="X189" s="207">
        <v>55</v>
      </c>
      <c r="Y189" s="207" t="s">
        <v>64</v>
      </c>
      <c r="Z189" s="133">
        <f t="shared" si="273"/>
        <v>1.239403453689168</v>
      </c>
      <c r="AA189" s="133"/>
      <c r="AB189" s="175">
        <f t="shared" si="304"/>
        <v>1.1041067796582502</v>
      </c>
      <c r="AC189" s="175"/>
      <c r="AD189" s="213">
        <f t="shared" si="305"/>
        <v>0.1</v>
      </c>
      <c r="AE189" s="213">
        <v>0.1</v>
      </c>
      <c r="AF189" s="215">
        <v>0.252</v>
      </c>
      <c r="AG189" s="215" t="s">
        <v>9</v>
      </c>
      <c r="AH189" s="148">
        <f t="shared" si="330"/>
        <v>1.1041067796582502</v>
      </c>
      <c r="AI189" s="122">
        <f t="shared" si="307"/>
        <v>0.25199999999999989</v>
      </c>
      <c r="AJ189" s="444"/>
      <c r="AK189" s="177">
        <f t="shared" si="308"/>
        <v>1.0025396825396824</v>
      </c>
      <c r="AL189" s="178">
        <f t="shared" si="309"/>
        <v>0.91763541242707913</v>
      </c>
      <c r="AM189" s="125">
        <f t="shared" si="310"/>
        <v>0.19111111111111123</v>
      </c>
      <c r="AN189" s="125">
        <f t="shared" si="373"/>
        <v>0.16888888888888887</v>
      </c>
      <c r="AO189" s="140"/>
      <c r="AP189" s="17" t="s">
        <v>1225</v>
      </c>
      <c r="AQ189" s="179">
        <v>5.2999999999999999E-2</v>
      </c>
      <c r="AR189" s="179">
        <v>5.3079999999999998</v>
      </c>
      <c r="AS189" s="162"/>
      <c r="AT189" s="179">
        <v>0.16</v>
      </c>
      <c r="AU189" s="180">
        <f t="shared" si="374"/>
        <v>6.1559999999999997</v>
      </c>
      <c r="AV189" s="180">
        <f t="shared" si="302"/>
        <v>6.3159999999999998</v>
      </c>
      <c r="AW189" s="433">
        <f t="shared" si="303"/>
        <v>0.90228571428571425</v>
      </c>
      <c r="AX189" s="126">
        <f t="shared" si="375"/>
        <v>0.82587187118437122</v>
      </c>
      <c r="AY189" s="130" t="s">
        <v>428</v>
      </c>
      <c r="AZ189" s="128" t="s">
        <v>260</v>
      </c>
      <c r="BB189" s="176">
        <f t="shared" si="338"/>
        <v>3.6803559321941677</v>
      </c>
      <c r="BC189" s="176">
        <f t="shared" si="339"/>
        <v>2.2082135593165004</v>
      </c>
      <c r="BD189" s="176">
        <f t="shared" si="340"/>
        <v>1.8401779660970838</v>
      </c>
      <c r="BE189" s="176">
        <f t="shared" si="341"/>
        <v>1.4721423728776672</v>
      </c>
    </row>
    <row r="190" spans="1:57" s="129" customFormat="1" hidden="1">
      <c r="A190" s="90" t="s">
        <v>1302</v>
      </c>
      <c r="B190" s="88" t="s">
        <v>1317</v>
      </c>
      <c r="C190" s="88" t="s">
        <v>1317</v>
      </c>
      <c r="D190" s="90" t="s">
        <v>55</v>
      </c>
      <c r="E190" s="90" t="s">
        <v>395</v>
      </c>
      <c r="F190" s="90" t="s">
        <v>424</v>
      </c>
      <c r="G190" s="131" t="s">
        <v>266</v>
      </c>
      <c r="H190" s="92">
        <v>24</v>
      </c>
      <c r="I190" s="167" t="s">
        <v>441</v>
      </c>
      <c r="J190" s="167" t="str">
        <f>_xlfn.XLOOKUP(I190,[1]Sheet1!$A:$A,[1]Sheet1!$B:$B,"")</f>
        <v>U0402007</v>
      </c>
      <c r="K190" s="90" t="s">
        <v>442</v>
      </c>
      <c r="L190" s="90" t="s">
        <v>443</v>
      </c>
      <c r="M190" s="92"/>
      <c r="N190" s="89" t="s">
        <v>60</v>
      </c>
      <c r="O190" s="92"/>
      <c r="P190" s="88" t="s">
        <v>1446</v>
      </c>
      <c r="Q190" s="92" t="s">
        <v>402</v>
      </c>
      <c r="R190" s="92">
        <v>960</v>
      </c>
      <c r="S190" s="123" t="e">
        <v>#N/A</v>
      </c>
      <c r="T190" s="131" t="s">
        <v>403</v>
      </c>
      <c r="U190" s="155">
        <v>0</v>
      </c>
      <c r="V190" s="207">
        <v>50</v>
      </c>
      <c r="W190" s="207">
        <v>45</v>
      </c>
      <c r="X190" s="207">
        <v>55</v>
      </c>
      <c r="Y190" s="207" t="s">
        <v>64</v>
      </c>
      <c r="Z190" s="133">
        <f t="shared" si="273"/>
        <v>1.8610675039246467</v>
      </c>
      <c r="AA190" s="133"/>
      <c r="AB190" s="175">
        <f t="shared" si="304"/>
        <v>1.6699777958969133</v>
      </c>
      <c r="AC190" s="175"/>
      <c r="AD190" s="213">
        <f t="shared" si="305"/>
        <v>0.1</v>
      </c>
      <c r="AE190" s="213">
        <v>0.1</v>
      </c>
      <c r="AF190" s="215">
        <v>0.252</v>
      </c>
      <c r="AG190" s="215" t="s">
        <v>9</v>
      </c>
      <c r="AH190" s="148">
        <f t="shared" si="330"/>
        <v>1.6699777958969133</v>
      </c>
      <c r="AI190" s="122">
        <f t="shared" si="307"/>
        <v>0.252</v>
      </c>
      <c r="AJ190" s="444"/>
      <c r="AK190" s="177">
        <f t="shared" si="308"/>
        <v>1.5053968253968253</v>
      </c>
      <c r="AL190" s="178">
        <f t="shared" si="309"/>
        <v>1.3879371014787678</v>
      </c>
      <c r="AM190" s="125">
        <f t="shared" si="310"/>
        <v>0.19111111111111112</v>
      </c>
      <c r="AN190" s="125">
        <f t="shared" si="373"/>
        <v>0.16888888888888898</v>
      </c>
      <c r="AO190" s="140"/>
      <c r="AP190" s="17" t="s">
        <v>1225</v>
      </c>
      <c r="AQ190" s="179">
        <v>8.7999999999999995E-2</v>
      </c>
      <c r="AR190" s="179">
        <v>7.9160000000000004</v>
      </c>
      <c r="AS190" s="162"/>
      <c r="AT190" s="179">
        <v>0.16</v>
      </c>
      <c r="AU190" s="180">
        <f t="shared" si="374"/>
        <v>9.3239999999999998</v>
      </c>
      <c r="AV190" s="180">
        <f t="shared" si="302"/>
        <v>9.484</v>
      </c>
      <c r="AW190" s="433">
        <f t="shared" si="303"/>
        <v>1.3548571428571428</v>
      </c>
      <c r="AX190" s="126">
        <f t="shared" si="375"/>
        <v>1.2491433913308911</v>
      </c>
      <c r="AY190" s="130" t="s">
        <v>428</v>
      </c>
      <c r="AZ190" s="128" t="s">
        <v>260</v>
      </c>
      <c r="BB190" s="176">
        <f t="shared" si="338"/>
        <v>5.5665926529897112</v>
      </c>
      <c r="BC190" s="176">
        <f t="shared" si="339"/>
        <v>3.3399555917938266</v>
      </c>
      <c r="BD190" s="176">
        <f t="shared" si="340"/>
        <v>2.7832963264948556</v>
      </c>
      <c r="BE190" s="176">
        <f t="shared" si="341"/>
        <v>2.2266370611958846</v>
      </c>
    </row>
    <row r="191" spans="1:57" s="129" customFormat="1" hidden="1">
      <c r="A191" s="90" t="s">
        <v>1302</v>
      </c>
      <c r="B191" s="88" t="s">
        <v>1317</v>
      </c>
      <c r="C191" s="88" t="s">
        <v>1317</v>
      </c>
      <c r="D191" s="90" t="s">
        <v>55</v>
      </c>
      <c r="E191" s="90" t="s">
        <v>395</v>
      </c>
      <c r="F191" s="90" t="s">
        <v>424</v>
      </c>
      <c r="G191" s="131" t="s">
        <v>266</v>
      </c>
      <c r="H191" s="92">
        <v>24</v>
      </c>
      <c r="I191" s="167" t="s">
        <v>444</v>
      </c>
      <c r="J191" s="167" t="str">
        <f>_xlfn.XLOOKUP(I191,[1]Sheet1!$A:$A,[1]Sheet1!$B:$B,"")</f>
        <v>U0402003</v>
      </c>
      <c r="K191" s="90" t="s">
        <v>445</v>
      </c>
      <c r="L191" s="90" t="s">
        <v>446</v>
      </c>
      <c r="M191" s="92"/>
      <c r="N191" s="89" t="s">
        <v>60</v>
      </c>
      <c r="O191" s="92"/>
      <c r="P191" s="88" t="s">
        <v>1446</v>
      </c>
      <c r="Q191" s="92" t="s">
        <v>402</v>
      </c>
      <c r="R191" s="92">
        <v>640</v>
      </c>
      <c r="S191" s="123" t="e">
        <v>#N/A</v>
      </c>
      <c r="T191" s="131" t="s">
        <v>403</v>
      </c>
      <c r="U191" s="155">
        <v>0</v>
      </c>
      <c r="V191" s="207">
        <v>50</v>
      </c>
      <c r="W191" s="207">
        <v>45</v>
      </c>
      <c r="X191" s="207">
        <v>55</v>
      </c>
      <c r="Y191" s="207" t="s">
        <v>64</v>
      </c>
      <c r="Z191" s="133">
        <f t="shared" si="273"/>
        <v>3.3277080062794342</v>
      </c>
      <c r="AA191" s="133"/>
      <c r="AB191" s="175">
        <f t="shared" si="304"/>
        <v>2.9509259633340514</v>
      </c>
      <c r="AC191" s="175"/>
      <c r="AD191" s="213">
        <f t="shared" si="305"/>
        <v>0.1</v>
      </c>
      <c r="AE191" s="213">
        <v>0.1</v>
      </c>
      <c r="AF191" s="215">
        <v>0.252</v>
      </c>
      <c r="AG191" s="215" t="s">
        <v>9</v>
      </c>
      <c r="AH191" s="148">
        <f t="shared" si="330"/>
        <v>2.9509259633340514</v>
      </c>
      <c r="AI191" s="122">
        <f t="shared" si="307"/>
        <v>0.252</v>
      </c>
      <c r="AJ191" s="444"/>
      <c r="AK191" s="177">
        <f t="shared" si="308"/>
        <v>2.6917460317460313</v>
      </c>
      <c r="AL191" s="178">
        <f t="shared" si="309"/>
        <v>2.4525473561931892</v>
      </c>
      <c r="AM191" s="125">
        <f t="shared" si="310"/>
        <v>0.19111111111111112</v>
      </c>
      <c r="AN191" s="125">
        <f t="shared" si="373"/>
        <v>0.16888888888888898</v>
      </c>
      <c r="AO191" s="140"/>
      <c r="AP191" s="17" t="s">
        <v>1225</v>
      </c>
      <c r="AQ191" s="179">
        <v>0.17599999999999999</v>
      </c>
      <c r="AR191" s="179">
        <v>13.981999999999999</v>
      </c>
      <c r="AS191" s="162"/>
      <c r="AT191" s="179">
        <v>0.16</v>
      </c>
      <c r="AU191" s="180">
        <f t="shared" si="374"/>
        <v>16.797999999999998</v>
      </c>
      <c r="AV191" s="180">
        <f t="shared" si="302"/>
        <v>16.957999999999998</v>
      </c>
      <c r="AW191" s="433">
        <f t="shared" si="303"/>
        <v>2.4225714285714282</v>
      </c>
      <c r="AX191" s="126">
        <f t="shared" si="375"/>
        <v>2.2072926205738703</v>
      </c>
      <c r="AY191" s="130" t="s">
        <v>428</v>
      </c>
      <c r="AZ191" s="128" t="s">
        <v>260</v>
      </c>
      <c r="BB191" s="176">
        <f t="shared" si="338"/>
        <v>9.8364198777801715</v>
      </c>
      <c r="BC191" s="176">
        <f t="shared" si="339"/>
        <v>5.9018519266681029</v>
      </c>
      <c r="BD191" s="176">
        <f t="shared" si="340"/>
        <v>4.9182099388900857</v>
      </c>
      <c r="BE191" s="176">
        <f t="shared" si="341"/>
        <v>3.9345679511120686</v>
      </c>
    </row>
    <row r="192" spans="1:57" s="129" customFormat="1" hidden="1">
      <c r="A192" s="88" t="s">
        <v>1302</v>
      </c>
      <c r="B192" s="88" t="s">
        <v>1318</v>
      </c>
      <c r="C192" s="88" t="s">
        <v>1318</v>
      </c>
      <c r="D192" s="88" t="s">
        <v>55</v>
      </c>
      <c r="E192" s="89" t="s">
        <v>395</v>
      </c>
      <c r="F192" s="90" t="s">
        <v>447</v>
      </c>
      <c r="G192" s="131" t="s">
        <v>253</v>
      </c>
      <c r="H192" s="92">
        <v>26</v>
      </c>
      <c r="I192" s="167" t="s">
        <v>448</v>
      </c>
      <c r="J192" s="167" t="str">
        <f>_xlfn.XLOOKUP(I192,[1]Sheet1!$A:$A,[1]Sheet1!$B:$B,"")</f>
        <v>U0403001</v>
      </c>
      <c r="K192" s="90" t="s">
        <v>449</v>
      </c>
      <c r="L192" s="90" t="s">
        <v>450</v>
      </c>
      <c r="M192" s="92"/>
      <c r="N192" s="89" t="s">
        <v>60</v>
      </c>
      <c r="O192" s="92"/>
      <c r="P192" s="88" t="s">
        <v>1446</v>
      </c>
      <c r="Q192" s="92" t="s">
        <v>402</v>
      </c>
      <c r="R192" s="92">
        <v>4800</v>
      </c>
      <c r="S192" s="123" t="s">
        <v>451</v>
      </c>
      <c r="T192" s="131" t="s">
        <v>403</v>
      </c>
      <c r="U192" s="155">
        <v>0</v>
      </c>
      <c r="V192" s="207">
        <v>50</v>
      </c>
      <c r="W192" s="207">
        <v>45</v>
      </c>
      <c r="X192" s="207">
        <v>55</v>
      </c>
      <c r="Y192" s="207" t="s">
        <v>64</v>
      </c>
      <c r="Z192" s="133">
        <f t="shared" si="273"/>
        <v>0.56536907822254867</v>
      </c>
      <c r="AA192" s="133"/>
      <c r="AB192" s="175">
        <f t="shared" si="304"/>
        <v>0.49395418873802338</v>
      </c>
      <c r="AC192" s="175"/>
      <c r="AD192" s="213">
        <f t="shared" si="305"/>
        <v>0.1</v>
      </c>
      <c r="AE192" s="213">
        <v>0.1</v>
      </c>
      <c r="AF192" s="215">
        <v>0.20200000000000001</v>
      </c>
      <c r="AG192" s="215" t="s">
        <v>9</v>
      </c>
      <c r="AH192" s="148">
        <f t="shared" si="330"/>
        <v>0.49395418873802338</v>
      </c>
      <c r="AI192" s="122">
        <f t="shared" si="307"/>
        <v>0.20199999999999996</v>
      </c>
      <c r="AJ192" s="444"/>
      <c r="AK192" s="177">
        <f t="shared" si="308"/>
        <v>0.48873015873015874</v>
      </c>
      <c r="AL192" s="178">
        <f t="shared" si="309"/>
        <v>0.43797271401438076</v>
      </c>
      <c r="AM192" s="125">
        <f t="shared" si="310"/>
        <v>0.13555555555555554</v>
      </c>
      <c r="AN192" s="125">
        <f t="shared" si="373"/>
        <v>0.11333333333333329</v>
      </c>
      <c r="AO192" s="140"/>
      <c r="AP192" s="17" t="s">
        <v>1225</v>
      </c>
      <c r="AQ192" s="179">
        <v>6.0000000000000001E-3</v>
      </c>
      <c r="AR192" s="179">
        <v>2.823</v>
      </c>
      <c r="AS192" s="182"/>
      <c r="AT192" s="179">
        <v>0.16</v>
      </c>
      <c r="AU192" s="180">
        <f t="shared" ref="AU192:AU221" si="376">($F$2-70000)/2000*AQ192+AR192</f>
        <v>2.919</v>
      </c>
      <c r="AV192" s="180">
        <f t="shared" si="302"/>
        <v>3.0790000000000002</v>
      </c>
      <c r="AW192" s="433">
        <f t="shared" si="303"/>
        <v>0.43985714285714289</v>
      </c>
      <c r="AX192" s="126">
        <f t="shared" si="375"/>
        <v>0.39417544261294268</v>
      </c>
      <c r="AY192" s="130" t="s">
        <v>452</v>
      </c>
      <c r="AZ192" s="128" t="s">
        <v>260</v>
      </c>
      <c r="BB192" s="176">
        <f t="shared" si="338"/>
        <v>1.646513962460078</v>
      </c>
      <c r="BC192" s="176">
        <f t="shared" si="339"/>
        <v>0.98790837747604676</v>
      </c>
      <c r="BD192" s="176">
        <f t="shared" si="340"/>
        <v>0.82325698123003899</v>
      </c>
      <c r="BE192" s="176">
        <f t="shared" si="341"/>
        <v>0.65860558498403121</v>
      </c>
    </row>
    <row r="193" spans="1:58" s="129" customFormat="1" hidden="1">
      <c r="A193" s="88" t="s">
        <v>1302</v>
      </c>
      <c r="B193" s="88" t="s">
        <v>1318</v>
      </c>
      <c r="C193" s="88" t="s">
        <v>1318</v>
      </c>
      <c r="D193" s="88" t="s">
        <v>55</v>
      </c>
      <c r="E193" s="89" t="s">
        <v>395</v>
      </c>
      <c r="F193" s="90" t="s">
        <v>447</v>
      </c>
      <c r="G193" s="131" t="s">
        <v>253</v>
      </c>
      <c r="H193" s="92">
        <v>26</v>
      </c>
      <c r="I193" s="167" t="s">
        <v>453</v>
      </c>
      <c r="J193" s="167" t="str">
        <f>_xlfn.XLOOKUP(I193,[1]Sheet1!$A:$A,[1]Sheet1!$B:$B,"")</f>
        <v>U0403002</v>
      </c>
      <c r="K193" s="90" t="s">
        <v>454</v>
      </c>
      <c r="L193" s="90" t="s">
        <v>455</v>
      </c>
      <c r="M193" s="92"/>
      <c r="N193" s="89" t="s">
        <v>60</v>
      </c>
      <c r="O193" s="92"/>
      <c r="P193" s="88" t="s">
        <v>1446</v>
      </c>
      <c r="Q193" s="92" t="s">
        <v>402</v>
      </c>
      <c r="R193" s="92">
        <v>4800</v>
      </c>
      <c r="S193" s="123" t="s">
        <v>456</v>
      </c>
      <c r="T193" s="131" t="s">
        <v>403</v>
      </c>
      <c r="U193" s="155">
        <v>0</v>
      </c>
      <c r="V193" s="207">
        <v>50</v>
      </c>
      <c r="W193" s="207">
        <v>45</v>
      </c>
      <c r="X193" s="207">
        <v>55</v>
      </c>
      <c r="Y193" s="207" t="s">
        <v>64</v>
      </c>
      <c r="Z193" s="133">
        <f t="shared" si="273"/>
        <v>0.63422695556371644</v>
      </c>
      <c r="AA193" s="133"/>
      <c r="AB193" s="175">
        <f t="shared" si="304"/>
        <v>0.55133206566477244</v>
      </c>
      <c r="AC193" s="175"/>
      <c r="AD193" s="213">
        <f t="shared" si="305"/>
        <v>0.1</v>
      </c>
      <c r="AE193" s="213">
        <v>0.1</v>
      </c>
      <c r="AF193" s="215">
        <v>0.20200000000000001</v>
      </c>
      <c r="AG193" s="215" t="s">
        <v>9</v>
      </c>
      <c r="AH193" s="148">
        <f t="shared" si="330"/>
        <v>0.55133206566477244</v>
      </c>
      <c r="AI193" s="122">
        <f t="shared" si="307"/>
        <v>0.20199999999999985</v>
      </c>
      <c r="AJ193" s="444"/>
      <c r="AK193" s="177">
        <f t="shared" si="308"/>
        <v>0.54825396825396822</v>
      </c>
      <c r="AL193" s="178">
        <f t="shared" si="309"/>
        <v>0.4888477648894316</v>
      </c>
      <c r="AM193" s="125">
        <f t="shared" si="310"/>
        <v>0.13555555555555554</v>
      </c>
      <c r="AN193" s="125">
        <f t="shared" si="373"/>
        <v>0.11333333333333329</v>
      </c>
      <c r="AO193" s="140"/>
      <c r="AP193" s="17" t="s">
        <v>1225</v>
      </c>
      <c r="AQ193" s="179">
        <v>8.9999999999999993E-3</v>
      </c>
      <c r="AR193" s="179">
        <v>3.15</v>
      </c>
      <c r="AS193" s="182"/>
      <c r="AT193" s="179">
        <v>0.16</v>
      </c>
      <c r="AU193" s="180">
        <f t="shared" si="376"/>
        <v>3.294</v>
      </c>
      <c r="AV193" s="180">
        <f t="shared" si="302"/>
        <v>3.4540000000000002</v>
      </c>
      <c r="AW193" s="433">
        <f t="shared" si="303"/>
        <v>0.49342857142857144</v>
      </c>
      <c r="AX193" s="126">
        <f t="shared" si="375"/>
        <v>0.43996298840048848</v>
      </c>
      <c r="AY193" s="130" t="s">
        <v>452</v>
      </c>
      <c r="AZ193" s="128" t="s">
        <v>260</v>
      </c>
      <c r="BB193" s="176">
        <f t="shared" si="338"/>
        <v>1.8377735522159082</v>
      </c>
      <c r="BC193" s="176">
        <f t="shared" si="339"/>
        <v>1.1026641313295449</v>
      </c>
      <c r="BD193" s="176">
        <f t="shared" si="340"/>
        <v>0.91888677610795411</v>
      </c>
      <c r="BE193" s="176">
        <f t="shared" si="341"/>
        <v>0.73510942088636333</v>
      </c>
    </row>
    <row r="194" spans="1:58" s="129" customFormat="1" hidden="1">
      <c r="A194" s="88" t="s">
        <v>1302</v>
      </c>
      <c r="B194" s="88" t="s">
        <v>1318</v>
      </c>
      <c r="C194" s="88" t="s">
        <v>1318</v>
      </c>
      <c r="D194" s="88" t="s">
        <v>55</v>
      </c>
      <c r="E194" s="89" t="s">
        <v>395</v>
      </c>
      <c r="F194" s="90" t="s">
        <v>447</v>
      </c>
      <c r="G194" s="131" t="s">
        <v>253</v>
      </c>
      <c r="H194" s="92">
        <v>26</v>
      </c>
      <c r="I194" s="167" t="s">
        <v>457</v>
      </c>
      <c r="J194" s="167" t="str">
        <f>_xlfn.XLOOKUP(I194,[1]Sheet1!$A:$A,[1]Sheet1!$B:$B,"")</f>
        <v>U0403004</v>
      </c>
      <c r="K194" s="90" t="s">
        <v>458</v>
      </c>
      <c r="L194" s="90" t="s">
        <v>459</v>
      </c>
      <c r="M194" s="92"/>
      <c r="N194" s="89" t="s">
        <v>60</v>
      </c>
      <c r="O194" s="92"/>
      <c r="P194" s="88" t="s">
        <v>1446</v>
      </c>
      <c r="Q194" s="92" t="s">
        <v>402</v>
      </c>
      <c r="R194" s="92">
        <v>3200</v>
      </c>
      <c r="S194" s="123" t="s">
        <v>460</v>
      </c>
      <c r="T194" s="131" t="s">
        <v>403</v>
      </c>
      <c r="U194" s="155">
        <v>0</v>
      </c>
      <c r="V194" s="207">
        <v>50</v>
      </c>
      <c r="W194" s="207">
        <v>45</v>
      </c>
      <c r="X194" s="207">
        <v>55</v>
      </c>
      <c r="Y194" s="207" t="s">
        <v>64</v>
      </c>
      <c r="Z194" s="133">
        <f t="shared" si="273"/>
        <v>0.82096951891296355</v>
      </c>
      <c r="AA194" s="133"/>
      <c r="AB194" s="175">
        <f t="shared" si="304"/>
        <v>0.71836265151584688</v>
      </c>
      <c r="AC194" s="175"/>
      <c r="AD194" s="213">
        <f t="shared" si="305"/>
        <v>0.1</v>
      </c>
      <c r="AE194" s="213">
        <v>0.1</v>
      </c>
      <c r="AF194" s="215">
        <v>0.20200000000000001</v>
      </c>
      <c r="AG194" s="215" t="s">
        <v>9</v>
      </c>
      <c r="AH194" s="148">
        <f t="shared" si="330"/>
        <v>0.71836265151584688</v>
      </c>
      <c r="AI194" s="122">
        <f t="shared" si="307"/>
        <v>0.20199999999999996</v>
      </c>
      <c r="AJ194" s="444"/>
      <c r="AK194" s="177">
        <f t="shared" si="308"/>
        <v>0.70968253968253958</v>
      </c>
      <c r="AL194" s="178">
        <f t="shared" si="309"/>
        <v>0.6369482176773843</v>
      </c>
      <c r="AM194" s="125">
        <f t="shared" si="310"/>
        <v>0.13555555555555554</v>
      </c>
      <c r="AN194" s="125">
        <f t="shared" si="373"/>
        <v>0.11333333333333329</v>
      </c>
      <c r="AO194" s="140"/>
      <c r="AP194" s="17" t="s">
        <v>1225</v>
      </c>
      <c r="AQ194" s="179">
        <v>1.9E-2</v>
      </c>
      <c r="AR194" s="179">
        <v>4.0069999999999997</v>
      </c>
      <c r="AS194" s="182"/>
      <c r="AT194" s="179">
        <v>0.16</v>
      </c>
      <c r="AU194" s="180">
        <f t="shared" si="376"/>
        <v>4.3109999999999999</v>
      </c>
      <c r="AV194" s="180">
        <f t="shared" si="302"/>
        <v>4.4710000000000001</v>
      </c>
      <c r="AW194" s="433">
        <f t="shared" si="303"/>
        <v>0.63871428571428568</v>
      </c>
      <c r="AX194" s="126">
        <f t="shared" si="375"/>
        <v>0.57325339590964586</v>
      </c>
      <c r="AY194" s="130" t="s">
        <v>452</v>
      </c>
      <c r="AZ194" s="128" t="s">
        <v>260</v>
      </c>
      <c r="BB194" s="176">
        <f t="shared" si="338"/>
        <v>2.3945421717194897</v>
      </c>
      <c r="BC194" s="176">
        <f t="shared" si="339"/>
        <v>1.4367253030316938</v>
      </c>
      <c r="BD194" s="176">
        <f t="shared" si="340"/>
        <v>1.1972710858597448</v>
      </c>
      <c r="BE194" s="176">
        <f t="shared" si="341"/>
        <v>0.95781686868779592</v>
      </c>
    </row>
    <row r="195" spans="1:58" s="129" customFormat="1" hidden="1">
      <c r="A195" s="88" t="s">
        <v>1302</v>
      </c>
      <c r="B195" s="88" t="s">
        <v>1318</v>
      </c>
      <c r="C195" s="88" t="s">
        <v>1318</v>
      </c>
      <c r="D195" s="88" t="s">
        <v>55</v>
      </c>
      <c r="E195" s="89" t="s">
        <v>395</v>
      </c>
      <c r="F195" s="90" t="s">
        <v>447</v>
      </c>
      <c r="G195" s="131" t="s">
        <v>253</v>
      </c>
      <c r="H195" s="92">
        <v>26</v>
      </c>
      <c r="I195" s="167" t="s">
        <v>461</v>
      </c>
      <c r="J195" s="167" t="str">
        <f>_xlfn.XLOOKUP(I195,[1]Sheet1!$A:$A,[1]Sheet1!$B:$B,"")</f>
        <v>U0403005</v>
      </c>
      <c r="K195" s="90" t="s">
        <v>462</v>
      </c>
      <c r="L195" s="90" t="s">
        <v>463</v>
      </c>
      <c r="M195" s="92"/>
      <c r="N195" s="89" t="s">
        <v>60</v>
      </c>
      <c r="O195" s="92"/>
      <c r="P195" s="88" t="s">
        <v>1446</v>
      </c>
      <c r="Q195" s="92" t="s">
        <v>402</v>
      </c>
      <c r="R195" s="92">
        <v>2240</v>
      </c>
      <c r="S195" s="123" t="s">
        <v>464</v>
      </c>
      <c r="T195" s="131" t="s">
        <v>403</v>
      </c>
      <c r="U195" s="155">
        <v>0</v>
      </c>
      <c r="V195" s="207">
        <v>50</v>
      </c>
      <c r="W195" s="207">
        <v>45</v>
      </c>
      <c r="X195" s="207">
        <v>55</v>
      </c>
      <c r="Y195" s="207" t="s">
        <v>64</v>
      </c>
      <c r="Z195" s="133">
        <f t="shared" si="273"/>
        <v>1.180315828130738</v>
      </c>
      <c r="AA195" s="133"/>
      <c r="AB195" s="175">
        <f t="shared" si="304"/>
        <v>1.0324838156135148</v>
      </c>
      <c r="AC195" s="175"/>
      <c r="AD195" s="213">
        <f t="shared" si="305"/>
        <v>0.1</v>
      </c>
      <c r="AE195" s="213">
        <v>0.1</v>
      </c>
      <c r="AF195" s="215">
        <v>0.20200000000000001</v>
      </c>
      <c r="AG195" s="215" t="s">
        <v>9</v>
      </c>
      <c r="AH195" s="148">
        <f t="shared" si="330"/>
        <v>1.0324838156135148</v>
      </c>
      <c r="AI195" s="122">
        <f t="shared" si="307"/>
        <v>0.20199999999999996</v>
      </c>
      <c r="AJ195" s="444"/>
      <c r="AK195" s="177">
        <f t="shared" si="308"/>
        <v>1.0203174603174603</v>
      </c>
      <c r="AL195" s="178">
        <f t="shared" si="309"/>
        <v>0.91546898317731651</v>
      </c>
      <c r="AM195" s="125">
        <f t="shared" si="310"/>
        <v>0.13555555555555543</v>
      </c>
      <c r="AN195" s="125">
        <f t="shared" si="373"/>
        <v>0.11333333333333329</v>
      </c>
      <c r="AO195" s="140"/>
      <c r="AP195" s="17" t="s">
        <v>1225</v>
      </c>
      <c r="AQ195" s="179">
        <v>3.6999999999999998E-2</v>
      </c>
      <c r="AR195" s="179">
        <v>5.6760000000000002</v>
      </c>
      <c r="AS195" s="182"/>
      <c r="AT195" s="179">
        <v>0.16</v>
      </c>
      <c r="AU195" s="180">
        <f t="shared" si="376"/>
        <v>6.2679999999999998</v>
      </c>
      <c r="AV195" s="180">
        <f t="shared" si="302"/>
        <v>6.4279999999999999</v>
      </c>
      <c r="AW195" s="433">
        <f t="shared" si="303"/>
        <v>0.91828571428571426</v>
      </c>
      <c r="AX195" s="126">
        <f t="shared" si="375"/>
        <v>0.82392208485958485</v>
      </c>
      <c r="AY195" s="130" t="s">
        <v>452</v>
      </c>
      <c r="AZ195" s="128" t="s">
        <v>260</v>
      </c>
      <c r="BB195" s="176">
        <f t="shared" si="338"/>
        <v>3.441612718711716</v>
      </c>
      <c r="BC195" s="176">
        <f t="shared" si="339"/>
        <v>2.0649676312270295</v>
      </c>
      <c r="BD195" s="176">
        <f t="shared" si="340"/>
        <v>1.720806359355858</v>
      </c>
      <c r="BE195" s="176">
        <f t="shared" si="341"/>
        <v>1.3766450874846865</v>
      </c>
    </row>
    <row r="196" spans="1:58" s="129" customFormat="1" hidden="1">
      <c r="A196" s="88" t="s">
        <v>1302</v>
      </c>
      <c r="B196" s="88" t="s">
        <v>1318</v>
      </c>
      <c r="C196" s="88" t="s">
        <v>1318</v>
      </c>
      <c r="D196" s="88" t="s">
        <v>55</v>
      </c>
      <c r="E196" s="89" t="s">
        <v>395</v>
      </c>
      <c r="F196" s="90" t="s">
        <v>447</v>
      </c>
      <c r="G196" s="131" t="s">
        <v>253</v>
      </c>
      <c r="H196" s="92">
        <v>26</v>
      </c>
      <c r="I196" s="167" t="s">
        <v>465</v>
      </c>
      <c r="J196" s="167" t="str">
        <f>_xlfn.XLOOKUP(I196,[1]Sheet1!$A:$A,[1]Sheet1!$B:$B,"")</f>
        <v>U0403006</v>
      </c>
      <c r="K196" s="90" t="s">
        <v>466</v>
      </c>
      <c r="L196" s="90" t="s">
        <v>467</v>
      </c>
      <c r="M196" s="92"/>
      <c r="N196" s="89" t="s">
        <v>60</v>
      </c>
      <c r="O196" s="165"/>
      <c r="P196" s="88" t="s">
        <v>1446</v>
      </c>
      <c r="Q196" s="92" t="s">
        <v>402</v>
      </c>
      <c r="R196" s="92">
        <v>1600</v>
      </c>
      <c r="S196" s="123" t="s">
        <v>468</v>
      </c>
      <c r="T196" s="131" t="s">
        <v>403</v>
      </c>
      <c r="U196" s="155">
        <v>0</v>
      </c>
      <c r="V196" s="207">
        <v>50</v>
      </c>
      <c r="W196" s="207">
        <v>45</v>
      </c>
      <c r="X196" s="207">
        <v>55</v>
      </c>
      <c r="Y196" s="207" t="s">
        <v>64</v>
      </c>
      <c r="Z196" s="133">
        <f t="shared" si="273"/>
        <v>1.5468233565919942</v>
      </c>
      <c r="AA196" s="133"/>
      <c r="AB196" s="175">
        <f t="shared" si="304"/>
        <v>1.3574673290368779</v>
      </c>
      <c r="AC196" s="175"/>
      <c r="AD196" s="213">
        <f t="shared" si="305"/>
        <v>0.1</v>
      </c>
      <c r="AE196" s="213">
        <v>0.1</v>
      </c>
      <c r="AF196" s="215">
        <v>0.20200000000000001</v>
      </c>
      <c r="AG196" s="215" t="s">
        <v>9</v>
      </c>
      <c r="AH196" s="148">
        <f t="shared" si="330"/>
        <v>1.3574673290368779</v>
      </c>
      <c r="AI196" s="122">
        <f t="shared" si="307"/>
        <v>0.20199999999999996</v>
      </c>
      <c r="AJ196" s="444"/>
      <c r="AK196" s="177">
        <f t="shared" si="308"/>
        <v>1.3371428571428572</v>
      </c>
      <c r="AL196" s="178">
        <f t="shared" si="309"/>
        <v>1.2036210317460319</v>
      </c>
      <c r="AM196" s="125">
        <f t="shared" si="310"/>
        <v>0.13555555555555554</v>
      </c>
      <c r="AN196" s="125">
        <f t="shared" si="373"/>
        <v>0.11333333333333329</v>
      </c>
      <c r="AO196" s="140"/>
      <c r="AP196" s="17" t="s">
        <v>1225</v>
      </c>
      <c r="AQ196" s="179">
        <v>5.5E-2</v>
      </c>
      <c r="AR196" s="179">
        <v>7.3840000000000003</v>
      </c>
      <c r="AS196" s="182"/>
      <c r="AT196" s="179">
        <v>0.16</v>
      </c>
      <c r="AU196" s="180">
        <f t="shared" si="376"/>
        <v>8.2640000000000011</v>
      </c>
      <c r="AV196" s="180">
        <f t="shared" si="302"/>
        <v>8.4240000000000013</v>
      </c>
      <c r="AW196" s="433">
        <f t="shared" si="303"/>
        <v>1.2034285714285715</v>
      </c>
      <c r="AX196" s="126">
        <f t="shared" si="375"/>
        <v>1.0832589285714287</v>
      </c>
      <c r="AY196" s="130" t="s">
        <v>452</v>
      </c>
      <c r="AZ196" s="128" t="s">
        <v>260</v>
      </c>
      <c r="BB196" s="176">
        <f t="shared" si="338"/>
        <v>4.5248910967895934</v>
      </c>
      <c r="BC196" s="176">
        <f t="shared" si="339"/>
        <v>2.7149346580737559</v>
      </c>
      <c r="BD196" s="176">
        <f t="shared" si="340"/>
        <v>2.2624455483947967</v>
      </c>
      <c r="BE196" s="176">
        <f t="shared" si="341"/>
        <v>1.8099564387158376</v>
      </c>
    </row>
    <row r="197" spans="1:58" s="172" customFormat="1" hidden="1">
      <c r="A197" s="88" t="s">
        <v>1302</v>
      </c>
      <c r="B197" s="88" t="s">
        <v>1318</v>
      </c>
      <c r="C197" s="88" t="s">
        <v>1318</v>
      </c>
      <c r="D197" s="88" t="s">
        <v>55</v>
      </c>
      <c r="E197" s="89" t="s">
        <v>395</v>
      </c>
      <c r="F197" s="90" t="s">
        <v>447</v>
      </c>
      <c r="G197" s="131" t="s">
        <v>253</v>
      </c>
      <c r="H197" s="92">
        <v>26</v>
      </c>
      <c r="I197" s="167" t="s">
        <v>469</v>
      </c>
      <c r="J197" s="167" t="str">
        <f>_xlfn.XLOOKUP(I197,[1]Sheet1!$A:$A,[1]Sheet1!$B:$B,"")</f>
        <v>U0403007</v>
      </c>
      <c r="K197" s="90" t="s">
        <v>470</v>
      </c>
      <c r="L197" s="90" t="s">
        <v>471</v>
      </c>
      <c r="M197" s="92"/>
      <c r="N197" s="89" t="s">
        <v>60</v>
      </c>
      <c r="O197" s="165"/>
      <c r="P197" s="88" t="s">
        <v>1446</v>
      </c>
      <c r="Q197" s="92" t="s">
        <v>402</v>
      </c>
      <c r="R197" s="92">
        <v>960</v>
      </c>
      <c r="S197" s="123" t="s">
        <v>472</v>
      </c>
      <c r="T197" s="131" t="s">
        <v>403</v>
      </c>
      <c r="U197" s="155">
        <v>0</v>
      </c>
      <c r="V197" s="207">
        <v>50</v>
      </c>
      <c r="W197" s="207">
        <v>45</v>
      </c>
      <c r="X197" s="207">
        <v>55</v>
      </c>
      <c r="Y197" s="207" t="s">
        <v>64</v>
      </c>
      <c r="Z197" s="133">
        <f t="shared" si="273"/>
        <v>2.2961806830701428</v>
      </c>
      <c r="AA197" s="133"/>
      <c r="AB197" s="175">
        <f t="shared" si="304"/>
        <v>2.0275787721746363</v>
      </c>
      <c r="AC197" s="175"/>
      <c r="AD197" s="213">
        <f t="shared" si="305"/>
        <v>0.1</v>
      </c>
      <c r="AE197" s="213">
        <v>0.1</v>
      </c>
      <c r="AF197" s="215">
        <v>0.20200000000000001</v>
      </c>
      <c r="AG197" s="215" t="s">
        <v>9</v>
      </c>
      <c r="AH197" s="148">
        <f t="shared" si="330"/>
        <v>2.0275787721746363</v>
      </c>
      <c r="AI197" s="122">
        <f t="shared" si="307"/>
        <v>0.20199999999999985</v>
      </c>
      <c r="AJ197" s="444"/>
      <c r="AK197" s="177">
        <f t="shared" si="308"/>
        <v>1.9849206349206348</v>
      </c>
      <c r="AL197" s="178">
        <f t="shared" si="309"/>
        <v>1.7977865113281777</v>
      </c>
      <c r="AM197" s="125">
        <f t="shared" si="310"/>
        <v>0.13555555555555543</v>
      </c>
      <c r="AN197" s="125">
        <f t="shared" si="373"/>
        <v>0.11333333333333329</v>
      </c>
      <c r="AO197" s="140"/>
      <c r="AP197" s="17" t="s">
        <v>1225</v>
      </c>
      <c r="AQ197" s="179">
        <v>9.0999999999999998E-2</v>
      </c>
      <c r="AR197" s="179">
        <v>10.888999999999999</v>
      </c>
      <c r="AS197" s="182"/>
      <c r="AT197" s="179">
        <v>0.16</v>
      </c>
      <c r="AU197" s="180">
        <f t="shared" si="376"/>
        <v>12.344999999999999</v>
      </c>
      <c r="AV197" s="180">
        <f t="shared" si="302"/>
        <v>12.504999999999999</v>
      </c>
      <c r="AW197" s="433">
        <f t="shared" si="303"/>
        <v>1.7864285714285713</v>
      </c>
      <c r="AX197" s="126">
        <f t="shared" si="375"/>
        <v>1.61800786019536</v>
      </c>
      <c r="AY197" s="130" t="s">
        <v>452</v>
      </c>
      <c r="AZ197" s="128" t="s">
        <v>260</v>
      </c>
      <c r="BB197" s="176">
        <f t="shared" si="338"/>
        <v>6.7585959072487878</v>
      </c>
      <c r="BC197" s="176">
        <f t="shared" si="339"/>
        <v>4.0551575443492727</v>
      </c>
      <c r="BD197" s="176">
        <f t="shared" si="340"/>
        <v>3.3792979536243939</v>
      </c>
      <c r="BE197" s="176">
        <f t="shared" si="341"/>
        <v>2.7034383628995151</v>
      </c>
      <c r="BF197" s="129"/>
    </row>
    <row r="198" spans="1:58" s="172" customFormat="1" hidden="1">
      <c r="A198" s="88" t="s">
        <v>1302</v>
      </c>
      <c r="B198" s="88" t="s">
        <v>1318</v>
      </c>
      <c r="C198" s="88" t="s">
        <v>1318</v>
      </c>
      <c r="D198" s="88" t="s">
        <v>55</v>
      </c>
      <c r="E198" s="89" t="s">
        <v>395</v>
      </c>
      <c r="F198" s="90" t="s">
        <v>447</v>
      </c>
      <c r="G198" s="131" t="s">
        <v>253</v>
      </c>
      <c r="H198" s="92">
        <v>26</v>
      </c>
      <c r="I198" s="167" t="s">
        <v>473</v>
      </c>
      <c r="J198" s="167" t="str">
        <f>_xlfn.XLOOKUP(I198,[1]Sheet1!$A:$A,[1]Sheet1!$B:$B,"")</f>
        <v>U0403003</v>
      </c>
      <c r="K198" s="90" t="s">
        <v>474</v>
      </c>
      <c r="L198" s="90" t="s">
        <v>475</v>
      </c>
      <c r="M198" s="92"/>
      <c r="N198" s="89" t="s">
        <v>60</v>
      </c>
      <c r="O198" s="165"/>
      <c r="P198" s="88" t="s">
        <v>1446</v>
      </c>
      <c r="Q198" s="92" t="s">
        <v>402</v>
      </c>
      <c r="R198" s="92">
        <v>640</v>
      </c>
      <c r="S198" s="123" t="s">
        <v>476</v>
      </c>
      <c r="T198" s="131" t="s">
        <v>403</v>
      </c>
      <c r="U198" s="155">
        <v>0</v>
      </c>
      <c r="V198" s="207">
        <v>50</v>
      </c>
      <c r="W198" s="207">
        <v>45</v>
      </c>
      <c r="X198" s="207">
        <v>55</v>
      </c>
      <c r="Y198" s="207" t="s">
        <v>64</v>
      </c>
      <c r="Z198" s="133">
        <f t="shared" si="273"/>
        <v>4.0692251193536535</v>
      </c>
      <c r="AA198" s="133"/>
      <c r="AB198" s="175">
        <f t="shared" si="304"/>
        <v>3.5621297692491294</v>
      </c>
      <c r="AC198" s="175"/>
      <c r="AD198" s="213">
        <f t="shared" si="305"/>
        <v>0.1</v>
      </c>
      <c r="AE198" s="213">
        <v>0.1</v>
      </c>
      <c r="AF198" s="215">
        <v>0.20200000000000001</v>
      </c>
      <c r="AG198" s="215" t="s">
        <v>9</v>
      </c>
      <c r="AH198" s="148">
        <f t="shared" si="330"/>
        <v>3.5621297692491294</v>
      </c>
      <c r="AI198" s="122">
        <f t="shared" si="307"/>
        <v>0.20199999999999996</v>
      </c>
      <c r="AJ198" s="444"/>
      <c r="AK198" s="177">
        <f t="shared" si="308"/>
        <v>3.5176190476190472</v>
      </c>
      <c r="AL198" s="178">
        <f t="shared" si="309"/>
        <v>3.1584217287342282</v>
      </c>
      <c r="AM198" s="125">
        <f t="shared" si="310"/>
        <v>0.13555555555555554</v>
      </c>
      <c r="AN198" s="125">
        <f t="shared" si="373"/>
        <v>0.11333333333333329</v>
      </c>
      <c r="AO198" s="140"/>
      <c r="AP198" s="17" t="s">
        <v>1225</v>
      </c>
      <c r="AQ198" s="179">
        <v>0.182</v>
      </c>
      <c r="AR198" s="179">
        <v>19.088999999999999</v>
      </c>
      <c r="AS198" s="182"/>
      <c r="AT198" s="179">
        <v>0.16</v>
      </c>
      <c r="AU198" s="180">
        <f t="shared" si="376"/>
        <v>22.000999999999998</v>
      </c>
      <c r="AV198" s="180">
        <f t="shared" si="302"/>
        <v>22.160999999999998</v>
      </c>
      <c r="AW198" s="433">
        <f t="shared" si="303"/>
        <v>3.1658571428571425</v>
      </c>
      <c r="AX198" s="126">
        <f t="shared" si="375"/>
        <v>2.8425795558608056</v>
      </c>
      <c r="AY198" s="130" t="s">
        <v>452</v>
      </c>
      <c r="AZ198" s="128" t="s">
        <v>260</v>
      </c>
      <c r="BB198" s="176">
        <f t="shared" si="338"/>
        <v>11.873765897497098</v>
      </c>
      <c r="BC198" s="176">
        <f t="shared" si="339"/>
        <v>7.1242595384982588</v>
      </c>
      <c r="BD198" s="176">
        <f t="shared" si="340"/>
        <v>5.9368829487485488</v>
      </c>
      <c r="BE198" s="176">
        <f t="shared" si="341"/>
        <v>4.7495063589988389</v>
      </c>
      <c r="BF198" s="129"/>
    </row>
    <row r="199" spans="1:58" s="172" customFormat="1" hidden="1">
      <c r="A199" s="88" t="s">
        <v>1302</v>
      </c>
      <c r="B199" s="88" t="s">
        <v>1318</v>
      </c>
      <c r="C199" s="88" t="s">
        <v>1318</v>
      </c>
      <c r="D199" s="88" t="s">
        <v>55</v>
      </c>
      <c r="E199" s="89" t="s">
        <v>395</v>
      </c>
      <c r="F199" s="90" t="s">
        <v>447</v>
      </c>
      <c r="G199" s="131" t="s">
        <v>253</v>
      </c>
      <c r="H199" s="92">
        <v>26</v>
      </c>
      <c r="I199" s="167" t="s">
        <v>477</v>
      </c>
      <c r="J199" s="167" t="str">
        <f>_xlfn.XLOOKUP(I199,[1]Sheet1!$A:$A,[1]Sheet1!$B:$B,"")</f>
        <v>U0403008</v>
      </c>
      <c r="K199" s="90" t="s">
        <v>478</v>
      </c>
      <c r="L199" s="90" t="s">
        <v>479</v>
      </c>
      <c r="M199" s="92"/>
      <c r="N199" s="89" t="s">
        <v>60</v>
      </c>
      <c r="O199" s="92"/>
      <c r="P199" s="88" t="s">
        <v>1446</v>
      </c>
      <c r="Q199" s="92" t="s">
        <v>402</v>
      </c>
      <c r="R199" s="92">
        <v>4800</v>
      </c>
      <c r="S199" s="123" t="e">
        <v>#N/A</v>
      </c>
      <c r="T199" s="131" t="s">
        <v>403</v>
      </c>
      <c r="U199" s="155">
        <v>0</v>
      </c>
      <c r="V199" s="207">
        <v>50</v>
      </c>
      <c r="W199" s="207">
        <v>45</v>
      </c>
      <c r="X199" s="207">
        <v>55</v>
      </c>
      <c r="Y199" s="207" t="s">
        <v>64</v>
      </c>
      <c r="Z199" s="133">
        <f t="shared" si="273"/>
        <v>0.58292499057670566</v>
      </c>
      <c r="AA199" s="133"/>
      <c r="AB199" s="175">
        <f t="shared" si="304"/>
        <v>0.50884941429607244</v>
      </c>
      <c r="AC199" s="175"/>
      <c r="AD199" s="213">
        <f t="shared" si="305"/>
        <v>0.1</v>
      </c>
      <c r="AE199" s="213">
        <v>0.1</v>
      </c>
      <c r="AF199" s="215">
        <v>0.222</v>
      </c>
      <c r="AG199" s="215" t="s">
        <v>9</v>
      </c>
      <c r="AH199" s="148">
        <f t="shared" si="330"/>
        <v>0.50884941429607244</v>
      </c>
      <c r="AI199" s="122">
        <f t="shared" si="307"/>
        <v>0.22199999999999998</v>
      </c>
      <c r="AJ199" s="444"/>
      <c r="AK199" s="177">
        <f t="shared" si="308"/>
        <v>0.49095238095238097</v>
      </c>
      <c r="AL199" s="178">
        <f t="shared" si="309"/>
        <v>0.43987204924704931</v>
      </c>
      <c r="AM199" s="125">
        <f t="shared" si="310"/>
        <v>0.15777777777777779</v>
      </c>
      <c r="AN199" s="125">
        <f t="shared" si="373"/>
        <v>0.13555555555555554</v>
      </c>
      <c r="AO199" s="140"/>
      <c r="AP199" s="17" t="s">
        <v>1225</v>
      </c>
      <c r="AQ199" s="179">
        <v>6.0000000000000001E-3</v>
      </c>
      <c r="AR199" s="179">
        <v>2.8370000000000002</v>
      </c>
      <c r="AS199" s="182"/>
      <c r="AT199" s="179">
        <v>0.16</v>
      </c>
      <c r="AU199" s="180">
        <f t="shared" si="376"/>
        <v>2.9330000000000003</v>
      </c>
      <c r="AV199" s="180">
        <f t="shared" si="302"/>
        <v>3.0930000000000004</v>
      </c>
      <c r="AW199" s="433">
        <f t="shared" si="303"/>
        <v>0.44185714285714289</v>
      </c>
      <c r="AX199" s="126">
        <f t="shared" si="375"/>
        <v>0.39588484432234439</v>
      </c>
      <c r="AY199" s="130" t="s">
        <v>452</v>
      </c>
      <c r="AZ199" s="128" t="s">
        <v>260</v>
      </c>
      <c r="BB199" s="176">
        <f t="shared" si="338"/>
        <v>1.6961647143202416</v>
      </c>
      <c r="BC199" s="176">
        <f t="shared" si="339"/>
        <v>1.0176988285921449</v>
      </c>
      <c r="BD199" s="176">
        <f t="shared" si="340"/>
        <v>0.84808235716012081</v>
      </c>
      <c r="BE199" s="176">
        <f t="shared" si="341"/>
        <v>0.67846588572809674</v>
      </c>
      <c r="BF199" s="129"/>
    </row>
    <row r="200" spans="1:58" s="172" customFormat="1" hidden="1">
      <c r="A200" s="88" t="s">
        <v>1302</v>
      </c>
      <c r="B200" s="88" t="s">
        <v>1318</v>
      </c>
      <c r="C200" s="88" t="s">
        <v>1318</v>
      </c>
      <c r="D200" s="88" t="s">
        <v>55</v>
      </c>
      <c r="E200" s="89" t="s">
        <v>395</v>
      </c>
      <c r="F200" s="90" t="s">
        <v>447</v>
      </c>
      <c r="G200" s="131" t="s">
        <v>253</v>
      </c>
      <c r="H200" s="92">
        <v>26</v>
      </c>
      <c r="I200" s="167" t="s">
        <v>480</v>
      </c>
      <c r="J200" s="167" t="str">
        <f>_xlfn.XLOOKUP(I200,[1]Sheet1!$A:$A,[1]Sheet1!$B:$B,"")</f>
        <v>U0403009</v>
      </c>
      <c r="K200" s="90" t="s">
        <v>481</v>
      </c>
      <c r="L200" s="90" t="s">
        <v>482</v>
      </c>
      <c r="M200" s="92"/>
      <c r="N200" s="89" t="s">
        <v>60</v>
      </c>
      <c r="O200" s="92"/>
      <c r="P200" s="88" t="s">
        <v>1446</v>
      </c>
      <c r="Q200" s="92" t="s">
        <v>402</v>
      </c>
      <c r="R200" s="92">
        <v>4800</v>
      </c>
      <c r="S200" s="123" t="e">
        <v>#N/A</v>
      </c>
      <c r="T200" s="131" t="s">
        <v>403</v>
      </c>
      <c r="U200" s="155">
        <v>0</v>
      </c>
      <c r="V200" s="207">
        <v>50</v>
      </c>
      <c r="W200" s="207">
        <v>45</v>
      </c>
      <c r="X200" s="207">
        <v>55</v>
      </c>
      <c r="Y200" s="207" t="s">
        <v>64</v>
      </c>
      <c r="Z200" s="133">
        <f t="shared" si="273"/>
        <v>0.65529589144364875</v>
      </c>
      <c r="AA200" s="133"/>
      <c r="AB200" s="175">
        <f t="shared" si="304"/>
        <v>0.56911477019124845</v>
      </c>
      <c r="AC200" s="175"/>
      <c r="AD200" s="213">
        <f t="shared" si="305"/>
        <v>0.1</v>
      </c>
      <c r="AE200" s="213">
        <v>0.1</v>
      </c>
      <c r="AF200" s="215">
        <v>0.222</v>
      </c>
      <c r="AG200" s="215" t="s">
        <v>9</v>
      </c>
      <c r="AH200" s="148">
        <f t="shared" si="330"/>
        <v>0.56911477019124845</v>
      </c>
      <c r="AI200" s="122">
        <f t="shared" si="307"/>
        <v>0.22199999999999998</v>
      </c>
      <c r="AJ200" s="444"/>
      <c r="AK200" s="177">
        <f t="shared" si="308"/>
        <v>0.55190476190476201</v>
      </c>
      <c r="AL200" s="178">
        <f t="shared" si="309"/>
        <v>0.49196810134310148</v>
      </c>
      <c r="AM200" s="125">
        <f t="shared" si="310"/>
        <v>0.15777777777777768</v>
      </c>
      <c r="AN200" s="125">
        <f t="shared" si="373"/>
        <v>0.13555555555555543</v>
      </c>
      <c r="AO200" s="140"/>
      <c r="AP200" s="17" t="s">
        <v>1225</v>
      </c>
      <c r="AQ200" s="179">
        <v>8.9999999999999993E-3</v>
      </c>
      <c r="AR200" s="179">
        <v>3.173</v>
      </c>
      <c r="AS200" s="182"/>
      <c r="AT200" s="179">
        <v>0.16</v>
      </c>
      <c r="AU200" s="180">
        <f t="shared" si="376"/>
        <v>3.3170000000000002</v>
      </c>
      <c r="AV200" s="180">
        <f t="shared" si="302"/>
        <v>3.4770000000000003</v>
      </c>
      <c r="AW200" s="433">
        <f t="shared" si="303"/>
        <v>0.49671428571428577</v>
      </c>
      <c r="AX200" s="126">
        <f t="shared" si="375"/>
        <v>0.44277129120879133</v>
      </c>
      <c r="AY200" s="130" t="s">
        <v>452</v>
      </c>
      <c r="AZ200" s="128" t="s">
        <v>260</v>
      </c>
      <c r="BB200" s="176">
        <f t="shared" si="338"/>
        <v>1.8970492339708283</v>
      </c>
      <c r="BC200" s="176">
        <f t="shared" si="339"/>
        <v>1.1382295403824969</v>
      </c>
      <c r="BD200" s="176">
        <f t="shared" si="340"/>
        <v>0.94852461698541413</v>
      </c>
      <c r="BE200" s="176">
        <f t="shared" si="341"/>
        <v>0.75881969358833135</v>
      </c>
      <c r="BF200" s="129"/>
    </row>
    <row r="201" spans="1:58" s="129" customFormat="1" hidden="1">
      <c r="A201" s="88" t="s">
        <v>1302</v>
      </c>
      <c r="B201" s="88" t="s">
        <v>1318</v>
      </c>
      <c r="C201" s="88" t="s">
        <v>1318</v>
      </c>
      <c r="D201" s="88" t="s">
        <v>55</v>
      </c>
      <c r="E201" s="89" t="s">
        <v>395</v>
      </c>
      <c r="F201" s="90" t="s">
        <v>447</v>
      </c>
      <c r="G201" s="131" t="s">
        <v>253</v>
      </c>
      <c r="H201" s="92">
        <v>26</v>
      </c>
      <c r="I201" s="167" t="s">
        <v>483</v>
      </c>
      <c r="J201" s="167" t="str">
        <f>_xlfn.XLOOKUP(I201,[1]Sheet1!$A:$A,[1]Sheet1!$B:$B,"")</f>
        <v>U0403011</v>
      </c>
      <c r="K201" s="90" t="s">
        <v>484</v>
      </c>
      <c r="L201" s="90" t="s">
        <v>485</v>
      </c>
      <c r="M201" s="92"/>
      <c r="N201" s="89" t="s">
        <v>60</v>
      </c>
      <c r="O201" s="92"/>
      <c r="P201" s="88" t="s">
        <v>1446</v>
      </c>
      <c r="Q201" s="92" t="s">
        <v>402</v>
      </c>
      <c r="R201" s="92">
        <v>3200</v>
      </c>
      <c r="S201" s="123" t="e">
        <v>#N/A</v>
      </c>
      <c r="T201" s="131" t="s">
        <v>403</v>
      </c>
      <c r="U201" s="155">
        <v>0</v>
      </c>
      <c r="V201" s="207">
        <v>50</v>
      </c>
      <c r="W201" s="207">
        <v>45</v>
      </c>
      <c r="X201" s="207">
        <v>55</v>
      </c>
      <c r="Y201" s="207" t="s">
        <v>64</v>
      </c>
      <c r="Z201" s="133">
        <f t="shared" si="273"/>
        <v>0.85111194873727858</v>
      </c>
      <c r="AA201" s="133"/>
      <c r="AB201" s="175">
        <f t="shared" si="304"/>
        <v>0.74389190411844652</v>
      </c>
      <c r="AC201" s="175"/>
      <c r="AD201" s="213">
        <f t="shared" si="305"/>
        <v>0.1</v>
      </c>
      <c r="AE201" s="213">
        <v>0.1</v>
      </c>
      <c r="AF201" s="215">
        <v>0.222</v>
      </c>
      <c r="AG201" s="215" t="s">
        <v>9</v>
      </c>
      <c r="AH201" s="148">
        <f t="shared" si="330"/>
        <v>0.74389190411844652</v>
      </c>
      <c r="AI201" s="122">
        <f t="shared" si="307"/>
        <v>0.22199999999999998</v>
      </c>
      <c r="AJ201" s="444"/>
      <c r="AK201" s="177">
        <f t="shared" si="308"/>
        <v>0.71682539682539681</v>
      </c>
      <c r="AL201" s="178">
        <f t="shared" si="309"/>
        <v>0.64305322378239049</v>
      </c>
      <c r="AM201" s="125">
        <f t="shared" si="310"/>
        <v>0.15777777777777779</v>
      </c>
      <c r="AN201" s="125">
        <f t="shared" si="373"/>
        <v>0.13555555555555543</v>
      </c>
      <c r="AO201" s="140"/>
      <c r="AP201" s="17" t="s">
        <v>1225</v>
      </c>
      <c r="AQ201" s="179">
        <v>1.9E-2</v>
      </c>
      <c r="AR201" s="179">
        <v>4.0519999999999996</v>
      </c>
      <c r="AS201" s="182"/>
      <c r="AT201" s="179">
        <v>0.16</v>
      </c>
      <c r="AU201" s="180">
        <f t="shared" si="376"/>
        <v>4.3559999999999999</v>
      </c>
      <c r="AV201" s="180">
        <f t="shared" si="302"/>
        <v>4.516</v>
      </c>
      <c r="AW201" s="433">
        <f>(AT201+AU201)/$F$5</f>
        <v>0.64514285714285713</v>
      </c>
      <c r="AX201" s="126">
        <f t="shared" si="375"/>
        <v>0.57874790140415144</v>
      </c>
      <c r="AY201" s="130" t="s">
        <v>452</v>
      </c>
      <c r="AZ201" s="128" t="s">
        <v>260</v>
      </c>
      <c r="BB201" s="176">
        <f t="shared" si="338"/>
        <v>2.479639680394822</v>
      </c>
      <c r="BC201" s="176">
        <f t="shared" si="339"/>
        <v>1.487783808236893</v>
      </c>
      <c r="BD201" s="176">
        <f t="shared" si="340"/>
        <v>1.239819840197411</v>
      </c>
      <c r="BE201" s="176">
        <f t="shared" si="341"/>
        <v>0.99185587215792881</v>
      </c>
    </row>
    <row r="202" spans="1:58" s="129" customFormat="1" hidden="1">
      <c r="A202" s="88" t="s">
        <v>1302</v>
      </c>
      <c r="B202" s="88" t="s">
        <v>1318</v>
      </c>
      <c r="C202" s="88" t="s">
        <v>1318</v>
      </c>
      <c r="D202" s="88" t="s">
        <v>55</v>
      </c>
      <c r="E202" s="89" t="s">
        <v>395</v>
      </c>
      <c r="F202" s="90" t="s">
        <v>447</v>
      </c>
      <c r="G202" s="131" t="s">
        <v>253</v>
      </c>
      <c r="H202" s="92">
        <v>26</v>
      </c>
      <c r="I202" s="167" t="s">
        <v>486</v>
      </c>
      <c r="J202" s="167" t="str">
        <f>_xlfn.XLOOKUP(I202,[1]Sheet1!$A:$A,[1]Sheet1!$B:$B,"")</f>
        <v>U0403012</v>
      </c>
      <c r="K202" s="90" t="s">
        <v>487</v>
      </c>
      <c r="L202" s="90" t="s">
        <v>488</v>
      </c>
      <c r="M202" s="92"/>
      <c r="N202" s="89" t="s">
        <v>60</v>
      </c>
      <c r="O202" s="92"/>
      <c r="P202" s="88" t="s">
        <v>1446</v>
      </c>
      <c r="Q202" s="92" t="s">
        <v>402</v>
      </c>
      <c r="R202" s="92">
        <v>2240</v>
      </c>
      <c r="S202" s="123" t="e">
        <v>#N/A</v>
      </c>
      <c r="T202" s="131" t="s">
        <v>403</v>
      </c>
      <c r="U202" s="155">
        <v>0</v>
      </c>
      <c r="V202" s="207">
        <v>50</v>
      </c>
      <c r="W202" s="207">
        <v>45</v>
      </c>
      <c r="X202" s="207">
        <v>55</v>
      </c>
      <c r="Y202" s="207" t="s">
        <v>64</v>
      </c>
      <c r="Z202" s="133">
        <f t="shared" si="273"/>
        <v>1.2282321899736146</v>
      </c>
      <c r="AA202" s="133"/>
      <c r="AB202" s="175">
        <f t="shared" si="304"/>
        <v>1.0729935677718454</v>
      </c>
      <c r="AC202" s="175"/>
      <c r="AD202" s="213">
        <f t="shared" si="305"/>
        <v>0.1</v>
      </c>
      <c r="AE202" s="213">
        <v>0.1</v>
      </c>
      <c r="AF202" s="215">
        <v>0.222</v>
      </c>
      <c r="AG202" s="215" t="s">
        <v>9</v>
      </c>
      <c r="AH202" s="148">
        <f t="shared" si="330"/>
        <v>1.0729935677718454</v>
      </c>
      <c r="AI202" s="122">
        <f t="shared" si="307"/>
        <v>0.22200000000000009</v>
      </c>
      <c r="AJ202" s="444"/>
      <c r="AK202" s="177">
        <f t="shared" si="308"/>
        <v>1.0344444444444443</v>
      </c>
      <c r="AL202" s="178">
        <f t="shared" si="309"/>
        <v>0.92754332858499522</v>
      </c>
      <c r="AM202" s="125">
        <f t="shared" si="310"/>
        <v>0.15777777777777779</v>
      </c>
      <c r="AN202" s="125">
        <f t="shared" si="373"/>
        <v>0.13555555555555554</v>
      </c>
      <c r="AO202" s="140"/>
      <c r="AP202" s="17" t="s">
        <v>1225</v>
      </c>
      <c r="AQ202" s="179">
        <v>3.6999999999999998E-2</v>
      </c>
      <c r="AR202" s="179">
        <v>5.7649999999999997</v>
      </c>
      <c r="AS202" s="182"/>
      <c r="AT202" s="179">
        <v>0.16</v>
      </c>
      <c r="AU202" s="180">
        <f t="shared" si="376"/>
        <v>6.3569999999999993</v>
      </c>
      <c r="AV202" s="180">
        <f t="shared" si="302"/>
        <v>6.5169999999999995</v>
      </c>
      <c r="AW202" s="433">
        <f t="shared" si="303"/>
        <v>0.93099999999999994</v>
      </c>
      <c r="AX202" s="126">
        <f t="shared" si="375"/>
        <v>0.83478899572649568</v>
      </c>
      <c r="AY202" s="130" t="s">
        <v>452</v>
      </c>
      <c r="AZ202" s="128" t="s">
        <v>260</v>
      </c>
      <c r="BB202" s="176">
        <f t="shared" si="338"/>
        <v>3.5766452259061516</v>
      </c>
      <c r="BC202" s="176">
        <f t="shared" si="339"/>
        <v>2.1459871355436908</v>
      </c>
      <c r="BD202" s="176">
        <f t="shared" si="340"/>
        <v>1.7883226129530758</v>
      </c>
      <c r="BE202" s="176">
        <f t="shared" si="341"/>
        <v>1.4306580903624608</v>
      </c>
    </row>
    <row r="203" spans="1:58" s="129" customFormat="1" hidden="1">
      <c r="A203" s="88" t="s">
        <v>1302</v>
      </c>
      <c r="B203" s="88" t="s">
        <v>1318</v>
      </c>
      <c r="C203" s="88" t="s">
        <v>1318</v>
      </c>
      <c r="D203" s="88" t="s">
        <v>55</v>
      </c>
      <c r="E203" s="89" t="s">
        <v>395</v>
      </c>
      <c r="F203" s="90" t="s">
        <v>447</v>
      </c>
      <c r="G203" s="131" t="s">
        <v>253</v>
      </c>
      <c r="H203" s="92">
        <v>26</v>
      </c>
      <c r="I203" s="167" t="s">
        <v>489</v>
      </c>
      <c r="J203" s="167" t="str">
        <f>_xlfn.XLOOKUP(I203,[1]Sheet1!$A:$A,[1]Sheet1!$B:$B,"")</f>
        <v>U0403013</v>
      </c>
      <c r="K203" s="90" t="s">
        <v>490</v>
      </c>
      <c r="L203" s="90" t="s">
        <v>491</v>
      </c>
      <c r="M203" s="92"/>
      <c r="N203" s="89" t="s">
        <v>60</v>
      </c>
      <c r="O203" s="165"/>
      <c r="P203" s="88" t="s">
        <v>1446</v>
      </c>
      <c r="Q203" s="92" t="s">
        <v>402</v>
      </c>
      <c r="R203" s="92">
        <v>1600</v>
      </c>
      <c r="S203" s="123" t="e">
        <v>#N/A</v>
      </c>
      <c r="T203" s="131" t="s">
        <v>403</v>
      </c>
      <c r="U203" s="155">
        <v>0</v>
      </c>
      <c r="V203" s="207">
        <v>50</v>
      </c>
      <c r="W203" s="207">
        <v>45</v>
      </c>
      <c r="X203" s="207">
        <v>55</v>
      </c>
      <c r="Y203" s="207" t="s">
        <v>64</v>
      </c>
      <c r="Z203" s="133">
        <f t="shared" si="273"/>
        <v>1.6128910667169243</v>
      </c>
      <c r="AA203" s="133"/>
      <c r="AB203" s="175">
        <f t="shared" si="304"/>
        <v>1.4133937595537853</v>
      </c>
      <c r="AC203" s="175"/>
      <c r="AD203" s="213">
        <f t="shared" si="305"/>
        <v>0.1</v>
      </c>
      <c r="AE203" s="213">
        <v>0.1</v>
      </c>
      <c r="AF203" s="215">
        <v>0.222</v>
      </c>
      <c r="AG203" s="215" t="s">
        <v>9</v>
      </c>
      <c r="AH203" s="148">
        <f t="shared" si="330"/>
        <v>1.4133937595537853</v>
      </c>
      <c r="AI203" s="122">
        <f t="shared" si="307"/>
        <v>0.22199999999999998</v>
      </c>
      <c r="AJ203" s="444"/>
      <c r="AK203" s="177">
        <f t="shared" si="308"/>
        <v>1.3584126984126985</v>
      </c>
      <c r="AL203" s="178">
        <f t="shared" si="309"/>
        <v>1.2218003832587165</v>
      </c>
      <c r="AM203" s="125">
        <f t="shared" si="310"/>
        <v>0.15777777777777768</v>
      </c>
      <c r="AN203" s="125">
        <f t="shared" si="373"/>
        <v>0.13555555555555565</v>
      </c>
      <c r="AO203" s="140"/>
      <c r="AP203" s="17" t="s">
        <v>1225</v>
      </c>
      <c r="AQ203" s="179">
        <v>5.5E-2</v>
      </c>
      <c r="AR203" s="179">
        <v>7.5179999999999998</v>
      </c>
      <c r="AS203" s="182"/>
      <c r="AT203" s="179">
        <v>0.16</v>
      </c>
      <c r="AU203" s="180">
        <f t="shared" si="376"/>
        <v>8.3979999999999997</v>
      </c>
      <c r="AV203" s="180">
        <f t="shared" si="302"/>
        <v>8.5579999999999998</v>
      </c>
      <c r="AW203" s="433">
        <f t="shared" si="303"/>
        <v>1.2225714285714286</v>
      </c>
      <c r="AX203" s="126">
        <f t="shared" si="375"/>
        <v>1.099620344932845</v>
      </c>
      <c r="AY203" s="130" t="s">
        <v>452</v>
      </c>
      <c r="AZ203" s="128" t="s">
        <v>260</v>
      </c>
      <c r="BB203" s="176">
        <f t="shared" si="338"/>
        <v>4.7113125318459517</v>
      </c>
      <c r="BC203" s="176">
        <f t="shared" si="339"/>
        <v>2.8267875191075711</v>
      </c>
      <c r="BD203" s="176">
        <f t="shared" si="340"/>
        <v>2.3556562659229758</v>
      </c>
      <c r="BE203" s="176">
        <f t="shared" si="341"/>
        <v>1.8845250127383808</v>
      </c>
    </row>
    <row r="204" spans="1:58" s="129" customFormat="1" hidden="1">
      <c r="A204" s="88" t="s">
        <v>1302</v>
      </c>
      <c r="B204" s="88" t="s">
        <v>1318</v>
      </c>
      <c r="C204" s="88" t="s">
        <v>1318</v>
      </c>
      <c r="D204" s="88" t="s">
        <v>55</v>
      </c>
      <c r="E204" s="89" t="s">
        <v>395</v>
      </c>
      <c r="F204" s="90" t="s">
        <v>447</v>
      </c>
      <c r="G204" s="131" t="s">
        <v>253</v>
      </c>
      <c r="H204" s="92">
        <v>26</v>
      </c>
      <c r="I204" s="167" t="s">
        <v>492</v>
      </c>
      <c r="J204" s="167" t="str">
        <f>_xlfn.XLOOKUP(I204,[1]Sheet1!$A:$A,[1]Sheet1!$B:$B,"")</f>
        <v>U0403014</v>
      </c>
      <c r="K204" s="90" t="s">
        <v>493</v>
      </c>
      <c r="L204" s="90" t="s">
        <v>494</v>
      </c>
      <c r="M204" s="92"/>
      <c r="N204" s="89" t="s">
        <v>60</v>
      </c>
      <c r="O204" s="165"/>
      <c r="P204" s="88" t="s">
        <v>1446</v>
      </c>
      <c r="Q204" s="92" t="s">
        <v>402</v>
      </c>
      <c r="R204" s="92">
        <v>960</v>
      </c>
      <c r="S204" s="123" t="e">
        <v>#N/A</v>
      </c>
      <c r="T204" s="131" t="s">
        <v>403</v>
      </c>
      <c r="U204" s="155">
        <v>0</v>
      </c>
      <c r="V204" s="207">
        <v>50</v>
      </c>
      <c r="W204" s="207">
        <v>45</v>
      </c>
      <c r="X204" s="207">
        <v>55</v>
      </c>
      <c r="Y204" s="207" t="s">
        <v>64</v>
      </c>
      <c r="Z204" s="133">
        <f t="shared" ref="Z204:Z291" si="377">AW204/(1-(AF204+2%))</f>
        <v>2.3989822842065585</v>
      </c>
      <c r="AA204" s="133"/>
      <c r="AB204" s="175">
        <f t="shared" si="304"/>
        <v>2.1148564107272332</v>
      </c>
      <c r="AC204" s="175"/>
      <c r="AD204" s="213">
        <f t="shared" si="305"/>
        <v>0.1</v>
      </c>
      <c r="AE204" s="213">
        <v>0.1</v>
      </c>
      <c r="AF204" s="215">
        <v>0.222</v>
      </c>
      <c r="AG204" s="215" t="s">
        <v>9</v>
      </c>
      <c r="AH204" s="148">
        <f t="shared" si="330"/>
        <v>2.1148564107272332</v>
      </c>
      <c r="AI204" s="122">
        <f t="shared" si="307"/>
        <v>0.22199999999999998</v>
      </c>
      <c r="AJ204" s="444"/>
      <c r="AK204" s="177">
        <f t="shared" si="308"/>
        <v>2.0204761904761903</v>
      </c>
      <c r="AL204" s="178">
        <f t="shared" si="309"/>
        <v>1.828175875050875</v>
      </c>
      <c r="AM204" s="125">
        <f t="shared" si="310"/>
        <v>0.15777777777777779</v>
      </c>
      <c r="AN204" s="125">
        <f t="shared" si="373"/>
        <v>0.13555555555555554</v>
      </c>
      <c r="AO204" s="140"/>
      <c r="AP204" s="17" t="s">
        <v>1225</v>
      </c>
      <c r="AQ204" s="179">
        <v>9.0999999999999998E-2</v>
      </c>
      <c r="AR204" s="179">
        <v>11.113</v>
      </c>
      <c r="AS204" s="182"/>
      <c r="AT204" s="179">
        <v>0.16</v>
      </c>
      <c r="AU204" s="180">
        <f t="shared" si="376"/>
        <v>12.568999999999999</v>
      </c>
      <c r="AV204" s="180">
        <f t="shared" si="302"/>
        <v>12.728999999999999</v>
      </c>
      <c r="AW204" s="433">
        <f t="shared" si="303"/>
        <v>1.8184285714285713</v>
      </c>
      <c r="AX204" s="126">
        <f t="shared" si="375"/>
        <v>1.6453582875457875</v>
      </c>
      <c r="AY204" s="130" t="s">
        <v>452</v>
      </c>
      <c r="AZ204" s="128" t="s">
        <v>260</v>
      </c>
      <c r="BB204" s="176">
        <f t="shared" si="338"/>
        <v>7.0495213690907779</v>
      </c>
      <c r="BC204" s="176">
        <f t="shared" si="339"/>
        <v>4.2297128214544664</v>
      </c>
      <c r="BD204" s="176">
        <f t="shared" si="340"/>
        <v>3.5247606845453889</v>
      </c>
      <c r="BE204" s="176">
        <f t="shared" si="341"/>
        <v>2.8198085476363115</v>
      </c>
    </row>
    <row r="205" spans="1:58" s="129" customFormat="1" hidden="1">
      <c r="A205" s="88" t="s">
        <v>1302</v>
      </c>
      <c r="B205" s="88" t="s">
        <v>1318</v>
      </c>
      <c r="C205" s="88" t="s">
        <v>1318</v>
      </c>
      <c r="D205" s="88" t="s">
        <v>55</v>
      </c>
      <c r="E205" s="89" t="s">
        <v>395</v>
      </c>
      <c r="F205" s="90" t="s">
        <v>447</v>
      </c>
      <c r="G205" s="131" t="s">
        <v>253</v>
      </c>
      <c r="H205" s="92">
        <v>26</v>
      </c>
      <c r="I205" s="167" t="s">
        <v>495</v>
      </c>
      <c r="J205" s="167" t="str">
        <f>_xlfn.XLOOKUP(I205,[1]Sheet1!$A:$A,[1]Sheet1!$B:$B,"")</f>
        <v>U0403010</v>
      </c>
      <c r="K205" s="90" t="s">
        <v>496</v>
      </c>
      <c r="L205" s="90" t="s">
        <v>497</v>
      </c>
      <c r="M205" s="92"/>
      <c r="N205" s="89" t="s">
        <v>60</v>
      </c>
      <c r="O205" s="165"/>
      <c r="P205" s="88" t="s">
        <v>1446</v>
      </c>
      <c r="Q205" s="92" t="s">
        <v>402</v>
      </c>
      <c r="R205" s="92">
        <v>640</v>
      </c>
      <c r="S205" s="123" t="e">
        <v>#N/A</v>
      </c>
      <c r="T205" s="131" t="s">
        <v>403</v>
      </c>
      <c r="U205" s="155">
        <v>0</v>
      </c>
      <c r="V205" s="207">
        <v>50</v>
      </c>
      <c r="W205" s="207">
        <v>45</v>
      </c>
      <c r="X205" s="207">
        <v>55</v>
      </c>
      <c r="Y205" s="207" t="s">
        <v>64</v>
      </c>
      <c r="Z205" s="133">
        <f t="shared" si="377"/>
        <v>4.2606483226535996</v>
      </c>
      <c r="AA205" s="133"/>
      <c r="AB205" s="175">
        <f t="shared" si="304"/>
        <v>3.7236969284286121</v>
      </c>
      <c r="AC205" s="175"/>
      <c r="AD205" s="213">
        <f t="shared" si="305"/>
        <v>0.1</v>
      </c>
      <c r="AE205" s="213">
        <v>0.1</v>
      </c>
      <c r="AF205" s="215">
        <v>0.222</v>
      </c>
      <c r="AG205" s="215" t="s">
        <v>9</v>
      </c>
      <c r="AH205" s="148">
        <f t="shared" si="330"/>
        <v>3.7236969284286121</v>
      </c>
      <c r="AI205" s="122">
        <f t="shared" si="307"/>
        <v>0.22199999999999998</v>
      </c>
      <c r="AJ205" s="444"/>
      <c r="AK205" s="177">
        <f t="shared" si="308"/>
        <v>3.5884126984126983</v>
      </c>
      <c r="AL205" s="178">
        <f t="shared" si="309"/>
        <v>3.2189291225749557</v>
      </c>
      <c r="AM205" s="125">
        <f t="shared" si="310"/>
        <v>0.15777777777777779</v>
      </c>
      <c r="AN205" s="125">
        <f t="shared" si="373"/>
        <v>0.13555555555555554</v>
      </c>
      <c r="AO205" s="140"/>
      <c r="AP205" s="17" t="s">
        <v>1225</v>
      </c>
      <c r="AQ205" s="179">
        <v>0.182</v>
      </c>
      <c r="AR205" s="179">
        <v>19.535</v>
      </c>
      <c r="AS205" s="182"/>
      <c r="AT205" s="179">
        <v>0.16</v>
      </c>
      <c r="AU205" s="180">
        <f t="shared" si="376"/>
        <v>22.446999999999999</v>
      </c>
      <c r="AV205" s="180">
        <f t="shared" si="302"/>
        <v>22.606999999999999</v>
      </c>
      <c r="AW205" s="433">
        <f t="shared" si="303"/>
        <v>3.2295714285714285</v>
      </c>
      <c r="AX205" s="126">
        <f t="shared" si="375"/>
        <v>2.8970362103174603</v>
      </c>
      <c r="AY205" s="130" t="s">
        <v>452</v>
      </c>
      <c r="AZ205" s="128" t="s">
        <v>260</v>
      </c>
      <c r="BB205" s="176">
        <f t="shared" si="338"/>
        <v>12.412323094762041</v>
      </c>
      <c r="BC205" s="176">
        <f t="shared" si="339"/>
        <v>7.4473938568572242</v>
      </c>
      <c r="BD205" s="176">
        <f t="shared" si="340"/>
        <v>6.2061615473810203</v>
      </c>
      <c r="BE205" s="176">
        <f t="shared" si="341"/>
        <v>4.9649292379048164</v>
      </c>
    </row>
    <row r="206" spans="1:58" s="129" customFormat="1" hidden="1">
      <c r="A206" s="90" t="s">
        <v>1276</v>
      </c>
      <c r="B206" s="88" t="s">
        <v>1317</v>
      </c>
      <c r="C206" s="88" t="s">
        <v>1318</v>
      </c>
      <c r="D206" s="90" t="s">
        <v>55</v>
      </c>
      <c r="E206" s="89" t="s">
        <v>395</v>
      </c>
      <c r="F206" s="90" t="s">
        <v>498</v>
      </c>
      <c r="G206" s="131" t="s">
        <v>266</v>
      </c>
      <c r="H206" s="92">
        <v>24</v>
      </c>
      <c r="I206" s="167" t="s">
        <v>499</v>
      </c>
      <c r="J206" s="167" t="str">
        <f>_xlfn.XLOOKUP(I206,[1]Sheet1!$A:$A,[1]Sheet1!$B:$B,"")</f>
        <v>U0404001</v>
      </c>
      <c r="K206" s="90" t="s">
        <v>500</v>
      </c>
      <c r="L206" s="90" t="s">
        <v>1543</v>
      </c>
      <c r="M206" s="92"/>
      <c r="N206" s="89" t="s">
        <v>60</v>
      </c>
      <c r="O206" s="92"/>
      <c r="P206" s="88" t="s">
        <v>1446</v>
      </c>
      <c r="Q206" s="92" t="s">
        <v>402</v>
      </c>
      <c r="R206" s="92">
        <v>4800</v>
      </c>
      <c r="S206" s="123" t="s">
        <v>501</v>
      </c>
      <c r="T206" s="92" t="s">
        <v>403</v>
      </c>
      <c r="U206" s="155">
        <v>0</v>
      </c>
      <c r="V206" s="207">
        <v>50</v>
      </c>
      <c r="W206" s="207">
        <v>45</v>
      </c>
      <c r="X206" s="207">
        <v>55</v>
      </c>
      <c r="Y206" s="207" t="s">
        <v>64</v>
      </c>
      <c r="Z206" s="133">
        <f t="shared" ref="Z206:Z221" si="378">AW206/(1-(AF206+2%))</f>
        <v>0.46234138354482207</v>
      </c>
      <c r="AA206" s="133"/>
      <c r="AB206" s="175">
        <f t="shared" ref="AB206:AB221" si="379">AX206/(1-AF206)</f>
        <v>0.40954504525186991</v>
      </c>
      <c r="AC206" s="175"/>
      <c r="AD206" s="213">
        <f t="shared" ref="AD206:AD221" si="380">AE206</f>
        <v>0.1</v>
      </c>
      <c r="AE206" s="213">
        <v>0.1</v>
      </c>
      <c r="AF206" s="215">
        <v>0.28200000000000003</v>
      </c>
      <c r="AG206" s="215" t="s">
        <v>9</v>
      </c>
      <c r="AH206" s="148">
        <f t="shared" si="330"/>
        <v>0.40954504525186991</v>
      </c>
      <c r="AI206" s="122">
        <f t="shared" ref="AI206:AI221" si="381">1-(AX206/AH206)</f>
        <v>0.28200000000000003</v>
      </c>
      <c r="AJ206" s="444"/>
      <c r="AK206" s="177">
        <f t="shared" ref="AK206:AK221" si="382">AW206/(1-AD206)</f>
        <v>0.35857142857142865</v>
      </c>
      <c r="AL206" s="178">
        <f t="shared" ref="AL206:AL221" si="383">AX206/(1-AE206)</f>
        <v>0.3267259361009362</v>
      </c>
      <c r="AM206" s="125">
        <f t="shared" ref="AM206:AM221" si="384">1-(AK206/Z206)</f>
        <v>0.22444444444444445</v>
      </c>
      <c r="AN206" s="125">
        <f t="shared" ref="AN206:AN221" si="385">1-(AL206/AB206)</f>
        <v>0.2022222222222223</v>
      </c>
      <c r="AO206" s="140"/>
      <c r="AP206" s="17" t="s">
        <v>1225</v>
      </c>
      <c r="AQ206" s="179">
        <v>7.0000000000000001E-3</v>
      </c>
      <c r="AR206" s="179">
        <v>1.9870000000000001</v>
      </c>
      <c r="AS206" s="162"/>
      <c r="AT206" s="179">
        <v>0.16</v>
      </c>
      <c r="AU206" s="180">
        <f t="shared" si="376"/>
        <v>2.0990000000000002</v>
      </c>
      <c r="AV206" s="180">
        <f t="shared" ref="AV206:AV221" si="386">AT206+AU206</f>
        <v>2.2590000000000003</v>
      </c>
      <c r="AW206" s="433">
        <f>(AT206+AU206)/$F$5</f>
        <v>0.32271428571428579</v>
      </c>
      <c r="AX206" s="126">
        <f t="shared" ref="AX206:AX221" si="387">(AW206/$F$6)+(($F$9+$G$9)/40/R206)+AW206*U206</f>
        <v>0.29405334249084258</v>
      </c>
      <c r="AY206" s="130" t="s">
        <v>502</v>
      </c>
      <c r="AZ206" s="128" t="s">
        <v>260</v>
      </c>
      <c r="BB206" s="176">
        <f t="shared" si="338"/>
        <v>1.3651501508395665</v>
      </c>
      <c r="BC206" s="176">
        <f t="shared" si="339"/>
        <v>0.81909009050373982</v>
      </c>
      <c r="BD206" s="176">
        <f t="shared" si="340"/>
        <v>0.68257507541978324</v>
      </c>
      <c r="BE206" s="176">
        <f t="shared" si="341"/>
        <v>0.54606006033582666</v>
      </c>
    </row>
    <row r="207" spans="1:58" s="129" customFormat="1" hidden="1">
      <c r="A207" s="90" t="s">
        <v>1276</v>
      </c>
      <c r="B207" s="88" t="s">
        <v>1317</v>
      </c>
      <c r="C207" s="88" t="s">
        <v>1318</v>
      </c>
      <c r="D207" s="90" t="s">
        <v>55</v>
      </c>
      <c r="E207" s="90" t="s">
        <v>395</v>
      </c>
      <c r="F207" s="90" t="s">
        <v>498</v>
      </c>
      <c r="G207" s="131" t="s">
        <v>266</v>
      </c>
      <c r="H207" s="92">
        <v>24</v>
      </c>
      <c r="I207" s="167" t="s">
        <v>503</v>
      </c>
      <c r="J207" s="167" t="str">
        <f>_xlfn.XLOOKUP(I207,[1]Sheet1!$A:$A,[1]Sheet1!$B:$B,"")</f>
        <v>U0404002</v>
      </c>
      <c r="K207" s="90" t="s">
        <v>1530</v>
      </c>
      <c r="L207" s="90" t="s">
        <v>504</v>
      </c>
      <c r="M207" s="92"/>
      <c r="N207" s="89" t="s">
        <v>60</v>
      </c>
      <c r="O207" s="92"/>
      <c r="P207" s="88" t="s">
        <v>1446</v>
      </c>
      <c r="Q207" s="92" t="s">
        <v>402</v>
      </c>
      <c r="R207" s="92">
        <v>4800</v>
      </c>
      <c r="S207" s="123" t="s">
        <v>505</v>
      </c>
      <c r="T207" s="92" t="s">
        <v>403</v>
      </c>
      <c r="U207" s="155">
        <v>0</v>
      </c>
      <c r="V207" s="207">
        <v>50</v>
      </c>
      <c r="W207" s="207">
        <v>45</v>
      </c>
      <c r="X207" s="207">
        <v>55</v>
      </c>
      <c r="Y207" s="207" t="s">
        <v>64</v>
      </c>
      <c r="Z207" s="133">
        <f t="shared" si="378"/>
        <v>0.52885796152271813</v>
      </c>
      <c r="AA207" s="133"/>
      <c r="AB207" s="175">
        <f t="shared" si="379"/>
        <v>0.46481320636961326</v>
      </c>
      <c r="AC207" s="175"/>
      <c r="AD207" s="213">
        <f t="shared" si="380"/>
        <v>0.1</v>
      </c>
      <c r="AE207" s="213">
        <v>0.1</v>
      </c>
      <c r="AF207" s="215">
        <v>0.28200000000000003</v>
      </c>
      <c r="AG207" s="215" t="s">
        <v>9</v>
      </c>
      <c r="AH207" s="148">
        <f t="shared" si="330"/>
        <v>0.46481320636961326</v>
      </c>
      <c r="AI207" s="122">
        <f t="shared" si="381"/>
        <v>0.28200000000000003</v>
      </c>
      <c r="AJ207" s="444"/>
      <c r="AK207" s="177">
        <f t="shared" si="382"/>
        <v>0.41015873015873022</v>
      </c>
      <c r="AL207" s="178">
        <f t="shared" si="383"/>
        <v>0.37081764685931368</v>
      </c>
      <c r="AM207" s="125">
        <f t="shared" si="384"/>
        <v>0.22444444444444456</v>
      </c>
      <c r="AN207" s="125">
        <f t="shared" si="385"/>
        <v>0.2022222222222223</v>
      </c>
      <c r="AO207" s="140"/>
      <c r="AP207" s="17" t="s">
        <v>1225</v>
      </c>
      <c r="AQ207" s="179">
        <v>1.2E-2</v>
      </c>
      <c r="AR207" s="179">
        <v>2.2320000000000002</v>
      </c>
      <c r="AS207" s="162"/>
      <c r="AT207" s="179">
        <v>0.16</v>
      </c>
      <c r="AU207" s="180">
        <f t="shared" si="376"/>
        <v>2.4240000000000004</v>
      </c>
      <c r="AV207" s="180">
        <f t="shared" si="386"/>
        <v>2.5840000000000005</v>
      </c>
      <c r="AW207" s="433">
        <f t="shared" ref="AW207:AW221" si="388">(AT207+AU207)/$F$5</f>
        <v>0.36914285714285722</v>
      </c>
      <c r="AX207" s="126">
        <f t="shared" si="387"/>
        <v>0.33373588217338229</v>
      </c>
      <c r="AY207" s="130" t="s">
        <v>502</v>
      </c>
      <c r="AZ207" s="128" t="s">
        <v>260</v>
      </c>
      <c r="BB207" s="176">
        <f t="shared" si="338"/>
        <v>1.5493773545653775</v>
      </c>
      <c r="BC207" s="176">
        <f t="shared" si="339"/>
        <v>0.92962641273922642</v>
      </c>
      <c r="BD207" s="176">
        <f t="shared" si="340"/>
        <v>0.77468867728268875</v>
      </c>
      <c r="BE207" s="176">
        <f t="shared" si="341"/>
        <v>0.61975094182615109</v>
      </c>
    </row>
    <row r="208" spans="1:58" s="129" customFormat="1" hidden="1">
      <c r="A208" s="90" t="s">
        <v>1276</v>
      </c>
      <c r="B208" s="88" t="s">
        <v>1317</v>
      </c>
      <c r="C208" s="88" t="s">
        <v>1318</v>
      </c>
      <c r="D208" s="90" t="s">
        <v>55</v>
      </c>
      <c r="E208" s="90" t="s">
        <v>395</v>
      </c>
      <c r="F208" s="90" t="s">
        <v>498</v>
      </c>
      <c r="G208" s="131" t="s">
        <v>266</v>
      </c>
      <c r="H208" s="92">
        <v>24</v>
      </c>
      <c r="I208" s="167" t="s">
        <v>506</v>
      </c>
      <c r="J208" s="167" t="str">
        <f>_xlfn.XLOOKUP(I208,[1]Sheet1!$A:$A,[1]Sheet1!$B:$B,"")</f>
        <v>U0404004</v>
      </c>
      <c r="K208" s="90" t="s">
        <v>1531</v>
      </c>
      <c r="L208" s="90" t="s">
        <v>507</v>
      </c>
      <c r="M208" s="92"/>
      <c r="N208" s="89" t="s">
        <v>60</v>
      </c>
      <c r="O208" s="92"/>
      <c r="P208" s="88" t="s">
        <v>1446</v>
      </c>
      <c r="Q208" s="92" t="s">
        <v>402</v>
      </c>
      <c r="R208" s="92">
        <v>3200</v>
      </c>
      <c r="S208" s="123" t="s">
        <v>508</v>
      </c>
      <c r="T208" s="92" t="s">
        <v>403</v>
      </c>
      <c r="U208" s="155">
        <v>0</v>
      </c>
      <c r="V208" s="207">
        <v>50</v>
      </c>
      <c r="W208" s="207">
        <v>45</v>
      </c>
      <c r="X208" s="207">
        <v>55</v>
      </c>
      <c r="Y208" s="207" t="s">
        <v>64</v>
      </c>
      <c r="Z208" s="133">
        <f t="shared" si="378"/>
        <v>0.70978305362259519</v>
      </c>
      <c r="AA208" s="133"/>
      <c r="AB208" s="175">
        <f t="shared" si="379"/>
        <v>0.62783701036660655</v>
      </c>
      <c r="AC208" s="175"/>
      <c r="AD208" s="213">
        <f t="shared" si="380"/>
        <v>0.1</v>
      </c>
      <c r="AE208" s="213">
        <v>0.1</v>
      </c>
      <c r="AF208" s="215">
        <v>0.28200000000000003</v>
      </c>
      <c r="AG208" s="215" t="s">
        <v>9</v>
      </c>
      <c r="AH208" s="148">
        <f t="shared" si="330"/>
        <v>0.62783701036660655</v>
      </c>
      <c r="AI208" s="122">
        <f t="shared" si="381"/>
        <v>0.28200000000000003</v>
      </c>
      <c r="AJ208" s="444"/>
      <c r="AK208" s="177">
        <f t="shared" si="382"/>
        <v>0.55047619047619045</v>
      </c>
      <c r="AL208" s="178">
        <f t="shared" si="383"/>
        <v>0.50087441493691498</v>
      </c>
      <c r="AM208" s="125">
        <f t="shared" si="384"/>
        <v>0.22444444444444456</v>
      </c>
      <c r="AN208" s="125">
        <f t="shared" si="385"/>
        <v>0.2022222222222223</v>
      </c>
      <c r="AO208" s="140"/>
      <c r="AP208" s="17" t="s">
        <v>1225</v>
      </c>
      <c r="AQ208" s="179">
        <v>2.4E-2</v>
      </c>
      <c r="AR208" s="179">
        <v>2.9239999999999999</v>
      </c>
      <c r="AS208" s="162"/>
      <c r="AT208" s="179">
        <v>0.16</v>
      </c>
      <c r="AU208" s="180">
        <f t="shared" si="376"/>
        <v>3.3079999999999998</v>
      </c>
      <c r="AV208" s="180">
        <f t="shared" si="386"/>
        <v>3.468</v>
      </c>
      <c r="AW208" s="433">
        <f t="shared" si="388"/>
        <v>0.49542857142857144</v>
      </c>
      <c r="AX208" s="126">
        <f t="shared" si="387"/>
        <v>0.45078697344322349</v>
      </c>
      <c r="AY208" s="130" t="s">
        <v>502</v>
      </c>
      <c r="AZ208" s="128" t="s">
        <v>260</v>
      </c>
      <c r="BB208" s="176">
        <f t="shared" si="338"/>
        <v>2.0927900345553554</v>
      </c>
      <c r="BC208" s="176">
        <f t="shared" si="339"/>
        <v>1.2556740207332131</v>
      </c>
      <c r="BD208" s="176">
        <f t="shared" si="340"/>
        <v>1.0463950172776777</v>
      </c>
      <c r="BE208" s="176">
        <f t="shared" si="341"/>
        <v>0.83711601382214218</v>
      </c>
    </row>
    <row r="209" spans="1:57" s="129" customFormat="1" hidden="1">
      <c r="A209" s="90" t="s">
        <v>1276</v>
      </c>
      <c r="B209" s="88" t="s">
        <v>1317</v>
      </c>
      <c r="C209" s="88" t="s">
        <v>1318</v>
      </c>
      <c r="D209" s="90" t="s">
        <v>55</v>
      </c>
      <c r="E209" s="90" t="s">
        <v>395</v>
      </c>
      <c r="F209" s="90" t="s">
        <v>498</v>
      </c>
      <c r="G209" s="131" t="s">
        <v>266</v>
      </c>
      <c r="H209" s="92">
        <v>24</v>
      </c>
      <c r="I209" s="167" t="s">
        <v>509</v>
      </c>
      <c r="J209" s="167" t="str">
        <f>_xlfn.XLOOKUP(I209,[1]Sheet1!$A:$A,[1]Sheet1!$B:$B,"")</f>
        <v>U0404005</v>
      </c>
      <c r="K209" s="90" t="s">
        <v>1532</v>
      </c>
      <c r="L209" s="90" t="s">
        <v>510</v>
      </c>
      <c r="M209" s="92"/>
      <c r="N209" s="89" t="s">
        <v>60</v>
      </c>
      <c r="O209" s="92"/>
      <c r="P209" s="88" t="s">
        <v>1446</v>
      </c>
      <c r="Q209" s="92" t="s">
        <v>402</v>
      </c>
      <c r="R209" s="92">
        <v>2240</v>
      </c>
      <c r="S209" s="123" t="s">
        <v>511</v>
      </c>
      <c r="T209" s="92" t="s">
        <v>403</v>
      </c>
      <c r="U209" s="155">
        <v>0</v>
      </c>
      <c r="V209" s="207">
        <v>50</v>
      </c>
      <c r="W209" s="207">
        <v>45</v>
      </c>
      <c r="X209" s="207">
        <v>55</v>
      </c>
      <c r="Y209" s="207" t="s">
        <v>64</v>
      </c>
      <c r="Z209" s="133">
        <f t="shared" si="378"/>
        <v>1.0587392550143266</v>
      </c>
      <c r="AA209" s="133"/>
      <c r="AB209" s="175">
        <f t="shared" si="379"/>
        <v>0.93410366521438948</v>
      </c>
      <c r="AC209" s="175"/>
      <c r="AD209" s="213">
        <f t="shared" si="380"/>
        <v>0.1</v>
      </c>
      <c r="AE209" s="213">
        <v>0.1</v>
      </c>
      <c r="AF209" s="215">
        <v>0.28200000000000003</v>
      </c>
      <c r="AG209" s="215" t="s">
        <v>9</v>
      </c>
      <c r="AH209" s="148">
        <f t="shared" si="330"/>
        <v>0.93410366521438948</v>
      </c>
      <c r="AI209" s="122">
        <f t="shared" si="381"/>
        <v>0.28200000000000003</v>
      </c>
      <c r="AJ209" s="444"/>
      <c r="AK209" s="177">
        <f t="shared" si="382"/>
        <v>0.82111111111111112</v>
      </c>
      <c r="AL209" s="178">
        <f t="shared" si="383"/>
        <v>0.7452071462488129</v>
      </c>
      <c r="AM209" s="125">
        <f t="shared" si="384"/>
        <v>0.22444444444444445</v>
      </c>
      <c r="AN209" s="125">
        <f t="shared" si="385"/>
        <v>0.2022222222222223</v>
      </c>
      <c r="AO209" s="140"/>
      <c r="AP209" s="17" t="s">
        <v>1225</v>
      </c>
      <c r="AQ209" s="179">
        <v>4.7E-2</v>
      </c>
      <c r="AR209" s="179">
        <v>4.2610000000000001</v>
      </c>
      <c r="AS209" s="162"/>
      <c r="AT209" s="179">
        <v>0.16</v>
      </c>
      <c r="AU209" s="180">
        <f t="shared" si="376"/>
        <v>5.0129999999999999</v>
      </c>
      <c r="AV209" s="180">
        <f t="shared" si="386"/>
        <v>5.173</v>
      </c>
      <c r="AW209" s="433">
        <f t="shared" si="388"/>
        <v>0.73899999999999999</v>
      </c>
      <c r="AX209" s="126">
        <f t="shared" si="387"/>
        <v>0.6706864316239316</v>
      </c>
      <c r="AY209" s="130" t="s">
        <v>502</v>
      </c>
      <c r="AZ209" s="128" t="s">
        <v>260</v>
      </c>
      <c r="BB209" s="176">
        <f t="shared" si="338"/>
        <v>3.1136788840479652</v>
      </c>
      <c r="BC209" s="176">
        <f t="shared" si="339"/>
        <v>1.868207330428779</v>
      </c>
      <c r="BD209" s="176">
        <f t="shared" si="340"/>
        <v>1.5568394420239826</v>
      </c>
      <c r="BE209" s="176">
        <f t="shared" si="341"/>
        <v>1.2454715536191863</v>
      </c>
    </row>
    <row r="210" spans="1:57" s="129" customFormat="1" hidden="1">
      <c r="A210" s="90" t="s">
        <v>1276</v>
      </c>
      <c r="B210" s="88" t="s">
        <v>1317</v>
      </c>
      <c r="C210" s="88" t="s">
        <v>1318</v>
      </c>
      <c r="D210" s="90" t="s">
        <v>55</v>
      </c>
      <c r="E210" s="90" t="s">
        <v>395</v>
      </c>
      <c r="F210" s="90" t="s">
        <v>498</v>
      </c>
      <c r="G210" s="131" t="s">
        <v>266</v>
      </c>
      <c r="H210" s="92">
        <v>24</v>
      </c>
      <c r="I210" s="167" t="s">
        <v>3272</v>
      </c>
      <c r="J210" s="167" t="str">
        <f>_xlfn.XLOOKUP(I210,[1]Sheet1!$A:$A,[1]Sheet1!$B:$B,"")</f>
        <v>U0404006</v>
      </c>
      <c r="K210" s="90" t="s">
        <v>1533</v>
      </c>
      <c r="L210" s="90" t="s">
        <v>512</v>
      </c>
      <c r="M210" s="92"/>
      <c r="N210" s="89" t="s">
        <v>60</v>
      </c>
      <c r="O210" s="92"/>
      <c r="P210" s="88" t="s">
        <v>1446</v>
      </c>
      <c r="Q210" s="92" t="s">
        <v>402</v>
      </c>
      <c r="R210" s="92">
        <v>1600</v>
      </c>
      <c r="S210" s="123" t="s">
        <v>513</v>
      </c>
      <c r="T210" s="92" t="s">
        <v>403</v>
      </c>
      <c r="U210" s="155">
        <v>0</v>
      </c>
      <c r="V210" s="207">
        <v>50</v>
      </c>
      <c r="W210" s="207">
        <v>45</v>
      </c>
      <c r="X210" s="207">
        <v>55</v>
      </c>
      <c r="Y210" s="207" t="s">
        <v>64</v>
      </c>
      <c r="Z210" s="133">
        <f t="shared" si="378"/>
        <v>1.408718788374949</v>
      </c>
      <c r="AA210" s="133"/>
      <c r="AB210" s="175">
        <f t="shared" si="379"/>
        <v>1.2466610590740119</v>
      </c>
      <c r="AC210" s="175"/>
      <c r="AD210" s="213">
        <f t="shared" si="380"/>
        <v>0.1</v>
      </c>
      <c r="AE210" s="213">
        <v>0.1</v>
      </c>
      <c r="AF210" s="215">
        <v>0.28200000000000003</v>
      </c>
      <c r="AG210" s="215" t="s">
        <v>9</v>
      </c>
      <c r="AH210" s="148">
        <f t="shared" si="330"/>
        <v>1.2466610590740119</v>
      </c>
      <c r="AI210" s="122">
        <f t="shared" si="381"/>
        <v>0.28200000000000003</v>
      </c>
      <c r="AJ210" s="444"/>
      <c r="AK210" s="177">
        <f t="shared" si="382"/>
        <v>1.0925396825396825</v>
      </c>
      <c r="AL210" s="178">
        <f t="shared" si="383"/>
        <v>0.99455848935015612</v>
      </c>
      <c r="AM210" s="125">
        <f t="shared" si="384"/>
        <v>0.22444444444444456</v>
      </c>
      <c r="AN210" s="125">
        <f t="shared" si="385"/>
        <v>0.2022222222222223</v>
      </c>
      <c r="AO210" s="140"/>
      <c r="AP210" s="17" t="s">
        <v>1225</v>
      </c>
      <c r="AQ210" s="179">
        <v>7.0000000000000007E-2</v>
      </c>
      <c r="AR210" s="179">
        <v>5.6029999999999998</v>
      </c>
      <c r="AS210" s="162"/>
      <c r="AT210" s="179">
        <v>0.16</v>
      </c>
      <c r="AU210" s="180">
        <f t="shared" si="376"/>
        <v>6.7229999999999999</v>
      </c>
      <c r="AV210" s="180">
        <f t="shared" si="386"/>
        <v>6.883</v>
      </c>
      <c r="AW210" s="433">
        <f t="shared" si="388"/>
        <v>0.98328571428571432</v>
      </c>
      <c r="AX210" s="126">
        <f t="shared" si="387"/>
        <v>0.89510264041514054</v>
      </c>
      <c r="AY210" s="130" t="s">
        <v>502</v>
      </c>
      <c r="AZ210" s="128" t="s">
        <v>260</v>
      </c>
      <c r="BB210" s="176">
        <f t="shared" si="338"/>
        <v>4.15553686358004</v>
      </c>
      <c r="BC210" s="176">
        <f t="shared" si="339"/>
        <v>2.4933221181480238</v>
      </c>
      <c r="BD210" s="176">
        <f t="shared" si="340"/>
        <v>2.07776843179002</v>
      </c>
      <c r="BE210" s="176">
        <f t="shared" si="341"/>
        <v>1.6622147454320162</v>
      </c>
    </row>
    <row r="211" spans="1:57" s="129" customFormat="1" hidden="1">
      <c r="A211" s="90" t="s">
        <v>1276</v>
      </c>
      <c r="B211" s="88" t="s">
        <v>1317</v>
      </c>
      <c r="C211" s="88" t="s">
        <v>1318</v>
      </c>
      <c r="D211" s="90" t="s">
        <v>55</v>
      </c>
      <c r="E211" s="90" t="s">
        <v>395</v>
      </c>
      <c r="F211" s="90" t="s">
        <v>498</v>
      </c>
      <c r="G211" s="131" t="s">
        <v>266</v>
      </c>
      <c r="H211" s="92">
        <v>24</v>
      </c>
      <c r="I211" s="167" t="s">
        <v>514</v>
      </c>
      <c r="J211" s="167" t="str">
        <f>_xlfn.XLOOKUP(I211,[1]Sheet1!$A:$A,[1]Sheet1!$B:$B,"")</f>
        <v>U0404007</v>
      </c>
      <c r="K211" s="90" t="s">
        <v>1534</v>
      </c>
      <c r="L211" s="90" t="s">
        <v>515</v>
      </c>
      <c r="M211" s="92"/>
      <c r="N211" s="89" t="s">
        <v>60</v>
      </c>
      <c r="O211" s="92"/>
      <c r="P211" s="88" t="s">
        <v>1446</v>
      </c>
      <c r="Q211" s="92" t="s">
        <v>402</v>
      </c>
      <c r="R211" s="92">
        <v>960</v>
      </c>
      <c r="S211" s="123" t="s">
        <v>516</v>
      </c>
      <c r="T211" s="92" t="s">
        <v>403</v>
      </c>
      <c r="U211" s="155">
        <v>0</v>
      </c>
      <c r="V211" s="207">
        <v>50</v>
      </c>
      <c r="W211" s="207">
        <v>45</v>
      </c>
      <c r="X211" s="207">
        <v>55</v>
      </c>
      <c r="Y211" s="207" t="s">
        <v>64</v>
      </c>
      <c r="Z211" s="133">
        <f t="shared" si="378"/>
        <v>2.1172738436348753</v>
      </c>
      <c r="AA211" s="133"/>
      <c r="AB211" s="175">
        <f t="shared" si="379"/>
        <v>1.8861721399151763</v>
      </c>
      <c r="AC211" s="175"/>
      <c r="AD211" s="213">
        <f t="shared" si="380"/>
        <v>0.1</v>
      </c>
      <c r="AE211" s="213">
        <v>0.1</v>
      </c>
      <c r="AF211" s="215">
        <v>0.28200000000000003</v>
      </c>
      <c r="AG211" s="215" t="s">
        <v>9</v>
      </c>
      <c r="AH211" s="148">
        <f t="shared" si="330"/>
        <v>1.8861721399151763</v>
      </c>
      <c r="AI211" s="122">
        <f t="shared" si="381"/>
        <v>0.28200000000000003</v>
      </c>
      <c r="AJ211" s="444"/>
      <c r="AK211" s="177">
        <f t="shared" si="382"/>
        <v>1.6420634920634922</v>
      </c>
      <c r="AL211" s="178">
        <f t="shared" si="383"/>
        <v>1.504746218287885</v>
      </c>
      <c r="AM211" s="125">
        <f t="shared" si="384"/>
        <v>0.22444444444444445</v>
      </c>
      <c r="AN211" s="125">
        <f t="shared" si="385"/>
        <v>0.2022222222222223</v>
      </c>
      <c r="AO211" s="140"/>
      <c r="AP211" s="17" t="s">
        <v>1225</v>
      </c>
      <c r="AQ211" s="179">
        <v>0.11700000000000001</v>
      </c>
      <c r="AR211" s="179">
        <v>8.3130000000000006</v>
      </c>
      <c r="AS211" s="162"/>
      <c r="AT211" s="179">
        <v>0.16</v>
      </c>
      <c r="AU211" s="180">
        <f t="shared" si="376"/>
        <v>10.185</v>
      </c>
      <c r="AV211" s="180">
        <f t="shared" si="386"/>
        <v>10.345000000000001</v>
      </c>
      <c r="AW211" s="433">
        <f t="shared" si="388"/>
        <v>1.477857142857143</v>
      </c>
      <c r="AX211" s="126">
        <f t="shared" si="387"/>
        <v>1.3542715964590966</v>
      </c>
      <c r="AY211" s="130" t="s">
        <v>502</v>
      </c>
      <c r="AZ211" s="128" t="s">
        <v>260</v>
      </c>
      <c r="BB211" s="176">
        <f t="shared" si="338"/>
        <v>6.2872404663839214</v>
      </c>
      <c r="BC211" s="176">
        <f t="shared" si="339"/>
        <v>3.7723442798303526</v>
      </c>
      <c r="BD211" s="176">
        <f t="shared" si="340"/>
        <v>3.1436202331919607</v>
      </c>
      <c r="BE211" s="176">
        <f t="shared" si="341"/>
        <v>2.5148961865535688</v>
      </c>
    </row>
    <row r="212" spans="1:57" s="129" customFormat="1" hidden="1">
      <c r="A212" s="90" t="s">
        <v>1276</v>
      </c>
      <c r="B212" s="88" t="s">
        <v>1317</v>
      </c>
      <c r="C212" s="88" t="s">
        <v>1318</v>
      </c>
      <c r="D212" s="90" t="s">
        <v>55</v>
      </c>
      <c r="E212" s="90" t="s">
        <v>395</v>
      </c>
      <c r="F212" s="90" t="s">
        <v>498</v>
      </c>
      <c r="G212" s="131" t="s">
        <v>266</v>
      </c>
      <c r="H212" s="92">
        <v>24</v>
      </c>
      <c r="I212" s="167" t="s">
        <v>517</v>
      </c>
      <c r="J212" s="167" t="str">
        <f>_xlfn.XLOOKUP(I212,[1]Sheet1!$A:$A,[1]Sheet1!$B:$B,"")</f>
        <v>U0404003</v>
      </c>
      <c r="K212" s="90" t="s">
        <v>1535</v>
      </c>
      <c r="L212" s="90" t="s">
        <v>518</v>
      </c>
      <c r="M212" s="92"/>
      <c r="N212" s="89" t="s">
        <v>60</v>
      </c>
      <c r="O212" s="92"/>
      <c r="P212" s="88" t="s">
        <v>1446</v>
      </c>
      <c r="Q212" s="92" t="s">
        <v>402</v>
      </c>
      <c r="R212" s="92">
        <v>640</v>
      </c>
      <c r="S212" s="123" t="s">
        <v>519</v>
      </c>
      <c r="T212" s="92" t="s">
        <v>403</v>
      </c>
      <c r="U212" s="155">
        <v>0</v>
      </c>
      <c r="V212" s="207">
        <v>50</v>
      </c>
      <c r="W212" s="207">
        <v>45</v>
      </c>
      <c r="X212" s="207">
        <v>55</v>
      </c>
      <c r="Y212" s="207" t="s">
        <v>64</v>
      </c>
      <c r="Z212" s="133">
        <f t="shared" si="378"/>
        <v>3.8264428980761367</v>
      </c>
      <c r="AA212" s="133"/>
      <c r="AB212" s="175">
        <f t="shared" si="379"/>
        <v>3.3697808256042943</v>
      </c>
      <c r="AC212" s="175"/>
      <c r="AD212" s="213">
        <f t="shared" si="380"/>
        <v>0.1</v>
      </c>
      <c r="AE212" s="213">
        <v>0.1</v>
      </c>
      <c r="AF212" s="215">
        <v>0.28200000000000003</v>
      </c>
      <c r="AG212" s="215" t="s">
        <v>9</v>
      </c>
      <c r="AH212" s="148">
        <f t="shared" si="330"/>
        <v>3.3697808256042943</v>
      </c>
      <c r="AI212" s="122">
        <f t="shared" si="381"/>
        <v>0.28200000000000003</v>
      </c>
      <c r="AJ212" s="444"/>
      <c r="AK212" s="177">
        <f t="shared" si="382"/>
        <v>2.9676190476190478</v>
      </c>
      <c r="AL212" s="178">
        <f t="shared" si="383"/>
        <v>2.6883362586487589</v>
      </c>
      <c r="AM212" s="125">
        <f t="shared" si="384"/>
        <v>0.22444444444444456</v>
      </c>
      <c r="AN212" s="125">
        <f t="shared" si="385"/>
        <v>0.2022222222222223</v>
      </c>
      <c r="AO212" s="140"/>
      <c r="AP212" s="17" t="s">
        <v>1225</v>
      </c>
      <c r="AQ212" s="179">
        <v>0.23300000000000001</v>
      </c>
      <c r="AR212" s="179">
        <v>14.808</v>
      </c>
      <c r="AS212" s="162"/>
      <c r="AT212" s="179">
        <v>0.16</v>
      </c>
      <c r="AU212" s="180">
        <f t="shared" si="376"/>
        <v>18.536000000000001</v>
      </c>
      <c r="AV212" s="180">
        <f t="shared" si="386"/>
        <v>18.696000000000002</v>
      </c>
      <c r="AW212" s="433">
        <f t="shared" si="388"/>
        <v>2.6708571428571433</v>
      </c>
      <c r="AX212" s="126">
        <f t="shared" si="387"/>
        <v>2.4195026327838831</v>
      </c>
      <c r="AY212" s="130" t="s">
        <v>502</v>
      </c>
      <c r="AZ212" s="128" t="s">
        <v>260</v>
      </c>
      <c r="BB212" s="176">
        <f t="shared" si="338"/>
        <v>11.232602752014314</v>
      </c>
      <c r="BC212" s="176">
        <f t="shared" si="339"/>
        <v>6.7395616512085885</v>
      </c>
      <c r="BD212" s="176">
        <f t="shared" si="340"/>
        <v>5.616301376007157</v>
      </c>
      <c r="BE212" s="176">
        <f t="shared" si="341"/>
        <v>4.4930411008057254</v>
      </c>
    </row>
    <row r="213" spans="1:57" s="129" customFormat="1" hidden="1">
      <c r="A213" s="90" t="s">
        <v>1276</v>
      </c>
      <c r="B213" s="88" t="s">
        <v>1317</v>
      </c>
      <c r="C213" s="88" t="s">
        <v>1318</v>
      </c>
      <c r="D213" s="90" t="s">
        <v>55</v>
      </c>
      <c r="E213" s="90" t="s">
        <v>395</v>
      </c>
      <c r="F213" s="90" t="s">
        <v>498</v>
      </c>
      <c r="G213" s="131" t="s">
        <v>266</v>
      </c>
      <c r="H213" s="92">
        <v>24</v>
      </c>
      <c r="I213" s="167" t="s">
        <v>3982</v>
      </c>
      <c r="J213" s="167" t="s">
        <v>3988</v>
      </c>
      <c r="K213" s="90" t="s">
        <v>3984</v>
      </c>
      <c r="L213" s="90" t="s">
        <v>3986</v>
      </c>
      <c r="M213" s="92"/>
      <c r="N213" s="89" t="s">
        <v>60</v>
      </c>
      <c r="O213" s="92"/>
      <c r="P213" s="88" t="s">
        <v>1446</v>
      </c>
      <c r="Q213" s="92" t="s">
        <v>402</v>
      </c>
      <c r="R213" s="92"/>
      <c r="S213" s="123"/>
      <c r="T213" s="92" t="s">
        <v>403</v>
      </c>
      <c r="U213" s="155">
        <v>0</v>
      </c>
      <c r="V213" s="207">
        <v>50</v>
      </c>
      <c r="W213" s="207">
        <v>45</v>
      </c>
      <c r="X213" s="207">
        <v>55</v>
      </c>
      <c r="Y213" s="207" t="s">
        <v>64</v>
      </c>
      <c r="Z213" s="133">
        <f t="shared" ref="Z213:Z214" si="389">AW213/(1-(AF213+2%))</f>
        <v>0</v>
      </c>
      <c r="AA213" s="133"/>
      <c r="AB213" s="175"/>
      <c r="AC213" s="175"/>
      <c r="AD213" s="213">
        <f t="shared" ref="AD213:AD214" si="390">AE213</f>
        <v>0.1</v>
      </c>
      <c r="AE213" s="213">
        <v>0.1</v>
      </c>
      <c r="AF213" s="215">
        <v>0.28200000000000003</v>
      </c>
      <c r="AG213" s="215" t="s">
        <v>9</v>
      </c>
      <c r="AH213" s="148"/>
      <c r="AI213" s="122"/>
      <c r="AJ213" s="444"/>
      <c r="AK213" s="177"/>
      <c r="AL213" s="178"/>
      <c r="AM213" s="125"/>
      <c r="AN213" s="125"/>
      <c r="AO213" s="140"/>
      <c r="AP213" s="17" t="s">
        <v>1225</v>
      </c>
      <c r="AQ213" s="179"/>
      <c r="AR213" s="179"/>
      <c r="AS213" s="162"/>
      <c r="AT213" s="179"/>
      <c r="AU213" s="180"/>
      <c r="AV213" s="180"/>
      <c r="AW213" s="433"/>
      <c r="AX213" s="126"/>
      <c r="AY213" s="130" t="s">
        <v>502</v>
      </c>
      <c r="AZ213" s="128" t="s">
        <v>260</v>
      </c>
      <c r="BB213" s="176">
        <f t="shared" ref="BB213:BB214" si="391">AB213/0.3</f>
        <v>0</v>
      </c>
      <c r="BC213" s="176">
        <f t="shared" ref="BC213:BC214" si="392">BB213*0.6</f>
        <v>0</v>
      </c>
      <c r="BD213" s="176">
        <f t="shared" ref="BD213:BD214" si="393">BB213*0.5</f>
        <v>0</v>
      </c>
      <c r="BE213" s="176">
        <f t="shared" ref="BE213:BE214" si="394">BB213*0.4</f>
        <v>0</v>
      </c>
    </row>
    <row r="214" spans="1:57" s="129" customFormat="1" hidden="1">
      <c r="A214" s="90" t="s">
        <v>1276</v>
      </c>
      <c r="B214" s="88" t="s">
        <v>1317</v>
      </c>
      <c r="C214" s="88" t="s">
        <v>1318</v>
      </c>
      <c r="D214" s="90" t="s">
        <v>55</v>
      </c>
      <c r="E214" s="90" t="s">
        <v>395</v>
      </c>
      <c r="F214" s="90" t="s">
        <v>498</v>
      </c>
      <c r="G214" s="131" t="s">
        <v>266</v>
      </c>
      <c r="H214" s="92">
        <v>24</v>
      </c>
      <c r="I214" s="167" t="s">
        <v>3983</v>
      </c>
      <c r="J214" s="167" t="s">
        <v>3989</v>
      </c>
      <c r="K214" s="90" t="s">
        <v>3985</v>
      </c>
      <c r="L214" s="90" t="s">
        <v>3987</v>
      </c>
      <c r="M214" s="92"/>
      <c r="N214" s="89" t="s">
        <v>60</v>
      </c>
      <c r="O214" s="92"/>
      <c r="P214" s="88" t="s">
        <v>1446</v>
      </c>
      <c r="Q214" s="92" t="s">
        <v>402</v>
      </c>
      <c r="R214" s="92"/>
      <c r="S214" s="123"/>
      <c r="T214" s="92" t="s">
        <v>403</v>
      </c>
      <c r="U214" s="155">
        <v>0</v>
      </c>
      <c r="V214" s="207">
        <v>50</v>
      </c>
      <c r="W214" s="207">
        <v>45</v>
      </c>
      <c r="X214" s="207">
        <v>55</v>
      </c>
      <c r="Y214" s="207" t="s">
        <v>64</v>
      </c>
      <c r="Z214" s="133">
        <f t="shared" si="389"/>
        <v>0</v>
      </c>
      <c r="AA214" s="133"/>
      <c r="AB214" s="175"/>
      <c r="AC214" s="175"/>
      <c r="AD214" s="213">
        <f t="shared" si="390"/>
        <v>0.1</v>
      </c>
      <c r="AE214" s="213">
        <v>0.1</v>
      </c>
      <c r="AF214" s="215">
        <v>0.28200000000000003</v>
      </c>
      <c r="AG214" s="215" t="s">
        <v>9</v>
      </c>
      <c r="AH214" s="148"/>
      <c r="AI214" s="122"/>
      <c r="AJ214" s="444"/>
      <c r="AK214" s="177"/>
      <c r="AL214" s="178"/>
      <c r="AM214" s="125"/>
      <c r="AN214" s="125"/>
      <c r="AO214" s="140"/>
      <c r="AP214" s="17" t="s">
        <v>1225</v>
      </c>
      <c r="AQ214" s="179"/>
      <c r="AR214" s="179"/>
      <c r="AS214" s="162"/>
      <c r="AT214" s="179"/>
      <c r="AU214" s="180"/>
      <c r="AV214" s="180"/>
      <c r="AW214" s="433"/>
      <c r="AX214" s="126"/>
      <c r="AY214" s="130" t="s">
        <v>502</v>
      </c>
      <c r="AZ214" s="128" t="s">
        <v>260</v>
      </c>
      <c r="BB214" s="176">
        <f t="shared" si="391"/>
        <v>0</v>
      </c>
      <c r="BC214" s="176">
        <f t="shared" si="392"/>
        <v>0</v>
      </c>
      <c r="BD214" s="176">
        <f t="shared" si="393"/>
        <v>0</v>
      </c>
      <c r="BE214" s="176">
        <f t="shared" si="394"/>
        <v>0</v>
      </c>
    </row>
    <row r="215" spans="1:57" s="129" customFormat="1" hidden="1">
      <c r="A215" s="90" t="s">
        <v>1276</v>
      </c>
      <c r="B215" s="88" t="s">
        <v>1317</v>
      </c>
      <c r="C215" s="88" t="s">
        <v>1317</v>
      </c>
      <c r="D215" s="90" t="s">
        <v>55</v>
      </c>
      <c r="E215" s="90" t="s">
        <v>395</v>
      </c>
      <c r="F215" s="90" t="s">
        <v>498</v>
      </c>
      <c r="G215" s="131" t="s">
        <v>266</v>
      </c>
      <c r="H215" s="92">
        <v>28</v>
      </c>
      <c r="I215" s="167" t="s">
        <v>520</v>
      </c>
      <c r="J215" s="167" t="str">
        <f>_xlfn.XLOOKUP(I215,[1]Sheet1!$A:$A,[1]Sheet1!$B:$B,"")</f>
        <v>U0404008</v>
      </c>
      <c r="K215" s="90" t="s">
        <v>3450</v>
      </c>
      <c r="L215" s="90" t="s">
        <v>521</v>
      </c>
      <c r="M215" s="92" t="s">
        <v>522</v>
      </c>
      <c r="N215" s="89" t="s">
        <v>60</v>
      </c>
      <c r="O215" s="92"/>
      <c r="P215" s="88" t="s">
        <v>1446</v>
      </c>
      <c r="Q215" s="92" t="s">
        <v>402</v>
      </c>
      <c r="R215" s="92">
        <v>4800</v>
      </c>
      <c r="S215" s="123" t="e">
        <v>#N/A</v>
      </c>
      <c r="T215" s="131" t="s">
        <v>403</v>
      </c>
      <c r="U215" s="155">
        <v>0</v>
      </c>
      <c r="V215" s="207">
        <v>50</v>
      </c>
      <c r="W215" s="207">
        <v>45</v>
      </c>
      <c r="X215" s="207">
        <v>55</v>
      </c>
      <c r="Y215" s="207" t="s">
        <v>64</v>
      </c>
      <c r="Z215" s="133">
        <f t="shared" si="378"/>
        <v>0.50863885377159723</v>
      </c>
      <c r="AA215" s="133"/>
      <c r="AB215" s="175">
        <f t="shared" si="379"/>
        <v>0.44839378426412818</v>
      </c>
      <c r="AC215" s="175"/>
      <c r="AD215" s="213">
        <f t="shared" si="380"/>
        <v>0.1</v>
      </c>
      <c r="AE215" s="213">
        <v>0.1</v>
      </c>
      <c r="AF215" s="215">
        <v>0.30199999999999999</v>
      </c>
      <c r="AG215" s="215" t="s">
        <v>9</v>
      </c>
      <c r="AH215" s="148">
        <f t="shared" si="330"/>
        <v>0.44839378426412818</v>
      </c>
      <c r="AI215" s="122">
        <f t="shared" si="381"/>
        <v>0.30200000000000005</v>
      </c>
      <c r="AJ215" s="444"/>
      <c r="AK215" s="177">
        <f t="shared" si="382"/>
        <v>0.38317460317460317</v>
      </c>
      <c r="AL215" s="178">
        <f t="shared" si="383"/>
        <v>0.34775429046262379</v>
      </c>
      <c r="AM215" s="125">
        <f t="shared" si="384"/>
        <v>0.24666666666666681</v>
      </c>
      <c r="AN215" s="125">
        <f t="shared" si="385"/>
        <v>0.22444444444444456</v>
      </c>
      <c r="AO215" s="140"/>
      <c r="AP215" s="17" t="s">
        <v>592</v>
      </c>
      <c r="AQ215" s="179">
        <v>4.0000000000000001E-3</v>
      </c>
      <c r="AR215" s="179">
        <v>2.19</v>
      </c>
      <c r="AS215" s="162"/>
      <c r="AT215" s="179">
        <v>0.16</v>
      </c>
      <c r="AU215" s="180">
        <f t="shared" si="376"/>
        <v>2.254</v>
      </c>
      <c r="AV215" s="180">
        <f t="shared" si="386"/>
        <v>2.4140000000000001</v>
      </c>
      <c r="AW215" s="433">
        <f t="shared" si="388"/>
        <v>0.34485714285714286</v>
      </c>
      <c r="AX215" s="126">
        <f t="shared" si="387"/>
        <v>0.31297886141636144</v>
      </c>
      <c r="AY215" s="130" t="s">
        <v>3451</v>
      </c>
      <c r="AZ215" s="128" t="s">
        <v>260</v>
      </c>
      <c r="BB215" s="176">
        <f t="shared" si="338"/>
        <v>1.4946459475470939</v>
      </c>
      <c r="BC215" s="176">
        <f t="shared" si="339"/>
        <v>0.89678756852825636</v>
      </c>
      <c r="BD215" s="176">
        <f t="shared" si="340"/>
        <v>0.74732297377354695</v>
      </c>
      <c r="BE215" s="176">
        <f t="shared" si="341"/>
        <v>0.59785837901883754</v>
      </c>
    </row>
    <row r="216" spans="1:57" s="129" customFormat="1" hidden="1">
      <c r="A216" s="90" t="s">
        <v>1276</v>
      </c>
      <c r="B216" s="88" t="s">
        <v>1317</v>
      </c>
      <c r="C216" s="88" t="s">
        <v>1317</v>
      </c>
      <c r="D216" s="90" t="s">
        <v>55</v>
      </c>
      <c r="E216" s="90" t="s">
        <v>395</v>
      </c>
      <c r="F216" s="90" t="s">
        <v>498</v>
      </c>
      <c r="G216" s="131" t="s">
        <v>266</v>
      </c>
      <c r="H216" s="92">
        <v>28</v>
      </c>
      <c r="I216" s="167" t="s">
        <v>524</v>
      </c>
      <c r="J216" s="167" t="str">
        <f>_xlfn.XLOOKUP(I216,[1]Sheet1!$A:$A,[1]Sheet1!$B:$B,"")</f>
        <v>U0404009</v>
      </c>
      <c r="K216" s="90" t="s">
        <v>1536</v>
      </c>
      <c r="L216" s="90" t="s">
        <v>525</v>
      </c>
      <c r="M216" s="92" t="s">
        <v>522</v>
      </c>
      <c r="N216" s="89" t="s">
        <v>60</v>
      </c>
      <c r="O216" s="92"/>
      <c r="P216" s="88" t="s">
        <v>1446</v>
      </c>
      <c r="Q216" s="92" t="s">
        <v>402</v>
      </c>
      <c r="R216" s="92">
        <v>4800</v>
      </c>
      <c r="S216" s="123" t="e">
        <v>#N/A</v>
      </c>
      <c r="T216" s="131" t="s">
        <v>403</v>
      </c>
      <c r="U216" s="155">
        <v>0</v>
      </c>
      <c r="V216" s="207">
        <v>50</v>
      </c>
      <c r="W216" s="207">
        <v>45</v>
      </c>
      <c r="X216" s="207">
        <v>55</v>
      </c>
      <c r="Y216" s="207" t="s">
        <v>64</v>
      </c>
      <c r="Z216" s="133">
        <f t="shared" si="378"/>
        <v>0.57058575642646447</v>
      </c>
      <c r="AA216" s="133"/>
      <c r="AB216" s="175">
        <f t="shared" si="379"/>
        <v>0.49982277552119969</v>
      </c>
      <c r="AC216" s="175"/>
      <c r="AD216" s="213">
        <f t="shared" si="380"/>
        <v>0.1</v>
      </c>
      <c r="AE216" s="213">
        <v>0.1</v>
      </c>
      <c r="AF216" s="215">
        <v>0.30199999999999999</v>
      </c>
      <c r="AG216" s="215" t="s">
        <v>9</v>
      </c>
      <c r="AH216" s="148">
        <f t="shared" si="330"/>
        <v>0.49982277552119969</v>
      </c>
      <c r="AI216" s="122">
        <f t="shared" si="381"/>
        <v>0.30200000000000005</v>
      </c>
      <c r="AJ216" s="444"/>
      <c r="AK216" s="177">
        <f t="shared" si="382"/>
        <v>0.42984126984126986</v>
      </c>
      <c r="AL216" s="178">
        <f t="shared" si="383"/>
        <v>0.38764033034866374</v>
      </c>
      <c r="AM216" s="125">
        <f t="shared" si="384"/>
        <v>0.2466666666666667</v>
      </c>
      <c r="AN216" s="125">
        <f t="shared" si="385"/>
        <v>0.22444444444444445</v>
      </c>
      <c r="AO216" s="140"/>
      <c r="AP216" s="17" t="s">
        <v>592</v>
      </c>
      <c r="AQ216" s="179">
        <v>7.0000000000000001E-3</v>
      </c>
      <c r="AR216" s="179">
        <v>2.4359999999999999</v>
      </c>
      <c r="AS216" s="162"/>
      <c r="AT216" s="179">
        <v>0.16</v>
      </c>
      <c r="AU216" s="180">
        <f t="shared" si="376"/>
        <v>2.548</v>
      </c>
      <c r="AV216" s="180">
        <f t="shared" si="386"/>
        <v>2.7080000000000002</v>
      </c>
      <c r="AW216" s="433">
        <f t="shared" si="388"/>
        <v>0.3868571428571429</v>
      </c>
      <c r="AX216" s="126">
        <f t="shared" si="387"/>
        <v>0.34887629731379738</v>
      </c>
      <c r="AY216" s="130" t="s">
        <v>523</v>
      </c>
      <c r="AZ216" s="128" t="s">
        <v>260</v>
      </c>
      <c r="BB216" s="176">
        <f t="shared" si="338"/>
        <v>1.666075918403999</v>
      </c>
      <c r="BC216" s="176">
        <f t="shared" si="339"/>
        <v>0.99964555104239938</v>
      </c>
      <c r="BD216" s="176">
        <f t="shared" si="340"/>
        <v>0.83303795920199952</v>
      </c>
      <c r="BE216" s="176">
        <f t="shared" si="341"/>
        <v>0.66643036736159966</v>
      </c>
    </row>
    <row r="217" spans="1:57" s="129" customFormat="1" hidden="1">
      <c r="A217" s="90" t="s">
        <v>1276</v>
      </c>
      <c r="B217" s="88" t="s">
        <v>1317</v>
      </c>
      <c r="C217" s="88" t="s">
        <v>1317</v>
      </c>
      <c r="D217" s="90" t="s">
        <v>55</v>
      </c>
      <c r="E217" s="90" t="s">
        <v>395</v>
      </c>
      <c r="F217" s="90" t="s">
        <v>498</v>
      </c>
      <c r="G217" s="131" t="s">
        <v>266</v>
      </c>
      <c r="H217" s="92">
        <v>28</v>
      </c>
      <c r="I217" s="167" t="s">
        <v>526</v>
      </c>
      <c r="J217" s="167" t="str">
        <f>_xlfn.XLOOKUP(I217,[1]Sheet1!$A:$A,[1]Sheet1!$B:$B,"")</f>
        <v>U0404011</v>
      </c>
      <c r="K217" s="90" t="s">
        <v>1537</v>
      </c>
      <c r="L217" s="90" t="s">
        <v>527</v>
      </c>
      <c r="M217" s="92" t="s">
        <v>522</v>
      </c>
      <c r="N217" s="89" t="s">
        <v>60</v>
      </c>
      <c r="O217" s="92"/>
      <c r="P217" s="88" t="s">
        <v>1446</v>
      </c>
      <c r="Q217" s="92" t="s">
        <v>402</v>
      </c>
      <c r="R217" s="92">
        <v>3200</v>
      </c>
      <c r="S217" s="123" t="e">
        <v>#N/A</v>
      </c>
      <c r="T217" s="131" t="s">
        <v>403</v>
      </c>
      <c r="U217" s="155">
        <v>0</v>
      </c>
      <c r="V217" s="207">
        <v>50</v>
      </c>
      <c r="W217" s="207">
        <v>45</v>
      </c>
      <c r="X217" s="207">
        <v>55</v>
      </c>
      <c r="Y217" s="207" t="s">
        <v>64</v>
      </c>
      <c r="Z217" s="133">
        <f t="shared" si="378"/>
        <v>0.71976401179941019</v>
      </c>
      <c r="AA217" s="133"/>
      <c r="AB217" s="175">
        <f t="shared" si="379"/>
        <v>0.63673032534959484</v>
      </c>
      <c r="AC217" s="175"/>
      <c r="AD217" s="213">
        <f t="shared" si="380"/>
        <v>0.1</v>
      </c>
      <c r="AE217" s="213">
        <v>0.1</v>
      </c>
      <c r="AF217" s="215">
        <v>0.30199999999999999</v>
      </c>
      <c r="AG217" s="215" t="s">
        <v>9</v>
      </c>
      <c r="AH217" s="148">
        <f t="shared" si="330"/>
        <v>0.63673032534959484</v>
      </c>
      <c r="AI217" s="122">
        <f t="shared" si="381"/>
        <v>0.30200000000000005</v>
      </c>
      <c r="AJ217" s="444"/>
      <c r="AK217" s="177">
        <f t="shared" si="382"/>
        <v>0.54222222222222227</v>
      </c>
      <c r="AL217" s="178">
        <f t="shared" si="383"/>
        <v>0.49381974121557459</v>
      </c>
      <c r="AM217" s="125">
        <f t="shared" si="384"/>
        <v>0.24666666666666681</v>
      </c>
      <c r="AN217" s="125">
        <f t="shared" si="385"/>
        <v>0.22444444444444456</v>
      </c>
      <c r="AO217" s="140"/>
      <c r="AP217" s="17" t="s">
        <v>592</v>
      </c>
      <c r="AQ217" s="179">
        <v>1.4E-2</v>
      </c>
      <c r="AR217" s="179">
        <v>3.032</v>
      </c>
      <c r="AS217" s="162"/>
      <c r="AT217" s="179">
        <v>0.16</v>
      </c>
      <c r="AU217" s="180">
        <f t="shared" si="376"/>
        <v>3.2560000000000002</v>
      </c>
      <c r="AV217" s="180">
        <f t="shared" si="386"/>
        <v>3.4160000000000004</v>
      </c>
      <c r="AW217" s="433">
        <f t="shared" si="388"/>
        <v>0.48800000000000004</v>
      </c>
      <c r="AX217" s="126">
        <f t="shared" si="387"/>
        <v>0.44443776709401717</v>
      </c>
      <c r="AY217" s="130" t="s">
        <v>523</v>
      </c>
      <c r="AZ217" s="128" t="s">
        <v>260</v>
      </c>
      <c r="BB217" s="176">
        <f t="shared" si="338"/>
        <v>2.1224344178319829</v>
      </c>
      <c r="BC217" s="176">
        <f t="shared" si="339"/>
        <v>1.2734606506991897</v>
      </c>
      <c r="BD217" s="176">
        <f t="shared" si="340"/>
        <v>1.0612172089159915</v>
      </c>
      <c r="BE217" s="176">
        <f t="shared" si="341"/>
        <v>0.84897376713279327</v>
      </c>
    </row>
    <row r="218" spans="1:57" s="129" customFormat="1" hidden="1">
      <c r="A218" s="90" t="s">
        <v>1276</v>
      </c>
      <c r="B218" s="88" t="s">
        <v>1317</v>
      </c>
      <c r="C218" s="88" t="s">
        <v>1317</v>
      </c>
      <c r="D218" s="90" t="s">
        <v>55</v>
      </c>
      <c r="E218" s="90" t="s">
        <v>395</v>
      </c>
      <c r="F218" s="90" t="s">
        <v>498</v>
      </c>
      <c r="G218" s="131" t="s">
        <v>266</v>
      </c>
      <c r="H218" s="92">
        <v>28</v>
      </c>
      <c r="I218" s="167" t="s">
        <v>528</v>
      </c>
      <c r="J218" s="167" t="str">
        <f>_xlfn.XLOOKUP(I218,[1]Sheet1!$A:$A,[1]Sheet1!$B:$B,"")</f>
        <v>U0404012</v>
      </c>
      <c r="K218" s="90" t="s">
        <v>1538</v>
      </c>
      <c r="L218" s="90" t="s">
        <v>529</v>
      </c>
      <c r="M218" s="92" t="s">
        <v>522</v>
      </c>
      <c r="N218" s="89" t="s">
        <v>60</v>
      </c>
      <c r="O218" s="92"/>
      <c r="P218" s="88" t="s">
        <v>1446</v>
      </c>
      <c r="Q218" s="92" t="s">
        <v>402</v>
      </c>
      <c r="R218" s="92">
        <v>2240</v>
      </c>
      <c r="S218" s="123" t="e">
        <v>#N/A</v>
      </c>
      <c r="T218" s="131" t="s">
        <v>403</v>
      </c>
      <c r="U218" s="155">
        <v>0</v>
      </c>
      <c r="V218" s="207">
        <v>50</v>
      </c>
      <c r="W218" s="207">
        <v>45</v>
      </c>
      <c r="X218" s="207">
        <v>55</v>
      </c>
      <c r="Y218" s="207" t="s">
        <v>64</v>
      </c>
      <c r="Z218" s="133">
        <f t="shared" si="378"/>
        <v>1.0271807838179521</v>
      </c>
      <c r="AA218" s="133"/>
      <c r="AB218" s="175">
        <f t="shared" si="379"/>
        <v>0.90874010779096759</v>
      </c>
      <c r="AC218" s="175"/>
      <c r="AD218" s="213">
        <f t="shared" si="380"/>
        <v>0.1</v>
      </c>
      <c r="AE218" s="213">
        <v>0.1</v>
      </c>
      <c r="AF218" s="215">
        <v>0.30199999999999999</v>
      </c>
      <c r="AG218" s="215" t="s">
        <v>9</v>
      </c>
      <c r="AH218" s="148">
        <f t="shared" si="330"/>
        <v>0.90874010779096759</v>
      </c>
      <c r="AI218" s="122">
        <f t="shared" si="381"/>
        <v>0.30200000000000005</v>
      </c>
      <c r="AJ218" s="444"/>
      <c r="AK218" s="177">
        <f t="shared" si="382"/>
        <v>0.77380952380952384</v>
      </c>
      <c r="AL218" s="178">
        <f t="shared" si="383"/>
        <v>0.7047784391534393</v>
      </c>
      <c r="AM218" s="125">
        <f t="shared" si="384"/>
        <v>0.2466666666666667</v>
      </c>
      <c r="AN218" s="125">
        <f t="shared" si="385"/>
        <v>0.22444444444444445</v>
      </c>
      <c r="AO218" s="140"/>
      <c r="AP218" s="17" t="s">
        <v>592</v>
      </c>
      <c r="AQ218" s="179">
        <v>2.7E-2</v>
      </c>
      <c r="AR218" s="179">
        <v>4.2830000000000004</v>
      </c>
      <c r="AS218" s="162"/>
      <c r="AT218" s="179">
        <v>0.16</v>
      </c>
      <c r="AU218" s="180">
        <f t="shared" si="376"/>
        <v>4.7150000000000007</v>
      </c>
      <c r="AV218" s="180">
        <f t="shared" si="386"/>
        <v>4.8750000000000009</v>
      </c>
      <c r="AW218" s="433">
        <f t="shared" si="388"/>
        <v>0.69642857142857151</v>
      </c>
      <c r="AX218" s="126">
        <f t="shared" si="387"/>
        <v>0.63430059523809534</v>
      </c>
      <c r="AY218" s="130" t="s">
        <v>523</v>
      </c>
      <c r="AZ218" s="128" t="s">
        <v>260</v>
      </c>
      <c r="BB218" s="176">
        <f t="shared" si="338"/>
        <v>3.0291336926365586</v>
      </c>
      <c r="BC218" s="176">
        <f t="shared" si="339"/>
        <v>1.8174802155819352</v>
      </c>
      <c r="BD218" s="176">
        <f t="shared" si="340"/>
        <v>1.5145668463182793</v>
      </c>
      <c r="BE218" s="176">
        <f t="shared" si="341"/>
        <v>1.2116534770546235</v>
      </c>
    </row>
    <row r="219" spans="1:57" s="129" customFormat="1" hidden="1">
      <c r="A219" s="90" t="s">
        <v>1276</v>
      </c>
      <c r="B219" s="88" t="s">
        <v>1317</v>
      </c>
      <c r="C219" s="88" t="s">
        <v>1317</v>
      </c>
      <c r="D219" s="90" t="s">
        <v>55</v>
      </c>
      <c r="E219" s="90" t="s">
        <v>395</v>
      </c>
      <c r="F219" s="90" t="s">
        <v>498</v>
      </c>
      <c r="G219" s="131" t="s">
        <v>266</v>
      </c>
      <c r="H219" s="92">
        <v>28</v>
      </c>
      <c r="I219" s="167" t="s">
        <v>530</v>
      </c>
      <c r="J219" s="167" t="str">
        <f>_xlfn.XLOOKUP(I219,[1]Sheet1!$A:$A,[1]Sheet1!$B:$B,"")</f>
        <v>U0404013</v>
      </c>
      <c r="K219" s="90" t="s">
        <v>1539</v>
      </c>
      <c r="L219" s="90" t="s">
        <v>531</v>
      </c>
      <c r="M219" s="92" t="s">
        <v>522</v>
      </c>
      <c r="N219" s="89" t="s">
        <v>60</v>
      </c>
      <c r="O219" s="92"/>
      <c r="P219" s="88" t="s">
        <v>1446</v>
      </c>
      <c r="Q219" s="92" t="s">
        <v>402</v>
      </c>
      <c r="R219" s="92">
        <v>1600</v>
      </c>
      <c r="S219" s="123" t="e">
        <v>#N/A</v>
      </c>
      <c r="T219" s="131" t="s">
        <v>403</v>
      </c>
      <c r="U219" s="155">
        <v>0</v>
      </c>
      <c r="V219" s="207">
        <v>50</v>
      </c>
      <c r="W219" s="207">
        <v>45</v>
      </c>
      <c r="X219" s="207">
        <v>55</v>
      </c>
      <c r="Y219" s="207" t="s">
        <v>64</v>
      </c>
      <c r="Z219" s="133">
        <f t="shared" si="378"/>
        <v>1.3246944795617364</v>
      </c>
      <c r="AA219" s="133"/>
      <c r="AB219" s="175">
        <f t="shared" si="379"/>
        <v>1.1781245954777475</v>
      </c>
      <c r="AC219" s="175"/>
      <c r="AD219" s="213">
        <f t="shared" si="380"/>
        <v>0.1</v>
      </c>
      <c r="AE219" s="213">
        <v>0.1</v>
      </c>
      <c r="AF219" s="215">
        <v>0.30199999999999999</v>
      </c>
      <c r="AG219" s="215" t="s">
        <v>9</v>
      </c>
      <c r="AH219" s="148">
        <f t="shared" si="330"/>
        <v>1.1781245954777475</v>
      </c>
      <c r="AI219" s="122">
        <f t="shared" si="381"/>
        <v>0.30200000000000005</v>
      </c>
      <c r="AJ219" s="444"/>
      <c r="AK219" s="177">
        <f t="shared" si="382"/>
        <v>0.9979365079365079</v>
      </c>
      <c r="AL219" s="178">
        <f t="shared" si="383"/>
        <v>0.91370107515940857</v>
      </c>
      <c r="AM219" s="125">
        <f t="shared" si="384"/>
        <v>0.24666666666666681</v>
      </c>
      <c r="AN219" s="125">
        <f t="shared" si="385"/>
        <v>0.22444444444444445</v>
      </c>
      <c r="AO219" s="140"/>
      <c r="AP219" s="17" t="s">
        <v>592</v>
      </c>
      <c r="AQ219" s="179">
        <v>4.1000000000000002E-2</v>
      </c>
      <c r="AR219" s="179">
        <v>5.4710000000000001</v>
      </c>
      <c r="AS219" s="162"/>
      <c r="AT219" s="179">
        <v>0.16</v>
      </c>
      <c r="AU219" s="180">
        <f t="shared" si="376"/>
        <v>6.1269999999999998</v>
      </c>
      <c r="AV219" s="180">
        <f t="shared" si="386"/>
        <v>6.2869999999999999</v>
      </c>
      <c r="AW219" s="433">
        <f t="shared" si="388"/>
        <v>0.89814285714285713</v>
      </c>
      <c r="AX219" s="126">
        <f t="shared" si="387"/>
        <v>0.82233096764346769</v>
      </c>
      <c r="AY219" s="130" t="s">
        <v>523</v>
      </c>
      <c r="AZ219" s="128" t="s">
        <v>260</v>
      </c>
      <c r="BB219" s="176">
        <f t="shared" si="338"/>
        <v>3.9270819849258252</v>
      </c>
      <c r="BC219" s="176">
        <f t="shared" si="339"/>
        <v>2.356249190955495</v>
      </c>
      <c r="BD219" s="176">
        <f t="shared" si="340"/>
        <v>1.9635409924629126</v>
      </c>
      <c r="BE219" s="176">
        <f t="shared" si="341"/>
        <v>1.5708327939703302</v>
      </c>
    </row>
    <row r="220" spans="1:57" s="129" customFormat="1" hidden="1">
      <c r="A220" s="90" t="s">
        <v>1276</v>
      </c>
      <c r="B220" s="88" t="s">
        <v>1317</v>
      </c>
      <c r="C220" s="88" t="s">
        <v>1317</v>
      </c>
      <c r="D220" s="90" t="s">
        <v>55</v>
      </c>
      <c r="E220" s="90" t="s">
        <v>395</v>
      </c>
      <c r="F220" s="90" t="s">
        <v>498</v>
      </c>
      <c r="G220" s="131" t="s">
        <v>266</v>
      </c>
      <c r="H220" s="92">
        <v>28</v>
      </c>
      <c r="I220" s="167" t="s">
        <v>532</v>
      </c>
      <c r="J220" s="167" t="str">
        <f>_xlfn.XLOOKUP(I220,[1]Sheet1!$A:$A,[1]Sheet1!$B:$B,"")</f>
        <v>U0404014</v>
      </c>
      <c r="K220" s="90" t="s">
        <v>1540</v>
      </c>
      <c r="L220" s="90" t="s">
        <v>533</v>
      </c>
      <c r="M220" s="92" t="s">
        <v>522</v>
      </c>
      <c r="N220" s="89" t="s">
        <v>60</v>
      </c>
      <c r="O220" s="92"/>
      <c r="P220" s="88" t="s">
        <v>1446</v>
      </c>
      <c r="Q220" s="92" t="s">
        <v>402</v>
      </c>
      <c r="R220" s="92">
        <v>960</v>
      </c>
      <c r="S220" s="123" t="e">
        <v>#N/A</v>
      </c>
      <c r="T220" s="131" t="s">
        <v>403</v>
      </c>
      <c r="U220" s="155">
        <v>0</v>
      </c>
      <c r="V220" s="207">
        <v>50</v>
      </c>
      <c r="W220" s="207">
        <v>45</v>
      </c>
      <c r="X220" s="207">
        <v>55</v>
      </c>
      <c r="Y220" s="207" t="s">
        <v>64</v>
      </c>
      <c r="Z220" s="133">
        <f t="shared" si="378"/>
        <v>1.9338390223345978</v>
      </c>
      <c r="AA220" s="133"/>
      <c r="AB220" s="175">
        <f t="shared" si="379"/>
        <v>1.7360755787510802</v>
      </c>
      <c r="AC220" s="175"/>
      <c r="AD220" s="213">
        <f t="shared" si="380"/>
        <v>0.1</v>
      </c>
      <c r="AE220" s="213">
        <v>0.1</v>
      </c>
      <c r="AF220" s="215">
        <v>0.30199999999999999</v>
      </c>
      <c r="AG220" s="215" t="s">
        <v>9</v>
      </c>
      <c r="AH220" s="148">
        <f t="shared" si="330"/>
        <v>1.7360755787510802</v>
      </c>
      <c r="AI220" s="122">
        <f t="shared" si="381"/>
        <v>0.30200000000000005</v>
      </c>
      <c r="AJ220" s="444"/>
      <c r="AK220" s="177">
        <f t="shared" si="382"/>
        <v>1.4568253968253968</v>
      </c>
      <c r="AL220" s="178">
        <f t="shared" si="383"/>
        <v>1.3464230599647264</v>
      </c>
      <c r="AM220" s="125">
        <f t="shared" si="384"/>
        <v>0.24666666666666681</v>
      </c>
      <c r="AN220" s="125">
        <f t="shared" si="385"/>
        <v>0.22444444444444456</v>
      </c>
      <c r="AO220" s="140"/>
      <c r="AP220" s="17" t="s">
        <v>592</v>
      </c>
      <c r="AQ220" s="179">
        <v>6.8000000000000005E-2</v>
      </c>
      <c r="AR220" s="179">
        <v>7.93</v>
      </c>
      <c r="AS220" s="162"/>
      <c r="AT220" s="179">
        <v>0.16</v>
      </c>
      <c r="AU220" s="180">
        <f t="shared" si="376"/>
        <v>9.0180000000000007</v>
      </c>
      <c r="AV220" s="180">
        <f t="shared" si="386"/>
        <v>9.1780000000000008</v>
      </c>
      <c r="AW220" s="433">
        <f t="shared" si="388"/>
        <v>1.3111428571428572</v>
      </c>
      <c r="AX220" s="126">
        <f t="shared" si="387"/>
        <v>1.2117807539682539</v>
      </c>
      <c r="AY220" s="130" t="s">
        <v>523</v>
      </c>
      <c r="AZ220" s="128" t="s">
        <v>260</v>
      </c>
      <c r="BB220" s="176">
        <f t="shared" si="338"/>
        <v>5.7869185958369345</v>
      </c>
      <c r="BC220" s="176">
        <f t="shared" si="339"/>
        <v>3.4721511575021604</v>
      </c>
      <c r="BD220" s="176">
        <f t="shared" si="340"/>
        <v>2.8934592979184672</v>
      </c>
      <c r="BE220" s="176">
        <f t="shared" si="341"/>
        <v>2.3147674383347741</v>
      </c>
    </row>
    <row r="221" spans="1:57" s="129" customFormat="1" hidden="1">
      <c r="A221" s="90" t="s">
        <v>1276</v>
      </c>
      <c r="B221" s="88" t="s">
        <v>1317</v>
      </c>
      <c r="C221" s="88" t="s">
        <v>1317</v>
      </c>
      <c r="D221" s="90" t="s">
        <v>55</v>
      </c>
      <c r="E221" s="90" t="s">
        <v>395</v>
      </c>
      <c r="F221" s="90" t="s">
        <v>498</v>
      </c>
      <c r="G221" s="131" t="s">
        <v>266</v>
      </c>
      <c r="H221" s="92">
        <v>28</v>
      </c>
      <c r="I221" s="167" t="s">
        <v>534</v>
      </c>
      <c r="J221" s="167" t="str">
        <f>_xlfn.XLOOKUP(I221,[1]Sheet1!$A:$A,[1]Sheet1!$B:$B,"")</f>
        <v>U0404010</v>
      </c>
      <c r="K221" s="90" t="s">
        <v>1541</v>
      </c>
      <c r="L221" s="90" t="s">
        <v>535</v>
      </c>
      <c r="M221" s="92" t="s">
        <v>522</v>
      </c>
      <c r="N221" s="89" t="s">
        <v>60</v>
      </c>
      <c r="O221" s="92"/>
      <c r="P221" s="88" t="s">
        <v>1446</v>
      </c>
      <c r="Q221" s="92" t="s">
        <v>402</v>
      </c>
      <c r="R221" s="92">
        <v>640</v>
      </c>
      <c r="S221" s="123" t="e">
        <v>#N/A</v>
      </c>
      <c r="T221" s="131" t="s">
        <v>403</v>
      </c>
      <c r="U221" s="155">
        <v>0</v>
      </c>
      <c r="V221" s="207">
        <v>50</v>
      </c>
      <c r="W221" s="207">
        <v>45</v>
      </c>
      <c r="X221" s="207">
        <v>55</v>
      </c>
      <c r="Y221" s="207" t="s">
        <v>64</v>
      </c>
      <c r="Z221" s="133">
        <f t="shared" si="378"/>
        <v>3.3438685208596719</v>
      </c>
      <c r="AA221" s="133"/>
      <c r="AB221" s="175">
        <f t="shared" si="379"/>
        <v>2.9719880913022036</v>
      </c>
      <c r="AC221" s="175"/>
      <c r="AD221" s="213">
        <f t="shared" si="380"/>
        <v>0.1</v>
      </c>
      <c r="AE221" s="213">
        <v>0.1</v>
      </c>
      <c r="AF221" s="215">
        <v>0.30199999999999999</v>
      </c>
      <c r="AG221" s="215" t="s">
        <v>9</v>
      </c>
      <c r="AH221" s="148">
        <f t="shared" si="330"/>
        <v>2.9719880913022036</v>
      </c>
      <c r="AI221" s="122">
        <f t="shared" si="381"/>
        <v>0.30200000000000005</v>
      </c>
      <c r="AJ221" s="444"/>
      <c r="AK221" s="177">
        <f t="shared" si="382"/>
        <v>2.5190476190476194</v>
      </c>
      <c r="AL221" s="178">
        <f t="shared" si="383"/>
        <v>2.3049418752543755</v>
      </c>
      <c r="AM221" s="125">
        <f t="shared" si="384"/>
        <v>0.2466666666666667</v>
      </c>
      <c r="AN221" s="125">
        <f t="shared" si="385"/>
        <v>0.22444444444444445</v>
      </c>
      <c r="AO221" s="140"/>
      <c r="AP221" s="17" t="s">
        <v>592</v>
      </c>
      <c r="AQ221" s="179">
        <v>0.13500000000000001</v>
      </c>
      <c r="AR221" s="179">
        <v>13.55</v>
      </c>
      <c r="AS221" s="162"/>
      <c r="AT221" s="179">
        <v>0.16</v>
      </c>
      <c r="AU221" s="180">
        <f t="shared" si="376"/>
        <v>15.71</v>
      </c>
      <c r="AV221" s="180">
        <f t="shared" si="386"/>
        <v>15.870000000000001</v>
      </c>
      <c r="AW221" s="433">
        <f t="shared" si="388"/>
        <v>2.2671428571428573</v>
      </c>
      <c r="AX221" s="126">
        <f t="shared" si="387"/>
        <v>2.074447687728938</v>
      </c>
      <c r="AY221" s="130" t="s">
        <v>523</v>
      </c>
      <c r="AZ221" s="128" t="s">
        <v>260</v>
      </c>
      <c r="BB221" s="176">
        <f t="shared" si="338"/>
        <v>9.9066269710073467</v>
      </c>
      <c r="BC221" s="176">
        <f t="shared" si="339"/>
        <v>5.9439761826044082</v>
      </c>
      <c r="BD221" s="176">
        <f t="shared" si="340"/>
        <v>4.9533134855036733</v>
      </c>
      <c r="BE221" s="176">
        <f t="shared" si="341"/>
        <v>3.9626507884029389</v>
      </c>
    </row>
    <row r="222" spans="1:57" s="129" customFormat="1" hidden="1">
      <c r="A222" s="90" t="s">
        <v>1302</v>
      </c>
      <c r="B222" s="88" t="s">
        <v>1317</v>
      </c>
      <c r="C222" s="88" t="s">
        <v>1318</v>
      </c>
      <c r="D222" s="90" t="s">
        <v>55</v>
      </c>
      <c r="E222" s="90" t="s">
        <v>395</v>
      </c>
      <c r="F222" s="90" t="s">
        <v>498</v>
      </c>
      <c r="G222" s="131" t="s">
        <v>266</v>
      </c>
      <c r="H222" s="92">
        <v>24</v>
      </c>
      <c r="I222" s="167" t="s">
        <v>1523</v>
      </c>
      <c r="J222" s="167" t="str">
        <f>_xlfn.XLOOKUP(I222,[1]Sheet1!$A:$A,[1]Sheet1!$B:$B,"")</f>
        <v/>
      </c>
      <c r="K222" s="90" t="s">
        <v>1542</v>
      </c>
      <c r="L222" s="90" t="s">
        <v>1521</v>
      </c>
      <c r="M222" s="92"/>
      <c r="N222" s="89" t="s">
        <v>60</v>
      </c>
      <c r="O222" s="92"/>
      <c r="P222" s="88" t="s">
        <v>1446</v>
      </c>
      <c r="Q222" s="92" t="s">
        <v>402</v>
      </c>
      <c r="R222" s="92">
        <v>4800</v>
      </c>
      <c r="S222" s="123"/>
      <c r="T222" s="92" t="s">
        <v>403</v>
      </c>
      <c r="U222" s="155">
        <v>0</v>
      </c>
      <c r="V222" s="207">
        <v>50</v>
      </c>
      <c r="W222" s="207">
        <v>45</v>
      </c>
      <c r="X222" s="207">
        <v>55</v>
      </c>
      <c r="Y222" s="207" t="s">
        <v>64</v>
      </c>
      <c r="Z222" s="133">
        <f t="shared" si="377"/>
        <v>0.4759797724399496</v>
      </c>
      <c r="AA222" s="133"/>
      <c r="AB222" s="175">
        <f t="shared" si="304"/>
        <v>0.42127986030206677</v>
      </c>
      <c r="AC222" s="175"/>
      <c r="AD222" s="213">
        <f t="shared" si="305"/>
        <v>0.1</v>
      </c>
      <c r="AE222" s="213">
        <v>0.1</v>
      </c>
      <c r="AF222" s="215">
        <v>0.30199999999999999</v>
      </c>
      <c r="AG222" s="215" t="s">
        <v>9</v>
      </c>
      <c r="AH222" s="148">
        <f t="shared" si="330"/>
        <v>0.42127986030206677</v>
      </c>
      <c r="AI222" s="122">
        <f t="shared" si="307"/>
        <v>0.30200000000000005</v>
      </c>
      <c r="AJ222" s="444"/>
      <c r="AK222" s="177">
        <f t="shared" si="308"/>
        <v>0.35857142857142865</v>
      </c>
      <c r="AL222" s="178">
        <f t="shared" si="309"/>
        <v>0.3267259361009362</v>
      </c>
      <c r="AM222" s="125">
        <f t="shared" si="310"/>
        <v>0.24666666666666681</v>
      </c>
      <c r="AN222" s="125">
        <f t="shared" si="373"/>
        <v>0.22444444444444456</v>
      </c>
      <c r="AO222" s="140"/>
      <c r="AP222" s="17" t="s">
        <v>592</v>
      </c>
      <c r="AQ222" s="179">
        <v>7.0000000000000001E-3</v>
      </c>
      <c r="AR222" s="179">
        <v>1.9870000000000001</v>
      </c>
      <c r="AS222" s="162"/>
      <c r="AT222" s="179">
        <v>0.16</v>
      </c>
      <c r="AU222" s="180">
        <f t="shared" ref="AU222:AU228" si="395">($F$2-70000)/2000*AQ222+AR222</f>
        <v>2.0990000000000002</v>
      </c>
      <c r="AV222" s="180">
        <f t="shared" si="302"/>
        <v>2.2590000000000003</v>
      </c>
      <c r="AW222" s="433">
        <f>(AT222+AU222)/$F$5</f>
        <v>0.32271428571428579</v>
      </c>
      <c r="AX222" s="126">
        <f t="shared" si="375"/>
        <v>0.29405334249084258</v>
      </c>
      <c r="AY222" s="130" t="s">
        <v>502</v>
      </c>
      <c r="AZ222" s="128" t="s">
        <v>260</v>
      </c>
      <c r="BB222" s="176">
        <f t="shared" si="338"/>
        <v>1.4042662010068894</v>
      </c>
      <c r="BC222" s="176">
        <f t="shared" si="339"/>
        <v>0.84255972060413364</v>
      </c>
      <c r="BD222" s="176">
        <f t="shared" si="340"/>
        <v>0.70213310050344468</v>
      </c>
      <c r="BE222" s="176">
        <f t="shared" si="341"/>
        <v>0.56170648040275573</v>
      </c>
    </row>
    <row r="223" spans="1:57" s="129" customFormat="1" hidden="1">
      <c r="A223" s="90" t="s">
        <v>1302</v>
      </c>
      <c r="B223" s="88" t="s">
        <v>1317</v>
      </c>
      <c r="C223" s="88" t="s">
        <v>1318</v>
      </c>
      <c r="D223" s="90" t="s">
        <v>55</v>
      </c>
      <c r="E223" s="90" t="s">
        <v>395</v>
      </c>
      <c r="F223" s="90" t="s">
        <v>498</v>
      </c>
      <c r="G223" s="131" t="s">
        <v>266</v>
      </c>
      <c r="H223" s="92">
        <v>24</v>
      </c>
      <c r="I223" s="167" t="s">
        <v>1524</v>
      </c>
      <c r="J223" s="167" t="str">
        <f>_xlfn.XLOOKUP(I223,[1]Sheet1!$A:$A,[1]Sheet1!$B:$B,"")</f>
        <v/>
      </c>
      <c r="K223" s="90" t="s">
        <v>1498</v>
      </c>
      <c r="L223" s="90" t="s">
        <v>1514</v>
      </c>
      <c r="M223" s="92"/>
      <c r="N223" s="89" t="s">
        <v>60</v>
      </c>
      <c r="O223" s="92"/>
      <c r="P223" s="88" t="s">
        <v>1446</v>
      </c>
      <c r="Q223" s="92" t="s">
        <v>402</v>
      </c>
      <c r="R223" s="92">
        <v>4800</v>
      </c>
      <c r="S223" s="123"/>
      <c r="T223" s="92" t="s">
        <v>403</v>
      </c>
      <c r="U223" s="155">
        <v>0</v>
      </c>
      <c r="V223" s="207">
        <v>50</v>
      </c>
      <c r="W223" s="207">
        <v>45</v>
      </c>
      <c r="X223" s="207">
        <v>55</v>
      </c>
      <c r="Y223" s="207" t="s">
        <v>64</v>
      </c>
      <c r="Z223" s="133">
        <f t="shared" si="377"/>
        <v>0.54445849136114643</v>
      </c>
      <c r="AA223" s="133"/>
      <c r="AB223" s="175">
        <f t="shared" si="304"/>
        <v>0.47813163635155059</v>
      </c>
      <c r="AC223" s="175"/>
      <c r="AD223" s="213">
        <f t="shared" si="305"/>
        <v>0.1</v>
      </c>
      <c r="AE223" s="213">
        <v>0.1</v>
      </c>
      <c r="AF223" s="215">
        <v>0.30199999999999999</v>
      </c>
      <c r="AG223" s="215" t="s">
        <v>9</v>
      </c>
      <c r="AH223" s="148">
        <f t="shared" si="330"/>
        <v>0.47813163635155059</v>
      </c>
      <c r="AI223" s="122">
        <f t="shared" ref="AI223:AI296" si="396">1-(AX223/AH223)</f>
        <v>0.30200000000000005</v>
      </c>
      <c r="AJ223" s="444"/>
      <c r="AK223" s="177">
        <f t="shared" si="308"/>
        <v>0.41015873015873022</v>
      </c>
      <c r="AL223" s="178">
        <f t="shared" si="309"/>
        <v>0.37081764685931368</v>
      </c>
      <c r="AM223" s="125">
        <f t="shared" si="310"/>
        <v>0.24666666666666681</v>
      </c>
      <c r="AN223" s="125">
        <f t="shared" si="373"/>
        <v>0.22444444444444445</v>
      </c>
      <c r="AO223" s="140"/>
      <c r="AP223" s="17" t="s">
        <v>592</v>
      </c>
      <c r="AQ223" s="179">
        <v>1.2E-2</v>
      </c>
      <c r="AR223" s="179">
        <v>2.2320000000000002</v>
      </c>
      <c r="AS223" s="162"/>
      <c r="AT223" s="179">
        <v>0.16</v>
      </c>
      <c r="AU223" s="180">
        <f t="shared" si="395"/>
        <v>2.4240000000000004</v>
      </c>
      <c r="AV223" s="180">
        <f t="shared" si="302"/>
        <v>2.5840000000000005</v>
      </c>
      <c r="AW223" s="433">
        <f t="shared" si="303"/>
        <v>0.36914285714285722</v>
      </c>
      <c r="AX223" s="126">
        <f t="shared" si="375"/>
        <v>0.33373588217338229</v>
      </c>
      <c r="AY223" s="130" t="s">
        <v>502</v>
      </c>
      <c r="AZ223" s="128" t="s">
        <v>260</v>
      </c>
      <c r="BB223" s="176">
        <f t="shared" si="338"/>
        <v>1.5937721211718354</v>
      </c>
      <c r="BC223" s="176">
        <f t="shared" si="339"/>
        <v>0.95626327270310119</v>
      </c>
      <c r="BD223" s="176">
        <f t="shared" si="340"/>
        <v>0.79688606058591771</v>
      </c>
      <c r="BE223" s="176">
        <f t="shared" si="341"/>
        <v>0.63750884846873423</v>
      </c>
    </row>
    <row r="224" spans="1:57" s="129" customFormat="1" hidden="1">
      <c r="A224" s="90" t="s">
        <v>1302</v>
      </c>
      <c r="B224" s="88" t="s">
        <v>1317</v>
      </c>
      <c r="C224" s="88" t="s">
        <v>1318</v>
      </c>
      <c r="D224" s="90" t="s">
        <v>55</v>
      </c>
      <c r="E224" s="90" t="s">
        <v>395</v>
      </c>
      <c r="F224" s="90" t="s">
        <v>498</v>
      </c>
      <c r="G224" s="131" t="s">
        <v>266</v>
      </c>
      <c r="H224" s="92">
        <v>24</v>
      </c>
      <c r="I224" s="167" t="s">
        <v>1525</v>
      </c>
      <c r="J224" s="167" t="str">
        <f>_xlfn.XLOOKUP(I224,[1]Sheet1!$A:$A,[1]Sheet1!$B:$B,"")</f>
        <v/>
      </c>
      <c r="K224" s="90" t="s">
        <v>1499</v>
      </c>
      <c r="L224" s="90" t="s">
        <v>1515</v>
      </c>
      <c r="M224" s="92"/>
      <c r="N224" s="89" t="s">
        <v>60</v>
      </c>
      <c r="O224" s="92"/>
      <c r="P224" s="88" t="s">
        <v>1446</v>
      </c>
      <c r="Q224" s="92" t="s">
        <v>402</v>
      </c>
      <c r="R224" s="92">
        <v>3200</v>
      </c>
      <c r="S224" s="123"/>
      <c r="T224" s="92" t="s">
        <v>403</v>
      </c>
      <c r="U224" s="155">
        <v>0</v>
      </c>
      <c r="V224" s="207">
        <v>50</v>
      </c>
      <c r="W224" s="207">
        <v>45</v>
      </c>
      <c r="X224" s="207">
        <v>55</v>
      </c>
      <c r="Y224" s="207" t="s">
        <v>64</v>
      </c>
      <c r="Z224" s="133">
        <f t="shared" si="377"/>
        <v>0.73072060682680162</v>
      </c>
      <c r="AA224" s="133"/>
      <c r="AB224" s="175">
        <f t="shared" si="304"/>
        <v>0.64582660951751225</v>
      </c>
      <c r="AC224" s="175"/>
      <c r="AD224" s="213">
        <f t="shared" si="305"/>
        <v>0.1</v>
      </c>
      <c r="AE224" s="213">
        <v>0.1</v>
      </c>
      <c r="AF224" s="215">
        <v>0.30199999999999999</v>
      </c>
      <c r="AG224" s="215" t="s">
        <v>9</v>
      </c>
      <c r="AH224" s="148">
        <f t="shared" si="330"/>
        <v>0.64582660951751225</v>
      </c>
      <c r="AI224" s="122">
        <f t="shared" si="396"/>
        <v>0.30200000000000005</v>
      </c>
      <c r="AJ224" s="444"/>
      <c r="AK224" s="177">
        <f t="shared" si="308"/>
        <v>0.55047619047619045</v>
      </c>
      <c r="AL224" s="178">
        <f t="shared" si="309"/>
        <v>0.50087441493691498</v>
      </c>
      <c r="AM224" s="125">
        <f t="shared" si="310"/>
        <v>0.24666666666666681</v>
      </c>
      <c r="AN224" s="125">
        <f t="shared" si="373"/>
        <v>0.22444444444444456</v>
      </c>
      <c r="AO224" s="140"/>
      <c r="AP224" s="17" t="s">
        <v>592</v>
      </c>
      <c r="AQ224" s="179">
        <v>2.4E-2</v>
      </c>
      <c r="AR224" s="179">
        <v>2.9239999999999999</v>
      </c>
      <c r="AS224" s="162"/>
      <c r="AT224" s="179">
        <v>0.16</v>
      </c>
      <c r="AU224" s="180">
        <f t="shared" si="395"/>
        <v>3.3079999999999998</v>
      </c>
      <c r="AV224" s="180">
        <f t="shared" si="302"/>
        <v>3.468</v>
      </c>
      <c r="AW224" s="433">
        <f t="shared" si="303"/>
        <v>0.49542857142857144</v>
      </c>
      <c r="AX224" s="126">
        <f t="shared" si="375"/>
        <v>0.45078697344322349</v>
      </c>
      <c r="AY224" s="130" t="s">
        <v>502</v>
      </c>
      <c r="AZ224" s="128" t="s">
        <v>260</v>
      </c>
      <c r="BB224" s="176">
        <f t="shared" si="338"/>
        <v>2.1527553650583742</v>
      </c>
      <c r="BC224" s="176">
        <f t="shared" si="339"/>
        <v>1.2916532190350245</v>
      </c>
      <c r="BD224" s="176">
        <f t="shared" si="340"/>
        <v>1.0763776825291871</v>
      </c>
      <c r="BE224" s="176">
        <f t="shared" si="341"/>
        <v>0.86110214602334967</v>
      </c>
    </row>
    <row r="225" spans="1:57" s="129" customFormat="1" hidden="1">
      <c r="A225" s="90" t="s">
        <v>1302</v>
      </c>
      <c r="B225" s="88" t="s">
        <v>1317</v>
      </c>
      <c r="C225" s="88" t="s">
        <v>1318</v>
      </c>
      <c r="D225" s="90" t="s">
        <v>55</v>
      </c>
      <c r="E225" s="90" t="s">
        <v>395</v>
      </c>
      <c r="F225" s="90" t="s">
        <v>498</v>
      </c>
      <c r="G225" s="131" t="s">
        <v>266</v>
      </c>
      <c r="H225" s="92">
        <v>24</v>
      </c>
      <c r="I225" s="167" t="s">
        <v>1526</v>
      </c>
      <c r="J225" s="167" t="str">
        <f>_xlfn.XLOOKUP(I225,[1]Sheet1!$A:$A,[1]Sheet1!$B:$B,"")</f>
        <v/>
      </c>
      <c r="K225" s="90" t="s">
        <v>1500</v>
      </c>
      <c r="L225" s="90" t="s">
        <v>1516</v>
      </c>
      <c r="M225" s="92"/>
      <c r="N225" s="89" t="s">
        <v>60</v>
      </c>
      <c r="O225" s="92"/>
      <c r="P225" s="88" t="s">
        <v>1446</v>
      </c>
      <c r="Q225" s="92" t="s">
        <v>402</v>
      </c>
      <c r="R225" s="92">
        <v>2240</v>
      </c>
      <c r="S225" s="123"/>
      <c r="T225" s="92" t="s">
        <v>403</v>
      </c>
      <c r="U225" s="155">
        <v>0</v>
      </c>
      <c r="V225" s="207">
        <v>50</v>
      </c>
      <c r="W225" s="207">
        <v>45</v>
      </c>
      <c r="X225" s="207">
        <v>55</v>
      </c>
      <c r="Y225" s="207" t="s">
        <v>64</v>
      </c>
      <c r="Z225" s="133">
        <f t="shared" si="377"/>
        <v>1.0899705014749264</v>
      </c>
      <c r="AA225" s="133"/>
      <c r="AB225" s="175">
        <f t="shared" si="304"/>
        <v>0.96086881321480178</v>
      </c>
      <c r="AC225" s="175"/>
      <c r="AD225" s="213">
        <f t="shared" si="305"/>
        <v>0.1</v>
      </c>
      <c r="AE225" s="213">
        <v>0.1</v>
      </c>
      <c r="AF225" s="215">
        <v>0.30199999999999999</v>
      </c>
      <c r="AG225" s="215" t="s">
        <v>9</v>
      </c>
      <c r="AH225" s="148">
        <f t="shared" ref="AH225:AH291" si="397">AB225</f>
        <v>0.96086881321480178</v>
      </c>
      <c r="AI225" s="122">
        <f t="shared" si="396"/>
        <v>0.30200000000000005</v>
      </c>
      <c r="AJ225" s="444"/>
      <c r="AK225" s="177">
        <f t="shared" si="308"/>
        <v>0.82111111111111112</v>
      </c>
      <c r="AL225" s="178">
        <f t="shared" si="309"/>
        <v>0.7452071462488129</v>
      </c>
      <c r="AM225" s="125">
        <f t="shared" si="310"/>
        <v>0.2466666666666667</v>
      </c>
      <c r="AN225" s="125">
        <f t="shared" si="373"/>
        <v>0.22444444444444445</v>
      </c>
      <c r="AO225" s="140"/>
      <c r="AP225" s="17" t="s">
        <v>592</v>
      </c>
      <c r="AQ225" s="179">
        <v>4.7E-2</v>
      </c>
      <c r="AR225" s="179">
        <v>4.2610000000000001</v>
      </c>
      <c r="AS225" s="162"/>
      <c r="AT225" s="179">
        <v>0.16</v>
      </c>
      <c r="AU225" s="180">
        <f t="shared" si="395"/>
        <v>5.0129999999999999</v>
      </c>
      <c r="AV225" s="180">
        <f t="shared" si="302"/>
        <v>5.173</v>
      </c>
      <c r="AW225" s="433">
        <f t="shared" si="303"/>
        <v>0.73899999999999999</v>
      </c>
      <c r="AX225" s="126">
        <f t="shared" si="375"/>
        <v>0.6706864316239316</v>
      </c>
      <c r="AY225" s="130" t="s">
        <v>502</v>
      </c>
      <c r="AZ225" s="128" t="s">
        <v>260</v>
      </c>
      <c r="BB225" s="176">
        <f t="shared" si="338"/>
        <v>3.2028960440493393</v>
      </c>
      <c r="BC225" s="176">
        <f t="shared" si="339"/>
        <v>1.9217376264296036</v>
      </c>
      <c r="BD225" s="176">
        <f t="shared" si="340"/>
        <v>1.6014480220246696</v>
      </c>
      <c r="BE225" s="176">
        <f t="shared" si="341"/>
        <v>1.2811584176197357</v>
      </c>
    </row>
    <row r="226" spans="1:57" s="129" customFormat="1" hidden="1">
      <c r="A226" s="90" t="s">
        <v>1302</v>
      </c>
      <c r="B226" s="88" t="s">
        <v>1317</v>
      </c>
      <c r="C226" s="88" t="s">
        <v>1318</v>
      </c>
      <c r="D226" s="90" t="s">
        <v>55</v>
      </c>
      <c r="E226" s="90" t="s">
        <v>395</v>
      </c>
      <c r="F226" s="90" t="s">
        <v>498</v>
      </c>
      <c r="G226" s="131" t="s">
        <v>266</v>
      </c>
      <c r="H226" s="92">
        <v>24</v>
      </c>
      <c r="I226" s="167" t="s">
        <v>1527</v>
      </c>
      <c r="J226" s="167" t="str">
        <f>_xlfn.XLOOKUP(I226,[1]Sheet1!$A:$A,[1]Sheet1!$B:$B,"")</f>
        <v/>
      </c>
      <c r="K226" s="90" t="s">
        <v>1501</v>
      </c>
      <c r="L226" s="90" t="s">
        <v>1517</v>
      </c>
      <c r="M226" s="92"/>
      <c r="N226" s="89" t="s">
        <v>60</v>
      </c>
      <c r="O226" s="92"/>
      <c r="P226" s="88" t="s">
        <v>1446</v>
      </c>
      <c r="Q226" s="92" t="s">
        <v>402</v>
      </c>
      <c r="R226" s="92">
        <v>1600</v>
      </c>
      <c r="S226" s="123"/>
      <c r="T226" s="92" t="s">
        <v>403</v>
      </c>
      <c r="U226" s="155">
        <v>0</v>
      </c>
      <c r="V226" s="207">
        <v>50</v>
      </c>
      <c r="W226" s="207">
        <v>45</v>
      </c>
      <c r="X226" s="207">
        <v>55</v>
      </c>
      <c r="Y226" s="207" t="s">
        <v>64</v>
      </c>
      <c r="Z226" s="133">
        <f t="shared" si="377"/>
        <v>1.4502739148756849</v>
      </c>
      <c r="AA226" s="133"/>
      <c r="AB226" s="175">
        <f t="shared" si="304"/>
        <v>1.2823820063254163</v>
      </c>
      <c r="AC226" s="175"/>
      <c r="AD226" s="213">
        <f t="shared" si="305"/>
        <v>0.1</v>
      </c>
      <c r="AE226" s="213">
        <v>0.1</v>
      </c>
      <c r="AF226" s="215">
        <v>0.30199999999999999</v>
      </c>
      <c r="AG226" s="215" t="s">
        <v>9</v>
      </c>
      <c r="AH226" s="148">
        <f t="shared" si="397"/>
        <v>1.2823820063254163</v>
      </c>
      <c r="AI226" s="122">
        <f t="shared" si="396"/>
        <v>0.30200000000000005</v>
      </c>
      <c r="AJ226" s="444"/>
      <c r="AK226" s="177">
        <f t="shared" si="308"/>
        <v>1.0925396825396825</v>
      </c>
      <c r="AL226" s="178">
        <f t="shared" si="309"/>
        <v>0.99455848935015612</v>
      </c>
      <c r="AM226" s="125">
        <f t="shared" si="310"/>
        <v>0.24666666666666681</v>
      </c>
      <c r="AN226" s="125">
        <f t="shared" si="373"/>
        <v>0.22444444444444456</v>
      </c>
      <c r="AO226" s="140"/>
      <c r="AP226" s="17" t="s">
        <v>592</v>
      </c>
      <c r="AQ226" s="179">
        <v>7.0000000000000007E-2</v>
      </c>
      <c r="AR226" s="179">
        <v>5.6029999999999998</v>
      </c>
      <c r="AS226" s="162"/>
      <c r="AT226" s="179">
        <v>0.16</v>
      </c>
      <c r="AU226" s="180">
        <f t="shared" si="395"/>
        <v>6.7229999999999999</v>
      </c>
      <c r="AV226" s="180">
        <f t="shared" si="302"/>
        <v>6.883</v>
      </c>
      <c r="AW226" s="433">
        <f t="shared" si="303"/>
        <v>0.98328571428571432</v>
      </c>
      <c r="AX226" s="126">
        <f t="shared" si="375"/>
        <v>0.89510264041514054</v>
      </c>
      <c r="AY226" s="130" t="s">
        <v>502</v>
      </c>
      <c r="AZ226" s="128" t="s">
        <v>260</v>
      </c>
      <c r="BB226" s="176">
        <f t="shared" si="338"/>
        <v>4.2746066877513877</v>
      </c>
      <c r="BC226" s="176">
        <f t="shared" si="339"/>
        <v>2.5647640126508326</v>
      </c>
      <c r="BD226" s="176">
        <f t="shared" si="340"/>
        <v>2.1373033438756939</v>
      </c>
      <c r="BE226" s="176">
        <f t="shared" si="341"/>
        <v>1.7098426751005551</v>
      </c>
    </row>
    <row r="227" spans="1:57" s="129" customFormat="1" hidden="1">
      <c r="A227" s="90" t="s">
        <v>1302</v>
      </c>
      <c r="B227" s="88" t="s">
        <v>1317</v>
      </c>
      <c r="C227" s="88" t="s">
        <v>1318</v>
      </c>
      <c r="D227" s="90" t="s">
        <v>55</v>
      </c>
      <c r="E227" s="90" t="s">
        <v>395</v>
      </c>
      <c r="F227" s="90" t="s">
        <v>498</v>
      </c>
      <c r="G227" s="131" t="s">
        <v>266</v>
      </c>
      <c r="H227" s="92">
        <v>24</v>
      </c>
      <c r="I227" s="167" t="s">
        <v>1528</v>
      </c>
      <c r="J227" s="167" t="str">
        <f>_xlfn.XLOOKUP(I227,[1]Sheet1!$A:$A,[1]Sheet1!$B:$B,"")</f>
        <v/>
      </c>
      <c r="K227" s="90" t="s">
        <v>1502</v>
      </c>
      <c r="L227" s="90" t="s">
        <v>1518</v>
      </c>
      <c r="M227" s="92"/>
      <c r="N227" s="89" t="s">
        <v>60</v>
      </c>
      <c r="O227" s="92"/>
      <c r="P227" s="88" t="s">
        <v>1446</v>
      </c>
      <c r="Q227" s="92" t="s">
        <v>402</v>
      </c>
      <c r="R227" s="92">
        <v>960</v>
      </c>
      <c r="S227" s="123"/>
      <c r="T227" s="92" t="s">
        <v>403</v>
      </c>
      <c r="U227" s="155">
        <v>0</v>
      </c>
      <c r="V227" s="207">
        <v>50</v>
      </c>
      <c r="W227" s="207">
        <v>45</v>
      </c>
      <c r="X227" s="207">
        <v>55</v>
      </c>
      <c r="Y227" s="207" t="s">
        <v>64</v>
      </c>
      <c r="Z227" s="133">
        <f t="shared" si="377"/>
        <v>2.1797302991993259</v>
      </c>
      <c r="AA227" s="133"/>
      <c r="AB227" s="175">
        <f t="shared" si="304"/>
        <v>1.94021718690415</v>
      </c>
      <c r="AC227" s="175"/>
      <c r="AD227" s="213">
        <f t="shared" si="305"/>
        <v>0.1</v>
      </c>
      <c r="AE227" s="213">
        <v>0.1</v>
      </c>
      <c r="AF227" s="215">
        <v>0.30199999999999999</v>
      </c>
      <c r="AG227" s="215" t="s">
        <v>9</v>
      </c>
      <c r="AH227" s="148">
        <f t="shared" si="397"/>
        <v>1.94021718690415</v>
      </c>
      <c r="AI227" s="122">
        <f t="shared" si="396"/>
        <v>0.30200000000000005</v>
      </c>
      <c r="AJ227" s="444"/>
      <c r="AK227" s="177">
        <f t="shared" si="308"/>
        <v>1.6420634920634922</v>
      </c>
      <c r="AL227" s="178">
        <f t="shared" si="309"/>
        <v>1.504746218287885</v>
      </c>
      <c r="AM227" s="125">
        <f t="shared" si="310"/>
        <v>0.2466666666666667</v>
      </c>
      <c r="AN227" s="125">
        <f t="shared" si="373"/>
        <v>0.22444444444444456</v>
      </c>
      <c r="AO227" s="140"/>
      <c r="AP227" s="17" t="s">
        <v>592</v>
      </c>
      <c r="AQ227" s="179">
        <v>0.11700000000000001</v>
      </c>
      <c r="AR227" s="179">
        <v>8.3130000000000006</v>
      </c>
      <c r="AS227" s="162"/>
      <c r="AT227" s="179">
        <v>0.16</v>
      </c>
      <c r="AU227" s="180">
        <f t="shared" si="395"/>
        <v>10.185</v>
      </c>
      <c r="AV227" s="180">
        <f t="shared" si="302"/>
        <v>10.345000000000001</v>
      </c>
      <c r="AW227" s="433">
        <f t="shared" si="303"/>
        <v>1.477857142857143</v>
      </c>
      <c r="AX227" s="126">
        <f t="shared" si="375"/>
        <v>1.3542715964590966</v>
      </c>
      <c r="AY227" s="130" t="s">
        <v>502</v>
      </c>
      <c r="AZ227" s="128" t="s">
        <v>260</v>
      </c>
      <c r="BB227" s="176">
        <f t="shared" si="338"/>
        <v>6.4673906230138334</v>
      </c>
      <c r="BC227" s="176">
        <f t="shared" si="339"/>
        <v>3.8804343738083</v>
      </c>
      <c r="BD227" s="176">
        <f t="shared" si="340"/>
        <v>3.2336953115069167</v>
      </c>
      <c r="BE227" s="176">
        <f t="shared" si="341"/>
        <v>2.5869562492055334</v>
      </c>
    </row>
    <row r="228" spans="1:57" s="129" customFormat="1" hidden="1">
      <c r="A228" s="90" t="s">
        <v>1302</v>
      </c>
      <c r="B228" s="88" t="s">
        <v>1317</v>
      </c>
      <c r="C228" s="88" t="s">
        <v>1318</v>
      </c>
      <c r="D228" s="90" t="s">
        <v>55</v>
      </c>
      <c r="E228" s="90" t="s">
        <v>395</v>
      </c>
      <c r="F228" s="90" t="s">
        <v>498</v>
      </c>
      <c r="G228" s="131" t="s">
        <v>266</v>
      </c>
      <c r="H228" s="92">
        <v>24</v>
      </c>
      <c r="I228" s="167" t="s">
        <v>1529</v>
      </c>
      <c r="J228" s="167" t="str">
        <f>_xlfn.XLOOKUP(I228,[1]Sheet1!$A:$A,[1]Sheet1!$B:$B,"")</f>
        <v/>
      </c>
      <c r="K228" s="90" t="s">
        <v>1503</v>
      </c>
      <c r="L228" s="90" t="s">
        <v>1519</v>
      </c>
      <c r="M228" s="92"/>
      <c r="N228" s="89" t="s">
        <v>60</v>
      </c>
      <c r="O228" s="92"/>
      <c r="P228" s="88" t="s">
        <v>1446</v>
      </c>
      <c r="Q228" s="92" t="s">
        <v>402</v>
      </c>
      <c r="R228" s="92">
        <v>640</v>
      </c>
      <c r="S228" s="123"/>
      <c r="T228" s="92" t="s">
        <v>403</v>
      </c>
      <c r="U228" s="155">
        <v>0</v>
      </c>
      <c r="V228" s="207">
        <v>50</v>
      </c>
      <c r="W228" s="207">
        <v>45</v>
      </c>
      <c r="X228" s="207">
        <v>55</v>
      </c>
      <c r="Y228" s="207" t="s">
        <v>64</v>
      </c>
      <c r="Z228" s="133">
        <f t="shared" si="377"/>
        <v>3.9393173198482945</v>
      </c>
      <c r="AA228" s="133"/>
      <c r="AB228" s="175">
        <f t="shared" si="304"/>
        <v>3.4663361501201768</v>
      </c>
      <c r="AC228" s="175"/>
      <c r="AD228" s="213">
        <f t="shared" si="305"/>
        <v>0.1</v>
      </c>
      <c r="AE228" s="213">
        <v>0.1</v>
      </c>
      <c r="AF228" s="215">
        <v>0.30199999999999999</v>
      </c>
      <c r="AG228" s="215" t="s">
        <v>9</v>
      </c>
      <c r="AH228" s="148">
        <f t="shared" si="397"/>
        <v>3.4663361501201768</v>
      </c>
      <c r="AI228" s="122">
        <f t="shared" si="396"/>
        <v>0.30200000000000005</v>
      </c>
      <c r="AJ228" s="444"/>
      <c r="AK228" s="177">
        <f t="shared" si="308"/>
        <v>2.9676190476190478</v>
      </c>
      <c r="AL228" s="178">
        <f t="shared" si="309"/>
        <v>2.6883362586487589</v>
      </c>
      <c r="AM228" s="125">
        <f t="shared" si="310"/>
        <v>0.24666666666666681</v>
      </c>
      <c r="AN228" s="125">
        <f t="shared" si="373"/>
        <v>0.22444444444444456</v>
      </c>
      <c r="AO228" s="140"/>
      <c r="AP228" s="17" t="s">
        <v>592</v>
      </c>
      <c r="AQ228" s="179">
        <v>0.23300000000000001</v>
      </c>
      <c r="AR228" s="179">
        <v>14.808</v>
      </c>
      <c r="AS228" s="162"/>
      <c r="AT228" s="179">
        <v>0.16</v>
      </c>
      <c r="AU228" s="180">
        <f t="shared" si="395"/>
        <v>18.536000000000001</v>
      </c>
      <c r="AV228" s="180">
        <f t="shared" si="302"/>
        <v>18.696000000000002</v>
      </c>
      <c r="AW228" s="433">
        <f t="shared" si="303"/>
        <v>2.6708571428571433</v>
      </c>
      <c r="AX228" s="126">
        <f t="shared" si="375"/>
        <v>2.4195026327838831</v>
      </c>
      <c r="AY228" s="130" t="s">
        <v>502</v>
      </c>
      <c r="AZ228" s="128" t="s">
        <v>260</v>
      </c>
      <c r="BB228" s="176">
        <f t="shared" ref="BB228:BB294" si="398">AB228/0.3</f>
        <v>11.554453833733923</v>
      </c>
      <c r="BC228" s="176">
        <f t="shared" ref="BC228:BC294" si="399">BB228*0.6</f>
        <v>6.9326723002403536</v>
      </c>
      <c r="BD228" s="176">
        <f t="shared" ref="BD228:BD294" si="400">BB228*0.5</f>
        <v>5.7772269168669617</v>
      </c>
      <c r="BE228" s="176">
        <f t="shared" ref="BE228:BE294" si="401">BB228*0.4</f>
        <v>4.6217815334935697</v>
      </c>
    </row>
    <row r="229" spans="1:57" s="129" customFormat="1" hidden="1">
      <c r="A229" s="88" t="s">
        <v>1302</v>
      </c>
      <c r="B229" s="88" t="s">
        <v>1317</v>
      </c>
      <c r="C229" s="88" t="s">
        <v>1317</v>
      </c>
      <c r="D229" s="88" t="s">
        <v>55</v>
      </c>
      <c r="E229" s="89" t="s">
        <v>395</v>
      </c>
      <c r="F229" s="90" t="s">
        <v>536</v>
      </c>
      <c r="G229" s="131" t="s">
        <v>253</v>
      </c>
      <c r="H229" s="92" t="s">
        <v>2601</v>
      </c>
      <c r="I229" s="548" t="s">
        <v>4028</v>
      </c>
      <c r="J229" s="167" t="str">
        <f>_xlfn.XLOOKUP(I229,[1]Sheet1!$A:$A,[1]Sheet1!$B:$B,"")</f>
        <v>U0405010</v>
      </c>
      <c r="K229" s="90" t="s">
        <v>1510</v>
      </c>
      <c r="L229" s="90" t="s">
        <v>1520</v>
      </c>
      <c r="M229" s="92"/>
      <c r="N229" s="89" t="s">
        <v>60</v>
      </c>
      <c r="O229" s="165"/>
      <c r="P229" s="88" t="s">
        <v>1446</v>
      </c>
      <c r="Q229" s="92" t="s">
        <v>402</v>
      </c>
      <c r="R229" s="92">
        <v>4800</v>
      </c>
      <c r="S229" s="123" t="s">
        <v>540</v>
      </c>
      <c r="T229" s="131" t="s">
        <v>403</v>
      </c>
      <c r="U229" s="155">
        <v>0</v>
      </c>
      <c r="V229" s="207">
        <v>50</v>
      </c>
      <c r="W229" s="207">
        <v>45</v>
      </c>
      <c r="X229" s="207">
        <v>55</v>
      </c>
      <c r="Y229" s="207" t="s">
        <v>64</v>
      </c>
      <c r="Z229" s="133">
        <f t="shared" si="377"/>
        <v>0.64442700156985877</v>
      </c>
      <c r="AA229" s="133"/>
      <c r="AB229" s="175">
        <f t="shared" ref="AB229:AB322" si="402">AX229/(1-AF229)</f>
        <v>0.56043578561960927</v>
      </c>
      <c r="AC229" s="175"/>
      <c r="AD229" s="213">
        <f t="shared" ref="AD229:AD322" si="403">AE229</f>
        <v>0.1</v>
      </c>
      <c r="AE229" s="213">
        <v>0.1</v>
      </c>
      <c r="AF229" s="215">
        <v>0.252</v>
      </c>
      <c r="AG229" s="215" t="s">
        <v>9</v>
      </c>
      <c r="AH229" s="148">
        <f t="shared" si="397"/>
        <v>0.56043578561960927</v>
      </c>
      <c r="AI229" s="122">
        <f t="shared" si="396"/>
        <v>0.252</v>
      </c>
      <c r="AJ229" s="444"/>
      <c r="AK229" s="177">
        <f t="shared" ref="AK229:AK322" si="404">AW229/(1-AD229)</f>
        <v>0.52126984126984133</v>
      </c>
      <c r="AL229" s="178">
        <f t="shared" ref="AL229:AL322" si="405">AX229/(1-AE229)</f>
        <v>0.46578440849274194</v>
      </c>
      <c r="AM229" s="125">
        <f t="shared" ref="AM229:AM322" si="406">1-(AK229/Z229)</f>
        <v>0.19111111111111112</v>
      </c>
      <c r="AN229" s="125">
        <f t="shared" si="373"/>
        <v>0.16888888888888887</v>
      </c>
      <c r="AO229" s="140"/>
      <c r="AP229" s="17" t="s">
        <v>592</v>
      </c>
      <c r="AQ229" s="432">
        <v>8.0000000000000002E-3</v>
      </c>
      <c r="AR229" s="432">
        <v>2.996</v>
      </c>
      <c r="AS229" s="182"/>
      <c r="AT229" s="179">
        <v>0.16</v>
      </c>
      <c r="AU229" s="180">
        <f t="shared" ref="AU229:AU235" si="407">($F$2-70000)/2000*AQ229+AR229</f>
        <v>3.1240000000000001</v>
      </c>
      <c r="AV229" s="180">
        <f t="shared" ref="AV229:AV322" si="408">AT229+AU229</f>
        <v>3.2840000000000003</v>
      </c>
      <c r="AW229" s="433">
        <f t="shared" ref="AW229:AW322" si="409">(AT229+AU229)/$F$5</f>
        <v>0.46914285714285719</v>
      </c>
      <c r="AX229" s="126">
        <f t="shared" si="375"/>
        <v>0.41920596764346774</v>
      </c>
      <c r="AY229" s="129" t="s">
        <v>541</v>
      </c>
      <c r="AZ229" s="128" t="s">
        <v>260</v>
      </c>
      <c r="BB229" s="176">
        <f t="shared" si="398"/>
        <v>1.8681192853986976</v>
      </c>
      <c r="BC229" s="176">
        <f t="shared" si="399"/>
        <v>1.1208715712392185</v>
      </c>
      <c r="BD229" s="176">
        <f t="shared" si="400"/>
        <v>0.93405964269934882</v>
      </c>
      <c r="BE229" s="176">
        <f t="shared" si="401"/>
        <v>0.7472477141594791</v>
      </c>
    </row>
    <row r="230" spans="1:57" s="129" customFormat="1" hidden="1">
      <c r="A230" s="88" t="s">
        <v>1302</v>
      </c>
      <c r="B230" s="88" t="s">
        <v>1317</v>
      </c>
      <c r="C230" s="88" t="s">
        <v>1317</v>
      </c>
      <c r="D230" s="88" t="s">
        <v>55</v>
      </c>
      <c r="E230" s="89" t="s">
        <v>395</v>
      </c>
      <c r="F230" s="90" t="s">
        <v>536</v>
      </c>
      <c r="G230" s="131" t="s">
        <v>253</v>
      </c>
      <c r="H230" s="92" t="s">
        <v>2601</v>
      </c>
      <c r="I230" s="548" t="s">
        <v>4029</v>
      </c>
      <c r="J230" s="167" t="str">
        <f>_xlfn.XLOOKUP(I230,[1]Sheet1!$A:$A,[1]Sheet1!$B:$B,"")</f>
        <v>U0405011</v>
      </c>
      <c r="K230" s="90" t="s">
        <v>1511</v>
      </c>
      <c r="L230" s="90" t="s">
        <v>544</v>
      </c>
      <c r="M230" s="92"/>
      <c r="N230" s="89" t="s">
        <v>60</v>
      </c>
      <c r="O230" s="165"/>
      <c r="P230" s="88" t="s">
        <v>1446</v>
      </c>
      <c r="Q230" s="92" t="s">
        <v>402</v>
      </c>
      <c r="R230" s="92">
        <v>4800</v>
      </c>
      <c r="S230" s="123" t="s">
        <v>545</v>
      </c>
      <c r="T230" s="131" t="s">
        <v>403</v>
      </c>
      <c r="U230" s="155">
        <v>0</v>
      </c>
      <c r="V230" s="207">
        <v>50</v>
      </c>
      <c r="W230" s="207">
        <v>45</v>
      </c>
      <c r="X230" s="207">
        <v>55</v>
      </c>
      <c r="Y230" s="207" t="s">
        <v>64</v>
      </c>
      <c r="Z230" s="133">
        <f t="shared" si="377"/>
        <v>0.73861852433281006</v>
      </c>
      <c r="AA230" s="133"/>
      <c r="AB230" s="175">
        <f t="shared" si="402"/>
        <v>0.6387888051490993</v>
      </c>
      <c r="AC230" s="175"/>
      <c r="AD230" s="213">
        <f t="shared" si="403"/>
        <v>0.1</v>
      </c>
      <c r="AE230" s="213">
        <v>0.1</v>
      </c>
      <c r="AF230" s="215">
        <v>0.252</v>
      </c>
      <c r="AG230" s="215" t="s">
        <v>9</v>
      </c>
      <c r="AH230" s="148">
        <f t="shared" si="397"/>
        <v>0.6387888051490993</v>
      </c>
      <c r="AI230" s="122">
        <f t="shared" si="396"/>
        <v>0.252</v>
      </c>
      <c r="AJ230" s="444"/>
      <c r="AK230" s="177">
        <f t="shared" si="404"/>
        <v>0.59746031746031747</v>
      </c>
      <c r="AL230" s="178">
        <f t="shared" si="405"/>
        <v>0.53090447361280702</v>
      </c>
      <c r="AM230" s="125">
        <f t="shared" si="406"/>
        <v>0.19111111111111112</v>
      </c>
      <c r="AN230" s="125">
        <f t="shared" si="373"/>
        <v>0.16888888888888887</v>
      </c>
      <c r="AO230" s="140"/>
      <c r="AP230" s="17" t="s">
        <v>592</v>
      </c>
      <c r="AQ230" s="432">
        <v>1.2999999999999999E-2</v>
      </c>
      <c r="AR230" s="432">
        <v>3.3959999999999999</v>
      </c>
      <c r="AS230" s="182"/>
      <c r="AT230" s="179">
        <v>0.16</v>
      </c>
      <c r="AU230" s="180">
        <f t="shared" si="407"/>
        <v>3.6040000000000001</v>
      </c>
      <c r="AV230" s="180">
        <f t="shared" si="408"/>
        <v>3.7640000000000002</v>
      </c>
      <c r="AW230" s="433">
        <f t="shared" si="409"/>
        <v>0.5377142857142857</v>
      </c>
      <c r="AX230" s="126">
        <f t="shared" si="375"/>
        <v>0.4778140262515263</v>
      </c>
      <c r="AY230" s="129" t="s">
        <v>541</v>
      </c>
      <c r="AZ230" s="128" t="s">
        <v>260</v>
      </c>
      <c r="BB230" s="176">
        <f t="shared" si="398"/>
        <v>2.1292960171636643</v>
      </c>
      <c r="BC230" s="176">
        <f t="shared" si="399"/>
        <v>1.2775776102981986</v>
      </c>
      <c r="BD230" s="176">
        <f t="shared" si="400"/>
        <v>1.0646480085818322</v>
      </c>
      <c r="BE230" s="176">
        <f t="shared" si="401"/>
        <v>0.85171840686546574</v>
      </c>
    </row>
    <row r="231" spans="1:57" s="129" customFormat="1" hidden="1">
      <c r="A231" s="88" t="s">
        <v>1302</v>
      </c>
      <c r="B231" s="88" t="s">
        <v>1317</v>
      </c>
      <c r="C231" s="88" t="s">
        <v>1317</v>
      </c>
      <c r="D231" s="88" t="s">
        <v>55</v>
      </c>
      <c r="E231" s="89" t="s">
        <v>395</v>
      </c>
      <c r="F231" s="90" t="s">
        <v>536</v>
      </c>
      <c r="G231" s="131" t="s">
        <v>253</v>
      </c>
      <c r="H231" s="92" t="s">
        <v>2601</v>
      </c>
      <c r="I231" s="548" t="s">
        <v>4030</v>
      </c>
      <c r="J231" s="167" t="str">
        <f>_xlfn.XLOOKUP(I231,[1]Sheet1!$A:$A,[1]Sheet1!$B:$B,"")</f>
        <v>U0405013</v>
      </c>
      <c r="K231" s="90" t="s">
        <v>1512</v>
      </c>
      <c r="L231" s="90" t="s">
        <v>548</v>
      </c>
      <c r="M231" s="92"/>
      <c r="N231" s="89" t="s">
        <v>60</v>
      </c>
      <c r="O231" s="165"/>
      <c r="P231" s="88" t="s">
        <v>1446</v>
      </c>
      <c r="Q231" s="92" t="s">
        <v>402</v>
      </c>
      <c r="R231" s="92">
        <v>3200</v>
      </c>
      <c r="S231" s="123" t="s">
        <v>549</v>
      </c>
      <c r="T231" s="131" t="s">
        <v>403</v>
      </c>
      <c r="U231" s="155">
        <v>0</v>
      </c>
      <c r="V231" s="207">
        <v>50</v>
      </c>
      <c r="W231" s="207">
        <v>45</v>
      </c>
      <c r="X231" s="207">
        <v>55</v>
      </c>
      <c r="Y231" s="207" t="s">
        <v>64</v>
      </c>
      <c r="Z231" s="133">
        <f t="shared" si="377"/>
        <v>0.9823390894819467</v>
      </c>
      <c r="AA231" s="133"/>
      <c r="AB231" s="175">
        <f t="shared" si="402"/>
        <v>0.8537125150176621</v>
      </c>
      <c r="AC231" s="175"/>
      <c r="AD231" s="213">
        <f t="shared" si="403"/>
        <v>0.1</v>
      </c>
      <c r="AE231" s="213">
        <v>0.1</v>
      </c>
      <c r="AF231" s="215">
        <v>0.252</v>
      </c>
      <c r="AG231" s="215" t="s">
        <v>9</v>
      </c>
      <c r="AH231" s="148">
        <f t="shared" si="397"/>
        <v>0.8537125150176621</v>
      </c>
      <c r="AI231" s="122">
        <f t="shared" si="396"/>
        <v>0.252</v>
      </c>
      <c r="AJ231" s="444"/>
      <c r="AK231" s="177">
        <f t="shared" si="404"/>
        <v>0.79460317460317464</v>
      </c>
      <c r="AL231" s="178">
        <f t="shared" si="405"/>
        <v>0.70952995692579035</v>
      </c>
      <c r="AM231" s="125">
        <f t="shared" si="406"/>
        <v>0.19111111111111112</v>
      </c>
      <c r="AN231" s="125">
        <f t="shared" si="373"/>
        <v>0.16888888888888876</v>
      </c>
      <c r="AO231" s="140"/>
      <c r="AP231" s="17" t="s">
        <v>592</v>
      </c>
      <c r="AQ231" s="432">
        <v>2.5999999999999999E-2</v>
      </c>
      <c r="AR231" s="432">
        <v>4.43</v>
      </c>
      <c r="AS231" s="182"/>
      <c r="AT231" s="179">
        <v>0.16</v>
      </c>
      <c r="AU231" s="180">
        <f t="shared" si="407"/>
        <v>4.8460000000000001</v>
      </c>
      <c r="AV231" s="180">
        <f t="shared" si="408"/>
        <v>5.0060000000000002</v>
      </c>
      <c r="AW231" s="433">
        <f t="shared" si="409"/>
        <v>0.71514285714285719</v>
      </c>
      <c r="AX231" s="126">
        <f t="shared" si="375"/>
        <v>0.63857696123321128</v>
      </c>
      <c r="AY231" s="129" t="s">
        <v>541</v>
      </c>
      <c r="AZ231" s="128" t="s">
        <v>260</v>
      </c>
      <c r="BB231" s="176">
        <f t="shared" si="398"/>
        <v>2.845708383392207</v>
      </c>
      <c r="BC231" s="176">
        <f t="shared" si="399"/>
        <v>1.7074250300353242</v>
      </c>
      <c r="BD231" s="176">
        <f t="shared" si="400"/>
        <v>1.4228541916961035</v>
      </c>
      <c r="BE231" s="176">
        <f t="shared" si="401"/>
        <v>1.1382833533568828</v>
      </c>
    </row>
    <row r="232" spans="1:57" s="129" customFormat="1" hidden="1">
      <c r="A232" s="88" t="s">
        <v>1302</v>
      </c>
      <c r="B232" s="88" t="s">
        <v>1317</v>
      </c>
      <c r="C232" s="88" t="s">
        <v>1317</v>
      </c>
      <c r="D232" s="88" t="s">
        <v>55</v>
      </c>
      <c r="E232" s="89" t="s">
        <v>395</v>
      </c>
      <c r="F232" s="90" t="s">
        <v>536</v>
      </c>
      <c r="G232" s="131" t="s">
        <v>253</v>
      </c>
      <c r="H232" s="92" t="s">
        <v>2601</v>
      </c>
      <c r="I232" s="548" t="s">
        <v>4031</v>
      </c>
      <c r="J232" s="167" t="str">
        <f>_xlfn.XLOOKUP(I232,[1]Sheet1!$A:$A,[1]Sheet1!$B:$B,"")</f>
        <v>U0405014</v>
      </c>
      <c r="K232" s="90" t="s">
        <v>1513</v>
      </c>
      <c r="L232" s="90" t="s">
        <v>552</v>
      </c>
      <c r="M232" s="92"/>
      <c r="N232" s="89" t="s">
        <v>60</v>
      </c>
      <c r="O232" s="165"/>
      <c r="P232" s="88" t="s">
        <v>1446</v>
      </c>
      <c r="Q232" s="92" t="s">
        <v>402</v>
      </c>
      <c r="R232" s="92">
        <v>2240</v>
      </c>
      <c r="S232" s="123" t="s">
        <v>553</v>
      </c>
      <c r="T232" s="131" t="s">
        <v>403</v>
      </c>
      <c r="U232" s="155">
        <v>0</v>
      </c>
      <c r="V232" s="207">
        <v>50</v>
      </c>
      <c r="W232" s="207">
        <v>45</v>
      </c>
      <c r="X232" s="207">
        <v>55</v>
      </c>
      <c r="Y232" s="207" t="s">
        <v>64</v>
      </c>
      <c r="Z232" s="133">
        <f t="shared" si="377"/>
        <v>1.4595761381475667</v>
      </c>
      <c r="AA232" s="133"/>
      <c r="AB232" s="175">
        <f>AX232/(1-AF232)</f>
        <v>1.2663679253752782</v>
      </c>
      <c r="AC232" s="175"/>
      <c r="AD232" s="213">
        <f t="shared" si="403"/>
        <v>0.1</v>
      </c>
      <c r="AE232" s="213">
        <v>0.1</v>
      </c>
      <c r="AF232" s="215">
        <v>0.252</v>
      </c>
      <c r="AG232" s="215" t="s">
        <v>9</v>
      </c>
      <c r="AH232" s="148">
        <f t="shared" si="397"/>
        <v>1.2663679253752782</v>
      </c>
      <c r="AI232" s="122">
        <f t="shared" si="396"/>
        <v>0.25199999999999989</v>
      </c>
      <c r="AJ232" s="444"/>
      <c r="AK232" s="177">
        <f t="shared" si="404"/>
        <v>1.1806349206349205</v>
      </c>
      <c r="AL232" s="178">
        <f t="shared" si="405"/>
        <v>1.0524924535341202</v>
      </c>
      <c r="AM232" s="125">
        <f t="shared" si="406"/>
        <v>0.19111111111111123</v>
      </c>
      <c r="AN232" s="125">
        <f t="shared" si="373"/>
        <v>0.16888888888888876</v>
      </c>
      <c r="AO232" s="140"/>
      <c r="AP232" s="17" t="s">
        <v>592</v>
      </c>
      <c r="AQ232" s="432">
        <v>5.0999999999999997E-2</v>
      </c>
      <c r="AR232" s="432">
        <v>6.4619999999999997</v>
      </c>
      <c r="AS232" s="182"/>
      <c r="AT232" s="179">
        <v>0.16</v>
      </c>
      <c r="AU232" s="180">
        <f t="shared" si="407"/>
        <v>7.2779999999999996</v>
      </c>
      <c r="AV232" s="180">
        <f t="shared" si="408"/>
        <v>7.4379999999999997</v>
      </c>
      <c r="AW232" s="433">
        <f t="shared" si="409"/>
        <v>1.0625714285714285</v>
      </c>
      <c r="AX232" s="126">
        <f t="shared" si="375"/>
        <v>0.94724320818070817</v>
      </c>
      <c r="AY232" s="129" t="s">
        <v>541</v>
      </c>
      <c r="AZ232" s="128" t="s">
        <v>260</v>
      </c>
      <c r="BB232" s="176">
        <f t="shared" si="398"/>
        <v>4.2212264179175945</v>
      </c>
      <c r="BC232" s="176">
        <f t="shared" si="399"/>
        <v>2.5327358507505564</v>
      </c>
      <c r="BD232" s="176">
        <f t="shared" si="400"/>
        <v>2.1106132089587972</v>
      </c>
      <c r="BE232" s="176">
        <f t="shared" si="401"/>
        <v>1.6884905671670378</v>
      </c>
    </row>
    <row r="233" spans="1:57" s="129" customFormat="1" hidden="1">
      <c r="A233" s="88" t="s">
        <v>1302</v>
      </c>
      <c r="B233" s="88" t="s">
        <v>1317</v>
      </c>
      <c r="C233" s="88" t="s">
        <v>1317</v>
      </c>
      <c r="D233" s="88" t="s">
        <v>55</v>
      </c>
      <c r="E233" s="89" t="s">
        <v>395</v>
      </c>
      <c r="F233" s="90" t="s">
        <v>536</v>
      </c>
      <c r="G233" s="131" t="s">
        <v>253</v>
      </c>
      <c r="H233" s="92" t="s">
        <v>2601</v>
      </c>
      <c r="I233" s="548" t="s">
        <v>4032</v>
      </c>
      <c r="J233" s="167" t="str">
        <f>_xlfn.XLOOKUP(I233,[1]Sheet1!$A:$A,[1]Sheet1!$B:$B,"")</f>
        <v>U0405015</v>
      </c>
      <c r="K233" s="90" t="s">
        <v>555</v>
      </c>
      <c r="L233" s="90" t="s">
        <v>556</v>
      </c>
      <c r="M233" s="92"/>
      <c r="N233" s="89" t="s">
        <v>60</v>
      </c>
      <c r="O233" s="165"/>
      <c r="P233" s="88" t="s">
        <v>1446</v>
      </c>
      <c r="Q233" s="92" t="s">
        <v>402</v>
      </c>
      <c r="R233" s="92">
        <v>1600</v>
      </c>
      <c r="S233" s="123" t="s">
        <v>557</v>
      </c>
      <c r="T233" s="131" t="s">
        <v>403</v>
      </c>
      <c r="U233" s="155">
        <v>0</v>
      </c>
      <c r="V233" s="207">
        <v>50</v>
      </c>
      <c r="W233" s="207">
        <v>45</v>
      </c>
      <c r="X233" s="207">
        <v>55</v>
      </c>
      <c r="Y233" s="207" t="s">
        <v>64</v>
      </c>
      <c r="Z233" s="133">
        <f t="shared" si="377"/>
        <v>1.9352433281004708</v>
      </c>
      <c r="AA233" s="133"/>
      <c r="AB233" s="175">
        <f t="shared" si="402"/>
        <v>1.6829397114323583</v>
      </c>
      <c r="AC233" s="175"/>
      <c r="AD233" s="213">
        <f t="shared" si="403"/>
        <v>0.1</v>
      </c>
      <c r="AE233" s="213">
        <v>0.1</v>
      </c>
      <c r="AF233" s="215">
        <v>0.252</v>
      </c>
      <c r="AG233" s="215" t="s">
        <v>9</v>
      </c>
      <c r="AH233" s="148">
        <f t="shared" si="397"/>
        <v>1.6829397114323583</v>
      </c>
      <c r="AI233" s="122">
        <f t="shared" si="396"/>
        <v>0.252</v>
      </c>
      <c r="AJ233" s="444"/>
      <c r="AK233" s="177">
        <f t="shared" si="404"/>
        <v>1.5653968253968253</v>
      </c>
      <c r="AL233" s="178">
        <f t="shared" si="405"/>
        <v>1.3987098935015601</v>
      </c>
      <c r="AM233" s="125">
        <f t="shared" si="406"/>
        <v>0.19111111111111112</v>
      </c>
      <c r="AN233" s="125">
        <f t="shared" si="373"/>
        <v>0.16888888888888887</v>
      </c>
      <c r="AO233" s="140"/>
      <c r="AP233" s="17" t="s">
        <v>592</v>
      </c>
      <c r="AQ233" s="432">
        <v>7.5999999999999998E-2</v>
      </c>
      <c r="AR233" s="432">
        <v>8.4860000000000007</v>
      </c>
      <c r="AS233" s="182"/>
      <c r="AT233" s="179">
        <v>0.16</v>
      </c>
      <c r="AU233" s="180">
        <f t="shared" si="407"/>
        <v>9.702</v>
      </c>
      <c r="AV233" s="180">
        <f t="shared" si="408"/>
        <v>9.8620000000000001</v>
      </c>
      <c r="AW233" s="433">
        <f t="shared" si="409"/>
        <v>1.4088571428571428</v>
      </c>
      <c r="AX233" s="126">
        <f t="shared" si="375"/>
        <v>1.2588389041514041</v>
      </c>
      <c r="AY233" s="129" t="s">
        <v>541</v>
      </c>
      <c r="AZ233" s="128" t="s">
        <v>260</v>
      </c>
      <c r="BB233" s="176">
        <f t="shared" si="398"/>
        <v>5.6097990381078615</v>
      </c>
      <c r="BC233" s="176">
        <f t="shared" si="399"/>
        <v>3.3658794228647166</v>
      </c>
      <c r="BD233" s="176">
        <f t="shared" si="400"/>
        <v>2.8048995190539308</v>
      </c>
      <c r="BE233" s="176">
        <f t="shared" si="401"/>
        <v>2.2439196152431449</v>
      </c>
    </row>
    <row r="234" spans="1:57" s="129" customFormat="1" hidden="1">
      <c r="A234" s="88" t="s">
        <v>1302</v>
      </c>
      <c r="B234" s="88" t="s">
        <v>1317</v>
      </c>
      <c r="C234" s="88" t="s">
        <v>1317</v>
      </c>
      <c r="D234" s="88" t="s">
        <v>55</v>
      </c>
      <c r="E234" s="89" t="s">
        <v>395</v>
      </c>
      <c r="F234" s="90" t="s">
        <v>536</v>
      </c>
      <c r="G234" s="131" t="s">
        <v>253</v>
      </c>
      <c r="H234" s="92" t="s">
        <v>2601</v>
      </c>
      <c r="I234" s="548" t="s">
        <v>4033</v>
      </c>
      <c r="J234" s="167" t="str">
        <f>_xlfn.XLOOKUP(I234,[1]Sheet1!$A:$A,[1]Sheet1!$B:$B,"")</f>
        <v>U0405016</v>
      </c>
      <c r="K234" s="90" t="s">
        <v>559</v>
      </c>
      <c r="L234" s="90" t="s">
        <v>560</v>
      </c>
      <c r="M234" s="92"/>
      <c r="N234" s="89" t="s">
        <v>60</v>
      </c>
      <c r="O234" s="165"/>
      <c r="P234" s="88" t="s">
        <v>1446</v>
      </c>
      <c r="Q234" s="92" t="s">
        <v>402</v>
      </c>
      <c r="R234" s="92">
        <v>960</v>
      </c>
      <c r="S234" s="123" t="s">
        <v>561</v>
      </c>
      <c r="T234" s="131" t="s">
        <v>403</v>
      </c>
      <c r="U234" s="155">
        <v>0</v>
      </c>
      <c r="V234" s="207">
        <v>50</v>
      </c>
      <c r="W234" s="207">
        <v>45</v>
      </c>
      <c r="X234" s="207">
        <v>55</v>
      </c>
      <c r="Y234" s="207" t="s">
        <v>64</v>
      </c>
      <c r="Z234" s="133">
        <f t="shared" si="377"/>
        <v>2.900313971742543</v>
      </c>
      <c r="AA234" s="133"/>
      <c r="AB234" s="175">
        <f t="shared" si="402"/>
        <v>2.5344727780389547</v>
      </c>
      <c r="AC234" s="175"/>
      <c r="AD234" s="213">
        <f t="shared" si="403"/>
        <v>0.1</v>
      </c>
      <c r="AE234" s="213">
        <v>0.1</v>
      </c>
      <c r="AF234" s="215">
        <v>0.252</v>
      </c>
      <c r="AG234" s="215" t="s">
        <v>9</v>
      </c>
      <c r="AH234" s="148">
        <f t="shared" si="397"/>
        <v>2.5344727780389547</v>
      </c>
      <c r="AI234" s="122">
        <f t="shared" si="396"/>
        <v>0.25200000000000011</v>
      </c>
      <c r="AJ234" s="444"/>
      <c r="AK234" s="177">
        <f t="shared" si="404"/>
        <v>2.3460317460317457</v>
      </c>
      <c r="AL234" s="178">
        <f t="shared" si="405"/>
        <v>2.1064284866368199</v>
      </c>
      <c r="AM234" s="125">
        <f t="shared" si="406"/>
        <v>0.19111111111111123</v>
      </c>
      <c r="AN234" s="125">
        <f t="shared" si="373"/>
        <v>0.16888888888888898</v>
      </c>
      <c r="AO234" s="140"/>
      <c r="AP234" s="17" t="s">
        <v>592</v>
      </c>
      <c r="AQ234" s="432">
        <v>0.126</v>
      </c>
      <c r="AR234" s="432">
        <v>12.603999999999999</v>
      </c>
      <c r="AS234" s="182"/>
      <c r="AT234" s="179">
        <v>0.16</v>
      </c>
      <c r="AU234" s="180">
        <f t="shared" si="407"/>
        <v>14.62</v>
      </c>
      <c r="AV234" s="180">
        <f t="shared" si="408"/>
        <v>14.78</v>
      </c>
      <c r="AW234" s="433">
        <f t="shared" si="409"/>
        <v>2.1114285714285712</v>
      </c>
      <c r="AX234" s="126">
        <f t="shared" si="375"/>
        <v>1.8957856379731379</v>
      </c>
      <c r="AY234" s="129" t="s">
        <v>541</v>
      </c>
      <c r="AZ234" s="128" t="s">
        <v>260</v>
      </c>
      <c r="BB234" s="176">
        <f t="shared" si="398"/>
        <v>8.4482425934631831</v>
      </c>
      <c r="BC234" s="176">
        <f t="shared" si="399"/>
        <v>5.0689455560779093</v>
      </c>
      <c r="BD234" s="176">
        <f t="shared" si="400"/>
        <v>4.2241212967315915</v>
      </c>
      <c r="BE234" s="176">
        <f t="shared" si="401"/>
        <v>3.3792970373852733</v>
      </c>
    </row>
    <row r="235" spans="1:57" s="129" customFormat="1" hidden="1">
      <c r="A235" s="88" t="s">
        <v>1302</v>
      </c>
      <c r="B235" s="88" t="s">
        <v>1317</v>
      </c>
      <c r="C235" s="88" t="s">
        <v>1317</v>
      </c>
      <c r="D235" s="88" t="s">
        <v>55</v>
      </c>
      <c r="E235" s="89" t="s">
        <v>395</v>
      </c>
      <c r="F235" s="90" t="s">
        <v>536</v>
      </c>
      <c r="G235" s="131" t="s">
        <v>253</v>
      </c>
      <c r="H235" s="92" t="s">
        <v>2601</v>
      </c>
      <c r="I235" s="548" t="s">
        <v>4034</v>
      </c>
      <c r="J235" s="167" t="str">
        <f>_xlfn.XLOOKUP(I235,[1]Sheet1!$A:$A,[1]Sheet1!$B:$B,"")</f>
        <v>U0405012</v>
      </c>
      <c r="K235" s="90" t="s">
        <v>563</v>
      </c>
      <c r="L235" s="90" t="s">
        <v>564</v>
      </c>
      <c r="M235" s="92"/>
      <c r="N235" s="89" t="s">
        <v>60</v>
      </c>
      <c r="O235" s="165"/>
      <c r="P235" s="88" t="s">
        <v>1446</v>
      </c>
      <c r="Q235" s="92" t="s">
        <v>402</v>
      </c>
      <c r="R235" s="121">
        <v>640</v>
      </c>
      <c r="S235" s="123" t="e">
        <v>#N/A</v>
      </c>
      <c r="T235" s="131" t="s">
        <v>403</v>
      </c>
      <c r="U235" s="155">
        <v>0</v>
      </c>
      <c r="V235" s="207">
        <v>50</v>
      </c>
      <c r="W235" s="207">
        <v>45</v>
      </c>
      <c r="X235" s="207">
        <v>55</v>
      </c>
      <c r="Y235" s="207" t="s">
        <v>64</v>
      </c>
      <c r="Z235" s="133">
        <f t="shared" si="377"/>
        <v>5.2382260596546306</v>
      </c>
      <c r="AA235" s="133"/>
      <c r="AB235" s="175">
        <f t="shared" si="402"/>
        <v>4.5401863761238763</v>
      </c>
      <c r="AC235" s="175"/>
      <c r="AD235" s="213">
        <f t="shared" si="403"/>
        <v>0.1</v>
      </c>
      <c r="AE235" s="213">
        <v>0.1</v>
      </c>
      <c r="AF235" s="215">
        <v>0.252</v>
      </c>
      <c r="AG235" s="215" t="s">
        <v>9</v>
      </c>
      <c r="AH235" s="148">
        <f t="shared" si="397"/>
        <v>4.5401863761238763</v>
      </c>
      <c r="AI235" s="122">
        <f t="shared" si="396"/>
        <v>0.252</v>
      </c>
      <c r="AJ235" s="444"/>
      <c r="AK235" s="177">
        <f t="shared" si="404"/>
        <v>4.2371428571428567</v>
      </c>
      <c r="AL235" s="178">
        <f t="shared" si="405"/>
        <v>3.7733993437118434</v>
      </c>
      <c r="AM235" s="125">
        <f t="shared" si="406"/>
        <v>0.19111111111111112</v>
      </c>
      <c r="AN235" s="125">
        <f t="shared" si="373"/>
        <v>0.16888888888888898</v>
      </c>
      <c r="AO235" s="140"/>
      <c r="AP235" s="17" t="s">
        <v>592</v>
      </c>
      <c r="AQ235" s="432">
        <v>0.252</v>
      </c>
      <c r="AR235" s="432">
        <v>22.501999999999999</v>
      </c>
      <c r="AS235" s="182"/>
      <c r="AT235" s="179">
        <v>0.16</v>
      </c>
      <c r="AU235" s="180">
        <f t="shared" si="407"/>
        <v>26.533999999999999</v>
      </c>
      <c r="AV235" s="180">
        <f t="shared" si="408"/>
        <v>26.693999999999999</v>
      </c>
      <c r="AW235" s="433">
        <f t="shared" si="409"/>
        <v>3.8134285714285712</v>
      </c>
      <c r="AX235" s="126">
        <f t="shared" si="375"/>
        <v>3.3960594093406593</v>
      </c>
      <c r="AY235" s="129" t="s">
        <v>541</v>
      </c>
      <c r="AZ235" s="128" t="s">
        <v>260</v>
      </c>
      <c r="BB235" s="176">
        <f t="shared" si="398"/>
        <v>15.133954587079588</v>
      </c>
      <c r="BC235" s="176">
        <f t="shared" si="399"/>
        <v>9.0803727522477526</v>
      </c>
      <c r="BD235" s="176">
        <f t="shared" si="400"/>
        <v>7.5669772935397939</v>
      </c>
      <c r="BE235" s="176">
        <f t="shared" si="401"/>
        <v>6.0535818348318351</v>
      </c>
    </row>
    <row r="236" spans="1:57" s="129" customFormat="1" hidden="1">
      <c r="A236" s="88" t="s">
        <v>1302</v>
      </c>
      <c r="B236" s="88" t="s">
        <v>1318</v>
      </c>
      <c r="C236" s="88" t="s">
        <v>1318</v>
      </c>
      <c r="D236" s="88" t="s">
        <v>55</v>
      </c>
      <c r="E236" s="89" t="s">
        <v>395</v>
      </c>
      <c r="F236" s="90" t="s">
        <v>536</v>
      </c>
      <c r="G236" s="131" t="s">
        <v>253</v>
      </c>
      <c r="H236" s="92">
        <v>26</v>
      </c>
      <c r="I236" s="167" t="s">
        <v>1692</v>
      </c>
      <c r="J236" s="167" t="str">
        <f>_xlfn.XLOOKUP(I236,[1]Sheet1!$A:$A,[1]Sheet1!$B:$B,"")</f>
        <v>U0405001</v>
      </c>
      <c r="K236" s="90" t="s">
        <v>538</v>
      </c>
      <c r="L236" s="90" t="s">
        <v>539</v>
      </c>
      <c r="M236" s="92"/>
      <c r="N236" s="89" t="s">
        <v>60</v>
      </c>
      <c r="O236" s="165"/>
      <c r="P236" s="88" t="s">
        <v>1446</v>
      </c>
      <c r="Q236" s="431" t="s">
        <v>402</v>
      </c>
      <c r="R236" s="121">
        <v>3200</v>
      </c>
      <c r="S236" s="417" t="str">
        <f>S229</f>
        <v>4897108882227</v>
      </c>
      <c r="T236" s="131" t="s">
        <v>403</v>
      </c>
      <c r="U236" s="418">
        <v>0</v>
      </c>
      <c r="V236" s="419">
        <v>50</v>
      </c>
      <c r="W236" s="419">
        <v>45</v>
      </c>
      <c r="X236" s="419">
        <v>55</v>
      </c>
      <c r="Y236" s="419" t="s">
        <v>64</v>
      </c>
      <c r="Z236" s="420">
        <f t="shared" si="377"/>
        <v>0.58555055259926325</v>
      </c>
      <c r="AA236" s="420"/>
      <c r="AB236" s="421">
        <f t="shared" si="402"/>
        <v>0.52461309098669828</v>
      </c>
      <c r="AC236" s="421"/>
      <c r="AD236" s="422">
        <f t="shared" si="403"/>
        <v>0.1</v>
      </c>
      <c r="AE236" s="422">
        <v>0.1</v>
      </c>
      <c r="AF236" s="422">
        <v>0.28200000000000003</v>
      </c>
      <c r="AG236" s="422" t="s">
        <v>9</v>
      </c>
      <c r="AH236" s="423">
        <f t="shared" si="397"/>
        <v>0.52461309098669828</v>
      </c>
      <c r="AI236" s="422">
        <f t="shared" si="396"/>
        <v>0.28200000000000003</v>
      </c>
      <c r="AJ236" s="444"/>
      <c r="AK236" s="424">
        <f t="shared" si="404"/>
        <v>0.45412698412698416</v>
      </c>
      <c r="AL236" s="425">
        <f t="shared" si="405"/>
        <v>0.41852466592049931</v>
      </c>
      <c r="AM236" s="426">
        <f t="shared" si="406"/>
        <v>0.22444444444444445</v>
      </c>
      <c r="AN236" s="426">
        <f t="shared" si="373"/>
        <v>0.20222222222222219</v>
      </c>
      <c r="AO236" s="427"/>
      <c r="AP236" s="17" t="s">
        <v>592</v>
      </c>
      <c r="AQ236" s="432">
        <v>7.0000000000000001E-3</v>
      </c>
      <c r="AR236" s="432">
        <v>2.589</v>
      </c>
      <c r="AS236" s="182"/>
      <c r="AT236" s="179">
        <v>0.16</v>
      </c>
      <c r="AU236" s="180">
        <f t="shared" ref="AU236:AU245" si="410">($F$2-70000)/2000*AQ236+AR236</f>
        <v>2.7010000000000001</v>
      </c>
      <c r="AV236" s="180">
        <f t="shared" si="408"/>
        <v>2.8610000000000002</v>
      </c>
      <c r="AW236" s="433">
        <f t="shared" si="409"/>
        <v>0.40871428571428575</v>
      </c>
      <c r="AX236" s="126">
        <f>(AW236/$F$6)+(($F$9+$G$9)/40/R236)+AW236*U236</f>
        <v>0.37667219932844936</v>
      </c>
      <c r="AY236" s="130" t="s">
        <v>1454</v>
      </c>
      <c r="AZ236" s="128" t="s">
        <v>260</v>
      </c>
      <c r="BB236" s="176">
        <f t="shared" si="398"/>
        <v>1.7487103032889943</v>
      </c>
      <c r="BC236" s="176">
        <f t="shared" si="399"/>
        <v>1.0492261819733966</v>
      </c>
      <c r="BD236" s="176">
        <f t="shared" si="400"/>
        <v>0.87435515164449717</v>
      </c>
      <c r="BE236" s="176">
        <f t="shared" si="401"/>
        <v>0.69948412131559778</v>
      </c>
    </row>
    <row r="237" spans="1:57" s="129" customFormat="1" hidden="1">
      <c r="A237" s="88" t="s">
        <v>1302</v>
      </c>
      <c r="B237" s="88" t="s">
        <v>1318</v>
      </c>
      <c r="C237" s="88" t="s">
        <v>1318</v>
      </c>
      <c r="D237" s="88" t="s">
        <v>55</v>
      </c>
      <c r="E237" s="89" t="s">
        <v>395</v>
      </c>
      <c r="F237" s="90" t="s">
        <v>536</v>
      </c>
      <c r="G237" s="131" t="s">
        <v>253</v>
      </c>
      <c r="H237" s="92">
        <v>26</v>
      </c>
      <c r="I237" s="167" t="s">
        <v>542</v>
      </c>
      <c r="J237" s="167" t="str">
        <f>_xlfn.XLOOKUP(I237,[1]Sheet1!$A:$A,[1]Sheet1!$B:$B,"")</f>
        <v>U0405002</v>
      </c>
      <c r="K237" s="90" t="s">
        <v>543</v>
      </c>
      <c r="L237" s="90" t="s">
        <v>544</v>
      </c>
      <c r="M237" s="92"/>
      <c r="N237" s="89" t="s">
        <v>60</v>
      </c>
      <c r="O237" s="165"/>
      <c r="P237" s="88" t="s">
        <v>1446</v>
      </c>
      <c r="Q237" s="431" t="s">
        <v>402</v>
      </c>
      <c r="R237" s="121">
        <v>2560</v>
      </c>
      <c r="S237" s="417" t="str">
        <f t="shared" ref="S237:S241" si="411">S230</f>
        <v>4897108882234</v>
      </c>
      <c r="T237" s="131" t="s">
        <v>403</v>
      </c>
      <c r="U237" s="418">
        <v>0</v>
      </c>
      <c r="V237" s="419">
        <v>50</v>
      </c>
      <c r="W237" s="419">
        <v>45</v>
      </c>
      <c r="X237" s="419">
        <v>55</v>
      </c>
      <c r="Y237" s="419" t="s">
        <v>64</v>
      </c>
      <c r="Z237" s="420">
        <f t="shared" si="377"/>
        <v>0.67642243143675818</v>
      </c>
      <c r="AA237" s="420"/>
      <c r="AB237" s="421">
        <f t="shared" si="402"/>
        <v>0.60963870618510241</v>
      </c>
      <c r="AC237" s="421"/>
      <c r="AD237" s="422">
        <f t="shared" si="403"/>
        <v>0.1</v>
      </c>
      <c r="AE237" s="422">
        <v>0.1</v>
      </c>
      <c r="AF237" s="422">
        <v>0.28200000000000003</v>
      </c>
      <c r="AG237" s="422" t="s">
        <v>9</v>
      </c>
      <c r="AH237" s="423">
        <f t="shared" si="397"/>
        <v>0.60963870618510241</v>
      </c>
      <c r="AI237" s="422">
        <f t="shared" si="396"/>
        <v>0.28199999999999992</v>
      </c>
      <c r="AJ237" s="444"/>
      <c r="AK237" s="424">
        <f t="shared" si="404"/>
        <v>0.52460317460317463</v>
      </c>
      <c r="AL237" s="425">
        <f t="shared" si="405"/>
        <v>0.48635621226767062</v>
      </c>
      <c r="AM237" s="426">
        <f t="shared" si="406"/>
        <v>0.22444444444444456</v>
      </c>
      <c r="AN237" s="426">
        <f t="shared" si="373"/>
        <v>0.20222222222222219</v>
      </c>
      <c r="AO237" s="427"/>
      <c r="AP237" s="17" t="s">
        <v>592</v>
      </c>
      <c r="AQ237" s="432">
        <v>1.2E-2</v>
      </c>
      <c r="AR237" s="432">
        <v>2.9529999999999998</v>
      </c>
      <c r="AS237" s="182"/>
      <c r="AT237" s="179">
        <v>0.16</v>
      </c>
      <c r="AU237" s="180">
        <f t="shared" si="410"/>
        <v>3.145</v>
      </c>
      <c r="AV237" s="180">
        <f t="shared" si="408"/>
        <v>3.3050000000000002</v>
      </c>
      <c r="AW237" s="433">
        <f t="shared" si="409"/>
        <v>0.47214285714285714</v>
      </c>
      <c r="AX237" s="126">
        <f t="shared" si="375"/>
        <v>0.43772059104090355</v>
      </c>
      <c r="AY237" s="130" t="s">
        <v>565</v>
      </c>
      <c r="AZ237" s="128" t="s">
        <v>260</v>
      </c>
      <c r="BB237" s="176">
        <f t="shared" si="398"/>
        <v>2.032129020617008</v>
      </c>
      <c r="BC237" s="176">
        <f t="shared" si="399"/>
        <v>1.2192774123702048</v>
      </c>
      <c r="BD237" s="176">
        <f t="shared" si="400"/>
        <v>1.016064510308504</v>
      </c>
      <c r="BE237" s="176">
        <f t="shared" si="401"/>
        <v>0.81285160824680325</v>
      </c>
    </row>
    <row r="238" spans="1:57" s="129" customFormat="1" hidden="1">
      <c r="A238" s="88" t="s">
        <v>1302</v>
      </c>
      <c r="B238" s="88" t="s">
        <v>1318</v>
      </c>
      <c r="C238" s="88" t="s">
        <v>1318</v>
      </c>
      <c r="D238" s="88" t="s">
        <v>55</v>
      </c>
      <c r="E238" s="89" t="s">
        <v>395</v>
      </c>
      <c r="F238" s="90" t="s">
        <v>536</v>
      </c>
      <c r="G238" s="131" t="s">
        <v>253</v>
      </c>
      <c r="H238" s="92">
        <v>26</v>
      </c>
      <c r="I238" s="167" t="s">
        <v>546</v>
      </c>
      <c r="J238" s="167" t="str">
        <f>_xlfn.XLOOKUP(I238,[1]Sheet1!$A:$A,[1]Sheet1!$B:$B,"")</f>
        <v>U0405005</v>
      </c>
      <c r="K238" s="90" t="s">
        <v>547</v>
      </c>
      <c r="L238" s="90" t="s">
        <v>548</v>
      </c>
      <c r="M238" s="92"/>
      <c r="N238" s="89" t="s">
        <v>60</v>
      </c>
      <c r="O238" s="165"/>
      <c r="P238" s="88" t="s">
        <v>1449</v>
      </c>
      <c r="Q238" s="431" t="s">
        <v>402</v>
      </c>
      <c r="R238" s="121">
        <v>1600</v>
      </c>
      <c r="S238" s="417" t="str">
        <f t="shared" si="411"/>
        <v>4897108882241</v>
      </c>
      <c r="T238" s="131" t="s">
        <v>403</v>
      </c>
      <c r="U238" s="418">
        <v>0</v>
      </c>
      <c r="V238" s="419">
        <v>50</v>
      </c>
      <c r="W238" s="419">
        <v>45</v>
      </c>
      <c r="X238" s="419">
        <v>55</v>
      </c>
      <c r="Y238" s="419" t="s">
        <v>64</v>
      </c>
      <c r="Z238" s="420">
        <f t="shared" si="377"/>
        <v>0.85008071025020182</v>
      </c>
      <c r="AA238" s="420"/>
      <c r="AB238" s="421">
        <f t="shared" si="402"/>
        <v>0.78172433297776711</v>
      </c>
      <c r="AC238" s="421"/>
      <c r="AD238" s="422">
        <f t="shared" si="403"/>
        <v>0.1</v>
      </c>
      <c r="AE238" s="422">
        <v>0.1</v>
      </c>
      <c r="AF238" s="422">
        <v>0.27200000000000002</v>
      </c>
      <c r="AG238" s="422" t="s">
        <v>9</v>
      </c>
      <c r="AH238" s="423">
        <f t="shared" si="397"/>
        <v>0.78172433297776711</v>
      </c>
      <c r="AI238" s="422">
        <f t="shared" si="396"/>
        <v>0.27200000000000002</v>
      </c>
      <c r="AJ238" s="444"/>
      <c r="AK238" s="424">
        <f t="shared" si="404"/>
        <v>0.66873015873015873</v>
      </c>
      <c r="AL238" s="425">
        <f t="shared" si="405"/>
        <v>0.6323281271197938</v>
      </c>
      <c r="AM238" s="426">
        <f t="shared" si="406"/>
        <v>0.21333333333333337</v>
      </c>
      <c r="AN238" s="426">
        <f t="shared" si="373"/>
        <v>0.19111111111111112</v>
      </c>
      <c r="AO238" s="427"/>
      <c r="AP238" s="17" t="s">
        <v>592</v>
      </c>
      <c r="AQ238" s="432">
        <v>2.4E-2</v>
      </c>
      <c r="AR238" s="432">
        <v>3.669</v>
      </c>
      <c r="AS238" s="182"/>
      <c r="AT238" s="179">
        <v>0.16</v>
      </c>
      <c r="AU238" s="180">
        <f t="shared" si="410"/>
        <v>4.0529999999999999</v>
      </c>
      <c r="AV238" s="180">
        <f t="shared" si="408"/>
        <v>4.2130000000000001</v>
      </c>
      <c r="AW238" s="433">
        <f t="shared" si="409"/>
        <v>0.60185714285714287</v>
      </c>
      <c r="AX238" s="126">
        <f t="shared" si="375"/>
        <v>0.56909531440781447</v>
      </c>
      <c r="AY238" s="130" t="s">
        <v>565</v>
      </c>
      <c r="AZ238" s="128" t="s">
        <v>260</v>
      </c>
      <c r="BB238" s="176">
        <f t="shared" si="398"/>
        <v>2.605747776592557</v>
      </c>
      <c r="BC238" s="176">
        <f t="shared" si="399"/>
        <v>1.5634486659555342</v>
      </c>
      <c r="BD238" s="176">
        <f t="shared" si="400"/>
        <v>1.3028738882962785</v>
      </c>
      <c r="BE238" s="176">
        <f t="shared" si="401"/>
        <v>1.0422991106370227</v>
      </c>
    </row>
    <row r="239" spans="1:57" s="129" customFormat="1" hidden="1">
      <c r="A239" s="88" t="s">
        <v>1302</v>
      </c>
      <c r="B239" s="88" t="s">
        <v>1318</v>
      </c>
      <c r="C239" s="88" t="s">
        <v>1318</v>
      </c>
      <c r="D239" s="88" t="s">
        <v>55</v>
      </c>
      <c r="E239" s="89" t="s">
        <v>395</v>
      </c>
      <c r="F239" s="90" t="s">
        <v>536</v>
      </c>
      <c r="G239" s="131" t="s">
        <v>253</v>
      </c>
      <c r="H239" s="92">
        <v>26</v>
      </c>
      <c r="I239" s="167" t="s">
        <v>550</v>
      </c>
      <c r="J239" s="167" t="str">
        <f>_xlfn.XLOOKUP(I239,[1]Sheet1!$A:$A,[1]Sheet1!$B:$B,"")</f>
        <v>U0405007</v>
      </c>
      <c r="K239" s="90" t="s">
        <v>551</v>
      </c>
      <c r="L239" s="90" t="s">
        <v>552</v>
      </c>
      <c r="M239" s="92"/>
      <c r="N239" s="89" t="s">
        <v>60</v>
      </c>
      <c r="O239" s="165"/>
      <c r="P239" s="88" t="s">
        <v>1446</v>
      </c>
      <c r="Q239" s="431" t="s">
        <v>402</v>
      </c>
      <c r="R239" s="121">
        <v>1280</v>
      </c>
      <c r="S239" s="417" t="str">
        <f t="shared" si="411"/>
        <v>4897108882258</v>
      </c>
      <c r="T239" s="131" t="s">
        <v>403</v>
      </c>
      <c r="U239" s="418">
        <v>0</v>
      </c>
      <c r="V239" s="419">
        <v>50</v>
      </c>
      <c r="W239" s="419">
        <v>45</v>
      </c>
      <c r="X239" s="419">
        <v>55</v>
      </c>
      <c r="Y239" s="419" t="s">
        <v>64</v>
      </c>
      <c r="Z239" s="420">
        <f t="shared" si="377"/>
        <v>1.2374899112187248</v>
      </c>
      <c r="AA239" s="420"/>
      <c r="AB239" s="421">
        <f t="shared" si="402"/>
        <v>1.1225266810989682</v>
      </c>
      <c r="AC239" s="421"/>
      <c r="AD239" s="422">
        <f t="shared" si="403"/>
        <v>0.1</v>
      </c>
      <c r="AE239" s="422">
        <v>0.1</v>
      </c>
      <c r="AF239" s="422">
        <v>0.27200000000000002</v>
      </c>
      <c r="AG239" s="422" t="s">
        <v>9</v>
      </c>
      <c r="AH239" s="423">
        <f t="shared" si="397"/>
        <v>1.1225266810989682</v>
      </c>
      <c r="AI239" s="422">
        <f t="shared" si="396"/>
        <v>0.27200000000000002</v>
      </c>
      <c r="AJ239" s="444"/>
      <c r="AK239" s="424">
        <f t="shared" si="404"/>
        <v>0.97349206349206341</v>
      </c>
      <c r="AL239" s="425">
        <f t="shared" si="405"/>
        <v>0.90799935982227642</v>
      </c>
      <c r="AM239" s="426">
        <f t="shared" si="406"/>
        <v>0.21333333333333337</v>
      </c>
      <c r="AN239" s="426">
        <f t="shared" si="373"/>
        <v>0.19111111111111123</v>
      </c>
      <c r="AO239" s="427"/>
      <c r="AP239" s="17" t="s">
        <v>592</v>
      </c>
      <c r="AQ239" s="432">
        <v>4.7E-2</v>
      </c>
      <c r="AR239" s="432">
        <v>5.2210000000000001</v>
      </c>
      <c r="AS239" s="182"/>
      <c r="AT239" s="179">
        <v>0.16</v>
      </c>
      <c r="AU239" s="180">
        <f t="shared" si="410"/>
        <v>5.9729999999999999</v>
      </c>
      <c r="AV239" s="180">
        <f t="shared" si="408"/>
        <v>6.133</v>
      </c>
      <c r="AW239" s="433">
        <f t="shared" si="409"/>
        <v>0.87614285714285711</v>
      </c>
      <c r="AX239" s="126">
        <f t="shared" si="375"/>
        <v>0.81719942384004884</v>
      </c>
      <c r="AY239" s="130" t="s">
        <v>565</v>
      </c>
      <c r="AZ239" s="128" t="s">
        <v>260</v>
      </c>
      <c r="BB239" s="176">
        <f t="shared" si="398"/>
        <v>3.7417556036632278</v>
      </c>
      <c r="BC239" s="176">
        <f t="shared" si="399"/>
        <v>2.2450533621979365</v>
      </c>
      <c r="BD239" s="176">
        <f t="shared" si="400"/>
        <v>1.8708778018316139</v>
      </c>
      <c r="BE239" s="176">
        <f t="shared" si="401"/>
        <v>1.4967022414652913</v>
      </c>
    </row>
    <row r="240" spans="1:57" s="129" customFormat="1" hidden="1">
      <c r="A240" s="88" t="s">
        <v>1302</v>
      </c>
      <c r="B240" s="88" t="s">
        <v>1318</v>
      </c>
      <c r="C240" s="88" t="s">
        <v>1318</v>
      </c>
      <c r="D240" s="88" t="s">
        <v>55</v>
      </c>
      <c r="E240" s="89" t="s">
        <v>395</v>
      </c>
      <c r="F240" s="90" t="s">
        <v>536</v>
      </c>
      <c r="G240" s="131" t="s">
        <v>253</v>
      </c>
      <c r="H240" s="92">
        <v>26</v>
      </c>
      <c r="I240" s="167" t="s">
        <v>554</v>
      </c>
      <c r="J240" s="167" t="str">
        <f>_xlfn.XLOOKUP(I240,[1]Sheet1!$A:$A,[1]Sheet1!$B:$B,"")</f>
        <v>U0405008</v>
      </c>
      <c r="K240" s="90" t="s">
        <v>3446</v>
      </c>
      <c r="L240" s="90" t="s">
        <v>556</v>
      </c>
      <c r="M240" s="92"/>
      <c r="N240" s="89" t="s">
        <v>60</v>
      </c>
      <c r="O240" s="165"/>
      <c r="P240" s="88" t="s">
        <v>1446</v>
      </c>
      <c r="Q240" s="431" t="s">
        <v>402</v>
      </c>
      <c r="R240" s="121">
        <v>960</v>
      </c>
      <c r="S240" s="417" t="str">
        <f t="shared" si="411"/>
        <v>4897108882265</v>
      </c>
      <c r="T240" s="131" t="s">
        <v>403</v>
      </c>
      <c r="U240" s="418">
        <v>0</v>
      </c>
      <c r="V240" s="419">
        <v>50</v>
      </c>
      <c r="W240" s="419">
        <v>45</v>
      </c>
      <c r="X240" s="419">
        <v>55</v>
      </c>
      <c r="Y240" s="419" t="s">
        <v>64</v>
      </c>
      <c r="Z240" s="420">
        <f t="shared" si="377"/>
        <v>1.6261097659402743</v>
      </c>
      <c r="AA240" s="420"/>
      <c r="AB240" s="421">
        <f t="shared" si="402"/>
        <v>1.4768553809590899</v>
      </c>
      <c r="AC240" s="421"/>
      <c r="AD240" s="422">
        <f t="shared" si="403"/>
        <v>0.1</v>
      </c>
      <c r="AE240" s="422">
        <v>0.1</v>
      </c>
      <c r="AF240" s="422">
        <v>0.27200000000000002</v>
      </c>
      <c r="AG240" s="422" t="s">
        <v>9</v>
      </c>
      <c r="AH240" s="423">
        <f t="shared" si="397"/>
        <v>1.4768553809590899</v>
      </c>
      <c r="AI240" s="422">
        <f t="shared" si="396"/>
        <v>0.27200000000000002</v>
      </c>
      <c r="AJ240" s="444"/>
      <c r="AK240" s="424">
        <f t="shared" si="404"/>
        <v>1.2792063492063492</v>
      </c>
      <c r="AL240" s="425">
        <f t="shared" si="405"/>
        <v>1.1946119081535749</v>
      </c>
      <c r="AM240" s="426">
        <f t="shared" si="406"/>
        <v>0.21333333333333326</v>
      </c>
      <c r="AN240" s="426">
        <f t="shared" si="373"/>
        <v>0.19111111111111112</v>
      </c>
      <c r="AO240" s="427"/>
      <c r="AP240" s="17" t="s">
        <v>592</v>
      </c>
      <c r="AQ240" s="432">
        <v>7.0999999999999994E-2</v>
      </c>
      <c r="AR240" s="432">
        <v>6.7629999999999999</v>
      </c>
      <c r="AS240" s="182"/>
      <c r="AT240" s="179">
        <v>0.16</v>
      </c>
      <c r="AU240" s="180">
        <f t="shared" si="410"/>
        <v>7.899</v>
      </c>
      <c r="AV240" s="180">
        <f t="shared" si="408"/>
        <v>8.0589999999999993</v>
      </c>
      <c r="AW240" s="433">
        <f t="shared" si="409"/>
        <v>1.1512857142857142</v>
      </c>
      <c r="AX240" s="126">
        <f t="shared" si="375"/>
        <v>1.0751507173382173</v>
      </c>
      <c r="AY240" s="130" t="s">
        <v>565</v>
      </c>
      <c r="AZ240" s="128" t="s">
        <v>260</v>
      </c>
      <c r="BB240" s="176">
        <f t="shared" si="398"/>
        <v>4.9228512698636333</v>
      </c>
      <c r="BC240" s="176">
        <f t="shared" si="399"/>
        <v>2.9537107619181797</v>
      </c>
      <c r="BD240" s="176">
        <f t="shared" si="400"/>
        <v>2.4614256349318167</v>
      </c>
      <c r="BE240" s="176">
        <f t="shared" si="401"/>
        <v>1.9691405079454534</v>
      </c>
    </row>
    <row r="241" spans="1:57" s="129" customFormat="1" hidden="1">
      <c r="A241" s="88" t="s">
        <v>1302</v>
      </c>
      <c r="B241" s="88" t="s">
        <v>1318</v>
      </c>
      <c r="C241" s="88" t="s">
        <v>1318</v>
      </c>
      <c r="D241" s="88" t="s">
        <v>55</v>
      </c>
      <c r="E241" s="89" t="s">
        <v>395</v>
      </c>
      <c r="F241" s="90" t="s">
        <v>536</v>
      </c>
      <c r="G241" s="131" t="s">
        <v>253</v>
      </c>
      <c r="H241" s="92">
        <v>26</v>
      </c>
      <c r="I241" s="167" t="s">
        <v>558</v>
      </c>
      <c r="J241" s="167" t="str">
        <f>_xlfn.XLOOKUP(I241,[1]Sheet1!$A:$A,[1]Sheet1!$B:$B,"")</f>
        <v>U0405009</v>
      </c>
      <c r="K241" s="90" t="s">
        <v>559</v>
      </c>
      <c r="L241" s="90" t="s">
        <v>560</v>
      </c>
      <c r="M241" s="92"/>
      <c r="N241" s="89" t="s">
        <v>60</v>
      </c>
      <c r="O241" s="165"/>
      <c r="P241" s="88" t="s">
        <v>1446</v>
      </c>
      <c r="Q241" s="431" t="s">
        <v>402</v>
      </c>
      <c r="R241" s="121">
        <v>640</v>
      </c>
      <c r="S241" s="417" t="str">
        <f t="shared" si="411"/>
        <v>4897108882272</v>
      </c>
      <c r="T241" s="131" t="s">
        <v>403</v>
      </c>
      <c r="U241" s="418">
        <v>0</v>
      </c>
      <c r="V241" s="419">
        <v>50</v>
      </c>
      <c r="W241" s="419">
        <v>45</v>
      </c>
      <c r="X241" s="419">
        <v>55</v>
      </c>
      <c r="Y241" s="419" t="s">
        <v>64</v>
      </c>
      <c r="Z241" s="420">
        <f t="shared" si="377"/>
        <v>2.4644874899112188</v>
      </c>
      <c r="AA241" s="420"/>
      <c r="AB241" s="421">
        <f t="shared" si="402"/>
        <v>2.2363319249050706</v>
      </c>
      <c r="AC241" s="421"/>
      <c r="AD241" s="422">
        <f t="shared" si="403"/>
        <v>0.1</v>
      </c>
      <c r="AE241" s="422">
        <v>0.1</v>
      </c>
      <c r="AF241" s="422">
        <v>0.27200000000000002</v>
      </c>
      <c r="AG241" s="422" t="s">
        <v>9</v>
      </c>
      <c r="AH241" s="423">
        <f t="shared" si="397"/>
        <v>2.2363319249050706</v>
      </c>
      <c r="AI241" s="422">
        <f t="shared" si="396"/>
        <v>0.27200000000000002</v>
      </c>
      <c r="AJ241" s="444"/>
      <c r="AK241" s="424">
        <f t="shared" si="404"/>
        <v>1.9387301587301586</v>
      </c>
      <c r="AL241" s="425">
        <f t="shared" si="405"/>
        <v>1.8089440459232127</v>
      </c>
      <c r="AM241" s="426">
        <f t="shared" si="406"/>
        <v>0.21333333333333337</v>
      </c>
      <c r="AN241" s="426">
        <f t="shared" si="373"/>
        <v>0.19111111111111112</v>
      </c>
      <c r="AO241" s="427"/>
      <c r="AP241" s="17" t="s">
        <v>592</v>
      </c>
      <c r="AQ241" s="432">
        <v>0.11700000000000001</v>
      </c>
      <c r="AR241" s="432">
        <v>10.182</v>
      </c>
      <c r="AS241" s="182"/>
      <c r="AT241" s="179">
        <v>0.16</v>
      </c>
      <c r="AU241" s="180">
        <f t="shared" si="410"/>
        <v>12.054</v>
      </c>
      <c r="AV241" s="180">
        <f t="shared" si="408"/>
        <v>12.214</v>
      </c>
      <c r="AW241" s="433">
        <f t="shared" si="409"/>
        <v>1.7448571428571429</v>
      </c>
      <c r="AX241" s="126">
        <f t="shared" si="375"/>
        <v>1.6280496413308914</v>
      </c>
      <c r="AY241" s="130" t="s">
        <v>565</v>
      </c>
      <c r="AZ241" s="128" t="s">
        <v>260</v>
      </c>
      <c r="BB241" s="176">
        <f t="shared" si="398"/>
        <v>7.4544397496835693</v>
      </c>
      <c r="BC241" s="176">
        <f t="shared" si="399"/>
        <v>4.4726638498101412</v>
      </c>
      <c r="BD241" s="176">
        <f t="shared" si="400"/>
        <v>3.7272198748417846</v>
      </c>
      <c r="BE241" s="176">
        <f t="shared" si="401"/>
        <v>2.9817758998734281</v>
      </c>
    </row>
    <row r="242" spans="1:57" s="129" customFormat="1" hidden="1">
      <c r="A242" s="88" t="s">
        <v>1276</v>
      </c>
      <c r="B242" s="88" t="s">
        <v>1318</v>
      </c>
      <c r="C242" s="88" t="s">
        <v>1318</v>
      </c>
      <c r="D242" s="88" t="s">
        <v>55</v>
      </c>
      <c r="E242" s="89" t="s">
        <v>395</v>
      </c>
      <c r="F242" s="90" t="s">
        <v>536</v>
      </c>
      <c r="G242" s="131" t="s">
        <v>253</v>
      </c>
      <c r="H242" s="92">
        <v>26</v>
      </c>
      <c r="I242" s="167" t="s">
        <v>1430</v>
      </c>
      <c r="J242" s="167" t="str">
        <f>_xlfn.XLOOKUP(I242,[1]Sheet1!$A:$A,[1]Sheet1!$B:$B,"")</f>
        <v>U0405003</v>
      </c>
      <c r="K242" s="89" t="s">
        <v>563</v>
      </c>
      <c r="L242" s="89" t="s">
        <v>564</v>
      </c>
      <c r="M242" s="165"/>
      <c r="N242" s="88" t="s">
        <v>60</v>
      </c>
      <c r="O242" s="431"/>
      <c r="P242" s="88" t="s">
        <v>1446</v>
      </c>
      <c r="Q242" s="92" t="s">
        <v>402</v>
      </c>
      <c r="R242" s="121">
        <v>220</v>
      </c>
      <c r="S242" s="428" t="s">
        <v>2433</v>
      </c>
      <c r="T242" s="131" t="s">
        <v>403</v>
      </c>
      <c r="U242" s="418">
        <v>0</v>
      </c>
      <c r="V242" s="419">
        <v>50</v>
      </c>
      <c r="W242" s="419">
        <v>45</v>
      </c>
      <c r="X242" s="419">
        <v>55</v>
      </c>
      <c r="Y242" s="419" t="s">
        <v>64</v>
      </c>
      <c r="Z242" s="420">
        <f t="shared" si="377"/>
        <v>4.5118355481727574</v>
      </c>
      <c r="AA242" s="420"/>
      <c r="AB242" s="421">
        <f t="shared" si="402"/>
        <v>4.3090972116395845</v>
      </c>
      <c r="AC242" s="421"/>
      <c r="AD242" s="422">
        <f t="shared" si="403"/>
        <v>0.1</v>
      </c>
      <c r="AE242" s="422">
        <v>0.1</v>
      </c>
      <c r="AF242" s="422">
        <v>0.29199999999999998</v>
      </c>
      <c r="AG242" s="422" t="s">
        <v>9</v>
      </c>
      <c r="AH242" s="423">
        <f t="shared" si="397"/>
        <v>4.3090972116395845</v>
      </c>
      <c r="AI242" s="422">
        <f t="shared" si="396"/>
        <v>0.29199999999999993</v>
      </c>
      <c r="AJ242" s="444"/>
      <c r="AK242" s="424">
        <f t="shared" si="404"/>
        <v>3.4490476190476187</v>
      </c>
      <c r="AL242" s="425">
        <f t="shared" si="405"/>
        <v>3.38982313982314</v>
      </c>
      <c r="AM242" s="426">
        <f t="shared" si="406"/>
        <v>0.23555555555555563</v>
      </c>
      <c r="AN242" s="426">
        <f t="shared" si="373"/>
        <v>0.21333333333333326</v>
      </c>
      <c r="AO242" s="427"/>
      <c r="AP242" s="17" t="s">
        <v>592</v>
      </c>
      <c r="AQ242" s="432">
        <v>0.23400000000000001</v>
      </c>
      <c r="AR242" s="432">
        <v>17.824999999999999</v>
      </c>
      <c r="AS242" s="182"/>
      <c r="AT242" s="179">
        <v>0.16</v>
      </c>
      <c r="AU242" s="180">
        <f t="shared" ref="AU242" si="412">($F$2-70000)/2000*AQ242+AR242</f>
        <v>21.568999999999999</v>
      </c>
      <c r="AV242" s="180">
        <f t="shared" ref="AV242" si="413">AT242+AU242</f>
        <v>21.728999999999999</v>
      </c>
      <c r="AW242" s="433">
        <f t="shared" ref="AW242" si="414">(AT242+AU242)/$F$5</f>
        <v>3.1041428571428571</v>
      </c>
      <c r="AX242" s="126">
        <f t="shared" ref="AX242" si="415">(AW242/$F$6)+(($F$9+$G$9)/40/R242)+AW242*U242</f>
        <v>3.0508408258408259</v>
      </c>
      <c r="AY242" s="130" t="s">
        <v>565</v>
      </c>
      <c r="AZ242" s="128" t="s">
        <v>260</v>
      </c>
      <c r="BB242" s="176">
        <f t="shared" si="398"/>
        <v>14.363657372131948</v>
      </c>
      <c r="BC242" s="176">
        <f t="shared" si="399"/>
        <v>8.618194423279169</v>
      </c>
      <c r="BD242" s="176">
        <f t="shared" si="400"/>
        <v>7.1818286860659741</v>
      </c>
      <c r="BE242" s="176">
        <f t="shared" si="401"/>
        <v>5.7454629488527793</v>
      </c>
    </row>
    <row r="243" spans="1:57" s="129" customFormat="1" hidden="1">
      <c r="A243" s="88" t="s">
        <v>1276</v>
      </c>
      <c r="B243" s="88" t="s">
        <v>1318</v>
      </c>
      <c r="C243" s="88" t="s">
        <v>1318</v>
      </c>
      <c r="D243" s="88" t="s">
        <v>55</v>
      </c>
      <c r="E243" s="89" t="s">
        <v>395</v>
      </c>
      <c r="F243" s="90" t="s">
        <v>536</v>
      </c>
      <c r="G243" s="131" t="s">
        <v>253</v>
      </c>
      <c r="H243" s="92">
        <v>26</v>
      </c>
      <c r="I243" s="167" t="s">
        <v>1431</v>
      </c>
      <c r="J243" s="167" t="str">
        <f>_xlfn.XLOOKUP(I243,[1]Sheet1!$A:$A,[1]Sheet1!$B:$B,"")</f>
        <v>U0405004</v>
      </c>
      <c r="K243" s="90" t="s">
        <v>1435</v>
      </c>
      <c r="L243" s="90" t="s">
        <v>1439</v>
      </c>
      <c r="M243" s="92"/>
      <c r="N243" s="89" t="s">
        <v>60</v>
      </c>
      <c r="O243" s="165"/>
      <c r="P243" s="88" t="s">
        <v>1447</v>
      </c>
      <c r="Q243" s="92" t="s">
        <v>402</v>
      </c>
      <c r="R243" s="121">
        <v>256</v>
      </c>
      <c r="S243" s="429" t="s">
        <v>2434</v>
      </c>
      <c r="T243" s="131" t="s">
        <v>403</v>
      </c>
      <c r="U243" s="418">
        <v>0</v>
      </c>
      <c r="V243" s="419">
        <v>50</v>
      </c>
      <c r="W243" s="419">
        <v>45</v>
      </c>
      <c r="X243" s="419">
        <v>55</v>
      </c>
      <c r="Y243" s="419" t="s">
        <v>64</v>
      </c>
      <c r="Z243" s="420">
        <f t="shared" ref="Z243:Z246" si="416">AW243/(1-(AF243+2%))</f>
        <v>7.025415282392026</v>
      </c>
      <c r="AA243" s="420"/>
      <c r="AB243" s="421">
        <f t="shared" ref="AB243:AB249" si="417">AX243/(1-AF243)</f>
        <v>6.3177701217293372</v>
      </c>
      <c r="AC243" s="421"/>
      <c r="AD243" s="422">
        <f t="shared" ref="AD243:AD247" si="418">AE243</f>
        <v>0.1</v>
      </c>
      <c r="AE243" s="422">
        <v>0.1</v>
      </c>
      <c r="AF243" s="422">
        <v>0.29199999999999998</v>
      </c>
      <c r="AG243" s="422" t="s">
        <v>9</v>
      </c>
      <c r="AH243" s="423">
        <f t="shared" si="397"/>
        <v>6.3177701217293372</v>
      </c>
      <c r="AI243" s="422">
        <f t="shared" ref="AI243:AI246" si="419">1-(AX243/AH243)</f>
        <v>0.29200000000000004</v>
      </c>
      <c r="AJ243" s="444"/>
      <c r="AK243" s="424">
        <f t="shared" ref="AK243:AK246" si="420">AW243/(1-AD243)</f>
        <v>5.3705396825396816</v>
      </c>
      <c r="AL243" s="425">
        <f t="shared" ref="AL243:AL246" si="421">AX243/(1-AE243)</f>
        <v>4.9699791624270784</v>
      </c>
      <c r="AM243" s="426">
        <f t="shared" ref="AM243:AM247" si="422">1-(AK243/Z243)</f>
        <v>0.23555555555555563</v>
      </c>
      <c r="AN243" s="426">
        <f t="shared" ref="AN243:AN247" si="423">1-(AL243/AB243)</f>
        <v>0.21333333333333337</v>
      </c>
      <c r="AO243" s="427"/>
      <c r="AP243" s="17" t="s">
        <v>592</v>
      </c>
      <c r="AQ243" s="432">
        <v>0.41889999999999994</v>
      </c>
      <c r="AR243" s="432">
        <v>26.972000000000001</v>
      </c>
      <c r="AS243" s="182"/>
      <c r="AT243" s="179">
        <v>0.16</v>
      </c>
      <c r="AU243" s="180">
        <f t="shared" si="410"/>
        <v>33.674399999999999</v>
      </c>
      <c r="AV243" s="180">
        <f t="shared" si="408"/>
        <v>33.834399999999995</v>
      </c>
      <c r="AW243" s="433">
        <f t="shared" si="409"/>
        <v>4.8334857142857137</v>
      </c>
      <c r="AX243" s="126">
        <f t="shared" si="375"/>
        <v>4.4729812461843705</v>
      </c>
      <c r="AY243" s="130" t="s">
        <v>565</v>
      </c>
      <c r="AZ243" s="128" t="s">
        <v>260</v>
      </c>
      <c r="BB243" s="176">
        <f t="shared" si="398"/>
        <v>21.059233739097792</v>
      </c>
      <c r="BC243" s="176">
        <f t="shared" si="399"/>
        <v>12.635540243458674</v>
      </c>
      <c r="BD243" s="176">
        <f t="shared" si="400"/>
        <v>10.529616869548896</v>
      </c>
      <c r="BE243" s="176">
        <f t="shared" si="401"/>
        <v>8.4236934956391174</v>
      </c>
    </row>
    <row r="244" spans="1:57" s="129" customFormat="1" hidden="1">
      <c r="A244" s="88" t="s">
        <v>1276</v>
      </c>
      <c r="B244" s="88" t="s">
        <v>1318</v>
      </c>
      <c r="C244" s="88" t="s">
        <v>1318</v>
      </c>
      <c r="D244" s="88" t="s">
        <v>55</v>
      </c>
      <c r="E244" s="89" t="s">
        <v>395</v>
      </c>
      <c r="F244" s="90" t="s">
        <v>536</v>
      </c>
      <c r="G244" s="131" t="s">
        <v>253</v>
      </c>
      <c r="H244" s="92">
        <v>26</v>
      </c>
      <c r="I244" s="167" t="s">
        <v>1432</v>
      </c>
      <c r="J244" s="167" t="str">
        <f>_xlfn.XLOOKUP(I244,[1]Sheet1!$A:$A,[1]Sheet1!$B:$B,"")</f>
        <v>U0405006</v>
      </c>
      <c r="K244" s="90" t="s">
        <v>1436</v>
      </c>
      <c r="L244" s="90" t="s">
        <v>1440</v>
      </c>
      <c r="M244" s="92"/>
      <c r="N244" s="89" t="s">
        <v>60</v>
      </c>
      <c r="O244" s="165"/>
      <c r="P244" s="88" t="s">
        <v>1447</v>
      </c>
      <c r="Q244" s="92" t="s">
        <v>402</v>
      </c>
      <c r="R244" s="121">
        <v>256</v>
      </c>
      <c r="S244" s="429" t="s">
        <v>2435</v>
      </c>
      <c r="T244" s="131" t="s">
        <v>403</v>
      </c>
      <c r="U244" s="418">
        <v>0</v>
      </c>
      <c r="V244" s="419">
        <v>50</v>
      </c>
      <c r="W244" s="419">
        <v>45</v>
      </c>
      <c r="X244" s="419">
        <v>55</v>
      </c>
      <c r="Y244" s="419" t="s">
        <v>64</v>
      </c>
      <c r="Z244" s="420">
        <f>AW244/(1-(AF244+2%))</f>
        <v>9.3844684385382067</v>
      </c>
      <c r="AA244" s="420"/>
      <c r="AB244" s="421">
        <f t="shared" si="417"/>
        <v>8.2770976742772291</v>
      </c>
      <c r="AC244" s="421"/>
      <c r="AD244" s="422">
        <f t="shared" si="418"/>
        <v>0.1</v>
      </c>
      <c r="AE244" s="422">
        <v>0.1</v>
      </c>
      <c r="AF244" s="422">
        <v>0.29199999999999998</v>
      </c>
      <c r="AG244" s="422" t="s">
        <v>9</v>
      </c>
      <c r="AH244" s="423">
        <f t="shared" si="397"/>
        <v>8.2770976742772291</v>
      </c>
      <c r="AI244" s="422">
        <f t="shared" si="419"/>
        <v>0.29199999999999993</v>
      </c>
      <c r="AJ244" s="444"/>
      <c r="AK244" s="424">
        <f t="shared" si="420"/>
        <v>7.1739047619047618</v>
      </c>
      <c r="AL244" s="425">
        <f t="shared" si="421"/>
        <v>6.5113168370980867</v>
      </c>
      <c r="AM244" s="426">
        <f t="shared" si="422"/>
        <v>0.23555555555555563</v>
      </c>
      <c r="AN244" s="426">
        <f t="shared" si="423"/>
        <v>0.21333333333333337</v>
      </c>
      <c r="AO244" s="427"/>
      <c r="AP244" s="17" t="s">
        <v>592</v>
      </c>
      <c r="AQ244" s="432">
        <v>0.57509999999999994</v>
      </c>
      <c r="AR244" s="432">
        <v>35.834000000000003</v>
      </c>
      <c r="AS244" s="182"/>
      <c r="AT244" s="179">
        <v>0.16</v>
      </c>
      <c r="AU244" s="180">
        <f t="shared" si="410"/>
        <v>45.035600000000002</v>
      </c>
      <c r="AV244" s="180">
        <f t="shared" si="408"/>
        <v>45.195599999999999</v>
      </c>
      <c r="AW244" s="433">
        <f t="shared" si="409"/>
        <v>6.4565142857142854</v>
      </c>
      <c r="AX244" s="126">
        <f t="shared" si="375"/>
        <v>5.8601851533882785</v>
      </c>
      <c r="AY244" s="130" t="s">
        <v>565</v>
      </c>
      <c r="AZ244" s="128" t="s">
        <v>260</v>
      </c>
      <c r="BB244" s="176">
        <f t="shared" si="398"/>
        <v>27.590325580924098</v>
      </c>
      <c r="BC244" s="176">
        <f t="shared" si="399"/>
        <v>16.554195348554458</v>
      </c>
      <c r="BD244" s="176">
        <f t="shared" si="400"/>
        <v>13.795162790462049</v>
      </c>
      <c r="BE244" s="176">
        <f t="shared" si="401"/>
        <v>11.03613023236964</v>
      </c>
    </row>
    <row r="245" spans="1:57" s="129" customFormat="1" hidden="1">
      <c r="A245" s="88" t="s">
        <v>1276</v>
      </c>
      <c r="B245" s="88" t="s">
        <v>1318</v>
      </c>
      <c r="C245" s="88" t="s">
        <v>1318</v>
      </c>
      <c r="D245" s="88" t="s">
        <v>55</v>
      </c>
      <c r="E245" s="89" t="s">
        <v>395</v>
      </c>
      <c r="F245" s="90" t="s">
        <v>536</v>
      </c>
      <c r="G245" s="131" t="s">
        <v>253</v>
      </c>
      <c r="H245" s="92">
        <v>26</v>
      </c>
      <c r="I245" s="167" t="s">
        <v>2425</v>
      </c>
      <c r="J245" s="167" t="str">
        <f>_xlfn.XLOOKUP(I245,[1]Sheet1!$A:$A,[1]Sheet1!$B:$B,"")</f>
        <v/>
      </c>
      <c r="K245" s="90" t="s">
        <v>1437</v>
      </c>
      <c r="L245" s="90" t="s">
        <v>1441</v>
      </c>
      <c r="M245" s="92"/>
      <c r="N245" s="89" t="s">
        <v>60</v>
      </c>
      <c r="O245" s="165"/>
      <c r="P245" s="88" t="s">
        <v>1447</v>
      </c>
      <c r="Q245" s="92" t="s">
        <v>402</v>
      </c>
      <c r="R245" s="183">
        <v>192</v>
      </c>
      <c r="S245" s="430"/>
      <c r="T245" s="131" t="s">
        <v>403</v>
      </c>
      <c r="U245" s="418">
        <v>0</v>
      </c>
      <c r="V245" s="419">
        <v>50</v>
      </c>
      <c r="W245" s="419">
        <v>45</v>
      </c>
      <c r="X245" s="419">
        <v>55</v>
      </c>
      <c r="Y245" s="419" t="s">
        <v>64</v>
      </c>
      <c r="Z245" s="420">
        <f t="shared" si="416"/>
        <v>11.678197674418605</v>
      </c>
      <c r="AA245" s="420"/>
      <c r="AB245" s="421">
        <f t="shared" si="417"/>
        <v>10.343091318991744</v>
      </c>
      <c r="AC245" s="421"/>
      <c r="AD245" s="422">
        <f t="shared" si="418"/>
        <v>0.1</v>
      </c>
      <c r="AE245" s="422">
        <v>0.1</v>
      </c>
      <c r="AF245" s="422">
        <v>0.29199999999999998</v>
      </c>
      <c r="AG245" s="422" t="s">
        <v>9</v>
      </c>
      <c r="AH245" s="423">
        <f t="shared" si="397"/>
        <v>10.343091318991744</v>
      </c>
      <c r="AI245" s="422">
        <f t="shared" si="419"/>
        <v>0.29200000000000004</v>
      </c>
      <c r="AJ245" s="444"/>
      <c r="AK245" s="424">
        <f t="shared" si="420"/>
        <v>8.9273333333333316</v>
      </c>
      <c r="AL245" s="425">
        <f t="shared" si="421"/>
        <v>8.1365651709401714</v>
      </c>
      <c r="AM245" s="426">
        <f t="shared" si="422"/>
        <v>0.23555555555555574</v>
      </c>
      <c r="AN245" s="426">
        <f t="shared" si="423"/>
        <v>0.21333333333333337</v>
      </c>
      <c r="AO245" s="427"/>
      <c r="AP245" s="17" t="s">
        <v>592</v>
      </c>
      <c r="AQ245" s="432">
        <v>0.72419999999999995</v>
      </c>
      <c r="AR245" s="432">
        <v>44.494999999999997</v>
      </c>
      <c r="AS245" s="182"/>
      <c r="AT245" s="179">
        <v>0.16</v>
      </c>
      <c r="AU245" s="180">
        <f t="shared" si="410"/>
        <v>56.0822</v>
      </c>
      <c r="AV245" s="180">
        <f t="shared" si="408"/>
        <v>56.242199999999997</v>
      </c>
      <c r="AW245" s="433">
        <f t="shared" si="409"/>
        <v>8.0345999999999993</v>
      </c>
      <c r="AX245" s="126">
        <f t="shared" si="375"/>
        <v>7.3229086538461541</v>
      </c>
      <c r="AY245" s="130" t="s">
        <v>565</v>
      </c>
      <c r="AZ245" s="128" t="s">
        <v>260</v>
      </c>
      <c r="BB245" s="176">
        <f t="shared" si="398"/>
        <v>34.476971063305818</v>
      </c>
      <c r="BC245" s="176">
        <f t="shared" si="399"/>
        <v>20.686182637983489</v>
      </c>
      <c r="BD245" s="176">
        <f t="shared" si="400"/>
        <v>17.238485531652909</v>
      </c>
      <c r="BE245" s="176">
        <f t="shared" si="401"/>
        <v>13.790788425322328</v>
      </c>
    </row>
    <row r="246" spans="1:57" s="129" customFormat="1" hidden="1">
      <c r="A246" s="88" t="s">
        <v>1276</v>
      </c>
      <c r="B246" s="88" t="s">
        <v>1318</v>
      </c>
      <c r="C246" s="88" t="s">
        <v>1318</v>
      </c>
      <c r="D246" s="88" t="s">
        <v>55</v>
      </c>
      <c r="E246" s="89" t="s">
        <v>395</v>
      </c>
      <c r="F246" s="90" t="s">
        <v>536</v>
      </c>
      <c r="G246" s="131" t="s">
        <v>253</v>
      </c>
      <c r="H246" s="92">
        <v>26</v>
      </c>
      <c r="I246" s="167" t="s">
        <v>1434</v>
      </c>
      <c r="J246" s="167" t="str">
        <f>_xlfn.XLOOKUP(I246,[1]Sheet1!$A:$A,[1]Sheet1!$B:$B,"")</f>
        <v/>
      </c>
      <c r="K246" s="90" t="s">
        <v>1438</v>
      </c>
      <c r="L246" s="90" t="s">
        <v>1442</v>
      </c>
      <c r="M246" s="92"/>
      <c r="N246" s="89" t="s">
        <v>60</v>
      </c>
      <c r="O246" s="165"/>
      <c r="P246" s="88" t="s">
        <v>1447</v>
      </c>
      <c r="Q246" s="92" t="s">
        <v>402</v>
      </c>
      <c r="R246" s="183">
        <v>192</v>
      </c>
      <c r="S246" s="430"/>
      <c r="T246" s="131" t="s">
        <v>403</v>
      </c>
      <c r="U246" s="418">
        <v>0</v>
      </c>
      <c r="V246" s="419">
        <v>50</v>
      </c>
      <c r="W246" s="419">
        <v>45</v>
      </c>
      <c r="X246" s="419">
        <v>55</v>
      </c>
      <c r="Y246" s="419" t="s">
        <v>64</v>
      </c>
      <c r="Z246" s="420">
        <f t="shared" si="416"/>
        <v>13.95249169435216</v>
      </c>
      <c r="AA246" s="420"/>
      <c r="AB246" s="421">
        <f t="shared" si="417"/>
        <v>12.23202159775253</v>
      </c>
      <c r="AC246" s="421"/>
      <c r="AD246" s="422">
        <f t="shared" si="418"/>
        <v>0.1</v>
      </c>
      <c r="AE246" s="422">
        <v>0.1</v>
      </c>
      <c r="AF246" s="422">
        <v>0.29199999999999998</v>
      </c>
      <c r="AG246" s="422" t="s">
        <v>9</v>
      </c>
      <c r="AH246" s="423">
        <f t="shared" si="397"/>
        <v>12.23202159775253</v>
      </c>
      <c r="AI246" s="422">
        <f t="shared" si="419"/>
        <v>0.29200000000000004</v>
      </c>
      <c r="AJ246" s="444"/>
      <c r="AK246" s="424">
        <f t="shared" si="420"/>
        <v>10.665904761904761</v>
      </c>
      <c r="AL246" s="425">
        <f t="shared" si="421"/>
        <v>9.6225236568986556</v>
      </c>
      <c r="AM246" s="426">
        <f t="shared" si="422"/>
        <v>0.23555555555555563</v>
      </c>
      <c r="AN246" s="426">
        <f t="shared" si="423"/>
        <v>0.21333333333333337</v>
      </c>
      <c r="AO246" s="427"/>
      <c r="AP246" s="17" t="s">
        <v>592</v>
      </c>
      <c r="AQ246" s="432">
        <v>0.86619999999999997</v>
      </c>
      <c r="AR246" s="432">
        <v>53.176000000000002</v>
      </c>
      <c r="AS246" s="182"/>
      <c r="AT246" s="179">
        <v>0.16</v>
      </c>
      <c r="AU246" s="180">
        <f>($F$2-70000)/2000*AQ246+AR246</f>
        <v>67.035200000000003</v>
      </c>
      <c r="AV246" s="180">
        <f t="shared" si="408"/>
        <v>67.1952</v>
      </c>
      <c r="AW246" s="433">
        <f t="shared" si="409"/>
        <v>9.5993142857142857</v>
      </c>
      <c r="AX246" s="126">
        <f t="shared" si="375"/>
        <v>8.6602712912087902</v>
      </c>
      <c r="AY246" s="130" t="s">
        <v>565</v>
      </c>
      <c r="AZ246" s="128" t="s">
        <v>260</v>
      </c>
      <c r="BB246" s="176">
        <f t="shared" si="398"/>
        <v>40.773405325841765</v>
      </c>
      <c r="BC246" s="176">
        <f t="shared" si="399"/>
        <v>24.464043195505059</v>
      </c>
      <c r="BD246" s="176">
        <f t="shared" si="400"/>
        <v>20.386702662920882</v>
      </c>
      <c r="BE246" s="176">
        <f t="shared" si="401"/>
        <v>16.309362130336705</v>
      </c>
    </row>
    <row r="247" spans="1:57" s="129" customFormat="1" hidden="1">
      <c r="A247" s="88" t="s">
        <v>1276</v>
      </c>
      <c r="B247" s="88" t="s">
        <v>1318</v>
      </c>
      <c r="C247" s="88" t="s">
        <v>1318</v>
      </c>
      <c r="D247" s="88" t="s">
        <v>55</v>
      </c>
      <c r="E247" s="89" t="s">
        <v>395</v>
      </c>
      <c r="F247" s="90" t="s">
        <v>536</v>
      </c>
      <c r="G247" s="131" t="s">
        <v>253</v>
      </c>
      <c r="H247" s="92">
        <v>26</v>
      </c>
      <c r="I247" s="167" t="s">
        <v>2430</v>
      </c>
      <c r="J247" s="167" t="str">
        <f>_xlfn.XLOOKUP(I247,[1]Sheet1!$A:$A,[1]Sheet1!$B:$B,"")</f>
        <v/>
      </c>
      <c r="K247" s="90" t="s">
        <v>2431</v>
      </c>
      <c r="L247" s="90" t="s">
        <v>2432</v>
      </c>
      <c r="M247" s="92"/>
      <c r="N247" s="89" t="s">
        <v>60</v>
      </c>
      <c r="O247" s="165"/>
      <c r="P247" s="88" t="s">
        <v>1447</v>
      </c>
      <c r="Q247" s="92" t="s">
        <v>402</v>
      </c>
      <c r="R247" s="183">
        <v>128</v>
      </c>
      <c r="S247" s="430"/>
      <c r="T247" s="131" t="s">
        <v>403</v>
      </c>
      <c r="U247" s="418">
        <v>0</v>
      </c>
      <c r="V247" s="419">
        <v>50</v>
      </c>
      <c r="W247" s="419">
        <v>45</v>
      </c>
      <c r="X247" s="419">
        <v>55</v>
      </c>
      <c r="Y247" s="419" t="s">
        <v>64</v>
      </c>
      <c r="Z247" s="420">
        <f>AW248/(1-(AF247+2%))</f>
        <v>22.450166112956815</v>
      </c>
      <c r="AA247" s="420"/>
      <c r="AB247" s="421">
        <f t="shared" si="417"/>
        <v>14.153375829090873</v>
      </c>
      <c r="AC247" s="421"/>
      <c r="AD247" s="422">
        <f t="shared" si="418"/>
        <v>0.1</v>
      </c>
      <c r="AE247" s="422">
        <v>0.1</v>
      </c>
      <c r="AF247" s="422">
        <v>0.29199999999999998</v>
      </c>
      <c r="AG247" s="422" t="s">
        <v>9</v>
      </c>
      <c r="AH247" s="423">
        <f t="shared" si="397"/>
        <v>14.153375829090873</v>
      </c>
      <c r="AI247" s="422">
        <f>1-(AX248/AH247)</f>
        <v>1.895780065941377E-2</v>
      </c>
      <c r="AJ247" s="444"/>
      <c r="AK247" s="424">
        <f>AW248/(1-AD247)</f>
        <v>17.161904761904761</v>
      </c>
      <c r="AL247" s="425">
        <f>AX248/(1-AE247)</f>
        <v>15.42784327940578</v>
      </c>
      <c r="AM247" s="426">
        <f t="shared" si="422"/>
        <v>0.23555555555555574</v>
      </c>
      <c r="AN247" s="426">
        <f t="shared" si="423"/>
        <v>-9.0046888156206872E-2</v>
      </c>
      <c r="AO247" s="427"/>
      <c r="AP247" s="17" t="s">
        <v>592</v>
      </c>
      <c r="AQ247" s="432">
        <v>1.0329999999999999</v>
      </c>
      <c r="AR247" s="179">
        <v>70.617999999999995</v>
      </c>
      <c r="AS247" s="182"/>
      <c r="AT247" s="179">
        <v>0.86</v>
      </c>
      <c r="AU247" s="180">
        <v>75.61</v>
      </c>
      <c r="AV247" s="180">
        <f t="shared" ref="AV247" si="424">AT247+AU247</f>
        <v>76.47</v>
      </c>
      <c r="AW247" s="433">
        <f t="shared" ref="AW247" si="425">(AT247+AU247)/$F$5</f>
        <v>10.924285714285714</v>
      </c>
      <c r="AX247" s="126">
        <f t="shared" ref="AX247" si="426">(AW247/$F$6)+(($F$9+$G$9)/40/R247)+AW247*U247</f>
        <v>10.020590086996338</v>
      </c>
      <c r="AY247" s="130" t="s">
        <v>565</v>
      </c>
      <c r="AZ247" s="128" t="s">
        <v>260</v>
      </c>
      <c r="BB247" s="176">
        <f t="shared" si="398"/>
        <v>47.177919430302914</v>
      </c>
      <c r="BC247" s="176">
        <f t="shared" si="399"/>
        <v>28.306751658181749</v>
      </c>
      <c r="BD247" s="176">
        <f t="shared" si="400"/>
        <v>23.588959715151457</v>
      </c>
      <c r="BE247" s="176">
        <f t="shared" si="401"/>
        <v>18.871167772121165</v>
      </c>
    </row>
    <row r="248" spans="1:57" s="129" customFormat="1" hidden="1">
      <c r="A248" s="88" t="s">
        <v>1276</v>
      </c>
      <c r="B248" s="88" t="s">
        <v>1318</v>
      </c>
      <c r="C248" s="88" t="s">
        <v>1318</v>
      </c>
      <c r="D248" s="88" t="s">
        <v>55</v>
      </c>
      <c r="E248" s="89" t="s">
        <v>395</v>
      </c>
      <c r="F248" s="90" t="s">
        <v>536</v>
      </c>
      <c r="G248" s="131" t="s">
        <v>253</v>
      </c>
      <c r="H248" s="92">
        <v>26</v>
      </c>
      <c r="I248" s="167" t="s">
        <v>2267</v>
      </c>
      <c r="J248" s="167" t="str">
        <f>_xlfn.XLOOKUP(I248,[1]Sheet1!$A:$A,[1]Sheet1!$B:$B,"")</f>
        <v/>
      </c>
      <c r="K248" s="90" t="s">
        <v>1294</v>
      </c>
      <c r="L248" s="90" t="s">
        <v>2270</v>
      </c>
      <c r="M248" s="92"/>
      <c r="N248" s="89" t="s">
        <v>60</v>
      </c>
      <c r="O248" s="165"/>
      <c r="P248" s="88" t="s">
        <v>1447</v>
      </c>
      <c r="Q248" s="92" t="s">
        <v>402</v>
      </c>
      <c r="R248" s="183">
        <v>128</v>
      </c>
      <c r="S248" s="430"/>
      <c r="T248" s="131" t="s">
        <v>403</v>
      </c>
      <c r="U248" s="418">
        <v>0</v>
      </c>
      <c r="V248" s="419">
        <v>50</v>
      </c>
      <c r="W248" s="419">
        <v>45</v>
      </c>
      <c r="X248" s="419">
        <v>55</v>
      </c>
      <c r="Y248" s="419" t="s">
        <v>64</v>
      </c>
      <c r="Z248" s="420">
        <f>AW249/(1-(AF248+2%))</f>
        <v>31.254152823920272</v>
      </c>
      <c r="AA248" s="420"/>
      <c r="AB248" s="421">
        <f t="shared" si="417"/>
        <v>19.611665185685315</v>
      </c>
      <c r="AC248" s="421"/>
      <c r="AD248" s="422">
        <f t="shared" ref="AD248:AD249" si="427">AE248</f>
        <v>0.1</v>
      </c>
      <c r="AE248" s="422">
        <v>0.1</v>
      </c>
      <c r="AF248" s="422">
        <v>0.29199999999999998</v>
      </c>
      <c r="AG248" s="422" t="s">
        <v>9</v>
      </c>
      <c r="AH248" s="423">
        <f t="shared" si="397"/>
        <v>19.611665185685315</v>
      </c>
      <c r="AI248" s="422">
        <f>1-(AX249/AH248)</f>
        <v>-6.8343351549209341E-3</v>
      </c>
      <c r="AJ248" s="444"/>
      <c r="AK248" s="424">
        <f>AW249/(1-AD248)</f>
        <v>23.892063492063496</v>
      </c>
      <c r="AL248" s="425">
        <f>AX249/(1-AE248)</f>
        <v>21.939664309455978</v>
      </c>
      <c r="AM248" s="426">
        <f t="shared" ref="AM248:AM249" si="428">1-(AK248/Z248)</f>
        <v>0.23555555555555563</v>
      </c>
      <c r="AN248" s="426">
        <f>1-(AL248/AB248)</f>
        <v>-0.11870481683880096</v>
      </c>
      <c r="AO248" s="427"/>
      <c r="AP248" s="17" t="s">
        <v>592</v>
      </c>
      <c r="AQ248" s="432">
        <v>1.2</v>
      </c>
      <c r="AR248" s="432">
        <v>88.06</v>
      </c>
      <c r="AS248" s="182"/>
      <c r="AT248" s="179">
        <v>0.86</v>
      </c>
      <c r="AU248" s="180">
        <f>($F$2-70000)/2000*AQ248+AR248</f>
        <v>107.26</v>
      </c>
      <c r="AV248" s="180">
        <f>AT247+AU248</f>
        <v>108.12</v>
      </c>
      <c r="AW248" s="433">
        <f>(AT247+AU248)/$F$5</f>
        <v>15.445714285714287</v>
      </c>
      <c r="AX248" s="126">
        <f>(AW248/$F$6)+(($F$9+$G$9)/40/R247)+AW248*U247</f>
        <v>13.885058951465203</v>
      </c>
      <c r="AY248" s="130" t="s">
        <v>565</v>
      </c>
      <c r="AZ248" s="128" t="s">
        <v>260</v>
      </c>
      <c r="BB248" s="176">
        <f t="shared" si="398"/>
        <v>65.372217285617722</v>
      </c>
      <c r="BC248" s="176">
        <f t="shared" si="399"/>
        <v>39.223330371370629</v>
      </c>
      <c r="BD248" s="176">
        <f t="shared" si="400"/>
        <v>32.686108642808861</v>
      </c>
      <c r="BE248" s="176">
        <f t="shared" si="401"/>
        <v>26.14888691424709</v>
      </c>
    </row>
    <row r="249" spans="1:57" s="129" customFormat="1" hidden="1">
      <c r="A249" s="88" t="s">
        <v>1276</v>
      </c>
      <c r="B249" s="88" t="s">
        <v>1318</v>
      </c>
      <c r="C249" s="88" t="s">
        <v>1318</v>
      </c>
      <c r="D249" s="88" t="s">
        <v>55</v>
      </c>
      <c r="E249" s="89" t="s">
        <v>395</v>
      </c>
      <c r="F249" s="90" t="s">
        <v>536</v>
      </c>
      <c r="G249" s="131" t="s">
        <v>253</v>
      </c>
      <c r="H249" s="92">
        <v>26</v>
      </c>
      <c r="I249" s="167" t="s">
        <v>2268</v>
      </c>
      <c r="J249" s="167" t="str">
        <f>_xlfn.XLOOKUP(I249,[1]Sheet1!$A:$A,[1]Sheet1!$B:$B,"")</f>
        <v/>
      </c>
      <c r="K249" s="90" t="s">
        <v>2269</v>
      </c>
      <c r="L249" s="90" t="s">
        <v>2271</v>
      </c>
      <c r="M249" s="92"/>
      <c r="N249" s="89" t="s">
        <v>60</v>
      </c>
      <c r="O249" s="165"/>
      <c r="P249" s="88" t="s">
        <v>1447</v>
      </c>
      <c r="Q249" s="92" t="s">
        <v>402</v>
      </c>
      <c r="R249" s="183">
        <v>64</v>
      </c>
      <c r="S249" s="430"/>
      <c r="T249" s="131" t="s">
        <v>403</v>
      </c>
      <c r="U249" s="418">
        <v>0</v>
      </c>
      <c r="V249" s="419">
        <v>50</v>
      </c>
      <c r="W249" s="419">
        <v>45</v>
      </c>
      <c r="X249" s="419">
        <v>55</v>
      </c>
      <c r="Y249" s="419" t="s">
        <v>64</v>
      </c>
      <c r="Z249" s="420">
        <f t="shared" ref="Z249" si="429">AW249/(1-(AF249+2%))</f>
        <v>31.254152823920272</v>
      </c>
      <c r="AA249" s="420"/>
      <c r="AB249" s="421">
        <f t="shared" si="417"/>
        <v>27.889403783206753</v>
      </c>
      <c r="AC249" s="421"/>
      <c r="AD249" s="422">
        <f t="shared" si="427"/>
        <v>0.1</v>
      </c>
      <c r="AE249" s="422">
        <v>0.1</v>
      </c>
      <c r="AF249" s="422">
        <v>0.29199999999999998</v>
      </c>
      <c r="AG249" s="422" t="s">
        <v>9</v>
      </c>
      <c r="AH249" s="423">
        <f t="shared" si="397"/>
        <v>27.889403783206753</v>
      </c>
      <c r="AI249" s="422">
        <f t="shared" ref="AI249" si="430">1-(AX249/AH249)</f>
        <v>0.29200000000000004</v>
      </c>
      <c r="AJ249" s="444"/>
      <c r="AK249" s="424">
        <f t="shared" ref="AK249" si="431">AW249/(1-AD249)</f>
        <v>23.892063492063496</v>
      </c>
      <c r="AL249" s="425">
        <f t="shared" ref="AL249" si="432">AX249/(1-AE249)</f>
        <v>21.939664309455978</v>
      </c>
      <c r="AM249" s="426">
        <f t="shared" si="428"/>
        <v>0.23555555555555563</v>
      </c>
      <c r="AN249" s="426">
        <f t="shared" ref="AN249" si="433">1-(AL249/AB249)</f>
        <v>0.21333333333333337</v>
      </c>
      <c r="AO249" s="427"/>
      <c r="AP249" s="17" t="s">
        <v>592</v>
      </c>
      <c r="AQ249" s="432">
        <v>1.68</v>
      </c>
      <c r="AR249" s="432">
        <v>122.78</v>
      </c>
      <c r="AS249" s="182"/>
      <c r="AT249" s="179">
        <v>0.86</v>
      </c>
      <c r="AU249" s="180">
        <f t="shared" ref="AU249" si="434">($F$2-70000)/2000*AQ249+AR249</f>
        <v>149.66</v>
      </c>
      <c r="AV249" s="180">
        <f t="shared" ref="AV249" si="435">AT249+AU249</f>
        <v>150.52000000000001</v>
      </c>
      <c r="AW249" s="433">
        <f t="shared" ref="AW249" si="436">(AT249+AU249)/$F$5</f>
        <v>21.502857142857145</v>
      </c>
      <c r="AX249" s="126">
        <f t="shared" ref="AX249" si="437">(AW249/$F$6)+(($F$9+$G$9)/40/R249)+AW249*U249</f>
        <v>19.745697878510381</v>
      </c>
      <c r="AY249" s="130" t="s">
        <v>565</v>
      </c>
      <c r="AZ249" s="128" t="s">
        <v>260</v>
      </c>
      <c r="BB249" s="176">
        <f t="shared" si="398"/>
        <v>92.964679277355842</v>
      </c>
      <c r="BC249" s="176">
        <f t="shared" si="399"/>
        <v>55.778807566413505</v>
      </c>
      <c r="BD249" s="176">
        <f t="shared" si="400"/>
        <v>46.482339638677921</v>
      </c>
      <c r="BE249" s="176">
        <f t="shared" si="401"/>
        <v>37.185871710942337</v>
      </c>
    </row>
    <row r="250" spans="1:57" s="129" customFormat="1" hidden="1">
      <c r="A250" s="88" t="s">
        <v>1302</v>
      </c>
      <c r="B250" s="88" t="s">
        <v>1317</v>
      </c>
      <c r="C250" s="88" t="s">
        <v>1317</v>
      </c>
      <c r="D250" s="88" t="s">
        <v>55</v>
      </c>
      <c r="E250" s="89" t="s">
        <v>395</v>
      </c>
      <c r="F250" s="90" t="s">
        <v>536</v>
      </c>
      <c r="G250" s="131" t="s">
        <v>253</v>
      </c>
      <c r="H250" s="92" t="s">
        <v>566</v>
      </c>
      <c r="I250" s="167" t="s">
        <v>567</v>
      </c>
      <c r="J250" s="167" t="str">
        <f>_xlfn.XLOOKUP(I250,[1]Sheet1!$A:$A,[1]Sheet1!$B:$B,"")</f>
        <v>U0405017</v>
      </c>
      <c r="K250" s="90" t="s">
        <v>3447</v>
      </c>
      <c r="L250" s="90" t="s">
        <v>568</v>
      </c>
      <c r="M250" s="92" t="s">
        <v>522</v>
      </c>
      <c r="N250" s="89" t="s">
        <v>60</v>
      </c>
      <c r="O250" s="165"/>
      <c r="P250" s="88" t="s">
        <v>1446</v>
      </c>
      <c r="Q250" s="92" t="s">
        <v>402</v>
      </c>
      <c r="R250" s="92">
        <v>4800</v>
      </c>
      <c r="S250" s="123" t="e">
        <v>#N/A</v>
      </c>
      <c r="T250" s="131" t="s">
        <v>403</v>
      </c>
      <c r="U250" s="155">
        <v>0</v>
      </c>
      <c r="V250" s="207">
        <v>50</v>
      </c>
      <c r="W250" s="207">
        <v>45</v>
      </c>
      <c r="X250" s="207">
        <v>55</v>
      </c>
      <c r="Y250" s="207" t="s">
        <v>64</v>
      </c>
      <c r="Z250" s="133">
        <f t="shared" si="377"/>
        <v>0.58437990580847721</v>
      </c>
      <c r="AA250" s="133"/>
      <c r="AB250" s="175">
        <f t="shared" si="402"/>
        <v>0.51048573566955924</v>
      </c>
      <c r="AC250" s="175"/>
      <c r="AD250" s="213">
        <f t="shared" si="403"/>
        <v>0.1</v>
      </c>
      <c r="AE250" s="213">
        <v>0.1</v>
      </c>
      <c r="AF250" s="215">
        <v>0.252</v>
      </c>
      <c r="AG250" s="215" t="s">
        <v>9</v>
      </c>
      <c r="AH250" s="148">
        <f t="shared" si="397"/>
        <v>0.51048573566955924</v>
      </c>
      <c r="AI250" s="122">
        <f t="shared" si="396"/>
        <v>0.25199999999999989</v>
      </c>
      <c r="AJ250" s="444"/>
      <c r="AK250" s="177">
        <f t="shared" si="404"/>
        <v>0.47269841269841267</v>
      </c>
      <c r="AL250" s="178">
        <f t="shared" si="405"/>
        <v>0.42427036697870035</v>
      </c>
      <c r="AM250" s="125">
        <f t="shared" si="406"/>
        <v>0.19111111111111112</v>
      </c>
      <c r="AN250" s="125">
        <f t="shared" si="373"/>
        <v>0.16888888888888887</v>
      </c>
      <c r="AO250" s="140"/>
      <c r="AP250" s="17" t="s">
        <v>592</v>
      </c>
      <c r="AQ250" s="432">
        <v>3.0000000000000001E-3</v>
      </c>
      <c r="AR250" s="432">
        <v>2.77</v>
      </c>
      <c r="AS250" s="182"/>
      <c r="AT250" s="179">
        <v>0.16</v>
      </c>
      <c r="AU250" s="180">
        <f t="shared" ref="AU250:AU263" si="438">($F$2-70000)/2000*AQ250+AR250</f>
        <v>2.8180000000000001</v>
      </c>
      <c r="AV250" s="180">
        <f t="shared" si="408"/>
        <v>2.9780000000000002</v>
      </c>
      <c r="AW250" s="433">
        <f t="shared" si="409"/>
        <v>0.42542857142857143</v>
      </c>
      <c r="AX250" s="126">
        <f t="shared" si="375"/>
        <v>0.38184333028083034</v>
      </c>
      <c r="AY250" s="130" t="s">
        <v>569</v>
      </c>
      <c r="AZ250" s="128" t="s">
        <v>260</v>
      </c>
      <c r="BB250" s="176">
        <f t="shared" si="398"/>
        <v>1.7016191188985308</v>
      </c>
      <c r="BC250" s="176">
        <f t="shared" si="399"/>
        <v>1.0209714713391185</v>
      </c>
      <c r="BD250" s="176">
        <f t="shared" si="400"/>
        <v>0.8508095594492654</v>
      </c>
      <c r="BE250" s="176">
        <f t="shared" si="401"/>
        <v>0.68064764755941232</v>
      </c>
    </row>
    <row r="251" spans="1:57" s="129" customFormat="1" hidden="1">
      <c r="A251" s="88" t="s">
        <v>1302</v>
      </c>
      <c r="B251" s="88" t="s">
        <v>1317</v>
      </c>
      <c r="C251" s="88" t="s">
        <v>1317</v>
      </c>
      <c r="D251" s="88" t="s">
        <v>55</v>
      </c>
      <c r="E251" s="89" t="s">
        <v>395</v>
      </c>
      <c r="F251" s="90" t="s">
        <v>536</v>
      </c>
      <c r="G251" s="131" t="s">
        <v>253</v>
      </c>
      <c r="H251" s="92" t="s">
        <v>566</v>
      </c>
      <c r="I251" s="167" t="s">
        <v>570</v>
      </c>
      <c r="J251" s="167" t="str">
        <f>_xlfn.XLOOKUP(I251,[1]Sheet1!$A:$A,[1]Sheet1!$B:$B,"")</f>
        <v>U0405018</v>
      </c>
      <c r="K251" s="90" t="s">
        <v>571</v>
      </c>
      <c r="L251" s="90" t="s">
        <v>572</v>
      </c>
      <c r="M251" s="92" t="s">
        <v>522</v>
      </c>
      <c r="N251" s="89" t="s">
        <v>60</v>
      </c>
      <c r="O251" s="165"/>
      <c r="P251" s="88" t="s">
        <v>1446</v>
      </c>
      <c r="Q251" s="92" t="s">
        <v>402</v>
      </c>
      <c r="R251" s="92">
        <v>4800</v>
      </c>
      <c r="S251" s="123" t="e">
        <v>#N/A</v>
      </c>
      <c r="T251" s="131" t="s">
        <v>403</v>
      </c>
      <c r="U251" s="155">
        <v>0</v>
      </c>
      <c r="V251" s="207">
        <v>50</v>
      </c>
      <c r="W251" s="207">
        <v>45</v>
      </c>
      <c r="X251" s="207">
        <v>55</v>
      </c>
      <c r="Y251" s="207" t="s">
        <v>64</v>
      </c>
      <c r="Z251" s="133">
        <f t="shared" si="377"/>
        <v>0.6430533751962324</v>
      </c>
      <c r="AA251" s="133"/>
      <c r="AB251" s="175">
        <f t="shared" si="402"/>
        <v>0.55929313741813746</v>
      </c>
      <c r="AC251" s="175"/>
      <c r="AD251" s="213">
        <f t="shared" si="403"/>
        <v>0.1</v>
      </c>
      <c r="AE251" s="213">
        <v>0.1</v>
      </c>
      <c r="AF251" s="215">
        <v>0.252</v>
      </c>
      <c r="AG251" s="215" t="s">
        <v>9</v>
      </c>
      <c r="AH251" s="148">
        <f t="shared" si="397"/>
        <v>0.55929313741813746</v>
      </c>
      <c r="AI251" s="122">
        <f t="shared" si="396"/>
        <v>0.252</v>
      </c>
      <c r="AJ251" s="444"/>
      <c r="AK251" s="177">
        <f t="shared" si="404"/>
        <v>0.52015873015873015</v>
      </c>
      <c r="AL251" s="178">
        <f t="shared" si="405"/>
        <v>0.46483474087640758</v>
      </c>
      <c r="AM251" s="125">
        <f t="shared" si="406"/>
        <v>0.19111111111111123</v>
      </c>
      <c r="AN251" s="125">
        <f t="shared" si="373"/>
        <v>0.16888888888888887</v>
      </c>
      <c r="AO251" s="140"/>
      <c r="AP251" s="17" t="s">
        <v>592</v>
      </c>
      <c r="AQ251" s="432">
        <v>4.0000000000000001E-3</v>
      </c>
      <c r="AR251" s="432">
        <v>3.0529999999999999</v>
      </c>
      <c r="AS251" s="182"/>
      <c r="AT251" s="179">
        <v>0.16</v>
      </c>
      <c r="AU251" s="180">
        <f t="shared" si="438"/>
        <v>3.117</v>
      </c>
      <c r="AV251" s="180">
        <f t="shared" si="408"/>
        <v>3.2770000000000001</v>
      </c>
      <c r="AW251" s="433">
        <f t="shared" si="409"/>
        <v>0.46814285714285714</v>
      </c>
      <c r="AX251" s="126">
        <f t="shared" si="375"/>
        <v>0.41835126678876683</v>
      </c>
      <c r="AY251" s="130" t="s">
        <v>569</v>
      </c>
      <c r="AZ251" s="128" t="s">
        <v>260</v>
      </c>
      <c r="BB251" s="176">
        <f t="shared" si="398"/>
        <v>1.8643104580604584</v>
      </c>
      <c r="BC251" s="176">
        <f t="shared" si="399"/>
        <v>1.1185862748362749</v>
      </c>
      <c r="BD251" s="176">
        <f t="shared" si="400"/>
        <v>0.93215522903022918</v>
      </c>
      <c r="BE251" s="176">
        <f t="shared" si="401"/>
        <v>0.74572418322418343</v>
      </c>
    </row>
    <row r="252" spans="1:57" s="129" customFormat="1" hidden="1">
      <c r="A252" s="88" t="s">
        <v>1302</v>
      </c>
      <c r="B252" s="88" t="s">
        <v>1317</v>
      </c>
      <c r="C252" s="88" t="s">
        <v>1317</v>
      </c>
      <c r="D252" s="88" t="s">
        <v>55</v>
      </c>
      <c r="E252" s="89" t="s">
        <v>395</v>
      </c>
      <c r="F252" s="90" t="s">
        <v>536</v>
      </c>
      <c r="G252" s="131" t="s">
        <v>253</v>
      </c>
      <c r="H252" s="92" t="s">
        <v>566</v>
      </c>
      <c r="I252" s="167" t="s">
        <v>573</v>
      </c>
      <c r="J252" s="167" t="str">
        <f>_xlfn.XLOOKUP(I252,[1]Sheet1!$A:$A,[1]Sheet1!$B:$B,"")</f>
        <v>U0405020</v>
      </c>
      <c r="K252" s="90" t="s">
        <v>574</v>
      </c>
      <c r="L252" s="90" t="s">
        <v>575</v>
      </c>
      <c r="M252" s="92" t="s">
        <v>522</v>
      </c>
      <c r="N252" s="89" t="s">
        <v>60</v>
      </c>
      <c r="O252" s="165"/>
      <c r="P252" s="88" t="s">
        <v>1446</v>
      </c>
      <c r="Q252" s="92" t="s">
        <v>402</v>
      </c>
      <c r="R252" s="92">
        <v>3200</v>
      </c>
      <c r="S252" s="123" t="e">
        <v>#N/A</v>
      </c>
      <c r="T252" s="131" t="s">
        <v>403</v>
      </c>
      <c r="U252" s="155">
        <v>0</v>
      </c>
      <c r="V252" s="207">
        <v>50</v>
      </c>
      <c r="W252" s="207">
        <v>45</v>
      </c>
      <c r="X252" s="207">
        <v>55</v>
      </c>
      <c r="Y252" s="207" t="s">
        <v>64</v>
      </c>
      <c r="Z252" s="133">
        <f t="shared" si="377"/>
        <v>0.79395604395604402</v>
      </c>
      <c r="AA252" s="133"/>
      <c r="AB252" s="175">
        <f t="shared" si="402"/>
        <v>0.69700647595868193</v>
      </c>
      <c r="AC252" s="175"/>
      <c r="AD252" s="213">
        <f t="shared" si="403"/>
        <v>0.1</v>
      </c>
      <c r="AE252" s="213">
        <v>0.1</v>
      </c>
      <c r="AF252" s="215">
        <v>0.252</v>
      </c>
      <c r="AG252" s="215" t="s">
        <v>9</v>
      </c>
      <c r="AH252" s="148">
        <f t="shared" si="397"/>
        <v>0.69700647595868193</v>
      </c>
      <c r="AI252" s="122">
        <f t="shared" si="396"/>
        <v>0.25200000000000011</v>
      </c>
      <c r="AJ252" s="444"/>
      <c r="AK252" s="177">
        <f t="shared" si="404"/>
        <v>0.64222222222222225</v>
      </c>
      <c r="AL252" s="178">
        <f t="shared" si="405"/>
        <v>0.57928982668565998</v>
      </c>
      <c r="AM252" s="125">
        <f t="shared" si="406"/>
        <v>0.19111111111111112</v>
      </c>
      <c r="AN252" s="125">
        <f t="shared" si="373"/>
        <v>0.16888888888888909</v>
      </c>
      <c r="AO252" s="140"/>
      <c r="AP252" s="17" t="s">
        <v>592</v>
      </c>
      <c r="AQ252" s="432">
        <v>8.9999999999999993E-3</v>
      </c>
      <c r="AR252" s="432">
        <v>3.742</v>
      </c>
      <c r="AS252" s="182"/>
      <c r="AT252" s="179">
        <v>0.16</v>
      </c>
      <c r="AU252" s="180">
        <f>($F$2-70000)/2000*AQ252+AR252</f>
        <v>3.8860000000000001</v>
      </c>
      <c r="AV252" s="180">
        <f t="shared" si="408"/>
        <v>4.0460000000000003</v>
      </c>
      <c r="AW252" s="433">
        <f t="shared" si="409"/>
        <v>0.57800000000000007</v>
      </c>
      <c r="AX252" s="126">
        <f t="shared" si="375"/>
        <v>0.52136084401709404</v>
      </c>
      <c r="AY252" s="130" t="s">
        <v>569</v>
      </c>
      <c r="AZ252" s="128" t="s">
        <v>260</v>
      </c>
      <c r="BB252" s="176">
        <f t="shared" si="398"/>
        <v>2.3233549198622732</v>
      </c>
      <c r="BC252" s="176">
        <f t="shared" si="399"/>
        <v>1.3940129519173639</v>
      </c>
      <c r="BD252" s="176">
        <f t="shared" si="400"/>
        <v>1.1616774599311366</v>
      </c>
      <c r="BE252" s="176">
        <f t="shared" si="401"/>
        <v>0.92934196794490931</v>
      </c>
    </row>
    <row r="253" spans="1:57" s="129" customFormat="1" hidden="1">
      <c r="A253" s="88" t="s">
        <v>1302</v>
      </c>
      <c r="B253" s="88" t="s">
        <v>1317</v>
      </c>
      <c r="C253" s="88" t="s">
        <v>1317</v>
      </c>
      <c r="D253" s="88" t="s">
        <v>55</v>
      </c>
      <c r="E253" s="89" t="s">
        <v>395</v>
      </c>
      <c r="F253" s="90" t="s">
        <v>536</v>
      </c>
      <c r="G253" s="131" t="s">
        <v>253</v>
      </c>
      <c r="H253" s="92" t="s">
        <v>566</v>
      </c>
      <c r="I253" s="167" t="s">
        <v>576</v>
      </c>
      <c r="J253" s="167" t="str">
        <f>_xlfn.XLOOKUP(I253,[1]Sheet1!$A:$A,[1]Sheet1!$B:$B,"")</f>
        <v>U0405021</v>
      </c>
      <c r="K253" s="90" t="s">
        <v>577</v>
      </c>
      <c r="L253" s="90" t="s">
        <v>578</v>
      </c>
      <c r="M253" s="92" t="s">
        <v>522</v>
      </c>
      <c r="N253" s="89" t="s">
        <v>60</v>
      </c>
      <c r="O253" s="165"/>
      <c r="P253" s="88" t="s">
        <v>1446</v>
      </c>
      <c r="Q253" s="92" t="s">
        <v>402</v>
      </c>
      <c r="R253" s="92">
        <v>2240</v>
      </c>
      <c r="S253" s="123" t="e">
        <v>#N/A</v>
      </c>
      <c r="T253" s="131" t="s">
        <v>403</v>
      </c>
      <c r="U253" s="155">
        <v>0</v>
      </c>
      <c r="V253" s="207">
        <v>50</v>
      </c>
      <c r="W253" s="207">
        <v>45</v>
      </c>
      <c r="X253" s="207">
        <v>55</v>
      </c>
      <c r="Y253" s="207" t="s">
        <v>64</v>
      </c>
      <c r="Z253" s="133">
        <f t="shared" si="377"/>
        <v>1.1059654631083202</v>
      </c>
      <c r="AA253" s="133"/>
      <c r="AB253" s="175">
        <f t="shared" si="402"/>
        <v>0.97221763122498428</v>
      </c>
      <c r="AC253" s="175"/>
      <c r="AD253" s="213">
        <f t="shared" si="403"/>
        <v>0.1</v>
      </c>
      <c r="AE253" s="213">
        <v>0.1</v>
      </c>
      <c r="AF253" s="215">
        <v>0.252</v>
      </c>
      <c r="AG253" s="215" t="s">
        <v>9</v>
      </c>
      <c r="AH253" s="148">
        <f t="shared" si="397"/>
        <v>0.97221763122498428</v>
      </c>
      <c r="AI253" s="122">
        <f t="shared" si="396"/>
        <v>0.252</v>
      </c>
      <c r="AJ253" s="444"/>
      <c r="AK253" s="177">
        <f t="shared" si="404"/>
        <v>0.89460317460317462</v>
      </c>
      <c r="AL253" s="178">
        <f t="shared" si="405"/>
        <v>0.80802087572920911</v>
      </c>
      <c r="AM253" s="125">
        <f t="shared" si="406"/>
        <v>0.19111111111111112</v>
      </c>
      <c r="AN253" s="125">
        <f t="shared" si="373"/>
        <v>0.16888888888888898</v>
      </c>
      <c r="AO253" s="140"/>
      <c r="AP253" s="17" t="s">
        <v>592</v>
      </c>
      <c r="AQ253" s="432">
        <v>1.7000000000000001E-2</v>
      </c>
      <c r="AR253" s="432">
        <v>5.2039999999999997</v>
      </c>
      <c r="AS253" s="182"/>
      <c r="AT253" s="179">
        <v>0.16</v>
      </c>
      <c r="AU253" s="180">
        <f t="shared" si="438"/>
        <v>5.476</v>
      </c>
      <c r="AV253" s="180">
        <f t="shared" si="408"/>
        <v>5.6360000000000001</v>
      </c>
      <c r="AW253" s="433">
        <f t="shared" si="409"/>
        <v>0.80514285714285716</v>
      </c>
      <c r="AX253" s="126">
        <f t="shared" si="375"/>
        <v>0.72721878815628826</v>
      </c>
      <c r="AY253" s="130" t="s">
        <v>569</v>
      </c>
      <c r="AZ253" s="128" t="s">
        <v>260</v>
      </c>
      <c r="BB253" s="176">
        <f t="shared" si="398"/>
        <v>3.2407254374166143</v>
      </c>
      <c r="BC253" s="176">
        <f t="shared" si="399"/>
        <v>1.9444352624499686</v>
      </c>
      <c r="BD253" s="176">
        <f t="shared" si="400"/>
        <v>1.6203627187083072</v>
      </c>
      <c r="BE253" s="176">
        <f t="shared" si="401"/>
        <v>1.2962901749666458</v>
      </c>
    </row>
    <row r="254" spans="1:57" s="129" customFormat="1" hidden="1">
      <c r="A254" s="88" t="s">
        <v>1302</v>
      </c>
      <c r="B254" s="88" t="s">
        <v>1317</v>
      </c>
      <c r="C254" s="88" t="s">
        <v>1317</v>
      </c>
      <c r="D254" s="88" t="s">
        <v>55</v>
      </c>
      <c r="E254" s="89" t="s">
        <v>395</v>
      </c>
      <c r="F254" s="90" t="s">
        <v>536</v>
      </c>
      <c r="G254" s="131" t="s">
        <v>253</v>
      </c>
      <c r="H254" s="92" t="s">
        <v>566</v>
      </c>
      <c r="I254" s="167" t="s">
        <v>579</v>
      </c>
      <c r="J254" s="167" t="str">
        <f>_xlfn.XLOOKUP(I254,[1]Sheet1!$A:$A,[1]Sheet1!$B:$B,"")</f>
        <v>U0405022</v>
      </c>
      <c r="K254" s="90" t="s">
        <v>580</v>
      </c>
      <c r="L254" s="90" t="s">
        <v>581</v>
      </c>
      <c r="M254" s="92" t="s">
        <v>522</v>
      </c>
      <c r="N254" s="89" t="s">
        <v>60</v>
      </c>
      <c r="O254" s="165"/>
      <c r="P254" s="88" t="s">
        <v>1446</v>
      </c>
      <c r="Q254" s="92" t="s">
        <v>402</v>
      </c>
      <c r="R254" s="92">
        <v>1600</v>
      </c>
      <c r="S254" s="123" t="e">
        <v>#N/A</v>
      </c>
      <c r="T254" s="131" t="s">
        <v>403</v>
      </c>
      <c r="U254" s="155">
        <v>0</v>
      </c>
      <c r="V254" s="207">
        <v>50</v>
      </c>
      <c r="W254" s="207">
        <v>45</v>
      </c>
      <c r="X254" s="207">
        <v>55</v>
      </c>
      <c r="Y254" s="207" t="s">
        <v>64</v>
      </c>
      <c r="Z254" s="133">
        <f t="shared" si="377"/>
        <v>1.400313971742543</v>
      </c>
      <c r="AA254" s="133"/>
      <c r="AB254" s="175">
        <f t="shared" si="402"/>
        <v>1.2379598546877959</v>
      </c>
      <c r="AC254" s="175"/>
      <c r="AD254" s="213">
        <f t="shared" si="403"/>
        <v>0.1</v>
      </c>
      <c r="AE254" s="213">
        <v>0.1</v>
      </c>
      <c r="AF254" s="215">
        <v>0.252</v>
      </c>
      <c r="AG254" s="215" t="s">
        <v>9</v>
      </c>
      <c r="AH254" s="148">
        <f t="shared" si="397"/>
        <v>1.2379598546877959</v>
      </c>
      <c r="AI254" s="122">
        <f t="shared" si="396"/>
        <v>0.252</v>
      </c>
      <c r="AJ254" s="444"/>
      <c r="AK254" s="177">
        <f t="shared" si="404"/>
        <v>1.1326984126984125</v>
      </c>
      <c r="AL254" s="178">
        <f t="shared" si="405"/>
        <v>1.0288821903405236</v>
      </c>
      <c r="AM254" s="125">
        <f t="shared" si="406"/>
        <v>0.19111111111111112</v>
      </c>
      <c r="AN254" s="125">
        <f t="shared" si="373"/>
        <v>0.16888888888888898</v>
      </c>
      <c r="AO254" s="140"/>
      <c r="AP254" s="17" t="s">
        <v>592</v>
      </c>
      <c r="AQ254" s="432">
        <v>2.5000000000000001E-2</v>
      </c>
      <c r="AR254" s="432">
        <v>6.5759999999999996</v>
      </c>
      <c r="AS254" s="182"/>
      <c r="AT254" s="179">
        <v>0.16</v>
      </c>
      <c r="AU254" s="180">
        <f t="shared" si="438"/>
        <v>6.976</v>
      </c>
      <c r="AV254" s="180">
        <f t="shared" si="408"/>
        <v>7.1360000000000001</v>
      </c>
      <c r="AW254" s="433">
        <f t="shared" si="409"/>
        <v>1.0194285714285714</v>
      </c>
      <c r="AX254" s="126">
        <f t="shared" si="375"/>
        <v>0.92599397130647132</v>
      </c>
      <c r="AY254" s="130" t="s">
        <v>569</v>
      </c>
      <c r="AZ254" s="128" t="s">
        <v>260</v>
      </c>
      <c r="BB254" s="176">
        <f t="shared" si="398"/>
        <v>4.1265328489593198</v>
      </c>
      <c r="BC254" s="176">
        <f t="shared" si="399"/>
        <v>2.4759197093755918</v>
      </c>
      <c r="BD254" s="176">
        <f t="shared" si="400"/>
        <v>2.0632664244796599</v>
      </c>
      <c r="BE254" s="176">
        <f t="shared" si="401"/>
        <v>1.650613139583728</v>
      </c>
    </row>
    <row r="255" spans="1:57" s="129" customFormat="1" hidden="1">
      <c r="A255" s="88" t="s">
        <v>1302</v>
      </c>
      <c r="B255" s="88" t="s">
        <v>1317</v>
      </c>
      <c r="C255" s="88" t="s">
        <v>1317</v>
      </c>
      <c r="D255" s="88" t="s">
        <v>55</v>
      </c>
      <c r="E255" s="89" t="s">
        <v>395</v>
      </c>
      <c r="F255" s="90" t="s">
        <v>536</v>
      </c>
      <c r="G255" s="131" t="s">
        <v>253</v>
      </c>
      <c r="H255" s="92" t="s">
        <v>566</v>
      </c>
      <c r="I255" s="167" t="s">
        <v>582</v>
      </c>
      <c r="J255" s="167" t="str">
        <f>_xlfn.XLOOKUP(I255,[1]Sheet1!$A:$A,[1]Sheet1!$B:$B,"")</f>
        <v>U0405023</v>
      </c>
      <c r="K255" s="90" t="s">
        <v>583</v>
      </c>
      <c r="L255" s="90" t="s">
        <v>584</v>
      </c>
      <c r="M255" s="92" t="s">
        <v>522</v>
      </c>
      <c r="N255" s="89" t="s">
        <v>60</v>
      </c>
      <c r="O255" s="165"/>
      <c r="P255" s="88" t="s">
        <v>1446</v>
      </c>
      <c r="Q255" s="92" t="s">
        <v>402</v>
      </c>
      <c r="R255" s="92">
        <v>960</v>
      </c>
      <c r="S255" s="123" t="e">
        <v>#N/A</v>
      </c>
      <c r="T255" s="131" t="s">
        <v>403</v>
      </c>
      <c r="U255" s="155">
        <v>0</v>
      </c>
      <c r="V255" s="207">
        <v>50</v>
      </c>
      <c r="W255" s="207">
        <v>45</v>
      </c>
      <c r="X255" s="207">
        <v>55</v>
      </c>
      <c r="Y255" s="207" t="s">
        <v>64</v>
      </c>
      <c r="Z255" s="133">
        <f t="shared" si="377"/>
        <v>2.0007849293563584</v>
      </c>
      <c r="AA255" s="133"/>
      <c r="AB255" s="175">
        <f t="shared" si="402"/>
        <v>1.7862014415323242</v>
      </c>
      <c r="AC255" s="175"/>
      <c r="AD255" s="213">
        <f t="shared" si="403"/>
        <v>0.1</v>
      </c>
      <c r="AE255" s="213">
        <v>0.1</v>
      </c>
      <c r="AF255" s="215">
        <v>0.252</v>
      </c>
      <c r="AG255" s="215" t="s">
        <v>9</v>
      </c>
      <c r="AH255" s="148">
        <f t="shared" si="397"/>
        <v>1.7862014415323242</v>
      </c>
      <c r="AI255" s="122">
        <f t="shared" si="396"/>
        <v>0.252</v>
      </c>
      <c r="AJ255" s="444"/>
      <c r="AK255" s="177">
        <f t="shared" si="404"/>
        <v>1.6184126984126987</v>
      </c>
      <c r="AL255" s="178">
        <f t="shared" si="405"/>
        <v>1.4845318647401982</v>
      </c>
      <c r="AM255" s="125">
        <f t="shared" si="406"/>
        <v>0.19111111111111112</v>
      </c>
      <c r="AN255" s="125">
        <f t="shared" si="373"/>
        <v>0.16888888888888898</v>
      </c>
      <c r="AO255" s="140"/>
      <c r="AP255" s="17" t="s">
        <v>592</v>
      </c>
      <c r="AQ255" s="432">
        <v>4.2000000000000003E-2</v>
      </c>
      <c r="AR255" s="432">
        <v>9.3640000000000008</v>
      </c>
      <c r="AS255" s="182"/>
      <c r="AT255" s="179">
        <v>0.16</v>
      </c>
      <c r="AU255" s="180">
        <f t="shared" si="438"/>
        <v>10.036000000000001</v>
      </c>
      <c r="AV255" s="180">
        <f t="shared" si="408"/>
        <v>10.196000000000002</v>
      </c>
      <c r="AW255" s="433">
        <f t="shared" si="409"/>
        <v>1.4565714285714289</v>
      </c>
      <c r="AX255" s="126">
        <f t="shared" si="375"/>
        <v>1.3360786782661784</v>
      </c>
      <c r="AY255" s="130" t="s">
        <v>569</v>
      </c>
      <c r="AZ255" s="128" t="s">
        <v>260</v>
      </c>
      <c r="BB255" s="176">
        <f t="shared" si="398"/>
        <v>5.9540048051077479</v>
      </c>
      <c r="BC255" s="176">
        <f t="shared" si="399"/>
        <v>3.5724028830646488</v>
      </c>
      <c r="BD255" s="176">
        <f t="shared" si="400"/>
        <v>2.9770024025538739</v>
      </c>
      <c r="BE255" s="176">
        <f t="shared" si="401"/>
        <v>2.3816019220430991</v>
      </c>
    </row>
    <row r="256" spans="1:57" s="129" customFormat="1" hidden="1">
      <c r="A256" s="88" t="s">
        <v>1302</v>
      </c>
      <c r="B256" s="88" t="s">
        <v>1317</v>
      </c>
      <c r="C256" s="88" t="s">
        <v>1317</v>
      </c>
      <c r="D256" s="88" t="s">
        <v>55</v>
      </c>
      <c r="E256" s="89" t="s">
        <v>395</v>
      </c>
      <c r="F256" s="90" t="s">
        <v>536</v>
      </c>
      <c r="G256" s="131" t="s">
        <v>253</v>
      </c>
      <c r="H256" s="92" t="s">
        <v>566</v>
      </c>
      <c r="I256" s="167" t="s">
        <v>585</v>
      </c>
      <c r="J256" s="167" t="str">
        <f>_xlfn.XLOOKUP(I256,[1]Sheet1!$A:$A,[1]Sheet1!$B:$B,"")</f>
        <v>U0405019</v>
      </c>
      <c r="K256" s="90" t="s">
        <v>586</v>
      </c>
      <c r="L256" s="90" t="s">
        <v>587</v>
      </c>
      <c r="M256" s="92" t="s">
        <v>522</v>
      </c>
      <c r="N256" s="89" t="s">
        <v>60</v>
      </c>
      <c r="O256" s="165"/>
      <c r="P256" s="88" t="s">
        <v>1446</v>
      </c>
      <c r="Q256" s="92" t="s">
        <v>402</v>
      </c>
      <c r="R256" s="92">
        <v>640</v>
      </c>
      <c r="S256" s="123" t="e">
        <v>#N/A</v>
      </c>
      <c r="T256" s="131" t="s">
        <v>403</v>
      </c>
      <c r="U256" s="155">
        <v>0</v>
      </c>
      <c r="V256" s="207">
        <v>50</v>
      </c>
      <c r="W256" s="207">
        <v>45</v>
      </c>
      <c r="X256" s="207">
        <v>55</v>
      </c>
      <c r="Y256" s="207" t="s">
        <v>64</v>
      </c>
      <c r="Z256" s="133">
        <f t="shared" si="377"/>
        <v>3.4171899529042391</v>
      </c>
      <c r="AA256" s="133"/>
      <c r="AB256" s="175">
        <f t="shared" si="402"/>
        <v>3.0253613318870678</v>
      </c>
      <c r="AC256" s="175"/>
      <c r="AD256" s="213">
        <f t="shared" si="403"/>
        <v>0.1</v>
      </c>
      <c r="AE256" s="213">
        <v>0.1</v>
      </c>
      <c r="AF256" s="215">
        <v>0.252</v>
      </c>
      <c r="AG256" s="215" t="s">
        <v>9</v>
      </c>
      <c r="AH256" s="148">
        <f t="shared" si="397"/>
        <v>3.0253613318870678</v>
      </c>
      <c r="AI256" s="122">
        <f t="shared" si="396"/>
        <v>0.252</v>
      </c>
      <c r="AJ256" s="444"/>
      <c r="AK256" s="177">
        <f t="shared" si="404"/>
        <v>2.7641269841269844</v>
      </c>
      <c r="AL256" s="178">
        <f t="shared" si="405"/>
        <v>2.5144114180572519</v>
      </c>
      <c r="AM256" s="125">
        <f t="shared" si="406"/>
        <v>0.19111111111111112</v>
      </c>
      <c r="AN256" s="125">
        <f t="shared" si="373"/>
        <v>0.16888888888888887</v>
      </c>
      <c r="AO256" s="140"/>
      <c r="AP256" s="17" t="s">
        <v>592</v>
      </c>
      <c r="AQ256" s="432">
        <v>8.4000000000000005E-2</v>
      </c>
      <c r="AR256" s="432">
        <v>15.91</v>
      </c>
      <c r="AS256" s="182"/>
      <c r="AT256" s="179">
        <v>0.16</v>
      </c>
      <c r="AU256" s="180">
        <f t="shared" si="438"/>
        <v>17.254000000000001</v>
      </c>
      <c r="AV256" s="180">
        <f t="shared" si="408"/>
        <v>17.414000000000001</v>
      </c>
      <c r="AW256" s="433">
        <f t="shared" si="409"/>
        <v>2.487714285714286</v>
      </c>
      <c r="AX256" s="126">
        <f t="shared" si="375"/>
        <v>2.2629702762515267</v>
      </c>
      <c r="AY256" s="130" t="s">
        <v>569</v>
      </c>
      <c r="AZ256" s="128" t="s">
        <v>260</v>
      </c>
      <c r="BB256" s="176">
        <f t="shared" si="398"/>
        <v>10.084537772956892</v>
      </c>
      <c r="BC256" s="176">
        <f t="shared" si="399"/>
        <v>6.0507226637741356</v>
      </c>
      <c r="BD256" s="176">
        <f t="shared" si="400"/>
        <v>5.0422688864784462</v>
      </c>
      <c r="BE256" s="176">
        <f t="shared" si="401"/>
        <v>4.0338151091827568</v>
      </c>
    </row>
    <row r="257" spans="1:57" s="129" customFormat="1" hidden="1">
      <c r="A257" s="90" t="s">
        <v>1302</v>
      </c>
      <c r="B257" s="88" t="s">
        <v>1317</v>
      </c>
      <c r="C257" s="88" t="s">
        <v>1318</v>
      </c>
      <c r="D257" s="90" t="s">
        <v>55</v>
      </c>
      <c r="E257" s="90" t="s">
        <v>395</v>
      </c>
      <c r="F257" s="90" t="s">
        <v>588</v>
      </c>
      <c r="G257" s="131" t="s">
        <v>266</v>
      </c>
      <c r="H257" s="92">
        <v>24</v>
      </c>
      <c r="I257" s="167" t="s">
        <v>589</v>
      </c>
      <c r="J257" s="167" t="str">
        <f>_xlfn.XLOOKUP(I257,[1]Sheet1!$A:$A,[1]Sheet1!$B:$B,"")</f>
        <v>U0406001</v>
      </c>
      <c r="K257" s="90" t="s">
        <v>590</v>
      </c>
      <c r="L257" s="90" t="s">
        <v>591</v>
      </c>
      <c r="M257" s="92"/>
      <c r="N257" s="89" t="s">
        <v>60</v>
      </c>
      <c r="O257" s="92"/>
      <c r="P257" s="88" t="s">
        <v>1446</v>
      </c>
      <c r="Q257" s="92" t="s">
        <v>402</v>
      </c>
      <c r="R257" s="92">
        <v>4800</v>
      </c>
      <c r="S257" s="123" t="e">
        <v>#N/A</v>
      </c>
      <c r="T257" s="92" t="s">
        <v>403</v>
      </c>
      <c r="U257" s="155">
        <v>0</v>
      </c>
      <c r="V257" s="207">
        <v>50</v>
      </c>
      <c r="W257" s="207">
        <v>45</v>
      </c>
      <c r="X257" s="207">
        <v>55</v>
      </c>
      <c r="Y257" s="207" t="s">
        <v>64</v>
      </c>
      <c r="Z257" s="133">
        <f t="shared" si="377"/>
        <v>0.64383830455259028</v>
      </c>
      <c r="AA257" s="133"/>
      <c r="AB257" s="175">
        <f t="shared" si="402"/>
        <v>0.55994607924754991</v>
      </c>
      <c r="AC257" s="175"/>
      <c r="AD257" s="213">
        <f t="shared" si="403"/>
        <v>0.1</v>
      </c>
      <c r="AE257" s="213">
        <v>0.1</v>
      </c>
      <c r="AF257" s="215">
        <v>0.252</v>
      </c>
      <c r="AG257" s="215" t="s">
        <v>9</v>
      </c>
      <c r="AH257" s="148">
        <f t="shared" si="397"/>
        <v>0.55994607924754991</v>
      </c>
      <c r="AI257" s="122">
        <f t="shared" si="396"/>
        <v>0.25199999999999989</v>
      </c>
      <c r="AJ257" s="444"/>
      <c r="AK257" s="177">
        <f t="shared" si="404"/>
        <v>0.52079365079365081</v>
      </c>
      <c r="AL257" s="178">
        <f t="shared" si="405"/>
        <v>0.46537740808574152</v>
      </c>
      <c r="AM257" s="125">
        <f t="shared" si="406"/>
        <v>0.19111111111111112</v>
      </c>
      <c r="AN257" s="125">
        <f t="shared" si="373"/>
        <v>0.16888888888888887</v>
      </c>
      <c r="AO257" s="140"/>
      <c r="AP257" s="17" t="s">
        <v>592</v>
      </c>
      <c r="AQ257" s="432">
        <v>1.4E-2</v>
      </c>
      <c r="AR257" s="432">
        <v>2.8969999999999998</v>
      </c>
      <c r="AS257" s="162"/>
      <c r="AT257" s="179">
        <v>0.16</v>
      </c>
      <c r="AU257" s="180">
        <f t="shared" si="438"/>
        <v>3.121</v>
      </c>
      <c r="AV257" s="180">
        <f t="shared" si="408"/>
        <v>3.2810000000000001</v>
      </c>
      <c r="AW257" s="433">
        <f t="shared" si="409"/>
        <v>0.46871428571428575</v>
      </c>
      <c r="AX257" s="126">
        <f t="shared" si="375"/>
        <v>0.41883966727716737</v>
      </c>
      <c r="AY257" s="130" t="s">
        <v>593</v>
      </c>
      <c r="AZ257" s="128" t="s">
        <v>260</v>
      </c>
      <c r="BB257" s="176">
        <f t="shared" si="398"/>
        <v>1.8664869308251664</v>
      </c>
      <c r="BC257" s="176">
        <f t="shared" si="399"/>
        <v>1.1198921584950998</v>
      </c>
      <c r="BD257" s="176">
        <f t="shared" si="400"/>
        <v>0.93324346541258318</v>
      </c>
      <c r="BE257" s="176">
        <f t="shared" si="401"/>
        <v>0.74659477233006655</v>
      </c>
    </row>
    <row r="258" spans="1:57" s="129" customFormat="1" hidden="1">
      <c r="A258" s="90" t="s">
        <v>1302</v>
      </c>
      <c r="B258" s="88" t="s">
        <v>1317</v>
      </c>
      <c r="C258" s="88" t="s">
        <v>1318</v>
      </c>
      <c r="D258" s="90" t="s">
        <v>55</v>
      </c>
      <c r="E258" s="90" t="s">
        <v>395</v>
      </c>
      <c r="F258" s="90" t="s">
        <v>588</v>
      </c>
      <c r="G258" s="131" t="s">
        <v>266</v>
      </c>
      <c r="H258" s="92">
        <v>24</v>
      </c>
      <c r="I258" s="167" t="s">
        <v>594</v>
      </c>
      <c r="J258" s="167" t="str">
        <f>_xlfn.XLOOKUP(I258,[1]Sheet1!$A:$A,[1]Sheet1!$B:$B,"")</f>
        <v>U0406002</v>
      </c>
      <c r="K258" s="90" t="s">
        <v>1557</v>
      </c>
      <c r="L258" s="90" t="s">
        <v>595</v>
      </c>
      <c r="M258" s="92"/>
      <c r="N258" s="89" t="s">
        <v>60</v>
      </c>
      <c r="O258" s="92"/>
      <c r="P258" s="88" t="s">
        <v>1446</v>
      </c>
      <c r="Q258" s="92" t="s">
        <v>402</v>
      </c>
      <c r="R258" s="92">
        <v>4800</v>
      </c>
      <c r="S258" s="123" t="e">
        <v>#N/A</v>
      </c>
      <c r="T258" s="92" t="s">
        <v>403</v>
      </c>
      <c r="U258" s="155">
        <v>0</v>
      </c>
      <c r="V258" s="207">
        <v>50</v>
      </c>
      <c r="W258" s="207">
        <v>45</v>
      </c>
      <c r="X258" s="207">
        <v>55</v>
      </c>
      <c r="Y258" s="207" t="s">
        <v>64</v>
      </c>
      <c r="Z258" s="133">
        <f t="shared" si="377"/>
        <v>0.70781004709576145</v>
      </c>
      <c r="AA258" s="133"/>
      <c r="AB258" s="175">
        <f t="shared" si="402"/>
        <v>0.61316083834466206</v>
      </c>
      <c r="AC258" s="175"/>
      <c r="AD258" s="213">
        <f t="shared" si="403"/>
        <v>0.1</v>
      </c>
      <c r="AE258" s="213">
        <v>0.1</v>
      </c>
      <c r="AF258" s="215">
        <v>0.252</v>
      </c>
      <c r="AG258" s="215" t="s">
        <v>9</v>
      </c>
      <c r="AH258" s="148">
        <f t="shared" si="397"/>
        <v>0.61316083834466206</v>
      </c>
      <c r="AI258" s="122">
        <f t="shared" si="396"/>
        <v>0.252</v>
      </c>
      <c r="AJ258" s="444"/>
      <c r="AK258" s="177">
        <f t="shared" si="404"/>
        <v>0.57253968253968257</v>
      </c>
      <c r="AL258" s="178">
        <f t="shared" si="405"/>
        <v>0.5096047856464524</v>
      </c>
      <c r="AM258" s="125">
        <f t="shared" si="406"/>
        <v>0.19111111111111112</v>
      </c>
      <c r="AN258" s="125">
        <f t="shared" ref="AN258:AN322" si="439">1-(AL258/AB258)</f>
        <v>0.16888888888888898</v>
      </c>
      <c r="AO258" s="140"/>
      <c r="AP258" s="17" t="s">
        <v>592</v>
      </c>
      <c r="AQ258" s="432">
        <v>1.4E-2</v>
      </c>
      <c r="AR258" s="432">
        <v>3.2229999999999999</v>
      </c>
      <c r="AS258" s="162"/>
      <c r="AT258" s="179">
        <v>0.16</v>
      </c>
      <c r="AU258" s="180">
        <f t="shared" si="438"/>
        <v>3.4470000000000001</v>
      </c>
      <c r="AV258" s="180">
        <f t="shared" si="408"/>
        <v>3.6070000000000002</v>
      </c>
      <c r="AW258" s="433">
        <f t="shared" si="409"/>
        <v>0.51528571428571435</v>
      </c>
      <c r="AX258" s="126">
        <f t="shared" si="375"/>
        <v>0.4586443070818072</v>
      </c>
      <c r="AY258" s="130" t="s">
        <v>593</v>
      </c>
      <c r="AZ258" s="128" t="s">
        <v>260</v>
      </c>
      <c r="BB258" s="176">
        <f t="shared" si="398"/>
        <v>2.0438694611488737</v>
      </c>
      <c r="BC258" s="176">
        <f t="shared" si="399"/>
        <v>1.2263216766893241</v>
      </c>
      <c r="BD258" s="176">
        <f t="shared" si="400"/>
        <v>1.0219347305744368</v>
      </c>
      <c r="BE258" s="176">
        <f t="shared" si="401"/>
        <v>0.81754778445954956</v>
      </c>
    </row>
    <row r="259" spans="1:57" s="129" customFormat="1" hidden="1">
      <c r="A259" s="90" t="s">
        <v>1302</v>
      </c>
      <c r="B259" s="88" t="s">
        <v>1317</v>
      </c>
      <c r="C259" s="88" t="s">
        <v>1318</v>
      </c>
      <c r="D259" s="90" t="s">
        <v>55</v>
      </c>
      <c r="E259" s="90" t="s">
        <v>395</v>
      </c>
      <c r="F259" s="90" t="s">
        <v>588</v>
      </c>
      <c r="G259" s="131" t="s">
        <v>266</v>
      </c>
      <c r="H259" s="92">
        <v>24</v>
      </c>
      <c r="I259" s="167" t="s">
        <v>596</v>
      </c>
      <c r="J259" s="167" t="str">
        <f>_xlfn.XLOOKUP(I259,[1]Sheet1!$A:$A,[1]Sheet1!$B:$B,"")</f>
        <v>U0406004</v>
      </c>
      <c r="K259" s="90" t="s">
        <v>1558</v>
      </c>
      <c r="L259" s="90" t="s">
        <v>597</v>
      </c>
      <c r="M259" s="92"/>
      <c r="N259" s="89" t="s">
        <v>60</v>
      </c>
      <c r="O259" s="92"/>
      <c r="P259" s="88" t="s">
        <v>1446</v>
      </c>
      <c r="Q259" s="92" t="s">
        <v>402</v>
      </c>
      <c r="R259" s="92">
        <v>3200</v>
      </c>
      <c r="S259" s="123" t="e">
        <v>#N/A</v>
      </c>
      <c r="T259" s="92" t="s">
        <v>403</v>
      </c>
      <c r="U259" s="155">
        <v>0</v>
      </c>
      <c r="V259" s="207">
        <v>50</v>
      </c>
      <c r="W259" s="207">
        <v>45</v>
      </c>
      <c r="X259" s="207">
        <v>55</v>
      </c>
      <c r="Y259" s="207" t="s">
        <v>64</v>
      </c>
      <c r="Z259" s="133">
        <f t="shared" si="377"/>
        <v>0.79356357927786492</v>
      </c>
      <c r="AA259" s="133"/>
      <c r="AB259" s="175">
        <f t="shared" si="402"/>
        <v>0.69668000504397565</v>
      </c>
      <c r="AC259" s="175"/>
      <c r="AD259" s="213">
        <f t="shared" si="403"/>
        <v>0.1</v>
      </c>
      <c r="AE259" s="213">
        <v>0.1</v>
      </c>
      <c r="AF259" s="215">
        <v>0.252</v>
      </c>
      <c r="AG259" s="215" t="s">
        <v>9</v>
      </c>
      <c r="AH259" s="148">
        <f t="shared" si="397"/>
        <v>0.69668000504397565</v>
      </c>
      <c r="AI259" s="122">
        <f t="shared" si="396"/>
        <v>0.252</v>
      </c>
      <c r="AJ259" s="444"/>
      <c r="AK259" s="177">
        <f t="shared" si="404"/>
        <v>0.64190476190476176</v>
      </c>
      <c r="AL259" s="178">
        <f t="shared" si="405"/>
        <v>0.57901849308099307</v>
      </c>
      <c r="AM259" s="125">
        <f t="shared" si="406"/>
        <v>0.19111111111111123</v>
      </c>
      <c r="AN259" s="125">
        <f t="shared" si="439"/>
        <v>0.16888888888888898</v>
      </c>
      <c r="AO259" s="140"/>
      <c r="AP259" s="17" t="s">
        <v>592</v>
      </c>
      <c r="AQ259" s="432">
        <v>2.8000000000000001E-2</v>
      </c>
      <c r="AR259" s="432">
        <v>3.4359999999999999</v>
      </c>
      <c r="AS259" s="162"/>
      <c r="AT259" s="179">
        <v>0.16</v>
      </c>
      <c r="AU259" s="180">
        <f t="shared" si="438"/>
        <v>3.8839999999999999</v>
      </c>
      <c r="AV259" s="180">
        <f t="shared" si="408"/>
        <v>4.0439999999999996</v>
      </c>
      <c r="AW259" s="433">
        <f t="shared" si="409"/>
        <v>0.57771428571428562</v>
      </c>
      <c r="AX259" s="126">
        <f t="shared" si="375"/>
        <v>0.5211166437728938</v>
      </c>
      <c r="AY259" s="130" t="s">
        <v>593</v>
      </c>
      <c r="AZ259" s="128" t="s">
        <v>260</v>
      </c>
      <c r="BB259" s="176">
        <f t="shared" si="398"/>
        <v>2.3222666834799188</v>
      </c>
      <c r="BC259" s="176">
        <f t="shared" si="399"/>
        <v>1.3933600100879513</v>
      </c>
      <c r="BD259" s="176">
        <f t="shared" si="400"/>
        <v>1.1611333417399594</v>
      </c>
      <c r="BE259" s="176">
        <f t="shared" si="401"/>
        <v>0.92890667339196753</v>
      </c>
    </row>
    <row r="260" spans="1:57" s="129" customFormat="1" hidden="1">
      <c r="A260" s="90" t="s">
        <v>1302</v>
      </c>
      <c r="B260" s="88" t="s">
        <v>1317</v>
      </c>
      <c r="C260" s="88" t="s">
        <v>1318</v>
      </c>
      <c r="D260" s="90" t="s">
        <v>55</v>
      </c>
      <c r="E260" s="90" t="s">
        <v>395</v>
      </c>
      <c r="F260" s="90" t="s">
        <v>588</v>
      </c>
      <c r="G260" s="131" t="s">
        <v>266</v>
      </c>
      <c r="H260" s="92">
        <v>24</v>
      </c>
      <c r="I260" s="167" t="s">
        <v>598</v>
      </c>
      <c r="J260" s="167" t="str">
        <f>_xlfn.XLOOKUP(I260,[1]Sheet1!$A:$A,[1]Sheet1!$B:$B,"")</f>
        <v>U0406005</v>
      </c>
      <c r="K260" s="90" t="s">
        <v>1559</v>
      </c>
      <c r="L260" s="90" t="s">
        <v>599</v>
      </c>
      <c r="M260" s="92"/>
      <c r="N260" s="89" t="s">
        <v>60</v>
      </c>
      <c r="O260" s="92"/>
      <c r="P260" s="88" t="s">
        <v>1446</v>
      </c>
      <c r="Q260" s="92" t="s">
        <v>402</v>
      </c>
      <c r="R260" s="92">
        <v>2240</v>
      </c>
      <c r="S260" s="123" t="e">
        <v>#N/A</v>
      </c>
      <c r="T260" s="92" t="s">
        <v>403</v>
      </c>
      <c r="U260" s="155">
        <v>0</v>
      </c>
      <c r="V260" s="207">
        <v>50</v>
      </c>
      <c r="W260" s="207">
        <v>45</v>
      </c>
      <c r="X260" s="207">
        <v>55</v>
      </c>
      <c r="Y260" s="207" t="s">
        <v>64</v>
      </c>
      <c r="Z260" s="133">
        <f t="shared" si="377"/>
        <v>1.1995682888540031</v>
      </c>
      <c r="AA260" s="133"/>
      <c r="AB260" s="175">
        <f t="shared" si="402"/>
        <v>1.0500809443824151</v>
      </c>
      <c r="AC260" s="175"/>
      <c r="AD260" s="213">
        <f t="shared" si="403"/>
        <v>0.1</v>
      </c>
      <c r="AE260" s="213">
        <v>0.1</v>
      </c>
      <c r="AF260" s="215">
        <v>0.252</v>
      </c>
      <c r="AG260" s="215" t="s">
        <v>9</v>
      </c>
      <c r="AH260" s="148">
        <f t="shared" si="397"/>
        <v>1.0500809443824151</v>
      </c>
      <c r="AI260" s="122">
        <f>1-(AX260/AH260)</f>
        <v>0.25199999999999989</v>
      </c>
      <c r="AJ260" s="444"/>
      <c r="AK260" s="177">
        <f t="shared" si="404"/>
        <v>0.97031746031746036</v>
      </c>
      <c r="AL260" s="178">
        <f t="shared" si="405"/>
        <v>0.87273394044227393</v>
      </c>
      <c r="AM260" s="125">
        <f t="shared" si="406"/>
        <v>0.19111111111111112</v>
      </c>
      <c r="AN260" s="125">
        <f t="shared" si="439"/>
        <v>0.16888888888888887</v>
      </c>
      <c r="AO260" s="140"/>
      <c r="AP260" s="17" t="s">
        <v>592</v>
      </c>
      <c r="AQ260" s="432">
        <v>5.7000000000000002E-2</v>
      </c>
      <c r="AR260" s="432">
        <v>5.0410000000000004</v>
      </c>
      <c r="AS260" s="162"/>
      <c r="AT260" s="179">
        <v>0.16</v>
      </c>
      <c r="AU260" s="180">
        <f t="shared" si="438"/>
        <v>5.9530000000000003</v>
      </c>
      <c r="AV260" s="180">
        <f t="shared" si="408"/>
        <v>6.1130000000000004</v>
      </c>
      <c r="AW260" s="433">
        <f t="shared" si="409"/>
        <v>0.87328571428571433</v>
      </c>
      <c r="AX260" s="126">
        <f t="shared" si="375"/>
        <v>0.78546054639804652</v>
      </c>
      <c r="AY260" s="130" t="s">
        <v>593</v>
      </c>
      <c r="AZ260" s="128" t="s">
        <v>260</v>
      </c>
      <c r="BB260" s="176">
        <f t="shared" si="398"/>
        <v>3.5002698146080502</v>
      </c>
      <c r="BC260" s="176">
        <f t="shared" si="399"/>
        <v>2.1001618887648301</v>
      </c>
      <c r="BD260" s="176">
        <f t="shared" si="400"/>
        <v>1.7501349073040251</v>
      </c>
      <c r="BE260" s="176">
        <f t="shared" si="401"/>
        <v>1.4001079258432201</v>
      </c>
    </row>
    <row r="261" spans="1:57" s="129" customFormat="1" hidden="1">
      <c r="A261" s="90" t="s">
        <v>1302</v>
      </c>
      <c r="B261" s="88" t="s">
        <v>1317</v>
      </c>
      <c r="C261" s="88" t="s">
        <v>1318</v>
      </c>
      <c r="D261" s="90" t="s">
        <v>55</v>
      </c>
      <c r="E261" s="90" t="s">
        <v>395</v>
      </c>
      <c r="F261" s="90" t="s">
        <v>588</v>
      </c>
      <c r="G261" s="131" t="s">
        <v>266</v>
      </c>
      <c r="H261" s="92">
        <v>24</v>
      </c>
      <c r="I261" s="167" t="s">
        <v>600</v>
      </c>
      <c r="J261" s="167" t="str">
        <f>_xlfn.XLOOKUP(I261,[1]Sheet1!$A:$A,[1]Sheet1!$B:$B,"")</f>
        <v>U0406006</v>
      </c>
      <c r="K261" s="90" t="s">
        <v>1560</v>
      </c>
      <c r="L261" s="90" t="s">
        <v>601</v>
      </c>
      <c r="M261" s="92"/>
      <c r="N261" s="89" t="s">
        <v>60</v>
      </c>
      <c r="O261" s="92"/>
      <c r="P261" s="88" t="s">
        <v>1446</v>
      </c>
      <c r="Q261" s="92" t="s">
        <v>402</v>
      </c>
      <c r="R261" s="92">
        <v>1600</v>
      </c>
      <c r="S261" s="123" t="e">
        <v>#N/A</v>
      </c>
      <c r="T261" s="92" t="s">
        <v>403</v>
      </c>
      <c r="U261" s="155">
        <v>0</v>
      </c>
      <c r="V261" s="207">
        <v>50</v>
      </c>
      <c r="W261" s="207">
        <v>45</v>
      </c>
      <c r="X261" s="207">
        <v>55</v>
      </c>
      <c r="Y261" s="207" t="s">
        <v>64</v>
      </c>
      <c r="Z261" s="133">
        <f t="shared" si="377"/>
        <v>1.5939952904238619</v>
      </c>
      <c r="AA261" s="133"/>
      <c r="AB261" s="175">
        <f t="shared" si="402"/>
        <v>1.3990732510953099</v>
      </c>
      <c r="AC261" s="175"/>
      <c r="AD261" s="213">
        <f t="shared" si="403"/>
        <v>0.1</v>
      </c>
      <c r="AE261" s="213">
        <v>0.1</v>
      </c>
      <c r="AF261" s="215">
        <v>0.252</v>
      </c>
      <c r="AG261" s="215" t="s">
        <v>9</v>
      </c>
      <c r="AH261" s="148">
        <f t="shared" si="397"/>
        <v>1.3990732510953099</v>
      </c>
      <c r="AI261" s="122">
        <f t="shared" si="396"/>
        <v>0.252</v>
      </c>
      <c r="AJ261" s="444"/>
      <c r="AK261" s="177">
        <f t="shared" si="404"/>
        <v>1.2893650793650793</v>
      </c>
      <c r="AL261" s="178">
        <f t="shared" si="405"/>
        <v>1.1627853242436577</v>
      </c>
      <c r="AM261" s="125">
        <f t="shared" si="406"/>
        <v>0.19111111111111123</v>
      </c>
      <c r="AN261" s="125">
        <f t="shared" si="439"/>
        <v>0.16888888888888887</v>
      </c>
      <c r="AO261" s="140"/>
      <c r="AP261" s="17" t="s">
        <v>592</v>
      </c>
      <c r="AQ261" s="432">
        <v>8.5000000000000006E-2</v>
      </c>
      <c r="AR261" s="432">
        <v>6.6029999999999998</v>
      </c>
      <c r="AS261" s="162"/>
      <c r="AT261" s="179">
        <v>0.16</v>
      </c>
      <c r="AU261" s="180">
        <f t="shared" si="438"/>
        <v>7.9630000000000001</v>
      </c>
      <c r="AV261" s="180">
        <f t="shared" si="408"/>
        <v>8.1229999999999993</v>
      </c>
      <c r="AW261" s="433">
        <f t="shared" si="409"/>
        <v>1.1604285714285714</v>
      </c>
      <c r="AX261" s="126">
        <f t="shared" si="375"/>
        <v>1.0465067918192918</v>
      </c>
      <c r="AY261" s="130" t="s">
        <v>593</v>
      </c>
      <c r="AZ261" s="128" t="s">
        <v>260</v>
      </c>
      <c r="BB261" s="176">
        <f t="shared" si="398"/>
        <v>4.663577503651033</v>
      </c>
      <c r="BC261" s="176">
        <f t="shared" si="399"/>
        <v>2.7981465021906198</v>
      </c>
      <c r="BD261" s="176">
        <f t="shared" si="400"/>
        <v>2.3317887518255165</v>
      </c>
      <c r="BE261" s="176">
        <f t="shared" si="401"/>
        <v>1.8654310014604132</v>
      </c>
    </row>
    <row r="262" spans="1:57" s="129" customFormat="1" hidden="1">
      <c r="A262" s="90" t="s">
        <v>1302</v>
      </c>
      <c r="B262" s="88" t="s">
        <v>1317</v>
      </c>
      <c r="C262" s="88" t="s">
        <v>1318</v>
      </c>
      <c r="D262" s="90" t="s">
        <v>55</v>
      </c>
      <c r="E262" s="90" t="s">
        <v>395</v>
      </c>
      <c r="F262" s="90" t="s">
        <v>588</v>
      </c>
      <c r="G262" s="131" t="s">
        <v>266</v>
      </c>
      <c r="H262" s="92">
        <v>24</v>
      </c>
      <c r="I262" s="167" t="s">
        <v>602</v>
      </c>
      <c r="J262" s="167" t="str">
        <f>_xlfn.XLOOKUP(I262,[1]Sheet1!$A:$A,[1]Sheet1!$B:$B,"")</f>
        <v>U0406007</v>
      </c>
      <c r="K262" s="90" t="s">
        <v>1561</v>
      </c>
      <c r="L262" s="90" t="s">
        <v>603</v>
      </c>
      <c r="M262" s="92"/>
      <c r="N262" s="89" t="s">
        <v>60</v>
      </c>
      <c r="O262" s="92"/>
      <c r="P262" s="88" t="s">
        <v>1446</v>
      </c>
      <c r="Q262" s="92" t="s">
        <v>402</v>
      </c>
      <c r="R262" s="92">
        <v>960</v>
      </c>
      <c r="S262" s="123" t="e">
        <v>#N/A</v>
      </c>
      <c r="T262" s="92" t="s">
        <v>403</v>
      </c>
      <c r="U262" s="155">
        <v>0</v>
      </c>
      <c r="V262" s="207">
        <v>50</v>
      </c>
      <c r="W262" s="207">
        <v>45</v>
      </c>
      <c r="X262" s="207">
        <v>55</v>
      </c>
      <c r="Y262" s="207" t="s">
        <v>64</v>
      </c>
      <c r="Z262" s="133">
        <f t="shared" si="377"/>
        <v>2.4277864992150704</v>
      </c>
      <c r="AA262" s="133"/>
      <c r="AB262" s="175">
        <f t="shared" si="402"/>
        <v>2.1414017967326791</v>
      </c>
      <c r="AC262" s="175"/>
      <c r="AD262" s="213">
        <f t="shared" si="403"/>
        <v>0.1</v>
      </c>
      <c r="AE262" s="213">
        <v>0.1</v>
      </c>
      <c r="AF262" s="215">
        <v>0.252</v>
      </c>
      <c r="AG262" s="215" t="s">
        <v>9</v>
      </c>
      <c r="AH262" s="148">
        <f t="shared" si="397"/>
        <v>2.1414017967326791</v>
      </c>
      <c r="AI262" s="122">
        <f t="shared" si="396"/>
        <v>0.252</v>
      </c>
      <c r="AJ262" s="444"/>
      <c r="AK262" s="177">
        <f t="shared" si="404"/>
        <v>1.9638095238095237</v>
      </c>
      <c r="AL262" s="178">
        <f t="shared" si="405"/>
        <v>1.7797428266178263</v>
      </c>
      <c r="AM262" s="125">
        <f t="shared" si="406"/>
        <v>0.19111111111111112</v>
      </c>
      <c r="AN262" s="125">
        <f t="shared" si="439"/>
        <v>0.16888888888888898</v>
      </c>
      <c r="AO262" s="140"/>
      <c r="AP262" s="17" t="s">
        <v>592</v>
      </c>
      <c r="AQ262" s="432">
        <v>0.14199999999999999</v>
      </c>
      <c r="AR262" s="432">
        <v>9.94</v>
      </c>
      <c r="AS262" s="162"/>
      <c r="AT262" s="179">
        <v>0.16</v>
      </c>
      <c r="AU262" s="180">
        <f t="shared" si="438"/>
        <v>12.212</v>
      </c>
      <c r="AV262" s="180">
        <f t="shared" si="408"/>
        <v>12.372</v>
      </c>
      <c r="AW262" s="433">
        <f t="shared" si="409"/>
        <v>1.7674285714285713</v>
      </c>
      <c r="AX262" s="126">
        <f t="shared" si="375"/>
        <v>1.6017685439560438</v>
      </c>
      <c r="AY262" s="130" t="s">
        <v>593</v>
      </c>
      <c r="AZ262" s="128" t="s">
        <v>260</v>
      </c>
      <c r="BB262" s="176">
        <f t="shared" si="398"/>
        <v>7.1380059891089305</v>
      </c>
      <c r="BC262" s="176">
        <f t="shared" si="399"/>
        <v>4.2828035934653581</v>
      </c>
      <c r="BD262" s="176">
        <f t="shared" si="400"/>
        <v>3.5690029945544652</v>
      </c>
      <c r="BE262" s="176">
        <f t="shared" si="401"/>
        <v>2.8552023956435724</v>
      </c>
    </row>
    <row r="263" spans="1:57" s="129" customFormat="1" hidden="1">
      <c r="A263" s="90" t="s">
        <v>1302</v>
      </c>
      <c r="B263" s="88" t="s">
        <v>1317</v>
      </c>
      <c r="C263" s="88" t="s">
        <v>1318</v>
      </c>
      <c r="D263" s="90" t="s">
        <v>55</v>
      </c>
      <c r="E263" s="90" t="s">
        <v>395</v>
      </c>
      <c r="F263" s="90" t="s">
        <v>588</v>
      </c>
      <c r="G263" s="131" t="s">
        <v>266</v>
      </c>
      <c r="H263" s="92">
        <v>24</v>
      </c>
      <c r="I263" s="167" t="s">
        <v>604</v>
      </c>
      <c r="J263" s="167" t="str">
        <f>_xlfn.XLOOKUP(I263,[1]Sheet1!$A:$A,[1]Sheet1!$B:$B,"")</f>
        <v>U0406003</v>
      </c>
      <c r="K263" s="90" t="s">
        <v>1562</v>
      </c>
      <c r="L263" s="90" t="s">
        <v>605</v>
      </c>
      <c r="M263" s="92"/>
      <c r="N263" s="89" t="s">
        <v>60</v>
      </c>
      <c r="O263" s="92"/>
      <c r="P263" s="88" t="s">
        <v>1446</v>
      </c>
      <c r="Q263" s="92" t="s">
        <v>402</v>
      </c>
      <c r="R263" s="92">
        <v>640</v>
      </c>
      <c r="S263" s="123" t="e">
        <v>#N/A</v>
      </c>
      <c r="T263" s="92" t="s">
        <v>403</v>
      </c>
      <c r="U263" s="155">
        <v>0</v>
      </c>
      <c r="V263" s="207">
        <v>50</v>
      </c>
      <c r="W263" s="207">
        <v>45</v>
      </c>
      <c r="X263" s="207">
        <v>55</v>
      </c>
      <c r="Y263" s="207" t="s">
        <v>64</v>
      </c>
      <c r="Z263" s="133">
        <f t="shared" si="377"/>
        <v>4.4780219780219781</v>
      </c>
      <c r="AA263" s="133"/>
      <c r="AB263" s="175">
        <f t="shared" si="402"/>
        <v>3.9078122143379499</v>
      </c>
      <c r="AC263" s="175"/>
      <c r="AD263" s="213">
        <f t="shared" si="403"/>
        <v>0.1</v>
      </c>
      <c r="AE263" s="213">
        <v>0.1</v>
      </c>
      <c r="AF263" s="215">
        <v>0.252</v>
      </c>
      <c r="AG263" s="215" t="s">
        <v>9</v>
      </c>
      <c r="AH263" s="148">
        <f t="shared" si="397"/>
        <v>3.9078122143379499</v>
      </c>
      <c r="AI263" s="122">
        <f t="shared" si="396"/>
        <v>0.252</v>
      </c>
      <c r="AJ263" s="444"/>
      <c r="AK263" s="177">
        <f t="shared" si="404"/>
        <v>3.6222222222222222</v>
      </c>
      <c r="AL263" s="178">
        <f t="shared" si="405"/>
        <v>3.2478261514719851</v>
      </c>
      <c r="AM263" s="125">
        <f t="shared" si="406"/>
        <v>0.19111111111111112</v>
      </c>
      <c r="AN263" s="125">
        <f t="shared" si="439"/>
        <v>0.16888888888888887</v>
      </c>
      <c r="AO263" s="140"/>
      <c r="AP263" s="17" t="s">
        <v>592</v>
      </c>
      <c r="AQ263" s="432">
        <v>0.29799999999999999</v>
      </c>
      <c r="AR263" s="432">
        <v>17.891999999999999</v>
      </c>
      <c r="AS263" s="162"/>
      <c r="AT263" s="179">
        <v>0.16</v>
      </c>
      <c r="AU263" s="180">
        <f t="shared" si="438"/>
        <v>22.66</v>
      </c>
      <c r="AV263" s="180">
        <f t="shared" si="408"/>
        <v>22.82</v>
      </c>
      <c r="AW263" s="433">
        <f t="shared" si="409"/>
        <v>3.2600000000000002</v>
      </c>
      <c r="AX263" s="126">
        <f t="shared" ref="AX263:AX322" si="440">(AW263/$F$6)+(($F$9+$G$9)/40/R263)+AW263*U263</f>
        <v>2.9230435363247866</v>
      </c>
      <c r="AY263" s="130" t="s">
        <v>593</v>
      </c>
      <c r="AZ263" s="128" t="s">
        <v>260</v>
      </c>
      <c r="BB263" s="176">
        <f t="shared" si="398"/>
        <v>13.026040714459834</v>
      </c>
      <c r="BC263" s="176">
        <f t="shared" si="399"/>
        <v>7.8156244286758998</v>
      </c>
      <c r="BD263" s="176">
        <f t="shared" si="400"/>
        <v>6.5130203572299168</v>
      </c>
      <c r="BE263" s="176">
        <f t="shared" si="401"/>
        <v>5.2104162857839338</v>
      </c>
    </row>
    <row r="264" spans="1:57" s="129" customFormat="1" hidden="1">
      <c r="A264" s="90" t="s">
        <v>1276</v>
      </c>
      <c r="B264" s="88" t="s">
        <v>1317</v>
      </c>
      <c r="C264" s="88" t="s">
        <v>1318</v>
      </c>
      <c r="D264" s="90" t="s">
        <v>55</v>
      </c>
      <c r="E264" s="90" t="s">
        <v>395</v>
      </c>
      <c r="F264" s="90" t="s">
        <v>588</v>
      </c>
      <c r="G264" s="131" t="s">
        <v>266</v>
      </c>
      <c r="H264" s="92">
        <v>24</v>
      </c>
      <c r="I264" s="167" t="s">
        <v>3990</v>
      </c>
      <c r="J264" s="167" t="s">
        <v>3996</v>
      </c>
      <c r="K264" s="90" t="s">
        <v>3992</v>
      </c>
      <c r="L264" s="90" t="s">
        <v>3994</v>
      </c>
      <c r="M264" s="92"/>
      <c r="N264" s="89" t="s">
        <v>60</v>
      </c>
      <c r="O264" s="92"/>
      <c r="P264" s="88" t="s">
        <v>1446</v>
      </c>
      <c r="Q264" s="92" t="s">
        <v>402</v>
      </c>
      <c r="R264" s="92"/>
      <c r="S264" s="123"/>
      <c r="T264" s="92" t="s">
        <v>403</v>
      </c>
      <c r="U264" s="155">
        <v>0</v>
      </c>
      <c r="V264" s="207">
        <v>50</v>
      </c>
      <c r="W264" s="207">
        <v>45</v>
      </c>
      <c r="X264" s="207">
        <v>55</v>
      </c>
      <c r="Y264" s="207" t="s">
        <v>64</v>
      </c>
      <c r="Z264" s="133"/>
      <c r="AA264" s="133"/>
      <c r="AB264" s="175"/>
      <c r="AC264" s="175"/>
      <c r="AD264" s="213">
        <f t="shared" ref="AD264:AD265" si="441">AE264</f>
        <v>0.1</v>
      </c>
      <c r="AE264" s="213">
        <v>0.1</v>
      </c>
      <c r="AF264" s="215">
        <v>0.252</v>
      </c>
      <c r="AG264" s="215" t="s">
        <v>9</v>
      </c>
      <c r="AH264" s="148"/>
      <c r="AI264" s="122"/>
      <c r="AJ264" s="444"/>
      <c r="AK264" s="177"/>
      <c r="AL264" s="178"/>
      <c r="AM264" s="125"/>
      <c r="AN264" s="125"/>
      <c r="AO264" s="140"/>
      <c r="AP264" s="17" t="s">
        <v>592</v>
      </c>
      <c r="AQ264" s="432"/>
      <c r="AR264" s="432"/>
      <c r="AS264" s="162"/>
      <c r="AT264" s="179"/>
      <c r="AU264" s="180"/>
      <c r="AV264" s="180"/>
      <c r="AW264" s="433"/>
      <c r="AX264" s="126"/>
      <c r="AY264" s="130" t="s">
        <v>593</v>
      </c>
      <c r="AZ264" s="128" t="s">
        <v>260</v>
      </c>
      <c r="BB264" s="176">
        <f t="shared" ref="BB264:BB265" si="442">AB264/0.3</f>
        <v>0</v>
      </c>
      <c r="BC264" s="176">
        <f t="shared" ref="BC264:BC265" si="443">BB264*0.6</f>
        <v>0</v>
      </c>
      <c r="BD264" s="176">
        <f t="shared" ref="BD264:BD265" si="444">BB264*0.5</f>
        <v>0</v>
      </c>
      <c r="BE264" s="176">
        <f t="shared" ref="BE264:BE265" si="445">BB264*0.4</f>
        <v>0</v>
      </c>
    </row>
    <row r="265" spans="1:57" s="129" customFormat="1" hidden="1">
      <c r="A265" s="90" t="s">
        <v>1276</v>
      </c>
      <c r="B265" s="88" t="s">
        <v>1317</v>
      </c>
      <c r="C265" s="88" t="s">
        <v>1318</v>
      </c>
      <c r="D265" s="90" t="s">
        <v>55</v>
      </c>
      <c r="E265" s="90" t="s">
        <v>395</v>
      </c>
      <c r="F265" s="90" t="s">
        <v>588</v>
      </c>
      <c r="G265" s="131" t="s">
        <v>266</v>
      </c>
      <c r="H265" s="92">
        <v>24</v>
      </c>
      <c r="I265" s="167" t="s">
        <v>3991</v>
      </c>
      <c r="J265" s="167" t="s">
        <v>3997</v>
      </c>
      <c r="K265" s="90" t="s">
        <v>3993</v>
      </c>
      <c r="L265" s="90" t="s">
        <v>3995</v>
      </c>
      <c r="M265" s="92"/>
      <c r="N265" s="89" t="s">
        <v>60</v>
      </c>
      <c r="O265" s="92"/>
      <c r="P265" s="88" t="s">
        <v>1446</v>
      </c>
      <c r="Q265" s="92" t="s">
        <v>402</v>
      </c>
      <c r="R265" s="92"/>
      <c r="S265" s="123"/>
      <c r="T265" s="92" t="s">
        <v>403</v>
      </c>
      <c r="U265" s="155">
        <v>0</v>
      </c>
      <c r="V265" s="207">
        <v>50</v>
      </c>
      <c r="W265" s="207">
        <v>45</v>
      </c>
      <c r="X265" s="207">
        <v>55</v>
      </c>
      <c r="Y265" s="207" t="s">
        <v>64</v>
      </c>
      <c r="Z265" s="133"/>
      <c r="AA265" s="133"/>
      <c r="AB265" s="175"/>
      <c r="AC265" s="175"/>
      <c r="AD265" s="213">
        <f t="shared" si="441"/>
        <v>0.1</v>
      </c>
      <c r="AE265" s="213">
        <v>0.1</v>
      </c>
      <c r="AF265" s="215">
        <v>0.252</v>
      </c>
      <c r="AG265" s="215" t="s">
        <v>9</v>
      </c>
      <c r="AH265" s="148"/>
      <c r="AI265" s="122"/>
      <c r="AJ265" s="444"/>
      <c r="AK265" s="177"/>
      <c r="AL265" s="178"/>
      <c r="AM265" s="125"/>
      <c r="AN265" s="125"/>
      <c r="AO265" s="140"/>
      <c r="AP265" s="17" t="s">
        <v>592</v>
      </c>
      <c r="AQ265" s="432"/>
      <c r="AR265" s="432"/>
      <c r="AS265" s="162"/>
      <c r="AT265" s="179"/>
      <c r="AU265" s="180"/>
      <c r="AV265" s="180"/>
      <c r="AW265" s="433"/>
      <c r="AX265" s="126"/>
      <c r="AY265" s="130" t="s">
        <v>593</v>
      </c>
      <c r="AZ265" s="128" t="s">
        <v>260</v>
      </c>
      <c r="BB265" s="176">
        <f t="shared" si="442"/>
        <v>0</v>
      </c>
      <c r="BC265" s="176">
        <f t="shared" si="443"/>
        <v>0</v>
      </c>
      <c r="BD265" s="176">
        <f t="shared" si="444"/>
        <v>0</v>
      </c>
      <c r="BE265" s="176">
        <f t="shared" si="445"/>
        <v>0</v>
      </c>
    </row>
    <row r="266" spans="1:57" s="129" customFormat="1" hidden="1">
      <c r="A266" s="90" t="s">
        <v>1302</v>
      </c>
      <c r="B266" s="88" t="s">
        <v>1317</v>
      </c>
      <c r="C266" s="88" t="s">
        <v>1317</v>
      </c>
      <c r="D266" s="90" t="s">
        <v>55</v>
      </c>
      <c r="E266" s="90" t="s">
        <v>395</v>
      </c>
      <c r="F266" s="90" t="s">
        <v>588</v>
      </c>
      <c r="G266" s="131" t="s">
        <v>266</v>
      </c>
      <c r="H266" s="92">
        <v>24</v>
      </c>
      <c r="I266" s="167" t="s">
        <v>606</v>
      </c>
      <c r="J266" s="167" t="str">
        <f>_xlfn.XLOOKUP(I266,[1]Sheet1!$A:$A,[1]Sheet1!$B:$B,"")</f>
        <v>U0406008</v>
      </c>
      <c r="K266" s="90" t="s">
        <v>3448</v>
      </c>
      <c r="L266" s="90" t="s">
        <v>2602</v>
      </c>
      <c r="M266" s="92" t="s">
        <v>522</v>
      </c>
      <c r="N266" s="89" t="s">
        <v>60</v>
      </c>
      <c r="O266" s="92"/>
      <c r="P266" s="88" t="s">
        <v>1446</v>
      </c>
      <c r="Q266" s="92" t="s">
        <v>402</v>
      </c>
      <c r="R266" s="92">
        <v>4800</v>
      </c>
      <c r="S266" s="123" t="e">
        <v>#N/A</v>
      </c>
      <c r="T266" s="92" t="s">
        <v>403</v>
      </c>
      <c r="U266" s="155">
        <v>0</v>
      </c>
      <c r="V266" s="207">
        <v>50</v>
      </c>
      <c r="W266" s="207">
        <v>45</v>
      </c>
      <c r="X266" s="207">
        <v>55</v>
      </c>
      <c r="Y266" s="207" t="s">
        <v>64</v>
      </c>
      <c r="Z266" s="133">
        <f t="shared" si="377"/>
        <v>0.67759026687598123</v>
      </c>
      <c r="AA266" s="133"/>
      <c r="AB266" s="175">
        <f t="shared" si="402"/>
        <v>0.58802257791228385</v>
      </c>
      <c r="AC266" s="175"/>
      <c r="AD266" s="213">
        <f t="shared" si="403"/>
        <v>0.1</v>
      </c>
      <c r="AE266" s="213">
        <v>0.1</v>
      </c>
      <c r="AF266" s="215">
        <v>0.252</v>
      </c>
      <c r="AG266" s="215" t="s">
        <v>9</v>
      </c>
      <c r="AH266" s="148">
        <f t="shared" si="397"/>
        <v>0.58802257791228385</v>
      </c>
      <c r="AI266" s="122">
        <f t="shared" si="396"/>
        <v>0.25199999999999989</v>
      </c>
      <c r="AJ266" s="444"/>
      <c r="AK266" s="177">
        <f t="shared" si="404"/>
        <v>0.54809523809523808</v>
      </c>
      <c r="AL266" s="178">
        <f t="shared" si="405"/>
        <v>0.48871209808709815</v>
      </c>
      <c r="AM266" s="125">
        <f t="shared" si="406"/>
        <v>0.19111111111111123</v>
      </c>
      <c r="AN266" s="125">
        <f t="shared" si="439"/>
        <v>0.16888888888888887</v>
      </c>
      <c r="AO266" s="140"/>
      <c r="AP266" s="17" t="s">
        <v>592</v>
      </c>
      <c r="AQ266" s="432">
        <v>4.0000000000000001E-3</v>
      </c>
      <c r="AR266" s="432">
        <v>3.2290000000000001</v>
      </c>
      <c r="AS266" s="162"/>
      <c r="AT266" s="179">
        <v>0.16</v>
      </c>
      <c r="AU266" s="180">
        <f t="shared" ref="AU266:AU279" si="446">($F$2-70000)/2000*AQ266+AR266</f>
        <v>3.2930000000000001</v>
      </c>
      <c r="AV266" s="180">
        <f t="shared" si="408"/>
        <v>3.4530000000000003</v>
      </c>
      <c r="AW266" s="433">
        <f t="shared" si="409"/>
        <v>0.49328571428571433</v>
      </c>
      <c r="AX266" s="126">
        <f t="shared" si="440"/>
        <v>0.43984088827838835</v>
      </c>
      <c r="AY266" s="130" t="s">
        <v>3449</v>
      </c>
      <c r="AZ266" s="128" t="s">
        <v>260</v>
      </c>
      <c r="BB266" s="176">
        <f t="shared" si="398"/>
        <v>1.960075259707613</v>
      </c>
      <c r="BC266" s="176">
        <f t="shared" si="399"/>
        <v>1.1760451558245677</v>
      </c>
      <c r="BD266" s="176">
        <f t="shared" si="400"/>
        <v>0.98003762985380649</v>
      </c>
      <c r="BE266" s="176">
        <f t="shared" si="401"/>
        <v>0.78403010388304528</v>
      </c>
    </row>
    <row r="267" spans="1:57" s="129" customFormat="1" hidden="1">
      <c r="A267" s="90" t="s">
        <v>1302</v>
      </c>
      <c r="B267" s="88" t="s">
        <v>1317</v>
      </c>
      <c r="C267" s="88" t="s">
        <v>1317</v>
      </c>
      <c r="D267" s="90" t="s">
        <v>55</v>
      </c>
      <c r="E267" s="90" t="s">
        <v>395</v>
      </c>
      <c r="F267" s="90" t="s">
        <v>588</v>
      </c>
      <c r="G267" s="131" t="s">
        <v>266</v>
      </c>
      <c r="H267" s="92">
        <v>24</v>
      </c>
      <c r="I267" s="167" t="s">
        <v>608</v>
      </c>
      <c r="J267" s="167" t="str">
        <f>_xlfn.XLOOKUP(I267,[1]Sheet1!$A:$A,[1]Sheet1!$B:$B,"")</f>
        <v>U0406009</v>
      </c>
      <c r="K267" s="90" t="s">
        <v>1563</v>
      </c>
      <c r="L267" s="90" t="s">
        <v>2603</v>
      </c>
      <c r="M267" s="92" t="s">
        <v>522</v>
      </c>
      <c r="N267" s="89" t="s">
        <v>60</v>
      </c>
      <c r="O267" s="92"/>
      <c r="P267" s="88" t="s">
        <v>1446</v>
      </c>
      <c r="Q267" s="92" t="s">
        <v>402</v>
      </c>
      <c r="R267" s="92">
        <v>4800</v>
      </c>
      <c r="S267" s="123" t="e">
        <v>#N/A</v>
      </c>
      <c r="T267" s="92" t="s">
        <v>403</v>
      </c>
      <c r="U267" s="155">
        <v>0</v>
      </c>
      <c r="V267" s="207">
        <v>50</v>
      </c>
      <c r="W267" s="207">
        <v>45</v>
      </c>
      <c r="X267" s="207">
        <v>55</v>
      </c>
      <c r="Y267" s="207" t="s">
        <v>64</v>
      </c>
      <c r="Z267" s="133">
        <f t="shared" si="377"/>
        <v>0.73606750392464693</v>
      </c>
      <c r="AA267" s="133"/>
      <c r="AB267" s="175">
        <f t="shared" si="402"/>
        <v>0.63666674420350911</v>
      </c>
      <c r="AC267" s="175"/>
      <c r="AD267" s="213">
        <f t="shared" si="403"/>
        <v>0.1</v>
      </c>
      <c r="AE267" s="213">
        <v>0.1</v>
      </c>
      <c r="AF267" s="215">
        <v>0.252</v>
      </c>
      <c r="AG267" s="215" t="s">
        <v>9</v>
      </c>
      <c r="AH267" s="148">
        <f t="shared" si="397"/>
        <v>0.63666674420350911</v>
      </c>
      <c r="AI267" s="122">
        <f t="shared" si="396"/>
        <v>0.252</v>
      </c>
      <c r="AJ267" s="444"/>
      <c r="AK267" s="177">
        <f t="shared" si="404"/>
        <v>0.59539682539682548</v>
      </c>
      <c r="AL267" s="178">
        <f t="shared" si="405"/>
        <v>0.52914080518247197</v>
      </c>
      <c r="AM267" s="125">
        <f t="shared" si="406"/>
        <v>0.19111111111111112</v>
      </c>
      <c r="AN267" s="125">
        <f t="shared" si="439"/>
        <v>0.16888888888888898</v>
      </c>
      <c r="AO267" s="140"/>
      <c r="AP267" s="17" t="s">
        <v>592</v>
      </c>
      <c r="AQ267" s="432">
        <v>7.0000000000000001E-3</v>
      </c>
      <c r="AR267" s="432">
        <v>3.4790000000000001</v>
      </c>
      <c r="AS267" s="162"/>
      <c r="AT267" s="179">
        <v>0.16</v>
      </c>
      <c r="AU267" s="180">
        <f t="shared" si="446"/>
        <v>3.5910000000000002</v>
      </c>
      <c r="AV267" s="180">
        <f t="shared" si="408"/>
        <v>3.7510000000000003</v>
      </c>
      <c r="AW267" s="433">
        <f t="shared" si="409"/>
        <v>0.53585714285714292</v>
      </c>
      <c r="AX267" s="126">
        <f t="shared" si="440"/>
        <v>0.47622672466422478</v>
      </c>
      <c r="AY267" s="130" t="s">
        <v>607</v>
      </c>
      <c r="AZ267" s="128" t="s">
        <v>260</v>
      </c>
      <c r="BB267" s="176">
        <f t="shared" si="398"/>
        <v>2.1222224806783636</v>
      </c>
      <c r="BC267" s="176">
        <f t="shared" si="399"/>
        <v>1.2733334884070182</v>
      </c>
      <c r="BD267" s="176">
        <f t="shared" si="400"/>
        <v>1.0611112403391818</v>
      </c>
      <c r="BE267" s="176">
        <f t="shared" si="401"/>
        <v>0.84888899227134551</v>
      </c>
    </row>
    <row r="268" spans="1:57" s="129" customFormat="1" hidden="1">
      <c r="A268" s="90" t="s">
        <v>1302</v>
      </c>
      <c r="B268" s="88" t="s">
        <v>1317</v>
      </c>
      <c r="C268" s="88" t="s">
        <v>1317</v>
      </c>
      <c r="D268" s="90" t="s">
        <v>55</v>
      </c>
      <c r="E268" s="90" t="s">
        <v>395</v>
      </c>
      <c r="F268" s="90" t="s">
        <v>588</v>
      </c>
      <c r="G268" s="131" t="s">
        <v>266</v>
      </c>
      <c r="H268" s="92">
        <v>24</v>
      </c>
      <c r="I268" s="167" t="s">
        <v>609</v>
      </c>
      <c r="J268" s="167" t="str">
        <f>_xlfn.XLOOKUP(I268,[1]Sheet1!$A:$A,[1]Sheet1!$B:$B,"")</f>
        <v>U0406011</v>
      </c>
      <c r="K268" s="90" t="s">
        <v>1564</v>
      </c>
      <c r="L268" s="90" t="s">
        <v>2604</v>
      </c>
      <c r="M268" s="92" t="s">
        <v>522</v>
      </c>
      <c r="N268" s="89" t="s">
        <v>60</v>
      </c>
      <c r="O268" s="92"/>
      <c r="P268" s="88" t="s">
        <v>1446</v>
      </c>
      <c r="Q268" s="92" t="s">
        <v>402</v>
      </c>
      <c r="R268" s="92">
        <v>3200</v>
      </c>
      <c r="S268" s="123" t="e">
        <v>#N/A</v>
      </c>
      <c r="T268" s="92" t="s">
        <v>403</v>
      </c>
      <c r="U268" s="155">
        <v>0</v>
      </c>
      <c r="V268" s="207">
        <v>50</v>
      </c>
      <c r="W268" s="207">
        <v>45</v>
      </c>
      <c r="X268" s="207">
        <v>55</v>
      </c>
      <c r="Y268" s="207" t="s">
        <v>64</v>
      </c>
      <c r="Z268" s="133">
        <f t="shared" si="377"/>
        <v>0.83850078492935642</v>
      </c>
      <c r="AA268" s="133"/>
      <c r="AB268" s="175">
        <f t="shared" si="402"/>
        <v>0.73406092477783658</v>
      </c>
      <c r="AC268" s="175"/>
      <c r="AD268" s="213">
        <f t="shared" si="403"/>
        <v>0.1</v>
      </c>
      <c r="AE268" s="213">
        <v>0.1</v>
      </c>
      <c r="AF268" s="215">
        <v>0.252</v>
      </c>
      <c r="AG268" s="215" t="s">
        <v>9</v>
      </c>
      <c r="AH268" s="148">
        <f t="shared" si="397"/>
        <v>0.73406092477783658</v>
      </c>
      <c r="AI268" s="122">
        <f t="shared" si="396"/>
        <v>0.252</v>
      </c>
      <c r="AJ268" s="444"/>
      <c r="AK268" s="177">
        <f t="shared" si="404"/>
        <v>0.67825396825396822</v>
      </c>
      <c r="AL268" s="178">
        <f t="shared" si="405"/>
        <v>0.61008619081535753</v>
      </c>
      <c r="AM268" s="125">
        <f t="shared" si="406"/>
        <v>0.19111111111111123</v>
      </c>
      <c r="AN268" s="125">
        <f t="shared" si="439"/>
        <v>0.16888888888888887</v>
      </c>
      <c r="AO268" s="140"/>
      <c r="AP268" s="17" t="s">
        <v>592</v>
      </c>
      <c r="AQ268" s="432">
        <v>1.4E-2</v>
      </c>
      <c r="AR268" s="432">
        <v>3.8889999999999998</v>
      </c>
      <c r="AS268" s="162"/>
      <c r="AT268" s="179">
        <v>0.16</v>
      </c>
      <c r="AU268" s="180">
        <f t="shared" si="446"/>
        <v>4.1129999999999995</v>
      </c>
      <c r="AV268" s="180">
        <f t="shared" si="408"/>
        <v>4.2729999999999997</v>
      </c>
      <c r="AW268" s="433">
        <f t="shared" si="409"/>
        <v>0.61042857142857143</v>
      </c>
      <c r="AX268" s="126">
        <f t="shared" si="440"/>
        <v>0.54907757173382177</v>
      </c>
      <c r="AY268" s="130" t="s">
        <v>607</v>
      </c>
      <c r="AZ268" s="128" t="s">
        <v>260</v>
      </c>
      <c r="BB268" s="176">
        <f t="shared" si="398"/>
        <v>2.4468697492594553</v>
      </c>
      <c r="BC268" s="176">
        <f t="shared" si="399"/>
        <v>1.4681218495556732</v>
      </c>
      <c r="BD268" s="176">
        <f t="shared" si="400"/>
        <v>1.2234348746297277</v>
      </c>
      <c r="BE268" s="176">
        <f t="shared" si="401"/>
        <v>0.97874789970378218</v>
      </c>
    </row>
    <row r="269" spans="1:57" s="129" customFormat="1" hidden="1">
      <c r="A269" s="90" t="s">
        <v>1302</v>
      </c>
      <c r="B269" s="88" t="s">
        <v>1317</v>
      </c>
      <c r="C269" s="88" t="s">
        <v>1317</v>
      </c>
      <c r="D269" s="90" t="s">
        <v>55</v>
      </c>
      <c r="E269" s="90" t="s">
        <v>395</v>
      </c>
      <c r="F269" s="90" t="s">
        <v>588</v>
      </c>
      <c r="G269" s="131" t="s">
        <v>266</v>
      </c>
      <c r="H269" s="92">
        <v>24</v>
      </c>
      <c r="I269" s="167" t="s">
        <v>610</v>
      </c>
      <c r="J269" s="167" t="str">
        <f>_xlfn.XLOOKUP(I269,[1]Sheet1!$A:$A,[1]Sheet1!$B:$B,"")</f>
        <v>U0406012</v>
      </c>
      <c r="K269" s="90" t="s">
        <v>1565</v>
      </c>
      <c r="L269" s="90" t="s">
        <v>2605</v>
      </c>
      <c r="M269" s="92" t="s">
        <v>522</v>
      </c>
      <c r="N269" s="89" t="s">
        <v>60</v>
      </c>
      <c r="O269" s="92"/>
      <c r="P269" s="88" t="s">
        <v>1446</v>
      </c>
      <c r="Q269" s="92" t="s">
        <v>402</v>
      </c>
      <c r="R269" s="92">
        <v>2240</v>
      </c>
      <c r="S269" s="123" t="e">
        <v>#N/A</v>
      </c>
      <c r="T269" s="92" t="s">
        <v>403</v>
      </c>
      <c r="U269" s="155">
        <v>0</v>
      </c>
      <c r="V269" s="207">
        <v>50</v>
      </c>
      <c r="W269" s="207">
        <v>45</v>
      </c>
      <c r="X269" s="207">
        <v>55</v>
      </c>
      <c r="Y269" s="207" t="s">
        <v>64</v>
      </c>
      <c r="Z269" s="133">
        <f t="shared" si="377"/>
        <v>1.1100863422291996</v>
      </c>
      <c r="AA269" s="133"/>
      <c r="AB269" s="175">
        <f t="shared" si="402"/>
        <v>0.97564557582939948</v>
      </c>
      <c r="AC269" s="175"/>
      <c r="AD269" s="213">
        <f t="shared" si="403"/>
        <v>0.1</v>
      </c>
      <c r="AE269" s="213">
        <v>0.1</v>
      </c>
      <c r="AF269" s="215">
        <v>0.252</v>
      </c>
      <c r="AG269" s="215" t="s">
        <v>9</v>
      </c>
      <c r="AH269" s="148">
        <f t="shared" si="397"/>
        <v>0.97564557582939948</v>
      </c>
      <c r="AI269" s="122">
        <f t="shared" si="396"/>
        <v>0.252</v>
      </c>
      <c r="AJ269" s="444"/>
      <c r="AK269" s="177">
        <f t="shared" si="404"/>
        <v>0.89793650793650803</v>
      </c>
      <c r="AL269" s="178">
        <f t="shared" si="405"/>
        <v>0.81086987857821202</v>
      </c>
      <c r="AM269" s="125">
        <f t="shared" si="406"/>
        <v>0.19111111111111112</v>
      </c>
      <c r="AN269" s="125">
        <f t="shared" si="439"/>
        <v>0.16888888888888887</v>
      </c>
      <c r="AO269" s="140"/>
      <c r="AP269" s="17" t="s">
        <v>592</v>
      </c>
      <c r="AQ269" s="432">
        <v>2.8000000000000001E-2</v>
      </c>
      <c r="AR269" s="432">
        <v>5.0490000000000004</v>
      </c>
      <c r="AS269" s="162"/>
      <c r="AT269" s="179">
        <v>0.16</v>
      </c>
      <c r="AU269" s="180">
        <f t="shared" si="446"/>
        <v>5.4970000000000008</v>
      </c>
      <c r="AV269" s="180">
        <f t="shared" si="408"/>
        <v>5.6570000000000009</v>
      </c>
      <c r="AW269" s="433">
        <f t="shared" si="409"/>
        <v>0.80814285714285727</v>
      </c>
      <c r="AX269" s="126">
        <f t="shared" si="440"/>
        <v>0.72978289072039082</v>
      </c>
      <c r="AY269" s="130" t="s">
        <v>607</v>
      </c>
      <c r="AZ269" s="128" t="s">
        <v>260</v>
      </c>
      <c r="BB269" s="176">
        <f t="shared" si="398"/>
        <v>3.2521519194313315</v>
      </c>
      <c r="BC269" s="176">
        <f t="shared" si="399"/>
        <v>1.9512911516587987</v>
      </c>
      <c r="BD269" s="176">
        <f t="shared" si="400"/>
        <v>1.6260759597156658</v>
      </c>
      <c r="BE269" s="176">
        <f t="shared" si="401"/>
        <v>1.3008607677725328</v>
      </c>
    </row>
    <row r="270" spans="1:57" s="129" customFormat="1" hidden="1">
      <c r="A270" s="90" t="s">
        <v>1302</v>
      </c>
      <c r="B270" s="88" t="s">
        <v>1317</v>
      </c>
      <c r="C270" s="88" t="s">
        <v>1317</v>
      </c>
      <c r="D270" s="90" t="s">
        <v>55</v>
      </c>
      <c r="E270" s="90" t="s">
        <v>395</v>
      </c>
      <c r="F270" s="90" t="s">
        <v>588</v>
      </c>
      <c r="G270" s="131" t="s">
        <v>266</v>
      </c>
      <c r="H270" s="92">
        <v>24</v>
      </c>
      <c r="I270" s="167" t="s">
        <v>611</v>
      </c>
      <c r="J270" s="167" t="str">
        <f>_xlfn.XLOOKUP(I270,[1]Sheet1!$A:$A,[1]Sheet1!$B:$B,"")</f>
        <v>U0406013</v>
      </c>
      <c r="K270" s="90" t="s">
        <v>1566</v>
      </c>
      <c r="L270" s="90" t="s">
        <v>2606</v>
      </c>
      <c r="M270" s="92" t="s">
        <v>522</v>
      </c>
      <c r="N270" s="89" t="s">
        <v>60</v>
      </c>
      <c r="O270" s="92"/>
      <c r="P270" s="88" t="s">
        <v>1446</v>
      </c>
      <c r="Q270" s="92" t="s">
        <v>402</v>
      </c>
      <c r="R270" s="92">
        <v>1600</v>
      </c>
      <c r="S270" s="123" t="e">
        <v>#N/A</v>
      </c>
      <c r="T270" s="92" t="s">
        <v>403</v>
      </c>
      <c r="U270" s="155">
        <v>0</v>
      </c>
      <c r="V270" s="207">
        <v>50</v>
      </c>
      <c r="W270" s="207">
        <v>45</v>
      </c>
      <c r="X270" s="207">
        <v>55</v>
      </c>
      <c r="Y270" s="207" t="s">
        <v>64</v>
      </c>
      <c r="Z270" s="133">
        <f t="shared" si="377"/>
        <v>1.3836342229199372</v>
      </c>
      <c r="AA270" s="133"/>
      <c r="AB270" s="175">
        <f t="shared" si="402"/>
        <v>1.224084840812782</v>
      </c>
      <c r="AC270" s="175"/>
      <c r="AD270" s="213">
        <f t="shared" si="403"/>
        <v>0.1</v>
      </c>
      <c r="AE270" s="213">
        <v>0.1</v>
      </c>
      <c r="AF270" s="215">
        <v>0.252</v>
      </c>
      <c r="AG270" s="215" t="s">
        <v>9</v>
      </c>
      <c r="AH270" s="148">
        <f t="shared" si="397"/>
        <v>1.224084840812782</v>
      </c>
      <c r="AI270" s="122">
        <f t="shared" si="396"/>
        <v>0.252</v>
      </c>
      <c r="AJ270" s="444"/>
      <c r="AK270" s="177">
        <f t="shared" si="404"/>
        <v>1.1192063492063493</v>
      </c>
      <c r="AL270" s="178">
        <f t="shared" si="405"/>
        <v>1.0173505121421789</v>
      </c>
      <c r="AM270" s="125">
        <f t="shared" si="406"/>
        <v>0.19111111111111101</v>
      </c>
      <c r="AN270" s="125">
        <f t="shared" si="439"/>
        <v>0.16888888888888887</v>
      </c>
      <c r="AO270" s="140"/>
      <c r="AP270" s="17" t="s">
        <v>592</v>
      </c>
      <c r="AQ270" s="432">
        <v>4.2000000000000003E-2</v>
      </c>
      <c r="AR270" s="432">
        <v>6.2190000000000003</v>
      </c>
      <c r="AS270" s="162"/>
      <c r="AT270" s="179">
        <v>0.16</v>
      </c>
      <c r="AU270" s="180">
        <f t="shared" si="446"/>
        <v>6.891</v>
      </c>
      <c r="AV270" s="180">
        <f t="shared" si="408"/>
        <v>7.0510000000000002</v>
      </c>
      <c r="AW270" s="433">
        <f t="shared" si="409"/>
        <v>1.0072857142857143</v>
      </c>
      <c r="AX270" s="126">
        <f t="shared" si="440"/>
        <v>0.91561546092796098</v>
      </c>
      <c r="AY270" s="130" t="s">
        <v>607</v>
      </c>
      <c r="AZ270" s="128" t="s">
        <v>260</v>
      </c>
      <c r="BB270" s="176">
        <f t="shared" si="398"/>
        <v>4.0802828027092737</v>
      </c>
      <c r="BC270" s="176">
        <f t="shared" si="399"/>
        <v>2.448169681625564</v>
      </c>
      <c r="BD270" s="176">
        <f t="shared" si="400"/>
        <v>2.0401414013546368</v>
      </c>
      <c r="BE270" s="176">
        <f t="shared" si="401"/>
        <v>1.6321131210837097</v>
      </c>
    </row>
    <row r="271" spans="1:57" s="129" customFormat="1" hidden="1">
      <c r="A271" s="90" t="s">
        <v>1302</v>
      </c>
      <c r="B271" s="88" t="s">
        <v>1317</v>
      </c>
      <c r="C271" s="88" t="s">
        <v>1317</v>
      </c>
      <c r="D271" s="90" t="s">
        <v>55</v>
      </c>
      <c r="E271" s="90" t="s">
        <v>395</v>
      </c>
      <c r="F271" s="90" t="s">
        <v>588</v>
      </c>
      <c r="G271" s="131" t="s">
        <v>266</v>
      </c>
      <c r="H271" s="92">
        <v>24</v>
      </c>
      <c r="I271" s="167" t="s">
        <v>612</v>
      </c>
      <c r="J271" s="167" t="str">
        <f>_xlfn.XLOOKUP(I271,[1]Sheet1!$A:$A,[1]Sheet1!$B:$B,"")</f>
        <v>U0406014</v>
      </c>
      <c r="K271" s="90" t="s">
        <v>1567</v>
      </c>
      <c r="L271" s="90" t="s">
        <v>2607</v>
      </c>
      <c r="M271" s="92" t="s">
        <v>522</v>
      </c>
      <c r="N271" s="89" t="s">
        <v>60</v>
      </c>
      <c r="O271" s="92"/>
      <c r="P271" s="88" t="s">
        <v>1446</v>
      </c>
      <c r="Q271" s="92" t="s">
        <v>402</v>
      </c>
      <c r="R271" s="92">
        <v>960</v>
      </c>
      <c r="S271" s="123" t="e">
        <v>#N/A</v>
      </c>
      <c r="T271" s="92" t="s">
        <v>403</v>
      </c>
      <c r="U271" s="155">
        <v>0</v>
      </c>
      <c r="V271" s="207">
        <v>50</v>
      </c>
      <c r="W271" s="207">
        <v>45</v>
      </c>
      <c r="X271" s="207">
        <v>55</v>
      </c>
      <c r="Y271" s="207" t="s">
        <v>64</v>
      </c>
      <c r="Z271" s="133">
        <f t="shared" si="377"/>
        <v>1.9338697017268445</v>
      </c>
      <c r="AA271" s="133"/>
      <c r="AB271" s="175">
        <f t="shared" si="402"/>
        <v>1.7305381505749151</v>
      </c>
      <c r="AC271" s="175"/>
      <c r="AD271" s="213">
        <f t="shared" si="403"/>
        <v>0.1</v>
      </c>
      <c r="AE271" s="213">
        <v>0.1</v>
      </c>
      <c r="AF271" s="215">
        <v>0.252</v>
      </c>
      <c r="AG271" s="215" t="s">
        <v>9</v>
      </c>
      <c r="AH271" s="148">
        <f t="shared" si="397"/>
        <v>1.7305381505749151</v>
      </c>
      <c r="AI271" s="122">
        <f t="shared" si="396"/>
        <v>0.252</v>
      </c>
      <c r="AJ271" s="444"/>
      <c r="AK271" s="177">
        <f>AW271/(1-AD271)</f>
        <v>1.5642857142857141</v>
      </c>
      <c r="AL271" s="178">
        <f t="shared" si="405"/>
        <v>1.438269485144485</v>
      </c>
      <c r="AM271" s="125">
        <f t="shared" si="406"/>
        <v>0.19111111111111123</v>
      </c>
      <c r="AN271" s="125">
        <f t="shared" si="439"/>
        <v>0.16888888888888887</v>
      </c>
      <c r="AO271" s="140"/>
      <c r="AP271" s="17" t="s">
        <v>592</v>
      </c>
      <c r="AQ271" s="432">
        <v>7.0999999999999994E-2</v>
      </c>
      <c r="AR271" s="432">
        <v>8.5589999999999993</v>
      </c>
      <c r="AS271" s="162"/>
      <c r="AT271" s="179">
        <v>0.16</v>
      </c>
      <c r="AU271" s="180">
        <f t="shared" si="446"/>
        <v>9.6949999999999985</v>
      </c>
      <c r="AV271" s="180">
        <f t="shared" si="408"/>
        <v>9.8549999999999986</v>
      </c>
      <c r="AW271" s="433">
        <f t="shared" si="409"/>
        <v>1.4078571428571427</v>
      </c>
      <c r="AX271" s="126">
        <f t="shared" si="440"/>
        <v>1.2944425366300365</v>
      </c>
      <c r="AY271" s="130" t="s">
        <v>607</v>
      </c>
      <c r="AZ271" s="128" t="s">
        <v>260</v>
      </c>
      <c r="BB271" s="176">
        <f t="shared" si="398"/>
        <v>5.7684605019163842</v>
      </c>
      <c r="BC271" s="176">
        <f t="shared" si="399"/>
        <v>3.4610763011498302</v>
      </c>
      <c r="BD271" s="176">
        <f t="shared" si="400"/>
        <v>2.8842302509581921</v>
      </c>
      <c r="BE271" s="176">
        <f t="shared" si="401"/>
        <v>2.3073842007665539</v>
      </c>
    </row>
    <row r="272" spans="1:57" s="129" customFormat="1" hidden="1">
      <c r="A272" s="90" t="s">
        <v>1302</v>
      </c>
      <c r="B272" s="88" t="s">
        <v>1317</v>
      </c>
      <c r="C272" s="88" t="s">
        <v>1317</v>
      </c>
      <c r="D272" s="90" t="s">
        <v>55</v>
      </c>
      <c r="E272" s="90" t="s">
        <v>395</v>
      </c>
      <c r="F272" s="90" t="s">
        <v>588</v>
      </c>
      <c r="G272" s="131" t="s">
        <v>266</v>
      </c>
      <c r="H272" s="92">
        <v>24</v>
      </c>
      <c r="I272" s="167" t="s">
        <v>613</v>
      </c>
      <c r="J272" s="167" t="str">
        <f>_xlfn.XLOOKUP(I272,[1]Sheet1!$A:$A,[1]Sheet1!$B:$B,"")</f>
        <v>U0406010</v>
      </c>
      <c r="K272" s="90" t="s">
        <v>1568</v>
      </c>
      <c r="L272" s="90" t="s">
        <v>2608</v>
      </c>
      <c r="M272" s="92" t="s">
        <v>522</v>
      </c>
      <c r="N272" s="89" t="s">
        <v>60</v>
      </c>
      <c r="O272" s="92"/>
      <c r="P272" s="88" t="s">
        <v>1446</v>
      </c>
      <c r="Q272" s="92" t="s">
        <v>402</v>
      </c>
      <c r="R272" s="92">
        <v>640</v>
      </c>
      <c r="S272" s="123" t="e">
        <v>#N/A</v>
      </c>
      <c r="T272" s="92" t="s">
        <v>403</v>
      </c>
      <c r="U272" s="155">
        <v>0</v>
      </c>
      <c r="V272" s="207">
        <v>50</v>
      </c>
      <c r="W272" s="207">
        <v>45</v>
      </c>
      <c r="X272" s="207">
        <v>55</v>
      </c>
      <c r="Y272" s="207" t="s">
        <v>64</v>
      </c>
      <c r="Z272" s="133">
        <f t="shared" si="377"/>
        <v>3.3027864992150708</v>
      </c>
      <c r="AA272" s="133"/>
      <c r="AB272" s="175">
        <f t="shared" si="402"/>
        <v>2.9301950602502078</v>
      </c>
      <c r="AC272" s="175"/>
      <c r="AD272" s="213">
        <f t="shared" si="403"/>
        <v>0.1</v>
      </c>
      <c r="AE272" s="213">
        <v>0.1</v>
      </c>
      <c r="AF272" s="215">
        <v>0.252</v>
      </c>
      <c r="AG272" s="215" t="s">
        <v>9</v>
      </c>
      <c r="AH272" s="148">
        <f t="shared" si="397"/>
        <v>2.9301950602502078</v>
      </c>
      <c r="AI272" s="122">
        <f t="shared" si="396"/>
        <v>0.252</v>
      </c>
      <c r="AJ272" s="444"/>
      <c r="AK272" s="177">
        <f t="shared" si="404"/>
        <v>2.6715873015873015</v>
      </c>
      <c r="AL272" s="178">
        <f t="shared" si="405"/>
        <v>2.435317672296839</v>
      </c>
      <c r="AM272" s="125">
        <f t="shared" si="406"/>
        <v>0.19111111111111123</v>
      </c>
      <c r="AN272" s="125">
        <f t="shared" si="439"/>
        <v>0.16888888888888898</v>
      </c>
      <c r="AO272" s="140"/>
      <c r="AP272" s="17" t="s">
        <v>592</v>
      </c>
      <c r="AQ272" s="432">
        <v>0.14199999999999999</v>
      </c>
      <c r="AR272" s="432">
        <v>14.398999999999999</v>
      </c>
      <c r="AS272" s="162"/>
      <c r="AT272" s="179">
        <v>0.16</v>
      </c>
      <c r="AU272" s="180">
        <f t="shared" si="446"/>
        <v>16.670999999999999</v>
      </c>
      <c r="AV272" s="180">
        <f t="shared" si="408"/>
        <v>16.831</v>
      </c>
      <c r="AW272" s="433">
        <f t="shared" si="409"/>
        <v>2.4044285714285714</v>
      </c>
      <c r="AX272" s="126">
        <f t="shared" si="440"/>
        <v>2.1917859050671553</v>
      </c>
      <c r="AY272" s="130" t="s">
        <v>607</v>
      </c>
      <c r="AZ272" s="128" t="s">
        <v>260</v>
      </c>
      <c r="BB272" s="176">
        <f t="shared" si="398"/>
        <v>9.7673168675006927</v>
      </c>
      <c r="BC272" s="176">
        <f t="shared" si="399"/>
        <v>5.8603901205004156</v>
      </c>
      <c r="BD272" s="176">
        <f t="shared" si="400"/>
        <v>4.8836584337503464</v>
      </c>
      <c r="BE272" s="176">
        <f t="shared" si="401"/>
        <v>3.9069267470002771</v>
      </c>
    </row>
    <row r="273" spans="1:57" s="129" customFormat="1" hidden="1">
      <c r="A273" s="90" t="s">
        <v>1276</v>
      </c>
      <c r="B273" s="88" t="s">
        <v>1317</v>
      </c>
      <c r="C273" s="88" t="s">
        <v>1318</v>
      </c>
      <c r="D273" s="90" t="s">
        <v>55</v>
      </c>
      <c r="E273" s="90" t="s">
        <v>395</v>
      </c>
      <c r="F273" s="90" t="s">
        <v>588</v>
      </c>
      <c r="G273" s="131" t="s">
        <v>266</v>
      </c>
      <c r="H273" s="92">
        <v>24</v>
      </c>
      <c r="I273" s="167" t="s">
        <v>1544</v>
      </c>
      <c r="J273" s="167" t="str">
        <f>_xlfn.XLOOKUP(I273,[1]Sheet1!$A:$A,[1]Sheet1!$B:$B,"")</f>
        <v/>
      </c>
      <c r="K273" s="90" t="s">
        <v>1522</v>
      </c>
      <c r="L273" s="90" t="s">
        <v>1556</v>
      </c>
      <c r="M273" s="92"/>
      <c r="N273" s="89" t="s">
        <v>60</v>
      </c>
      <c r="O273" s="165"/>
      <c r="P273" s="88" t="s">
        <v>1446</v>
      </c>
      <c r="Q273" s="92" t="s">
        <v>402</v>
      </c>
      <c r="R273" s="92">
        <v>4800</v>
      </c>
      <c r="S273" s="123" t="e">
        <v>#N/A</v>
      </c>
      <c r="T273" s="92" t="s">
        <v>403</v>
      </c>
      <c r="U273" s="155">
        <v>0</v>
      </c>
      <c r="V273" s="207">
        <v>50</v>
      </c>
      <c r="W273" s="207">
        <v>45</v>
      </c>
      <c r="X273" s="207">
        <v>55</v>
      </c>
      <c r="Y273" s="207" t="s">
        <v>64</v>
      </c>
      <c r="Z273" s="133">
        <f t="shared" ref="Z273:Z279" si="447">AW273/(1-(AF273+2%))</f>
        <v>0.64383830455259028</v>
      </c>
      <c r="AA273" s="133"/>
      <c r="AB273" s="175">
        <f t="shared" ref="AB273:AB279" si="448">AX273/(1-AF273)</f>
        <v>0.55994607924754991</v>
      </c>
      <c r="AC273" s="175"/>
      <c r="AD273" s="213">
        <f t="shared" ref="AD273:AD279" si="449">AE273</f>
        <v>0.1</v>
      </c>
      <c r="AE273" s="213">
        <v>0.1</v>
      </c>
      <c r="AF273" s="215">
        <v>0.252</v>
      </c>
      <c r="AG273" s="215" t="s">
        <v>9</v>
      </c>
      <c r="AH273" s="148">
        <f t="shared" si="397"/>
        <v>0.55994607924754991</v>
      </c>
      <c r="AI273" s="122">
        <f t="shared" ref="AI273:AI275" si="450">1-(AX273/AH273)</f>
        <v>0.25199999999999989</v>
      </c>
      <c r="AJ273" s="444"/>
      <c r="AK273" s="177">
        <f t="shared" ref="AK273:AK279" si="451">AW273/(1-AD273)</f>
        <v>0.52079365079365081</v>
      </c>
      <c r="AL273" s="178">
        <f t="shared" ref="AL273:AL279" si="452">AX273/(1-AE273)</f>
        <v>0.46537740808574152</v>
      </c>
      <c r="AM273" s="125">
        <f t="shared" ref="AM273:AM286" si="453">1-(AK273/Z273)</f>
        <v>0.19111111111111112</v>
      </c>
      <c r="AN273" s="125">
        <f t="shared" si="439"/>
        <v>0.16888888888888887</v>
      </c>
      <c r="AO273" s="140"/>
      <c r="AP273" s="17" t="s">
        <v>592</v>
      </c>
      <c r="AQ273" s="432">
        <v>1.4E-2</v>
      </c>
      <c r="AR273" s="432">
        <v>2.8969999999999998</v>
      </c>
      <c r="AS273" s="162"/>
      <c r="AT273" s="179">
        <v>0.16</v>
      </c>
      <c r="AU273" s="180">
        <f t="shared" si="446"/>
        <v>3.121</v>
      </c>
      <c r="AV273" s="180">
        <f t="shared" ref="AV273:AV279" si="454">AT273+AU273</f>
        <v>3.2810000000000001</v>
      </c>
      <c r="AW273" s="433">
        <f t="shared" ref="AW273:AW279" si="455">(AT273+AU273)/$F$5</f>
        <v>0.46871428571428575</v>
      </c>
      <c r="AX273" s="126">
        <f t="shared" si="440"/>
        <v>0.41883966727716737</v>
      </c>
      <c r="AY273" s="130" t="s">
        <v>593</v>
      </c>
      <c r="AZ273" s="128" t="s">
        <v>260</v>
      </c>
      <c r="BB273" s="176">
        <f t="shared" si="398"/>
        <v>1.8664869308251664</v>
      </c>
      <c r="BC273" s="176">
        <f t="shared" si="399"/>
        <v>1.1198921584950998</v>
      </c>
      <c r="BD273" s="176">
        <f t="shared" si="400"/>
        <v>0.93324346541258318</v>
      </c>
      <c r="BE273" s="176">
        <f t="shared" si="401"/>
        <v>0.74659477233006655</v>
      </c>
    </row>
    <row r="274" spans="1:57" s="129" customFormat="1" hidden="1">
      <c r="A274" s="90" t="s">
        <v>1276</v>
      </c>
      <c r="B274" s="88" t="s">
        <v>1317</v>
      </c>
      <c r="C274" s="88" t="s">
        <v>1318</v>
      </c>
      <c r="D274" s="90" t="s">
        <v>55</v>
      </c>
      <c r="E274" s="90" t="s">
        <v>395</v>
      </c>
      <c r="F274" s="90" t="s">
        <v>588</v>
      </c>
      <c r="G274" s="131" t="s">
        <v>266</v>
      </c>
      <c r="H274" s="92">
        <v>24</v>
      </c>
      <c r="I274" s="167" t="s">
        <v>1545</v>
      </c>
      <c r="J274" s="167" t="str">
        <f>_xlfn.XLOOKUP(I274,[1]Sheet1!$A:$A,[1]Sheet1!$B:$B,"")</f>
        <v/>
      </c>
      <c r="K274" s="90" t="s">
        <v>1504</v>
      </c>
      <c r="L274" s="90" t="s">
        <v>1549</v>
      </c>
      <c r="M274" s="92"/>
      <c r="N274" s="89" t="s">
        <v>60</v>
      </c>
      <c r="O274" s="165"/>
      <c r="P274" s="88" t="s">
        <v>1446</v>
      </c>
      <c r="Q274" s="92" t="s">
        <v>402</v>
      </c>
      <c r="R274" s="92">
        <v>4800</v>
      </c>
      <c r="S274" s="123" t="e">
        <v>#N/A</v>
      </c>
      <c r="T274" s="92" t="s">
        <v>403</v>
      </c>
      <c r="U274" s="155">
        <v>0</v>
      </c>
      <c r="V274" s="207">
        <v>50</v>
      </c>
      <c r="W274" s="207">
        <v>45</v>
      </c>
      <c r="X274" s="207">
        <v>55</v>
      </c>
      <c r="Y274" s="207" t="s">
        <v>64</v>
      </c>
      <c r="Z274" s="133">
        <f t="shared" si="447"/>
        <v>0.70781004709576145</v>
      </c>
      <c r="AA274" s="133"/>
      <c r="AB274" s="175">
        <f t="shared" si="448"/>
        <v>0.61316083834466206</v>
      </c>
      <c r="AC274" s="175"/>
      <c r="AD274" s="213">
        <f t="shared" si="449"/>
        <v>0.1</v>
      </c>
      <c r="AE274" s="213">
        <v>0.1</v>
      </c>
      <c r="AF274" s="215">
        <v>0.252</v>
      </c>
      <c r="AG274" s="215" t="s">
        <v>9</v>
      </c>
      <c r="AH274" s="148">
        <f t="shared" si="397"/>
        <v>0.61316083834466206</v>
      </c>
      <c r="AI274" s="122">
        <f t="shared" si="450"/>
        <v>0.252</v>
      </c>
      <c r="AJ274" s="444"/>
      <c r="AK274" s="177">
        <f t="shared" si="451"/>
        <v>0.57253968253968257</v>
      </c>
      <c r="AL274" s="178">
        <f t="shared" si="452"/>
        <v>0.5096047856464524</v>
      </c>
      <c r="AM274" s="125">
        <f t="shared" si="453"/>
        <v>0.19111111111111112</v>
      </c>
      <c r="AN274" s="125">
        <f t="shared" ref="AN274:AN279" si="456">1-(AL274/AB274)</f>
        <v>0.16888888888888898</v>
      </c>
      <c r="AO274" s="140"/>
      <c r="AP274" s="17" t="s">
        <v>592</v>
      </c>
      <c r="AQ274" s="432">
        <v>1.4E-2</v>
      </c>
      <c r="AR274" s="432">
        <v>3.2229999999999999</v>
      </c>
      <c r="AS274" s="162"/>
      <c r="AT274" s="179">
        <v>0.16</v>
      </c>
      <c r="AU274" s="180">
        <f t="shared" si="446"/>
        <v>3.4470000000000001</v>
      </c>
      <c r="AV274" s="180">
        <f t="shared" si="454"/>
        <v>3.6070000000000002</v>
      </c>
      <c r="AW274" s="433">
        <f t="shared" si="455"/>
        <v>0.51528571428571435</v>
      </c>
      <c r="AX274" s="126">
        <f t="shared" si="440"/>
        <v>0.4586443070818072</v>
      </c>
      <c r="AY274" s="130" t="s">
        <v>593</v>
      </c>
      <c r="AZ274" s="128" t="s">
        <v>260</v>
      </c>
      <c r="BB274" s="176">
        <f t="shared" si="398"/>
        <v>2.0438694611488737</v>
      </c>
      <c r="BC274" s="176">
        <f t="shared" si="399"/>
        <v>1.2263216766893241</v>
      </c>
      <c r="BD274" s="176">
        <f t="shared" si="400"/>
        <v>1.0219347305744368</v>
      </c>
      <c r="BE274" s="176">
        <f t="shared" si="401"/>
        <v>0.81754778445954956</v>
      </c>
    </row>
    <row r="275" spans="1:57" s="129" customFormat="1" hidden="1">
      <c r="A275" s="90" t="s">
        <v>1276</v>
      </c>
      <c r="B275" s="88" t="s">
        <v>1317</v>
      </c>
      <c r="C275" s="88" t="s">
        <v>1318</v>
      </c>
      <c r="D275" s="90" t="s">
        <v>55</v>
      </c>
      <c r="E275" s="90" t="s">
        <v>395</v>
      </c>
      <c r="F275" s="90" t="s">
        <v>588</v>
      </c>
      <c r="G275" s="131" t="s">
        <v>266</v>
      </c>
      <c r="H275" s="92">
        <v>24</v>
      </c>
      <c r="I275" s="167" t="s">
        <v>1546</v>
      </c>
      <c r="J275" s="167" t="str">
        <f>_xlfn.XLOOKUP(I275,[1]Sheet1!$A:$A,[1]Sheet1!$B:$B,"")</f>
        <v/>
      </c>
      <c r="K275" s="90" t="s">
        <v>1505</v>
      </c>
      <c r="L275" s="90" t="s">
        <v>1550</v>
      </c>
      <c r="M275" s="92"/>
      <c r="N275" s="89" t="s">
        <v>60</v>
      </c>
      <c r="O275" s="165"/>
      <c r="P275" s="88" t="s">
        <v>1446</v>
      </c>
      <c r="Q275" s="92" t="s">
        <v>402</v>
      </c>
      <c r="R275" s="92">
        <v>3200</v>
      </c>
      <c r="S275" s="123" t="e">
        <v>#N/A</v>
      </c>
      <c r="T275" s="92" t="s">
        <v>403</v>
      </c>
      <c r="U275" s="155">
        <v>0</v>
      </c>
      <c r="V275" s="207">
        <v>50</v>
      </c>
      <c r="W275" s="207">
        <v>45</v>
      </c>
      <c r="X275" s="207">
        <v>55</v>
      </c>
      <c r="Y275" s="207" t="s">
        <v>64</v>
      </c>
      <c r="Z275" s="133">
        <f t="shared" si="447"/>
        <v>0.79356357927786492</v>
      </c>
      <c r="AA275" s="133"/>
      <c r="AB275" s="175">
        <f t="shared" si="448"/>
        <v>0.69668000504397565</v>
      </c>
      <c r="AC275" s="175"/>
      <c r="AD275" s="213">
        <f t="shared" si="449"/>
        <v>0.1</v>
      </c>
      <c r="AE275" s="213">
        <v>0.1</v>
      </c>
      <c r="AF275" s="215">
        <v>0.252</v>
      </c>
      <c r="AG275" s="215" t="s">
        <v>9</v>
      </c>
      <c r="AH275" s="148">
        <f t="shared" si="397"/>
        <v>0.69668000504397565</v>
      </c>
      <c r="AI275" s="122">
        <f t="shared" si="450"/>
        <v>0.252</v>
      </c>
      <c r="AJ275" s="444"/>
      <c r="AK275" s="177">
        <f t="shared" si="451"/>
        <v>0.64190476190476176</v>
      </c>
      <c r="AL275" s="178">
        <f t="shared" si="452"/>
        <v>0.57901849308099307</v>
      </c>
      <c r="AM275" s="125">
        <f t="shared" si="453"/>
        <v>0.19111111111111123</v>
      </c>
      <c r="AN275" s="125">
        <f t="shared" si="456"/>
        <v>0.16888888888888898</v>
      </c>
      <c r="AO275" s="140"/>
      <c r="AP275" s="17" t="s">
        <v>592</v>
      </c>
      <c r="AQ275" s="432">
        <v>2.8000000000000001E-2</v>
      </c>
      <c r="AR275" s="432">
        <v>3.4359999999999999</v>
      </c>
      <c r="AS275" s="162"/>
      <c r="AT275" s="179">
        <v>0.16</v>
      </c>
      <c r="AU275" s="180">
        <f t="shared" si="446"/>
        <v>3.8839999999999999</v>
      </c>
      <c r="AV275" s="180">
        <f t="shared" si="454"/>
        <v>4.0439999999999996</v>
      </c>
      <c r="AW275" s="433">
        <f t="shared" si="455"/>
        <v>0.57771428571428562</v>
      </c>
      <c r="AX275" s="126">
        <f t="shared" si="440"/>
        <v>0.5211166437728938</v>
      </c>
      <c r="AY275" s="130" t="s">
        <v>593</v>
      </c>
      <c r="AZ275" s="128" t="s">
        <v>260</v>
      </c>
      <c r="BB275" s="176">
        <f t="shared" si="398"/>
        <v>2.3222666834799188</v>
      </c>
      <c r="BC275" s="176">
        <f t="shared" si="399"/>
        <v>1.3933600100879513</v>
      </c>
      <c r="BD275" s="176">
        <f t="shared" si="400"/>
        <v>1.1611333417399594</v>
      </c>
      <c r="BE275" s="176">
        <f t="shared" si="401"/>
        <v>0.92890667339196753</v>
      </c>
    </row>
    <row r="276" spans="1:57" s="129" customFormat="1" hidden="1">
      <c r="A276" s="90" t="s">
        <v>1276</v>
      </c>
      <c r="B276" s="88" t="s">
        <v>1317</v>
      </c>
      <c r="C276" s="88" t="s">
        <v>1318</v>
      </c>
      <c r="D276" s="90" t="s">
        <v>55</v>
      </c>
      <c r="E276" s="90" t="s">
        <v>395</v>
      </c>
      <c r="F276" s="90" t="s">
        <v>588</v>
      </c>
      <c r="G276" s="131" t="s">
        <v>266</v>
      </c>
      <c r="H276" s="92">
        <v>24</v>
      </c>
      <c r="I276" s="167" t="s">
        <v>3688</v>
      </c>
      <c r="J276" s="167" t="s">
        <v>3689</v>
      </c>
      <c r="K276" s="90" t="s">
        <v>1506</v>
      </c>
      <c r="L276" s="90" t="s">
        <v>1551</v>
      </c>
      <c r="M276" s="92"/>
      <c r="N276" s="89" t="s">
        <v>60</v>
      </c>
      <c r="O276" s="165"/>
      <c r="P276" s="88" t="s">
        <v>1446</v>
      </c>
      <c r="Q276" s="92" t="s">
        <v>402</v>
      </c>
      <c r="R276" s="92">
        <v>2240</v>
      </c>
      <c r="S276" s="123" t="e">
        <v>#N/A</v>
      </c>
      <c r="T276" s="92" t="s">
        <v>403</v>
      </c>
      <c r="U276" s="155">
        <v>0</v>
      </c>
      <c r="V276" s="207">
        <v>50</v>
      </c>
      <c r="W276" s="207">
        <v>45</v>
      </c>
      <c r="X276" s="207">
        <v>55</v>
      </c>
      <c r="Y276" s="207" t="s">
        <v>64</v>
      </c>
      <c r="Z276" s="133">
        <f t="shared" si="447"/>
        <v>1.1995682888540031</v>
      </c>
      <c r="AA276" s="133"/>
      <c r="AB276" s="175">
        <f t="shared" si="448"/>
        <v>1.0500809443824151</v>
      </c>
      <c r="AC276" s="175"/>
      <c r="AD276" s="213">
        <f t="shared" si="449"/>
        <v>0.1</v>
      </c>
      <c r="AE276" s="213">
        <v>0.1</v>
      </c>
      <c r="AF276" s="215">
        <v>0.252</v>
      </c>
      <c r="AG276" s="215" t="s">
        <v>9</v>
      </c>
      <c r="AH276" s="148">
        <f t="shared" si="397"/>
        <v>1.0500809443824151</v>
      </c>
      <c r="AI276" s="122">
        <f>1-(AX276/AH276)</f>
        <v>0.25199999999999989</v>
      </c>
      <c r="AJ276" s="444"/>
      <c r="AK276" s="177">
        <f t="shared" si="451"/>
        <v>0.97031746031746036</v>
      </c>
      <c r="AL276" s="178">
        <f t="shared" si="452"/>
        <v>0.87273394044227393</v>
      </c>
      <c r="AM276" s="125">
        <f t="shared" si="453"/>
        <v>0.19111111111111112</v>
      </c>
      <c r="AN276" s="125">
        <f t="shared" si="456"/>
        <v>0.16888888888888887</v>
      </c>
      <c r="AO276" s="140"/>
      <c r="AP276" s="17" t="s">
        <v>592</v>
      </c>
      <c r="AQ276" s="432">
        <v>5.7000000000000002E-2</v>
      </c>
      <c r="AR276" s="432">
        <v>5.0410000000000004</v>
      </c>
      <c r="AS276" s="162"/>
      <c r="AT276" s="179">
        <v>0.16</v>
      </c>
      <c r="AU276" s="180">
        <f t="shared" si="446"/>
        <v>5.9530000000000003</v>
      </c>
      <c r="AV276" s="180">
        <f t="shared" si="454"/>
        <v>6.1130000000000004</v>
      </c>
      <c r="AW276" s="433">
        <f t="shared" si="455"/>
        <v>0.87328571428571433</v>
      </c>
      <c r="AX276" s="126">
        <f t="shared" si="440"/>
        <v>0.78546054639804652</v>
      </c>
      <c r="AY276" s="130" t="s">
        <v>593</v>
      </c>
      <c r="AZ276" s="128" t="s">
        <v>260</v>
      </c>
      <c r="BB276" s="176">
        <f t="shared" si="398"/>
        <v>3.5002698146080502</v>
      </c>
      <c r="BC276" s="176">
        <f t="shared" si="399"/>
        <v>2.1001618887648301</v>
      </c>
      <c r="BD276" s="176">
        <f t="shared" si="400"/>
        <v>1.7501349073040251</v>
      </c>
      <c r="BE276" s="176">
        <f t="shared" si="401"/>
        <v>1.4001079258432201</v>
      </c>
    </row>
    <row r="277" spans="1:57" s="129" customFormat="1" hidden="1">
      <c r="A277" s="90" t="s">
        <v>1276</v>
      </c>
      <c r="B277" s="88" t="s">
        <v>1317</v>
      </c>
      <c r="C277" s="88" t="s">
        <v>1318</v>
      </c>
      <c r="D277" s="90" t="s">
        <v>55</v>
      </c>
      <c r="E277" s="90" t="s">
        <v>395</v>
      </c>
      <c r="F277" s="90" t="s">
        <v>588</v>
      </c>
      <c r="G277" s="131" t="s">
        <v>266</v>
      </c>
      <c r="H277" s="92">
        <v>24</v>
      </c>
      <c r="I277" s="167" t="s">
        <v>3690</v>
      </c>
      <c r="J277" s="167" t="s">
        <v>3691</v>
      </c>
      <c r="K277" s="90" t="s">
        <v>1507</v>
      </c>
      <c r="L277" s="90" t="s">
        <v>1552</v>
      </c>
      <c r="M277" s="92"/>
      <c r="N277" s="89" t="s">
        <v>60</v>
      </c>
      <c r="O277" s="165"/>
      <c r="P277" s="88" t="s">
        <v>1446</v>
      </c>
      <c r="Q277" s="92" t="s">
        <v>402</v>
      </c>
      <c r="R277" s="92">
        <v>1600</v>
      </c>
      <c r="S277" s="123" t="e">
        <v>#N/A</v>
      </c>
      <c r="T277" s="92" t="s">
        <v>403</v>
      </c>
      <c r="U277" s="155">
        <v>0</v>
      </c>
      <c r="V277" s="207">
        <v>50</v>
      </c>
      <c r="W277" s="207">
        <v>45</v>
      </c>
      <c r="X277" s="207">
        <v>55</v>
      </c>
      <c r="Y277" s="207" t="s">
        <v>64</v>
      </c>
      <c r="Z277" s="133">
        <f t="shared" si="447"/>
        <v>1.5939952904238619</v>
      </c>
      <c r="AA277" s="133"/>
      <c r="AB277" s="175">
        <f t="shared" si="448"/>
        <v>1.3990732510953099</v>
      </c>
      <c r="AC277" s="175"/>
      <c r="AD277" s="213">
        <f t="shared" si="449"/>
        <v>0.1</v>
      </c>
      <c r="AE277" s="213">
        <v>0.1</v>
      </c>
      <c r="AF277" s="215">
        <v>0.252</v>
      </c>
      <c r="AG277" s="215" t="s">
        <v>9</v>
      </c>
      <c r="AH277" s="148">
        <f t="shared" si="397"/>
        <v>1.3990732510953099</v>
      </c>
      <c r="AI277" s="122">
        <f t="shared" ref="AI277:AI279" si="457">1-(AX277/AH277)</f>
        <v>0.252</v>
      </c>
      <c r="AJ277" s="444"/>
      <c r="AK277" s="177">
        <f t="shared" si="451"/>
        <v>1.2893650793650793</v>
      </c>
      <c r="AL277" s="178">
        <f t="shared" si="452"/>
        <v>1.1627853242436577</v>
      </c>
      <c r="AM277" s="125">
        <f t="shared" si="453"/>
        <v>0.19111111111111123</v>
      </c>
      <c r="AN277" s="125">
        <f t="shared" si="456"/>
        <v>0.16888888888888887</v>
      </c>
      <c r="AO277" s="140"/>
      <c r="AP277" s="17" t="s">
        <v>592</v>
      </c>
      <c r="AQ277" s="432">
        <v>8.5000000000000006E-2</v>
      </c>
      <c r="AR277" s="432">
        <v>6.6029999999999998</v>
      </c>
      <c r="AS277" s="162"/>
      <c r="AT277" s="179">
        <v>0.16</v>
      </c>
      <c r="AU277" s="180">
        <f t="shared" si="446"/>
        <v>7.9630000000000001</v>
      </c>
      <c r="AV277" s="180">
        <f t="shared" si="454"/>
        <v>8.1229999999999993</v>
      </c>
      <c r="AW277" s="433">
        <f t="shared" si="455"/>
        <v>1.1604285714285714</v>
      </c>
      <c r="AX277" s="126">
        <f t="shared" si="440"/>
        <v>1.0465067918192918</v>
      </c>
      <c r="AY277" s="130" t="s">
        <v>593</v>
      </c>
      <c r="AZ277" s="128" t="s">
        <v>260</v>
      </c>
      <c r="BB277" s="176">
        <f t="shared" si="398"/>
        <v>4.663577503651033</v>
      </c>
      <c r="BC277" s="176">
        <f t="shared" si="399"/>
        <v>2.7981465021906198</v>
      </c>
      <c r="BD277" s="176">
        <f t="shared" si="400"/>
        <v>2.3317887518255165</v>
      </c>
      <c r="BE277" s="176">
        <f t="shared" si="401"/>
        <v>1.8654310014604132</v>
      </c>
    </row>
    <row r="278" spans="1:57" s="129" customFormat="1" hidden="1">
      <c r="A278" s="90" t="s">
        <v>1276</v>
      </c>
      <c r="B278" s="88" t="s">
        <v>1317</v>
      </c>
      <c r="C278" s="88" t="s">
        <v>1318</v>
      </c>
      <c r="D278" s="90" t="s">
        <v>55</v>
      </c>
      <c r="E278" s="90" t="s">
        <v>395</v>
      </c>
      <c r="F278" s="90" t="s">
        <v>588</v>
      </c>
      <c r="G278" s="131" t="s">
        <v>266</v>
      </c>
      <c r="H278" s="92">
        <v>24</v>
      </c>
      <c r="I278" s="167" t="s">
        <v>1547</v>
      </c>
      <c r="J278" s="167" t="str">
        <f>_xlfn.XLOOKUP(I278,[1]Sheet1!$A:$A,[1]Sheet1!$B:$B,"")</f>
        <v/>
      </c>
      <c r="K278" s="90" t="s">
        <v>1508</v>
      </c>
      <c r="L278" s="90" t="s">
        <v>1553</v>
      </c>
      <c r="M278" s="92"/>
      <c r="N278" s="89" t="s">
        <v>60</v>
      </c>
      <c r="O278" s="165"/>
      <c r="P278" s="88" t="s">
        <v>1446</v>
      </c>
      <c r="Q278" s="92" t="s">
        <v>402</v>
      </c>
      <c r="R278" s="92">
        <v>960</v>
      </c>
      <c r="S278" s="123" t="e">
        <v>#N/A</v>
      </c>
      <c r="T278" s="92" t="s">
        <v>403</v>
      </c>
      <c r="U278" s="155">
        <v>0</v>
      </c>
      <c r="V278" s="207">
        <v>50</v>
      </c>
      <c r="W278" s="207">
        <v>45</v>
      </c>
      <c r="X278" s="207">
        <v>55</v>
      </c>
      <c r="Y278" s="207" t="s">
        <v>64</v>
      </c>
      <c r="Z278" s="133">
        <f t="shared" si="447"/>
        <v>2.4277864992150704</v>
      </c>
      <c r="AA278" s="133"/>
      <c r="AB278" s="175">
        <f t="shared" si="448"/>
        <v>2.1414017967326791</v>
      </c>
      <c r="AC278" s="175"/>
      <c r="AD278" s="213">
        <f t="shared" si="449"/>
        <v>0.1</v>
      </c>
      <c r="AE278" s="213">
        <v>0.1</v>
      </c>
      <c r="AF278" s="215">
        <v>0.252</v>
      </c>
      <c r="AG278" s="215" t="s">
        <v>9</v>
      </c>
      <c r="AH278" s="148">
        <f t="shared" si="397"/>
        <v>2.1414017967326791</v>
      </c>
      <c r="AI278" s="122">
        <f t="shared" si="457"/>
        <v>0.252</v>
      </c>
      <c r="AJ278" s="444"/>
      <c r="AK278" s="177">
        <f t="shared" si="451"/>
        <v>1.9638095238095237</v>
      </c>
      <c r="AL278" s="178">
        <f t="shared" si="452"/>
        <v>1.7797428266178263</v>
      </c>
      <c r="AM278" s="125">
        <f t="shared" si="453"/>
        <v>0.19111111111111112</v>
      </c>
      <c r="AN278" s="125">
        <f t="shared" si="456"/>
        <v>0.16888888888888898</v>
      </c>
      <c r="AO278" s="140"/>
      <c r="AP278" s="17" t="s">
        <v>592</v>
      </c>
      <c r="AQ278" s="432">
        <v>0.14199999999999999</v>
      </c>
      <c r="AR278" s="432">
        <v>9.94</v>
      </c>
      <c r="AS278" s="162"/>
      <c r="AT278" s="179">
        <v>0.16</v>
      </c>
      <c r="AU278" s="180">
        <f t="shared" si="446"/>
        <v>12.212</v>
      </c>
      <c r="AV278" s="180">
        <f t="shared" si="454"/>
        <v>12.372</v>
      </c>
      <c r="AW278" s="433">
        <f t="shared" si="455"/>
        <v>1.7674285714285713</v>
      </c>
      <c r="AX278" s="126">
        <f t="shared" si="440"/>
        <v>1.6017685439560438</v>
      </c>
      <c r="AY278" s="130" t="s">
        <v>593</v>
      </c>
      <c r="AZ278" s="128" t="s">
        <v>260</v>
      </c>
      <c r="BB278" s="176">
        <f t="shared" si="398"/>
        <v>7.1380059891089305</v>
      </c>
      <c r="BC278" s="176">
        <f t="shared" si="399"/>
        <v>4.2828035934653581</v>
      </c>
      <c r="BD278" s="176">
        <f t="shared" si="400"/>
        <v>3.5690029945544652</v>
      </c>
      <c r="BE278" s="176">
        <f t="shared" si="401"/>
        <v>2.8552023956435724</v>
      </c>
    </row>
    <row r="279" spans="1:57" s="129" customFormat="1" hidden="1">
      <c r="A279" s="90" t="s">
        <v>1276</v>
      </c>
      <c r="B279" s="88" t="s">
        <v>1317</v>
      </c>
      <c r="C279" s="88" t="s">
        <v>1318</v>
      </c>
      <c r="D279" s="90" t="s">
        <v>55</v>
      </c>
      <c r="E279" s="90" t="s">
        <v>395</v>
      </c>
      <c r="F279" s="90" t="s">
        <v>588</v>
      </c>
      <c r="G279" s="131" t="s">
        <v>266</v>
      </c>
      <c r="H279" s="92">
        <v>24</v>
      </c>
      <c r="I279" s="167" t="s">
        <v>1548</v>
      </c>
      <c r="J279" s="167" t="str">
        <f>_xlfn.XLOOKUP(I279,[1]Sheet1!$A:$A,[1]Sheet1!$B:$B,"")</f>
        <v/>
      </c>
      <c r="K279" s="90" t="s">
        <v>1509</v>
      </c>
      <c r="L279" s="90" t="s">
        <v>1554</v>
      </c>
      <c r="M279" s="92"/>
      <c r="N279" s="89" t="s">
        <v>60</v>
      </c>
      <c r="O279" s="165"/>
      <c r="P279" s="88" t="s">
        <v>1446</v>
      </c>
      <c r="Q279" s="92" t="s">
        <v>402</v>
      </c>
      <c r="R279" s="92">
        <v>640</v>
      </c>
      <c r="S279" s="123" t="e">
        <v>#N/A</v>
      </c>
      <c r="T279" s="92" t="s">
        <v>403</v>
      </c>
      <c r="U279" s="155">
        <v>0</v>
      </c>
      <c r="V279" s="207">
        <v>50</v>
      </c>
      <c r="W279" s="207">
        <v>45</v>
      </c>
      <c r="X279" s="207">
        <v>55</v>
      </c>
      <c r="Y279" s="207" t="s">
        <v>64</v>
      </c>
      <c r="Z279" s="133">
        <f t="shared" si="447"/>
        <v>4.4780219780219781</v>
      </c>
      <c r="AA279" s="133"/>
      <c r="AB279" s="175">
        <f t="shared" si="448"/>
        <v>3.9078122143379499</v>
      </c>
      <c r="AC279" s="175"/>
      <c r="AD279" s="213">
        <f t="shared" si="449"/>
        <v>0.1</v>
      </c>
      <c r="AE279" s="213">
        <v>0.1</v>
      </c>
      <c r="AF279" s="215">
        <v>0.252</v>
      </c>
      <c r="AG279" s="215" t="s">
        <v>9</v>
      </c>
      <c r="AH279" s="148">
        <f t="shared" si="397"/>
        <v>3.9078122143379499</v>
      </c>
      <c r="AI279" s="122">
        <f t="shared" si="457"/>
        <v>0.252</v>
      </c>
      <c r="AJ279" s="444"/>
      <c r="AK279" s="177">
        <f t="shared" si="451"/>
        <v>3.6222222222222222</v>
      </c>
      <c r="AL279" s="178">
        <f t="shared" si="452"/>
        <v>3.2478261514719851</v>
      </c>
      <c r="AM279" s="125">
        <f t="shared" si="453"/>
        <v>0.19111111111111112</v>
      </c>
      <c r="AN279" s="125">
        <f t="shared" si="456"/>
        <v>0.16888888888888887</v>
      </c>
      <c r="AO279" s="140"/>
      <c r="AP279" s="17" t="s">
        <v>592</v>
      </c>
      <c r="AQ279" s="432">
        <v>0.29799999999999999</v>
      </c>
      <c r="AR279" s="432">
        <v>17.891999999999999</v>
      </c>
      <c r="AS279" s="162"/>
      <c r="AT279" s="179">
        <v>0.16</v>
      </c>
      <c r="AU279" s="180">
        <f t="shared" si="446"/>
        <v>22.66</v>
      </c>
      <c r="AV279" s="180">
        <f t="shared" si="454"/>
        <v>22.82</v>
      </c>
      <c r="AW279" s="433">
        <f t="shared" si="455"/>
        <v>3.2600000000000002</v>
      </c>
      <c r="AX279" s="126">
        <f t="shared" ref="AX279" si="458">(AW279/$F$6)+(($F$9+$G$9)/40/R279)+AW279*U279</f>
        <v>2.9230435363247866</v>
      </c>
      <c r="AY279" s="130" t="s">
        <v>593</v>
      </c>
      <c r="AZ279" s="128" t="s">
        <v>260</v>
      </c>
      <c r="BB279" s="176">
        <f t="shared" si="398"/>
        <v>13.026040714459834</v>
      </c>
      <c r="BC279" s="176">
        <f t="shared" si="399"/>
        <v>7.8156244286758998</v>
      </c>
      <c r="BD279" s="176">
        <f t="shared" si="400"/>
        <v>6.5130203572299168</v>
      </c>
      <c r="BE279" s="176">
        <f t="shared" si="401"/>
        <v>5.2104162857839338</v>
      </c>
    </row>
    <row r="280" spans="1:57" s="129" customFormat="1" hidden="1">
      <c r="A280" s="88" t="s">
        <v>1302</v>
      </c>
      <c r="B280" s="88" t="s">
        <v>1318</v>
      </c>
      <c r="C280" s="88" t="s">
        <v>1318</v>
      </c>
      <c r="D280" s="88" t="s">
        <v>55</v>
      </c>
      <c r="E280" s="89" t="s">
        <v>395</v>
      </c>
      <c r="F280" s="90" t="s">
        <v>614</v>
      </c>
      <c r="G280" s="131" t="s">
        <v>253</v>
      </c>
      <c r="H280" s="92">
        <v>26</v>
      </c>
      <c r="I280" s="167" t="s">
        <v>615</v>
      </c>
      <c r="J280" s="167" t="str">
        <f>_xlfn.XLOOKUP(I280,[1]Sheet1!$A:$A,[1]Sheet1!$B:$B,"")</f>
        <v>U0407001</v>
      </c>
      <c r="K280" s="90" t="s">
        <v>1802</v>
      </c>
      <c r="L280" s="90" t="s">
        <v>1808</v>
      </c>
      <c r="M280" s="92"/>
      <c r="N280" s="89" t="s">
        <v>60</v>
      </c>
      <c r="O280" s="165"/>
      <c r="P280" s="88" t="s">
        <v>1446</v>
      </c>
      <c r="Q280" s="92" t="s">
        <v>402</v>
      </c>
      <c r="R280" s="92">
        <v>4800</v>
      </c>
      <c r="S280" s="123" t="e">
        <v>#N/A</v>
      </c>
      <c r="T280" s="92" t="s">
        <v>403</v>
      </c>
      <c r="U280" s="155">
        <v>0</v>
      </c>
      <c r="V280" s="207">
        <v>50</v>
      </c>
      <c r="W280" s="207">
        <v>45</v>
      </c>
      <c r="X280" s="207">
        <v>55</v>
      </c>
      <c r="Y280" s="207" t="s">
        <v>64</v>
      </c>
      <c r="Z280" s="133">
        <f t="shared" si="377"/>
        <v>0</v>
      </c>
      <c r="AA280" s="133"/>
      <c r="AB280" s="175">
        <f>AX280/(1-AF280)</f>
        <v>0</v>
      </c>
      <c r="AC280" s="175"/>
      <c r="AD280" s="213">
        <f t="shared" si="403"/>
        <v>0.1</v>
      </c>
      <c r="AE280" s="213">
        <v>0.1</v>
      </c>
      <c r="AF280" s="215">
        <v>0.28200000000000003</v>
      </c>
      <c r="AG280" s="215" t="s">
        <v>9</v>
      </c>
      <c r="AH280" s="148">
        <f t="shared" si="397"/>
        <v>0</v>
      </c>
      <c r="AI280" s="122" t="e">
        <f>1-(AX280/AH280)</f>
        <v>#DIV/0!</v>
      </c>
      <c r="AJ280" s="444"/>
      <c r="AK280" s="177">
        <f t="shared" si="404"/>
        <v>0</v>
      </c>
      <c r="AL280" s="178">
        <f t="shared" si="405"/>
        <v>0</v>
      </c>
      <c r="AM280" s="125" t="e">
        <f t="shared" si="453"/>
        <v>#DIV/0!</v>
      </c>
      <c r="AN280" s="125" t="e">
        <f t="shared" si="439"/>
        <v>#DIV/0!</v>
      </c>
      <c r="AO280" s="140"/>
      <c r="AP280" s="17" t="s">
        <v>387</v>
      </c>
      <c r="AQ280" s="184"/>
      <c r="AR280" s="184"/>
      <c r="AS280" s="185"/>
      <c r="AT280" s="184"/>
      <c r="AU280" s="186"/>
      <c r="AV280" s="186"/>
      <c r="AW280" s="181"/>
      <c r="AX280" s="126"/>
      <c r="AY280" s="130" t="s">
        <v>1814</v>
      </c>
      <c r="AZ280" s="128"/>
      <c r="BB280" s="176">
        <f t="shared" si="398"/>
        <v>0</v>
      </c>
      <c r="BC280" s="176">
        <f t="shared" si="399"/>
        <v>0</v>
      </c>
      <c r="BD280" s="176">
        <f t="shared" si="400"/>
        <v>0</v>
      </c>
      <c r="BE280" s="176">
        <f t="shared" si="401"/>
        <v>0</v>
      </c>
    </row>
    <row r="281" spans="1:57" s="129" customFormat="1" hidden="1">
      <c r="A281" s="88" t="s">
        <v>1302</v>
      </c>
      <c r="B281" s="88" t="s">
        <v>1318</v>
      </c>
      <c r="C281" s="88" t="s">
        <v>1318</v>
      </c>
      <c r="D281" s="88" t="s">
        <v>55</v>
      </c>
      <c r="E281" s="89" t="s">
        <v>395</v>
      </c>
      <c r="F281" s="90" t="s">
        <v>614</v>
      </c>
      <c r="G281" s="131" t="s">
        <v>253</v>
      </c>
      <c r="H281" s="92">
        <v>26</v>
      </c>
      <c r="I281" s="167" t="s">
        <v>616</v>
      </c>
      <c r="J281" s="167" t="str">
        <f>_xlfn.XLOOKUP(I281,[1]Sheet1!$A:$A,[1]Sheet1!$B:$B,"")</f>
        <v>U0407002</v>
      </c>
      <c r="K281" s="90" t="s">
        <v>1803</v>
      </c>
      <c r="L281" s="90" t="s">
        <v>1809</v>
      </c>
      <c r="M281" s="92"/>
      <c r="N281" s="89" t="s">
        <v>60</v>
      </c>
      <c r="O281" s="165"/>
      <c r="P281" s="88" t="s">
        <v>1446</v>
      </c>
      <c r="Q281" s="92" t="s">
        <v>402</v>
      </c>
      <c r="R281" s="92">
        <v>4800</v>
      </c>
      <c r="S281" s="123" t="e">
        <v>#N/A</v>
      </c>
      <c r="T281" s="92" t="s">
        <v>403</v>
      </c>
      <c r="U281" s="155">
        <v>0</v>
      </c>
      <c r="V281" s="207">
        <v>50</v>
      </c>
      <c r="W281" s="207">
        <v>45</v>
      </c>
      <c r="X281" s="207">
        <v>55</v>
      </c>
      <c r="Y281" s="207" t="s">
        <v>64</v>
      </c>
      <c r="Z281" s="133">
        <f t="shared" si="377"/>
        <v>4.6757265656979143</v>
      </c>
      <c r="AA281" s="133"/>
      <c r="AB281" s="175">
        <f t="shared" si="402"/>
        <v>3.9104174319181295</v>
      </c>
      <c r="AC281" s="175"/>
      <c r="AD281" s="213">
        <f t="shared" si="403"/>
        <v>0.1</v>
      </c>
      <c r="AE281" s="213">
        <v>0.1</v>
      </c>
      <c r="AF281" s="215">
        <v>0.28200000000000003</v>
      </c>
      <c r="AG281" s="215" t="s">
        <v>9</v>
      </c>
      <c r="AH281" s="148">
        <f t="shared" si="397"/>
        <v>3.9104174319181295</v>
      </c>
      <c r="AI281" s="122">
        <f t="shared" si="396"/>
        <v>0.28200000000000003</v>
      </c>
      <c r="AJ281" s="444"/>
      <c r="AK281" s="177">
        <f t="shared" si="404"/>
        <v>3.6262857142857152</v>
      </c>
      <c r="AL281" s="178">
        <f t="shared" si="405"/>
        <v>3.1196441290191297</v>
      </c>
      <c r="AM281" s="125">
        <f t="shared" si="453"/>
        <v>0.22444444444444456</v>
      </c>
      <c r="AN281" s="125">
        <f t="shared" si="439"/>
        <v>0.2022222222222223</v>
      </c>
      <c r="AO281" s="140"/>
      <c r="AP281" s="17" t="s">
        <v>387</v>
      </c>
      <c r="AQ281" s="179">
        <f>0.005*7.2/2</f>
        <v>1.8000000000000002E-2</v>
      </c>
      <c r="AR281" s="179">
        <f>3.088*7.2</f>
        <v>22.233600000000003</v>
      </c>
      <c r="AS281" s="182"/>
      <c r="AT281" s="179">
        <f>0.045*7.2</f>
        <v>0.32400000000000001</v>
      </c>
      <c r="AU281" s="180">
        <f t="shared" ref="AU281:AU286" si="459">($F$2-70000)/2000*AQ281+AR281</f>
        <v>22.521600000000003</v>
      </c>
      <c r="AV281" s="180">
        <f t="shared" si="408"/>
        <v>22.845600000000005</v>
      </c>
      <c r="AW281" s="181">
        <f t="shared" si="409"/>
        <v>3.2636571428571437</v>
      </c>
      <c r="AX281" s="126">
        <f t="shared" si="440"/>
        <v>2.8076797161172169</v>
      </c>
      <c r="AY281" s="130" t="s">
        <v>1814</v>
      </c>
      <c r="AZ281" s="128"/>
      <c r="BB281" s="176">
        <f t="shared" si="398"/>
        <v>13.034724773060432</v>
      </c>
      <c r="BC281" s="176">
        <f t="shared" si="399"/>
        <v>7.820834863836259</v>
      </c>
      <c r="BD281" s="176">
        <f t="shared" si="400"/>
        <v>6.5173623865302162</v>
      </c>
      <c r="BE281" s="176">
        <f t="shared" si="401"/>
        <v>5.2138899092241733</v>
      </c>
    </row>
    <row r="282" spans="1:57" s="539" customFormat="1" hidden="1">
      <c r="A282" s="513" t="s">
        <v>1276</v>
      </c>
      <c r="B282" s="513" t="s">
        <v>1318</v>
      </c>
      <c r="C282" s="513" t="s">
        <v>1318</v>
      </c>
      <c r="D282" s="513" t="s">
        <v>55</v>
      </c>
      <c r="E282" s="514" t="s">
        <v>395</v>
      </c>
      <c r="F282" s="515" t="s">
        <v>614</v>
      </c>
      <c r="G282" s="516" t="s">
        <v>253</v>
      </c>
      <c r="H282" s="519">
        <v>26</v>
      </c>
      <c r="I282" s="540" t="s">
        <v>3878</v>
      </c>
      <c r="J282" s="540" t="str">
        <f>_xlfn.XLOOKUP(I282,[1]Sheet1!$A:$A,[1]Sheet1!$B:$B,"")</f>
        <v>U0407003</v>
      </c>
      <c r="K282" s="515" t="s">
        <v>3879</v>
      </c>
      <c r="L282" s="515" t="s">
        <v>3880</v>
      </c>
      <c r="M282" s="519"/>
      <c r="N282" s="514" t="s">
        <v>60</v>
      </c>
      <c r="O282" s="549"/>
      <c r="P282" s="513" t="s">
        <v>1446</v>
      </c>
      <c r="Q282" s="519" t="s">
        <v>402</v>
      </c>
      <c r="R282" s="557">
        <v>4800</v>
      </c>
      <c r="S282" s="520" t="e">
        <v>#N/A</v>
      </c>
      <c r="T282" s="519" t="s">
        <v>403</v>
      </c>
      <c r="U282" s="521">
        <v>0</v>
      </c>
      <c r="V282" s="522">
        <v>50</v>
      </c>
      <c r="W282" s="522">
        <v>45</v>
      </c>
      <c r="X282" s="522">
        <v>55</v>
      </c>
      <c r="Y282" s="522" t="s">
        <v>64</v>
      </c>
      <c r="Z282" s="523">
        <f t="shared" ref="Z282" si="460">AW282/(1-(AF282+2%))</f>
        <v>6.6311911584117894E-2</v>
      </c>
      <c r="AA282" s="523"/>
      <c r="AB282" s="550">
        <f t="shared" ref="AB282" si="461">AX282/(1-AF282)</f>
        <v>8.0486916750844337E-2</v>
      </c>
      <c r="AC282" s="550"/>
      <c r="AD282" s="525">
        <f t="shared" ref="AD282" si="462">AE282</f>
        <v>0.1</v>
      </c>
      <c r="AE282" s="525">
        <v>0.1</v>
      </c>
      <c r="AF282" s="525">
        <v>0.28200000000000003</v>
      </c>
      <c r="AG282" s="525" t="s">
        <v>9</v>
      </c>
      <c r="AH282" s="527">
        <f t="shared" ref="AH282" si="463">AB282</f>
        <v>8.0486916750844337E-2</v>
      </c>
      <c r="AI282" s="525">
        <f t="shared" ref="AI282" si="464">1-(AX282/AH282)</f>
        <v>0.28200000000000003</v>
      </c>
      <c r="AJ282" s="529"/>
      <c r="AK282" s="551">
        <f t="shared" ref="AK282" si="465">AW282/(1-AD282)</f>
        <v>5.1428571428571428E-2</v>
      </c>
      <c r="AL282" s="552">
        <f t="shared" ref="AL282" si="466">AX282/(1-AE282)</f>
        <v>6.4210673585673589E-2</v>
      </c>
      <c r="AM282" s="531">
        <f t="shared" ref="AM282" si="467">1-(AK282/Z282)</f>
        <v>0.22444444444444456</v>
      </c>
      <c r="AN282" s="531">
        <f t="shared" ref="AN282" si="468">1-(AL282/AB282)</f>
        <v>0.2022222222222223</v>
      </c>
      <c r="AO282" s="532"/>
      <c r="AP282" s="533" t="s">
        <v>387</v>
      </c>
      <c r="AQ282" s="553"/>
      <c r="AR282" s="553"/>
      <c r="AS282" s="554"/>
      <c r="AT282" s="553">
        <f>0.045*7.2</f>
        <v>0.32400000000000001</v>
      </c>
      <c r="AU282" s="555">
        <f t="shared" ref="AU282" si="469">($F$2-70000)/2000*AQ282+AR282</f>
        <v>0</v>
      </c>
      <c r="AV282" s="555">
        <f t="shared" ref="AV282" si="470">AT282+AU282</f>
        <v>0.32400000000000001</v>
      </c>
      <c r="AW282" s="556">
        <f t="shared" ref="AW282" si="471">(AT282+AU282)/$F$5</f>
        <v>4.6285714285714284E-2</v>
      </c>
      <c r="AX282" s="536">
        <f t="shared" ref="AX282" si="472">(AW282/$F$6)+(($F$9+$G$9)/40/R282)+AW282*U282</f>
        <v>5.778960622710623E-2</v>
      </c>
      <c r="AY282" s="547" t="s">
        <v>1814</v>
      </c>
      <c r="AZ282" s="538"/>
      <c r="BB282" s="550">
        <f t="shared" ref="BB282" si="473">AB282/0.3</f>
        <v>0.26828972250281446</v>
      </c>
      <c r="BC282" s="550">
        <f t="shared" ref="BC282" si="474">BB282*0.6</f>
        <v>0.16097383350168867</v>
      </c>
      <c r="BD282" s="550">
        <f t="shared" ref="BD282" si="475">BB282*0.5</f>
        <v>0.13414486125140723</v>
      </c>
      <c r="BE282" s="550">
        <f t="shared" ref="BE282" si="476">BB282*0.4</f>
        <v>0.10731588900112579</v>
      </c>
    </row>
    <row r="283" spans="1:57" s="129" customFormat="1" hidden="1">
      <c r="A283" s="88" t="s">
        <v>1302</v>
      </c>
      <c r="B283" s="88" t="s">
        <v>1318</v>
      </c>
      <c r="C283" s="88" t="s">
        <v>1318</v>
      </c>
      <c r="D283" s="88" t="s">
        <v>55</v>
      </c>
      <c r="E283" s="89" t="s">
        <v>395</v>
      </c>
      <c r="F283" s="90" t="s">
        <v>614</v>
      </c>
      <c r="G283" s="131" t="s">
        <v>253</v>
      </c>
      <c r="H283" s="92">
        <v>26</v>
      </c>
      <c r="I283" s="167" t="s">
        <v>617</v>
      </c>
      <c r="J283" s="167" t="str">
        <f>_xlfn.XLOOKUP(I283,[1]Sheet1!$A:$A,[1]Sheet1!$B:$B,"")</f>
        <v>U0407004</v>
      </c>
      <c r="K283" s="90" t="s">
        <v>1804</v>
      </c>
      <c r="L283" s="90" t="s">
        <v>1810</v>
      </c>
      <c r="M283" s="92"/>
      <c r="N283" s="89" t="s">
        <v>60</v>
      </c>
      <c r="O283" s="165"/>
      <c r="P283" s="88" t="s">
        <v>1446</v>
      </c>
      <c r="Q283" s="92" t="s">
        <v>402</v>
      </c>
      <c r="R283" s="92">
        <v>3200</v>
      </c>
      <c r="S283" s="123" t="e">
        <v>#N/A</v>
      </c>
      <c r="T283" s="92" t="s">
        <v>403</v>
      </c>
      <c r="U283" s="155">
        <v>0</v>
      </c>
      <c r="V283" s="207">
        <v>50</v>
      </c>
      <c r="W283" s="207">
        <v>45</v>
      </c>
      <c r="X283" s="207">
        <v>55</v>
      </c>
      <c r="Y283" s="207" t="s">
        <v>64</v>
      </c>
      <c r="Z283" s="133">
        <f t="shared" si="377"/>
        <v>5.3255832992222683</v>
      </c>
      <c r="AA283" s="133"/>
      <c r="AB283" s="175">
        <f t="shared" si="402"/>
        <v>4.4630732690011943</v>
      </c>
      <c r="AC283" s="175"/>
      <c r="AD283" s="213">
        <f t="shared" si="403"/>
        <v>0.1</v>
      </c>
      <c r="AE283" s="213">
        <v>0.1</v>
      </c>
      <c r="AF283" s="215">
        <v>0.28200000000000003</v>
      </c>
      <c r="AG283" s="215" t="s">
        <v>9</v>
      </c>
      <c r="AH283" s="148">
        <f t="shared" si="397"/>
        <v>4.4630732690011943</v>
      </c>
      <c r="AI283" s="122">
        <f t="shared" si="396"/>
        <v>0.28200000000000003</v>
      </c>
      <c r="AJ283" s="444"/>
      <c r="AK283" s="177">
        <f t="shared" si="404"/>
        <v>4.1302857142857148</v>
      </c>
      <c r="AL283" s="178">
        <f t="shared" si="405"/>
        <v>3.5605406746031747</v>
      </c>
      <c r="AM283" s="125">
        <f t="shared" si="453"/>
        <v>0.22444444444444445</v>
      </c>
      <c r="AN283" s="125">
        <f t="shared" si="439"/>
        <v>0.2022222222222223</v>
      </c>
      <c r="AO283" s="140"/>
      <c r="AP283" s="17" t="s">
        <v>387</v>
      </c>
      <c r="AQ283" s="179">
        <f>0.009*7.2/2</f>
        <v>3.2399999999999998E-2</v>
      </c>
      <c r="AR283" s="179">
        <f>3.497*7.2</f>
        <v>25.1784</v>
      </c>
      <c r="AS283" s="182"/>
      <c r="AT283" s="179">
        <f t="shared" ref="AT283:AT284" si="477">0.045*7.2</f>
        <v>0.32400000000000001</v>
      </c>
      <c r="AU283" s="180">
        <f t="shared" si="459"/>
        <v>25.6968</v>
      </c>
      <c r="AV283" s="180">
        <f t="shared" si="408"/>
        <v>26.020800000000001</v>
      </c>
      <c r="AW283" s="181">
        <f t="shared" si="409"/>
        <v>3.717257142857143</v>
      </c>
      <c r="AX283" s="126">
        <f t="shared" si="440"/>
        <v>3.2044866071428575</v>
      </c>
      <c r="AY283" s="130" t="s">
        <v>1814</v>
      </c>
      <c r="AZ283" s="128"/>
      <c r="BB283" s="176">
        <f t="shared" si="398"/>
        <v>14.876910896670648</v>
      </c>
      <c r="BC283" s="176">
        <f t="shared" si="399"/>
        <v>8.9261465380023886</v>
      </c>
      <c r="BD283" s="176">
        <f t="shared" si="400"/>
        <v>7.4384554483353238</v>
      </c>
      <c r="BE283" s="176">
        <f t="shared" si="401"/>
        <v>5.950764358668259</v>
      </c>
    </row>
    <row r="284" spans="1:57" s="129" customFormat="1" hidden="1">
      <c r="A284" s="88" t="s">
        <v>1302</v>
      </c>
      <c r="B284" s="88" t="s">
        <v>1318</v>
      </c>
      <c r="C284" s="88" t="s">
        <v>1318</v>
      </c>
      <c r="D284" s="88" t="s">
        <v>55</v>
      </c>
      <c r="E284" s="89" t="s">
        <v>395</v>
      </c>
      <c r="F284" s="90" t="s">
        <v>614</v>
      </c>
      <c r="G284" s="131" t="s">
        <v>253</v>
      </c>
      <c r="H284" s="92">
        <v>26</v>
      </c>
      <c r="I284" s="167" t="s">
        <v>618</v>
      </c>
      <c r="J284" s="167" t="str">
        <f>_xlfn.XLOOKUP(I284,[1]Sheet1!$A:$A,[1]Sheet1!$B:$B,"")</f>
        <v>U0407005</v>
      </c>
      <c r="K284" s="90" t="s">
        <v>1805</v>
      </c>
      <c r="L284" s="90" t="s">
        <v>1811</v>
      </c>
      <c r="M284" s="92"/>
      <c r="N284" s="89" t="s">
        <v>60</v>
      </c>
      <c r="O284" s="165"/>
      <c r="P284" s="88" t="s">
        <v>1446</v>
      </c>
      <c r="Q284" s="92" t="s">
        <v>402</v>
      </c>
      <c r="R284" s="92">
        <v>2240</v>
      </c>
      <c r="S284" s="123" t="e">
        <v>#N/A</v>
      </c>
      <c r="T284" s="92" t="s">
        <v>403</v>
      </c>
      <c r="U284" s="155">
        <v>0</v>
      </c>
      <c r="V284" s="207">
        <v>50</v>
      </c>
      <c r="W284" s="207">
        <v>45</v>
      </c>
      <c r="X284" s="207">
        <v>55</v>
      </c>
      <c r="Y284" s="207" t="s">
        <v>64</v>
      </c>
      <c r="Z284" s="133">
        <f t="shared" si="377"/>
        <v>6.6252967662709796</v>
      </c>
      <c r="AA284" s="133"/>
      <c r="AB284" s="175">
        <f t="shared" si="402"/>
        <v>5.5593175104839467</v>
      </c>
      <c r="AC284" s="175"/>
      <c r="AD284" s="213">
        <f t="shared" si="403"/>
        <v>0.1</v>
      </c>
      <c r="AE284" s="213">
        <v>0.1</v>
      </c>
      <c r="AF284" s="215">
        <v>0.28200000000000003</v>
      </c>
      <c r="AG284" s="215" t="s">
        <v>9</v>
      </c>
      <c r="AH284" s="148">
        <f t="shared" si="397"/>
        <v>5.5593175104839467</v>
      </c>
      <c r="AI284" s="122">
        <f t="shared" si="396"/>
        <v>0.28200000000000003</v>
      </c>
      <c r="AJ284" s="444"/>
      <c r="AK284" s="177">
        <f t="shared" si="404"/>
        <v>5.1382857142857148</v>
      </c>
      <c r="AL284" s="178">
        <f t="shared" si="405"/>
        <v>4.4350999694749706</v>
      </c>
      <c r="AM284" s="125">
        <f t="shared" si="453"/>
        <v>0.22444444444444456</v>
      </c>
      <c r="AN284" s="125">
        <f t="shared" si="439"/>
        <v>0.2022222222222223</v>
      </c>
      <c r="AO284" s="140"/>
      <c r="AP284" s="17" t="s">
        <v>387</v>
      </c>
      <c r="AQ284" s="179">
        <f>0.017*7.2/2</f>
        <v>6.1200000000000004E-2</v>
      </c>
      <c r="AR284" s="179">
        <f>4.315*7.2</f>
        <v>31.068000000000005</v>
      </c>
      <c r="AS284" s="182"/>
      <c r="AT284" s="179">
        <f t="shared" si="477"/>
        <v>0.32400000000000001</v>
      </c>
      <c r="AU284" s="180">
        <f t="shared" si="459"/>
        <v>32.047200000000004</v>
      </c>
      <c r="AV284" s="180">
        <f t="shared" si="408"/>
        <v>32.371200000000002</v>
      </c>
      <c r="AW284" s="181">
        <f t="shared" si="409"/>
        <v>4.6244571428571435</v>
      </c>
      <c r="AX284" s="126">
        <f t="shared" si="440"/>
        <v>3.9915899725274735</v>
      </c>
      <c r="AY284" s="130" t="s">
        <v>1814</v>
      </c>
      <c r="AZ284" s="128"/>
      <c r="BB284" s="176">
        <f t="shared" si="398"/>
        <v>18.531058368279822</v>
      </c>
      <c r="BC284" s="176">
        <f t="shared" si="399"/>
        <v>11.118635020967893</v>
      </c>
      <c r="BD284" s="176">
        <f t="shared" si="400"/>
        <v>9.2655291841399112</v>
      </c>
      <c r="BE284" s="176">
        <f t="shared" si="401"/>
        <v>7.412423347311929</v>
      </c>
    </row>
    <row r="285" spans="1:57" s="129" customFormat="1" hidden="1">
      <c r="A285" s="88" t="s">
        <v>1302</v>
      </c>
      <c r="B285" s="88" t="s">
        <v>1318</v>
      </c>
      <c r="C285" s="88" t="s">
        <v>1318</v>
      </c>
      <c r="D285" s="88" t="s">
        <v>55</v>
      </c>
      <c r="E285" s="89" t="s">
        <v>395</v>
      </c>
      <c r="F285" s="90" t="s">
        <v>614</v>
      </c>
      <c r="G285" s="131" t="s">
        <v>253</v>
      </c>
      <c r="H285" s="92">
        <v>26</v>
      </c>
      <c r="I285" s="167" t="s">
        <v>619</v>
      </c>
      <c r="J285" s="167" t="str">
        <f>_xlfn.XLOOKUP(I285,[1]Sheet1!$A:$A,[1]Sheet1!$B:$B,"")</f>
        <v>U0407006</v>
      </c>
      <c r="K285" s="90" t="s">
        <v>1806</v>
      </c>
      <c r="L285" s="90" t="s">
        <v>1812</v>
      </c>
      <c r="M285" s="92"/>
      <c r="N285" s="89" t="s">
        <v>60</v>
      </c>
      <c r="O285" s="165"/>
      <c r="P285" s="88" t="s">
        <v>1446</v>
      </c>
      <c r="Q285" s="92" t="s">
        <v>402</v>
      </c>
      <c r="R285" s="92">
        <v>1600</v>
      </c>
      <c r="S285" s="123" t="e">
        <v>#N/A</v>
      </c>
      <c r="T285" s="92" t="s">
        <v>403</v>
      </c>
      <c r="U285" s="155">
        <v>0</v>
      </c>
      <c r="V285" s="207">
        <v>50</v>
      </c>
      <c r="W285" s="207">
        <v>45</v>
      </c>
      <c r="X285" s="207">
        <v>55</v>
      </c>
      <c r="Y285" s="207" t="s">
        <v>64</v>
      </c>
      <c r="Z285" s="133">
        <f t="shared" si="377"/>
        <v>7.9795333606221872</v>
      </c>
      <c r="AA285" s="133"/>
      <c r="AB285" s="175">
        <f t="shared" si="402"/>
        <v>6.706305098105239</v>
      </c>
      <c r="AC285" s="175"/>
      <c r="AD285" s="213">
        <f t="shared" si="403"/>
        <v>0.1</v>
      </c>
      <c r="AE285" s="213">
        <v>0.1</v>
      </c>
      <c r="AF285" s="215">
        <v>0.28200000000000003</v>
      </c>
      <c r="AG285" s="215" t="s">
        <v>9</v>
      </c>
      <c r="AH285" s="148">
        <f t="shared" si="397"/>
        <v>6.706305098105239</v>
      </c>
      <c r="AI285" s="122">
        <f t="shared" si="396"/>
        <v>0.28200000000000003</v>
      </c>
      <c r="AJ285" s="444"/>
      <c r="AK285" s="177">
        <f t="shared" si="404"/>
        <v>6.1885714285714286</v>
      </c>
      <c r="AL285" s="178">
        <f t="shared" si="405"/>
        <v>5.3501411782661794</v>
      </c>
      <c r="AM285" s="125">
        <f t="shared" si="453"/>
        <v>0.22444444444444456</v>
      </c>
      <c r="AN285" s="125">
        <f t="shared" si="439"/>
        <v>0.20222222222222219</v>
      </c>
      <c r="AO285" s="140"/>
      <c r="AP285" s="17" t="s">
        <v>387</v>
      </c>
      <c r="AQ285" s="179">
        <f>0.026*7.2/2</f>
        <v>9.3600000000000003E-2</v>
      </c>
      <c r="AR285" s="187">
        <f>5.147*7.2</f>
        <v>37.058400000000006</v>
      </c>
      <c r="AS285" s="182"/>
      <c r="AT285" s="179">
        <f>0.06*7.2</f>
        <v>0.432</v>
      </c>
      <c r="AU285" s="180">
        <f t="shared" si="459"/>
        <v>38.556000000000004</v>
      </c>
      <c r="AV285" s="180">
        <f t="shared" si="408"/>
        <v>38.988000000000007</v>
      </c>
      <c r="AW285" s="181">
        <f t="shared" si="409"/>
        <v>5.5697142857142863</v>
      </c>
      <c r="AX285" s="126">
        <f t="shared" si="440"/>
        <v>4.8151270604395613</v>
      </c>
      <c r="AY285" s="130" t="s">
        <v>1814</v>
      </c>
      <c r="AZ285" s="128"/>
      <c r="BB285" s="176">
        <f t="shared" si="398"/>
        <v>22.354350327017464</v>
      </c>
      <c r="BC285" s="176">
        <f t="shared" si="399"/>
        <v>13.412610196210478</v>
      </c>
      <c r="BD285" s="176">
        <f t="shared" si="400"/>
        <v>11.177175163508732</v>
      </c>
      <c r="BE285" s="176">
        <f t="shared" si="401"/>
        <v>8.9417401308069859</v>
      </c>
    </row>
    <row r="286" spans="1:57" s="129" customFormat="1" hidden="1">
      <c r="A286" s="88" t="s">
        <v>1302</v>
      </c>
      <c r="B286" s="88" t="s">
        <v>1318</v>
      </c>
      <c r="C286" s="88" t="s">
        <v>1318</v>
      </c>
      <c r="D286" s="88" t="s">
        <v>55</v>
      </c>
      <c r="E286" s="89" t="s">
        <v>395</v>
      </c>
      <c r="F286" s="90" t="s">
        <v>614</v>
      </c>
      <c r="G286" s="131" t="s">
        <v>253</v>
      </c>
      <c r="H286" s="92">
        <v>26</v>
      </c>
      <c r="I286" s="167" t="s">
        <v>620</v>
      </c>
      <c r="J286" s="167" t="str">
        <f>_xlfn.XLOOKUP(I286,[1]Sheet1!$A:$A,[1]Sheet1!$B:$B,"")</f>
        <v>U0407007</v>
      </c>
      <c r="K286" s="90" t="s">
        <v>1807</v>
      </c>
      <c r="L286" s="90" t="s">
        <v>1813</v>
      </c>
      <c r="M286" s="92"/>
      <c r="N286" s="89" t="s">
        <v>60</v>
      </c>
      <c r="O286" s="165"/>
      <c r="P286" s="88" t="s">
        <v>1446</v>
      </c>
      <c r="Q286" s="92" t="s">
        <v>402</v>
      </c>
      <c r="R286" s="92">
        <v>960</v>
      </c>
      <c r="S286" s="123" t="e">
        <v>#N/A</v>
      </c>
      <c r="T286" s="121" t="s">
        <v>403</v>
      </c>
      <c r="U286" s="155">
        <v>0</v>
      </c>
      <c r="V286" s="207">
        <v>50</v>
      </c>
      <c r="W286" s="207">
        <v>45</v>
      </c>
      <c r="X286" s="207">
        <v>55</v>
      </c>
      <c r="Y286" s="207" t="s">
        <v>64</v>
      </c>
      <c r="Z286" s="133">
        <f t="shared" si="377"/>
        <v>10.196703296703296</v>
      </c>
      <c r="AA286" s="133"/>
      <c r="AB286" s="175">
        <f t="shared" si="402"/>
        <v>8.6039588475250248</v>
      </c>
      <c r="AC286" s="175"/>
      <c r="AD286" s="213">
        <f t="shared" si="403"/>
        <v>0.1</v>
      </c>
      <c r="AE286" s="213">
        <v>0.1</v>
      </c>
      <c r="AF286" s="215">
        <v>0.252</v>
      </c>
      <c r="AG286" s="215" t="s">
        <v>9</v>
      </c>
      <c r="AH286" s="148">
        <f t="shared" si="397"/>
        <v>8.6039588475250248</v>
      </c>
      <c r="AI286" s="122">
        <f t="shared" si="396"/>
        <v>0.25200000000000011</v>
      </c>
      <c r="AJ286" s="444"/>
      <c r="AK286" s="177">
        <f t="shared" si="404"/>
        <v>8.2479999999999993</v>
      </c>
      <c r="AL286" s="178">
        <f t="shared" si="405"/>
        <v>7.1508457977207973</v>
      </c>
      <c r="AM286" s="125">
        <f t="shared" si="453"/>
        <v>0.19111111111111112</v>
      </c>
      <c r="AN286" s="125">
        <f t="shared" si="439"/>
        <v>0.16888888888888898</v>
      </c>
      <c r="AO286" s="140"/>
      <c r="AP286" s="17" t="s">
        <v>387</v>
      </c>
      <c r="AQ286" s="179">
        <f>0.043*7.2/2</f>
        <v>0.15479999999999999</v>
      </c>
      <c r="AR286" s="179">
        <f>6.813*7.2</f>
        <v>49.053599999999996</v>
      </c>
      <c r="AS286" s="182"/>
      <c r="AT286" s="179">
        <f>0.06*7.2</f>
        <v>0.432</v>
      </c>
      <c r="AU286" s="180">
        <f t="shared" si="459"/>
        <v>51.530399999999993</v>
      </c>
      <c r="AV286" s="180">
        <f t="shared" si="408"/>
        <v>51.962399999999995</v>
      </c>
      <c r="AW286" s="181">
        <f t="shared" si="409"/>
        <v>7.4231999999999996</v>
      </c>
      <c r="AX286" s="126">
        <f t="shared" si="440"/>
        <v>6.435761217948718</v>
      </c>
      <c r="AY286" s="130" t="s">
        <v>1814</v>
      </c>
      <c r="AZ286" s="128"/>
      <c r="BB286" s="176">
        <f t="shared" si="398"/>
        <v>28.679862825083418</v>
      </c>
      <c r="BC286" s="176">
        <f t="shared" si="399"/>
        <v>17.20791769505005</v>
      </c>
      <c r="BD286" s="176">
        <f t="shared" si="400"/>
        <v>14.339931412541709</v>
      </c>
      <c r="BE286" s="176">
        <f t="shared" si="401"/>
        <v>11.471945130033369</v>
      </c>
    </row>
    <row r="287" spans="1:57" s="129" customFormat="1" hidden="1">
      <c r="A287" s="88" t="s">
        <v>1302</v>
      </c>
      <c r="B287" s="88" t="s">
        <v>1317</v>
      </c>
      <c r="C287" s="88" t="s">
        <v>1318</v>
      </c>
      <c r="D287" s="88" t="s">
        <v>55</v>
      </c>
      <c r="E287" s="88" t="s">
        <v>621</v>
      </c>
      <c r="F287" s="89" t="s">
        <v>621</v>
      </c>
      <c r="G287" s="131" t="s">
        <v>622</v>
      </c>
      <c r="H287" s="92"/>
      <c r="I287" s="167" t="s">
        <v>1210</v>
      </c>
      <c r="J287" s="167" t="str">
        <f>_xlfn.XLOOKUP(I287,[1]Sheet1!$A:$A,[1]Sheet1!$B:$B,"")</f>
        <v>U0501014</v>
      </c>
      <c r="K287" s="90" t="s">
        <v>623</v>
      </c>
      <c r="L287" s="90" t="s">
        <v>624</v>
      </c>
      <c r="M287" s="92"/>
      <c r="N287" s="89" t="s">
        <v>60</v>
      </c>
      <c r="O287" s="92"/>
      <c r="P287" s="88" t="s">
        <v>1211</v>
      </c>
      <c r="Q287" s="92" t="s">
        <v>625</v>
      </c>
      <c r="R287" s="92">
        <v>240</v>
      </c>
      <c r="S287" s="431" t="s">
        <v>626</v>
      </c>
      <c r="T287" s="128" t="s">
        <v>3863</v>
      </c>
      <c r="U287" s="456">
        <v>1.7000000000000001E-2</v>
      </c>
      <c r="V287" s="207">
        <v>45</v>
      </c>
      <c r="W287" s="207">
        <v>45</v>
      </c>
      <c r="X287" s="207">
        <v>55</v>
      </c>
      <c r="Y287" s="207" t="s">
        <v>359</v>
      </c>
      <c r="Z287" s="133">
        <f t="shared" si="377"/>
        <v>5.131115459882583</v>
      </c>
      <c r="AA287" s="133"/>
      <c r="AB287" s="161">
        <f t="shared" si="402"/>
        <v>4.8396342368742369</v>
      </c>
      <c r="AC287" s="161"/>
      <c r="AD287" s="213">
        <f t="shared" si="403"/>
        <v>0.1</v>
      </c>
      <c r="AE287" s="213">
        <v>0.1</v>
      </c>
      <c r="AF287" s="215">
        <v>0.25</v>
      </c>
      <c r="AG287" s="215" t="s">
        <v>9</v>
      </c>
      <c r="AH287" s="148">
        <f t="shared" si="397"/>
        <v>4.8396342368742369</v>
      </c>
      <c r="AI287" s="122">
        <f t="shared" si="396"/>
        <v>0.25</v>
      </c>
      <c r="AJ287" s="444"/>
      <c r="AK287" s="150">
        <f t="shared" si="404"/>
        <v>4.1619047619047613</v>
      </c>
      <c r="AL287" s="153">
        <f t="shared" si="405"/>
        <v>4.0330285307285312</v>
      </c>
      <c r="AM287" s="125">
        <f t="shared" si="406"/>
        <v>0.18888888888888899</v>
      </c>
      <c r="AN287" s="125">
        <f t="shared" si="439"/>
        <v>0.16666666666666663</v>
      </c>
      <c r="AO287" s="166"/>
      <c r="AP287" s="17" t="s">
        <v>211</v>
      </c>
      <c r="AQ287" s="162"/>
      <c r="AR287" s="162"/>
      <c r="AS287" s="162"/>
      <c r="AT287" s="162">
        <v>2.72</v>
      </c>
      <c r="AU287" s="162">
        <v>23.5</v>
      </c>
      <c r="AV287" s="141">
        <f>AT287+AU287</f>
        <v>26.22</v>
      </c>
      <c r="AW287" s="142">
        <f t="shared" si="409"/>
        <v>3.7457142857142856</v>
      </c>
      <c r="AX287" s="126">
        <f t="shared" si="440"/>
        <v>3.6297256776556779</v>
      </c>
      <c r="AY287" s="163"/>
      <c r="AZ287" s="128"/>
      <c r="BB287" s="161">
        <f t="shared" si="398"/>
        <v>16.132114122914125</v>
      </c>
      <c r="BC287" s="161">
        <f t="shared" si="399"/>
        <v>9.6792684737484738</v>
      </c>
      <c r="BD287" s="161">
        <f t="shared" si="400"/>
        <v>8.0660570614570624</v>
      </c>
      <c r="BE287" s="161">
        <f t="shared" si="401"/>
        <v>6.4528456491656501</v>
      </c>
    </row>
    <row r="288" spans="1:57" s="129" customFormat="1" hidden="1">
      <c r="A288" s="90" t="s">
        <v>1302</v>
      </c>
      <c r="B288" s="88" t="s">
        <v>1317</v>
      </c>
      <c r="C288" s="88" t="s">
        <v>1317</v>
      </c>
      <c r="D288" s="90" t="s">
        <v>55</v>
      </c>
      <c r="E288" s="90" t="s">
        <v>621</v>
      </c>
      <c r="F288" s="90" t="s">
        <v>621</v>
      </c>
      <c r="G288" s="131" t="s">
        <v>622</v>
      </c>
      <c r="H288" s="92"/>
      <c r="I288" s="167" t="s">
        <v>1426</v>
      </c>
      <c r="J288" s="167" t="str">
        <f>_xlfn.XLOOKUP(I288,[1]Sheet1!$A:$A,[1]Sheet1!$B:$B,"")</f>
        <v>U0501008</v>
      </c>
      <c r="K288" s="90" t="s">
        <v>627</v>
      </c>
      <c r="L288" s="90" t="s">
        <v>628</v>
      </c>
      <c r="M288" s="92"/>
      <c r="N288" s="89" t="s">
        <v>60</v>
      </c>
      <c r="O288" s="92"/>
      <c r="P288" s="88" t="s">
        <v>241</v>
      </c>
      <c r="Q288" s="92" t="s">
        <v>625</v>
      </c>
      <c r="R288" s="92">
        <v>240</v>
      </c>
      <c r="S288" s="431" t="s">
        <v>629</v>
      </c>
      <c r="T288" s="128" t="s">
        <v>3863</v>
      </c>
      <c r="U288" s="456">
        <v>1.7000000000000001E-2</v>
      </c>
      <c r="V288" s="207">
        <v>45</v>
      </c>
      <c r="W288" s="207">
        <v>45</v>
      </c>
      <c r="X288" s="207">
        <v>55</v>
      </c>
      <c r="Y288" s="207" t="s">
        <v>359</v>
      </c>
      <c r="Z288" s="133">
        <f t="shared" si="377"/>
        <v>5.8610567514677108</v>
      </c>
      <c r="AA288" s="133"/>
      <c r="AB288" s="161">
        <f t="shared" si="402"/>
        <v>5.4589569393569386</v>
      </c>
      <c r="AC288" s="161"/>
      <c r="AD288" s="213">
        <f t="shared" si="403"/>
        <v>0.1</v>
      </c>
      <c r="AE288" s="213">
        <v>0.1</v>
      </c>
      <c r="AF288" s="215">
        <v>0.25</v>
      </c>
      <c r="AG288" s="215" t="s">
        <v>9</v>
      </c>
      <c r="AH288" s="148">
        <f t="shared" si="397"/>
        <v>5.4589569393569386</v>
      </c>
      <c r="AI288" s="122">
        <f t="shared" si="396"/>
        <v>0.25</v>
      </c>
      <c r="AJ288" s="444"/>
      <c r="AK288" s="150">
        <f t="shared" si="404"/>
        <v>4.753968253968254</v>
      </c>
      <c r="AL288" s="153">
        <f t="shared" si="405"/>
        <v>4.549130782797449</v>
      </c>
      <c r="AM288" s="125">
        <f t="shared" si="406"/>
        <v>0.18888888888888899</v>
      </c>
      <c r="AN288" s="125">
        <f t="shared" si="439"/>
        <v>0.16666666666666663</v>
      </c>
      <c r="AO288" s="166"/>
      <c r="AP288" s="17" t="s">
        <v>211</v>
      </c>
      <c r="AQ288" s="162"/>
      <c r="AR288" s="169"/>
      <c r="AS288" s="169"/>
      <c r="AT288" s="162">
        <v>2.72</v>
      </c>
      <c r="AU288" s="162">
        <f>26.8+0.43</f>
        <v>27.23</v>
      </c>
      <c r="AV288" s="141">
        <f t="shared" si="408"/>
        <v>29.95</v>
      </c>
      <c r="AW288" s="142">
        <f t="shared" si="409"/>
        <v>4.2785714285714285</v>
      </c>
      <c r="AX288" s="126">
        <f t="shared" si="440"/>
        <v>4.0942177045177042</v>
      </c>
      <c r="AY288" s="163"/>
      <c r="AZ288" s="183"/>
      <c r="BA288" s="188">
        <f>AV288+8.8</f>
        <v>38.75</v>
      </c>
      <c r="BB288" s="161">
        <f t="shared" si="398"/>
        <v>18.196523131189796</v>
      </c>
      <c r="BC288" s="161">
        <f t="shared" si="399"/>
        <v>10.917913878713877</v>
      </c>
      <c r="BD288" s="161">
        <f t="shared" si="400"/>
        <v>9.098261565594898</v>
      </c>
      <c r="BE288" s="161">
        <f t="shared" si="401"/>
        <v>7.2786092524759187</v>
      </c>
    </row>
    <row r="289" spans="1:57" s="129" customFormat="1" hidden="1">
      <c r="A289" s="88" t="s">
        <v>1302</v>
      </c>
      <c r="B289" s="88" t="s">
        <v>1317</v>
      </c>
      <c r="C289" s="88" t="s">
        <v>1317</v>
      </c>
      <c r="D289" s="88" t="s">
        <v>55</v>
      </c>
      <c r="E289" s="88" t="s">
        <v>621</v>
      </c>
      <c r="F289" s="89" t="s">
        <v>621</v>
      </c>
      <c r="G289" s="131" t="s">
        <v>622</v>
      </c>
      <c r="H289" s="92"/>
      <c r="I289" s="167" t="s">
        <v>631</v>
      </c>
      <c r="J289" s="167" t="str">
        <f>_xlfn.XLOOKUP(I289,[1]Sheet1!$A:$A,[1]Sheet1!$B:$B,"")</f>
        <v>U0501013</v>
      </c>
      <c r="K289" s="90" t="s">
        <v>632</v>
      </c>
      <c r="L289" s="90" t="s">
        <v>633</v>
      </c>
      <c r="M289" s="92"/>
      <c r="N289" s="89" t="s">
        <v>60</v>
      </c>
      <c r="O289" s="92"/>
      <c r="P289" s="88" t="s">
        <v>241</v>
      </c>
      <c r="Q289" s="92" t="s">
        <v>625</v>
      </c>
      <c r="R289" s="92">
        <v>240</v>
      </c>
      <c r="S289" s="431" t="s">
        <v>634</v>
      </c>
      <c r="T289" s="128" t="s">
        <v>3863</v>
      </c>
      <c r="U289" s="456">
        <v>1.7000000000000001E-2</v>
      </c>
      <c r="V289" s="207">
        <v>45</v>
      </c>
      <c r="W289" s="207">
        <v>45</v>
      </c>
      <c r="X289" s="207">
        <v>55</v>
      </c>
      <c r="Y289" s="207" t="s">
        <v>359</v>
      </c>
      <c r="Z289" s="133">
        <f>AW289/(1-(AF289+2%))</f>
        <v>6.1006036217303832</v>
      </c>
      <c r="AA289" s="133"/>
      <c r="AB289" s="161">
        <f t="shared" si="402"/>
        <v>5.6716346864703038</v>
      </c>
      <c r="AC289" s="161"/>
      <c r="AD289" s="213">
        <f t="shared" si="403"/>
        <v>0.1</v>
      </c>
      <c r="AE289" s="213">
        <v>0.1</v>
      </c>
      <c r="AF289" s="215">
        <v>0.27</v>
      </c>
      <c r="AG289" s="215" t="s">
        <v>9</v>
      </c>
      <c r="AH289" s="148">
        <f t="shared" si="397"/>
        <v>5.6716346864703038</v>
      </c>
      <c r="AI289" s="122">
        <f t="shared" si="396"/>
        <v>0.27</v>
      </c>
      <c r="AJ289" s="444"/>
      <c r="AK289" s="150">
        <f t="shared" si="404"/>
        <v>4.8126984126984134</v>
      </c>
      <c r="AL289" s="153">
        <f t="shared" si="405"/>
        <v>4.6003259123592457</v>
      </c>
      <c r="AM289" s="125">
        <f t="shared" si="406"/>
        <v>0.21111111111111114</v>
      </c>
      <c r="AN289" s="125">
        <f t="shared" si="439"/>
        <v>0.18888888888888899</v>
      </c>
      <c r="AO289" s="166"/>
      <c r="AP289" s="17" t="s">
        <v>211</v>
      </c>
      <c r="AQ289" s="162"/>
      <c r="AR289" s="162"/>
      <c r="AS289" s="162"/>
      <c r="AT289" s="162">
        <v>2.72</v>
      </c>
      <c r="AU289" s="162">
        <v>27.6</v>
      </c>
      <c r="AV289" s="191">
        <f t="shared" si="408"/>
        <v>30.32</v>
      </c>
      <c r="AW289" s="142">
        <f t="shared" si="409"/>
        <v>4.3314285714285718</v>
      </c>
      <c r="AX289" s="126">
        <f t="shared" si="440"/>
        <v>4.1402933211233215</v>
      </c>
      <c r="AY289" s="2"/>
      <c r="AZ289" s="183"/>
      <c r="BA289" s="189"/>
      <c r="BB289" s="161">
        <f t="shared" si="398"/>
        <v>18.905448954901015</v>
      </c>
      <c r="BC289" s="161">
        <f t="shared" si="399"/>
        <v>11.343269372940609</v>
      </c>
      <c r="BD289" s="161">
        <f t="shared" si="400"/>
        <v>9.4527244774505075</v>
      </c>
      <c r="BE289" s="161">
        <f t="shared" si="401"/>
        <v>7.5621795819604065</v>
      </c>
    </row>
    <row r="290" spans="1:57" s="129" customFormat="1" ht="12.75" hidden="1" customHeight="1">
      <c r="A290" s="88" t="s">
        <v>1302</v>
      </c>
      <c r="B290" s="88" t="s">
        <v>1318</v>
      </c>
      <c r="C290" s="88" t="s">
        <v>1318</v>
      </c>
      <c r="D290" s="88" t="s">
        <v>55</v>
      </c>
      <c r="E290" s="88" t="s">
        <v>621</v>
      </c>
      <c r="F290" s="89" t="s">
        <v>621</v>
      </c>
      <c r="G290" s="131" t="s">
        <v>622</v>
      </c>
      <c r="H290" s="92"/>
      <c r="I290" s="167" t="s">
        <v>1738</v>
      </c>
      <c r="J290" s="167" t="str">
        <f>_xlfn.XLOOKUP(I290,[1]Sheet1!$A:$A,[1]Sheet1!$B:$B,"")</f>
        <v>U0501011</v>
      </c>
      <c r="K290" s="90" t="s">
        <v>2803</v>
      </c>
      <c r="L290" s="228" t="s">
        <v>1589</v>
      </c>
      <c r="M290" s="92"/>
      <c r="N290" s="89" t="s">
        <v>60</v>
      </c>
      <c r="O290" s="92"/>
      <c r="P290" s="88" t="s">
        <v>241</v>
      </c>
      <c r="Q290" s="92" t="s">
        <v>635</v>
      </c>
      <c r="R290" s="92">
        <v>240</v>
      </c>
      <c r="S290" s="431" t="s">
        <v>3687</v>
      </c>
      <c r="T290" s="128" t="s">
        <v>3863</v>
      </c>
      <c r="U290" s="456">
        <v>1.7000000000000001E-2</v>
      </c>
      <c r="V290" s="207">
        <v>45</v>
      </c>
      <c r="W290" s="207">
        <v>45</v>
      </c>
      <c r="X290" s="207">
        <v>55</v>
      </c>
      <c r="Y290" s="207" t="s">
        <v>359</v>
      </c>
      <c r="Z290" s="133">
        <f t="shared" si="377"/>
        <v>6.4605543710021323</v>
      </c>
      <c r="AA290" s="133"/>
      <c r="AB290" s="161">
        <f t="shared" si="402"/>
        <v>5.9968155757286201</v>
      </c>
      <c r="AC290" s="161"/>
      <c r="AD290" s="213">
        <v>0.1</v>
      </c>
      <c r="AE290" s="213">
        <v>0.1</v>
      </c>
      <c r="AF290" s="215">
        <v>0.31</v>
      </c>
      <c r="AG290" s="215" t="s">
        <v>9</v>
      </c>
      <c r="AH290" s="148">
        <f t="shared" si="397"/>
        <v>5.9968155757286201</v>
      </c>
      <c r="AI290" s="122">
        <f>1-(AX290/AH290)</f>
        <v>0.31000000000000005</v>
      </c>
      <c r="AJ290" s="444"/>
      <c r="AK290" s="150">
        <f>AW290/(1-AD290)</f>
        <v>4.8095238095238093</v>
      </c>
      <c r="AL290" s="153">
        <f>AX290/(1-AE290)</f>
        <v>4.5975586080586082</v>
      </c>
      <c r="AM290" s="125">
        <f>1-(AK290/Z290)</f>
        <v>0.25555555555555565</v>
      </c>
      <c r="AN290" s="125">
        <f>1-(AL290/AB290)</f>
        <v>0.23333333333333339</v>
      </c>
      <c r="AO290" s="222">
        <v>4.415492957746479</v>
      </c>
      <c r="AP290" s="17" t="s">
        <v>282</v>
      </c>
      <c r="AQ290" s="162"/>
      <c r="AR290" s="162"/>
      <c r="AS290" s="162"/>
      <c r="AT290" s="162">
        <v>0.5</v>
      </c>
      <c r="AU290" s="162">
        <v>29.8</v>
      </c>
      <c r="AV290" s="141">
        <f t="shared" ref="AV290" si="478">AT290+AU290</f>
        <v>30.3</v>
      </c>
      <c r="AW290" s="142">
        <f t="shared" ref="AW290" si="479">(AT290+AU290)/$F$5</f>
        <v>4.3285714285714283</v>
      </c>
      <c r="AX290" s="126">
        <f>(AW290/$F$6)+(($F$9+$G$9)/40/R290)+AW290*U290</f>
        <v>4.1378027472527474</v>
      </c>
      <c r="AY290" s="2" t="s">
        <v>2229</v>
      </c>
      <c r="AZ290" s="183"/>
      <c r="BB290" s="161">
        <f t="shared" si="398"/>
        <v>19.989385252428736</v>
      </c>
      <c r="BC290" s="161">
        <f t="shared" si="399"/>
        <v>11.993631151457242</v>
      </c>
      <c r="BD290" s="161">
        <f t="shared" si="400"/>
        <v>9.994692626214368</v>
      </c>
      <c r="BE290" s="161">
        <f t="shared" si="401"/>
        <v>7.995754100971495</v>
      </c>
    </row>
    <row r="291" spans="1:57" s="129" customFormat="1" hidden="1">
      <c r="A291" s="88" t="s">
        <v>1302</v>
      </c>
      <c r="B291" s="88" t="s">
        <v>1318</v>
      </c>
      <c r="C291" s="88" t="s">
        <v>1318</v>
      </c>
      <c r="D291" s="88" t="s">
        <v>55</v>
      </c>
      <c r="E291" s="88" t="s">
        <v>621</v>
      </c>
      <c r="F291" s="89" t="s">
        <v>621</v>
      </c>
      <c r="G291" s="131" t="s">
        <v>622</v>
      </c>
      <c r="H291" s="92"/>
      <c r="I291" s="167" t="s">
        <v>2211</v>
      </c>
      <c r="J291" s="167" t="str">
        <f>_xlfn.XLOOKUP(I291,[1]Sheet1!$A:$A,[1]Sheet1!$B:$B,"")</f>
        <v>U0501015</v>
      </c>
      <c r="K291" s="90" t="s">
        <v>2804</v>
      </c>
      <c r="L291" s="90" t="s">
        <v>1590</v>
      </c>
      <c r="M291" s="92"/>
      <c r="N291" s="89" t="s">
        <v>60</v>
      </c>
      <c r="O291" s="92"/>
      <c r="P291" s="88" t="s">
        <v>241</v>
      </c>
      <c r="Q291" s="92" t="s">
        <v>635</v>
      </c>
      <c r="R291" s="92">
        <v>320</v>
      </c>
      <c r="S291" s="431" t="s">
        <v>636</v>
      </c>
      <c r="T291" s="128" t="s">
        <v>3863</v>
      </c>
      <c r="U291" s="456">
        <v>1.7000000000000001E-2</v>
      </c>
      <c r="V291" s="207">
        <v>45</v>
      </c>
      <c r="W291" s="207">
        <v>45</v>
      </c>
      <c r="X291" s="207">
        <v>55</v>
      </c>
      <c r="Y291" s="207" t="s">
        <v>359</v>
      </c>
      <c r="Z291" s="133">
        <f t="shared" si="377"/>
        <v>13.782696177062377</v>
      </c>
      <c r="AA291" s="133"/>
      <c r="AB291" s="161">
        <f t="shared" ref="AB291" si="480">AX291/(1-AF291)</f>
        <v>12.059798639336311</v>
      </c>
      <c r="AC291" s="161"/>
      <c r="AD291" s="213">
        <v>0.1</v>
      </c>
      <c r="AE291" s="213">
        <v>0.1</v>
      </c>
      <c r="AF291" s="215">
        <v>0.27</v>
      </c>
      <c r="AG291" s="215" t="s">
        <v>9</v>
      </c>
      <c r="AH291" s="148">
        <f t="shared" si="397"/>
        <v>12.059798639336311</v>
      </c>
      <c r="AI291" s="122">
        <f>1-(AX291/AH291)</f>
        <v>0.27</v>
      </c>
      <c r="AJ291" s="444"/>
      <c r="AK291" s="150">
        <f>AW291/(1-AD291)</f>
        <v>10.873015873015873</v>
      </c>
      <c r="AL291" s="153">
        <f>AX291/(1-AE291)</f>
        <v>9.7818366741283409</v>
      </c>
      <c r="AM291" s="125">
        <f>1-(AK291/Z291)</f>
        <v>0.21111111111111125</v>
      </c>
      <c r="AN291" s="125">
        <f>1-(AL291/AB291)</f>
        <v>0.18888888888888888</v>
      </c>
      <c r="AO291" s="222">
        <v>4.415492957746479</v>
      </c>
      <c r="AP291" s="17" t="s">
        <v>282</v>
      </c>
      <c r="AQ291" s="162"/>
      <c r="AR291" s="162"/>
      <c r="AS291" s="162"/>
      <c r="AT291" s="162"/>
      <c r="AU291" s="162">
        <v>68.5</v>
      </c>
      <c r="AV291" s="141">
        <f t="shared" ref="AV291" si="481">AT291+AU291</f>
        <v>68.5</v>
      </c>
      <c r="AW291" s="142">
        <f t="shared" ref="AW291" si="482">(AT291+AU291)/$F$5</f>
        <v>9.7857142857142865</v>
      </c>
      <c r="AX291" s="126">
        <f>(AW291/$F$6)+(($F$9+$G$9)/40/R291)+AW291*U291</f>
        <v>8.803653006715507</v>
      </c>
      <c r="AY291" s="2"/>
      <c r="AZ291" s="183"/>
      <c r="BB291" s="161">
        <f t="shared" si="398"/>
        <v>40.199328797787707</v>
      </c>
      <c r="BC291" s="161">
        <f t="shared" si="399"/>
        <v>24.119597278672625</v>
      </c>
      <c r="BD291" s="161">
        <f t="shared" si="400"/>
        <v>20.099664398893854</v>
      </c>
      <c r="BE291" s="161">
        <f t="shared" si="401"/>
        <v>16.079731519115082</v>
      </c>
    </row>
    <row r="292" spans="1:57" s="129" customFormat="1" hidden="1">
      <c r="A292" s="90" t="s">
        <v>1302</v>
      </c>
      <c r="B292" s="88" t="s">
        <v>1317</v>
      </c>
      <c r="C292" s="88" t="s">
        <v>1318</v>
      </c>
      <c r="D292" s="90" t="s">
        <v>55</v>
      </c>
      <c r="E292" s="90" t="s">
        <v>621</v>
      </c>
      <c r="F292" s="90" t="s">
        <v>621</v>
      </c>
      <c r="G292" s="131" t="s">
        <v>266</v>
      </c>
      <c r="H292" s="92"/>
      <c r="I292" s="167" t="s">
        <v>637</v>
      </c>
      <c r="J292" s="167" t="str">
        <f>_xlfn.XLOOKUP(I292,[1]Sheet1!$A:$A,[1]Sheet1!$B:$B,"")</f>
        <v>U0501003</v>
      </c>
      <c r="K292" s="90" t="s">
        <v>638</v>
      </c>
      <c r="L292" s="90" t="s">
        <v>2609</v>
      </c>
      <c r="M292" s="92"/>
      <c r="N292" s="89" t="s">
        <v>60</v>
      </c>
      <c r="O292" s="92"/>
      <c r="P292" s="88" t="s">
        <v>241</v>
      </c>
      <c r="Q292" s="92" t="s">
        <v>635</v>
      </c>
      <c r="R292" s="92">
        <v>240</v>
      </c>
      <c r="S292" s="431" t="e">
        <v>#N/A</v>
      </c>
      <c r="T292" s="128" t="s">
        <v>3863</v>
      </c>
      <c r="U292" s="456">
        <v>1.7000000000000001E-2</v>
      </c>
      <c r="V292" s="207">
        <v>45</v>
      </c>
      <c r="W292" s="207">
        <v>45</v>
      </c>
      <c r="X292" s="207">
        <v>55</v>
      </c>
      <c r="Y292" s="207" t="s">
        <v>359</v>
      </c>
      <c r="Z292" s="133">
        <f t="shared" ref="Z292:Z299" si="483">AW292/(1-(AF292+2%))</f>
        <v>6.8329297820823243</v>
      </c>
      <c r="AA292" s="133"/>
      <c r="AB292" s="161">
        <f t="shared" si="402"/>
        <v>6.3586607618246962</v>
      </c>
      <c r="AC292" s="161"/>
      <c r="AD292" s="213">
        <f t="shared" si="403"/>
        <v>0.1</v>
      </c>
      <c r="AE292" s="213">
        <v>0.1</v>
      </c>
      <c r="AF292" s="215">
        <v>0.39</v>
      </c>
      <c r="AG292" s="215" t="str">
        <f>VLOOKUP(I292,'[3]PO &amp; SC March 2024'!$F$11:$AA$197,20,FALSE)</f>
        <v>C</v>
      </c>
      <c r="AH292" s="148">
        <f t="shared" ref="AH292:AH299" si="484">AB292</f>
        <v>6.3586607618246962</v>
      </c>
      <c r="AI292" s="122">
        <f t="shared" si="396"/>
        <v>0.39</v>
      </c>
      <c r="AJ292" s="444"/>
      <c r="AK292" s="150">
        <f t="shared" si="404"/>
        <v>4.4793650793650786</v>
      </c>
      <c r="AL292" s="153">
        <f t="shared" si="405"/>
        <v>4.3097589607922941</v>
      </c>
      <c r="AM292" s="125">
        <f t="shared" si="406"/>
        <v>0.34444444444444455</v>
      </c>
      <c r="AN292" s="125">
        <f t="shared" si="439"/>
        <v>0.32222222222222219</v>
      </c>
      <c r="AO292" s="166"/>
      <c r="AP292" s="17" t="s">
        <v>211</v>
      </c>
      <c r="AQ292" s="162"/>
      <c r="AR292" s="169"/>
      <c r="AS292" s="169"/>
      <c r="AT292" s="162">
        <v>2.72</v>
      </c>
      <c r="AU292" s="162">
        <v>25.5</v>
      </c>
      <c r="AV292" s="141">
        <f t="shared" si="408"/>
        <v>28.22</v>
      </c>
      <c r="AW292" s="142">
        <f t="shared" si="409"/>
        <v>4.0314285714285711</v>
      </c>
      <c r="AX292" s="126">
        <f t="shared" si="440"/>
        <v>3.8787830647130646</v>
      </c>
      <c r="AY292" s="163"/>
      <c r="AZ292" s="183"/>
      <c r="BB292" s="161">
        <f t="shared" si="398"/>
        <v>21.195535872748987</v>
      </c>
      <c r="BC292" s="161">
        <f t="shared" si="399"/>
        <v>12.717321523649392</v>
      </c>
      <c r="BD292" s="161">
        <f t="shared" si="400"/>
        <v>10.597767936374494</v>
      </c>
      <c r="BE292" s="161">
        <f t="shared" si="401"/>
        <v>8.4782143490995949</v>
      </c>
    </row>
    <row r="293" spans="1:57" s="129" customFormat="1" hidden="1">
      <c r="A293" s="88" t="s">
        <v>1302</v>
      </c>
      <c r="B293" s="88" t="s">
        <v>1317</v>
      </c>
      <c r="C293" s="88" t="s">
        <v>1317</v>
      </c>
      <c r="D293" s="88" t="s">
        <v>55</v>
      </c>
      <c r="E293" s="88" t="s">
        <v>621</v>
      </c>
      <c r="F293" s="89" t="s">
        <v>621</v>
      </c>
      <c r="G293" s="131" t="s">
        <v>397</v>
      </c>
      <c r="H293" s="92"/>
      <c r="I293" s="167" t="s">
        <v>1837</v>
      </c>
      <c r="J293" s="167" t="str">
        <f>_xlfn.XLOOKUP(I293,[1]Sheet1!$A:$A,[1]Sheet1!$B:$B,"")</f>
        <v>U0501002</v>
      </c>
      <c r="K293" s="90" t="s">
        <v>639</v>
      </c>
      <c r="L293" s="90" t="s">
        <v>640</v>
      </c>
      <c r="M293" s="92"/>
      <c r="N293" s="89" t="s">
        <v>60</v>
      </c>
      <c r="O293" s="92"/>
      <c r="P293" s="88" t="s">
        <v>241</v>
      </c>
      <c r="Q293" s="92" t="s">
        <v>635</v>
      </c>
      <c r="R293" s="92">
        <v>256</v>
      </c>
      <c r="S293" s="455" t="e">
        <v>#N/A</v>
      </c>
      <c r="T293" s="128" t="s">
        <v>3863</v>
      </c>
      <c r="U293" s="456">
        <v>1.7000000000000001E-2</v>
      </c>
      <c r="V293" s="207">
        <v>45</v>
      </c>
      <c r="W293" s="207">
        <v>45</v>
      </c>
      <c r="X293" s="207">
        <v>55</v>
      </c>
      <c r="Y293" s="207" t="s">
        <v>359</v>
      </c>
      <c r="Z293" s="133">
        <f t="shared" si="483"/>
        <v>8.7167070217917679</v>
      </c>
      <c r="AA293" s="133"/>
      <c r="AB293" s="161">
        <f t="shared" si="402"/>
        <v>7.9095571180868314</v>
      </c>
      <c r="AC293" s="161"/>
      <c r="AD293" s="213">
        <f t="shared" si="403"/>
        <v>0.1</v>
      </c>
      <c r="AE293" s="213">
        <v>0.1</v>
      </c>
      <c r="AF293" s="215">
        <v>0.39</v>
      </c>
      <c r="AG293" s="215" t="s">
        <v>9</v>
      </c>
      <c r="AH293" s="148">
        <f t="shared" si="484"/>
        <v>7.9095571180868314</v>
      </c>
      <c r="AI293" s="122">
        <f t="shared" si="396"/>
        <v>0.39</v>
      </c>
      <c r="AJ293" s="444"/>
      <c r="AK293" s="150">
        <f t="shared" si="404"/>
        <v>5.7142857142857144</v>
      </c>
      <c r="AL293" s="153">
        <f t="shared" si="405"/>
        <v>5.3609220467032968</v>
      </c>
      <c r="AM293" s="125">
        <f t="shared" si="406"/>
        <v>0.34444444444444444</v>
      </c>
      <c r="AN293" s="125">
        <f t="shared" si="439"/>
        <v>0.32222222222222219</v>
      </c>
      <c r="AO293" s="140"/>
      <c r="AP293" s="17" t="s">
        <v>259</v>
      </c>
      <c r="AQ293" s="162"/>
      <c r="AR293" s="162"/>
      <c r="AS293" s="162"/>
      <c r="AT293" s="162">
        <v>2.72</v>
      </c>
      <c r="AU293" s="162">
        <v>33.28</v>
      </c>
      <c r="AV293" s="141">
        <f t="shared" si="408"/>
        <v>36</v>
      </c>
      <c r="AW293" s="142">
        <f t="shared" si="409"/>
        <v>5.1428571428571432</v>
      </c>
      <c r="AX293" s="126">
        <f t="shared" si="440"/>
        <v>4.8248298420329672</v>
      </c>
      <c r="AY293" s="17"/>
      <c r="AZ293" s="183"/>
      <c r="BB293" s="161">
        <f t="shared" si="398"/>
        <v>26.365190393622772</v>
      </c>
      <c r="BC293" s="161">
        <f t="shared" si="399"/>
        <v>15.819114236173663</v>
      </c>
      <c r="BD293" s="161">
        <f t="shared" si="400"/>
        <v>13.182595196811386</v>
      </c>
      <c r="BE293" s="161">
        <f t="shared" si="401"/>
        <v>10.546076157449109</v>
      </c>
    </row>
    <row r="294" spans="1:57" s="129" customFormat="1" hidden="1">
      <c r="A294" s="88" t="s">
        <v>1302</v>
      </c>
      <c r="B294" s="88" t="s">
        <v>1318</v>
      </c>
      <c r="C294" s="88" t="s">
        <v>1318</v>
      </c>
      <c r="D294" s="88" t="s">
        <v>55</v>
      </c>
      <c r="E294" s="88" t="s">
        <v>621</v>
      </c>
      <c r="F294" s="89" t="s">
        <v>621</v>
      </c>
      <c r="G294" s="131" t="s">
        <v>622</v>
      </c>
      <c r="H294" s="92"/>
      <c r="I294" s="167" t="s">
        <v>3274</v>
      </c>
      <c r="J294" s="167" t="str">
        <f>_xlfn.XLOOKUP(I294,[1]Sheet1!$A:$A,[1]Sheet1!$B:$B,"")</f>
        <v>U0501009</v>
      </c>
      <c r="K294" s="90" t="s">
        <v>641</v>
      </c>
      <c r="L294" s="90" t="s">
        <v>628</v>
      </c>
      <c r="M294" s="92"/>
      <c r="N294" s="89" t="s">
        <v>60</v>
      </c>
      <c r="O294" s="92"/>
      <c r="P294" s="88" t="s">
        <v>241</v>
      </c>
      <c r="Q294" s="92" t="s">
        <v>635</v>
      </c>
      <c r="R294" s="92">
        <v>240</v>
      </c>
      <c r="S294" s="431" t="s">
        <v>636</v>
      </c>
      <c r="T294" s="128" t="s">
        <v>3863</v>
      </c>
      <c r="U294" s="456">
        <v>1.7000000000000001E-2</v>
      </c>
      <c r="V294" s="207">
        <v>45</v>
      </c>
      <c r="W294" s="207">
        <v>45</v>
      </c>
      <c r="X294" s="207">
        <v>55</v>
      </c>
      <c r="Y294" s="207" t="s">
        <v>359</v>
      </c>
      <c r="Z294" s="133">
        <f t="shared" si="483"/>
        <v>6.5942028985507246</v>
      </c>
      <c r="AA294" s="133"/>
      <c r="AB294" s="161">
        <f t="shared" si="402"/>
        <v>6.0997496087636938</v>
      </c>
      <c r="AC294" s="161"/>
      <c r="AD294" s="213">
        <f t="shared" si="403"/>
        <v>0.1</v>
      </c>
      <c r="AE294" s="213">
        <v>0.1</v>
      </c>
      <c r="AF294" s="215">
        <v>0.29000000000000004</v>
      </c>
      <c r="AG294" s="215" t="s">
        <v>9</v>
      </c>
      <c r="AH294" s="148">
        <f t="shared" si="484"/>
        <v>6.0997496087636938</v>
      </c>
      <c r="AI294" s="122">
        <f t="shared" si="396"/>
        <v>0.29000000000000004</v>
      </c>
      <c r="AJ294" s="444"/>
      <c r="AK294" s="150">
        <f t="shared" si="404"/>
        <v>5.0555555555555554</v>
      </c>
      <c r="AL294" s="153">
        <f t="shared" si="405"/>
        <v>4.8120246913580251</v>
      </c>
      <c r="AM294" s="125">
        <f t="shared" si="406"/>
        <v>0.23333333333333339</v>
      </c>
      <c r="AN294" s="125">
        <f t="shared" si="439"/>
        <v>0.21111111111111114</v>
      </c>
      <c r="AO294" s="166"/>
      <c r="AP294" s="17" t="s">
        <v>249</v>
      </c>
      <c r="AQ294" s="162"/>
      <c r="AR294" s="162"/>
      <c r="AS294" s="162"/>
      <c r="AT294" s="162">
        <v>0.5</v>
      </c>
      <c r="AU294" s="162">
        <v>31.35</v>
      </c>
      <c r="AV294" s="141">
        <f t="shared" si="408"/>
        <v>31.85</v>
      </c>
      <c r="AW294" s="142">
        <f t="shared" si="409"/>
        <v>4.55</v>
      </c>
      <c r="AX294" s="126">
        <f>(AW294/$F$6)+(($F$9+$G$9)/40/R294)+AW294*U294</f>
        <v>4.3308222222222224</v>
      </c>
      <c r="AY294" s="2" t="s">
        <v>2228</v>
      </c>
      <c r="AZ294" s="183"/>
      <c r="BB294" s="161">
        <f t="shared" si="398"/>
        <v>20.332498695878979</v>
      </c>
      <c r="BC294" s="161">
        <f t="shared" si="399"/>
        <v>12.199499217527388</v>
      </c>
      <c r="BD294" s="161">
        <f t="shared" si="400"/>
        <v>10.166249347939489</v>
      </c>
      <c r="BE294" s="161">
        <f t="shared" si="401"/>
        <v>8.1329994783515911</v>
      </c>
    </row>
    <row r="295" spans="1:57" s="129" customFormat="1" hidden="1">
      <c r="A295" s="90" t="s">
        <v>1302</v>
      </c>
      <c r="B295" s="88" t="s">
        <v>1317</v>
      </c>
      <c r="C295" s="88" t="s">
        <v>1317</v>
      </c>
      <c r="D295" s="90" t="s">
        <v>55</v>
      </c>
      <c r="E295" s="90" t="s">
        <v>621</v>
      </c>
      <c r="F295" s="90" t="s">
        <v>621</v>
      </c>
      <c r="G295" s="131" t="s">
        <v>266</v>
      </c>
      <c r="H295" s="92"/>
      <c r="I295" s="167" t="s">
        <v>642</v>
      </c>
      <c r="J295" s="167" t="str">
        <f>_xlfn.XLOOKUP(I295,[1]Sheet1!$A:$A,[1]Sheet1!$B:$B,"")</f>
        <v>U0501001</v>
      </c>
      <c r="K295" s="90" t="s">
        <v>643</v>
      </c>
      <c r="L295" s="90" t="s">
        <v>644</v>
      </c>
      <c r="M295" s="92"/>
      <c r="N295" s="89" t="s">
        <v>60</v>
      </c>
      <c r="O295" s="92"/>
      <c r="P295" s="88" t="s">
        <v>241</v>
      </c>
      <c r="Q295" s="92" t="s">
        <v>635</v>
      </c>
      <c r="R295" s="92">
        <v>240</v>
      </c>
      <c r="S295" s="431" t="e">
        <v>#N/A</v>
      </c>
      <c r="T295" s="128" t="s">
        <v>3863</v>
      </c>
      <c r="U295" s="456">
        <v>1.7000000000000001E-2</v>
      </c>
      <c r="V295" s="207">
        <v>45</v>
      </c>
      <c r="W295" s="207">
        <v>45</v>
      </c>
      <c r="X295" s="207">
        <v>55</v>
      </c>
      <c r="Y295" s="207" t="s">
        <v>359</v>
      </c>
      <c r="Z295" s="133">
        <f t="shared" si="483"/>
        <v>12.401656314699794</v>
      </c>
      <c r="AA295" s="133"/>
      <c r="AB295" s="161">
        <f t="shared" si="402"/>
        <v>11.019509965777573</v>
      </c>
      <c r="AC295" s="161"/>
      <c r="AD295" s="213">
        <f t="shared" si="403"/>
        <v>0.1</v>
      </c>
      <c r="AE295" s="213">
        <v>0.1</v>
      </c>
      <c r="AF295" s="215">
        <v>0.29000000000000004</v>
      </c>
      <c r="AG295" s="215" t="s">
        <v>9</v>
      </c>
      <c r="AH295" s="148">
        <f t="shared" si="484"/>
        <v>11.019509965777573</v>
      </c>
      <c r="AI295" s="122">
        <f t="shared" si="396"/>
        <v>0.29000000000000004</v>
      </c>
      <c r="AJ295" s="444"/>
      <c r="AK295" s="150">
        <f t="shared" si="404"/>
        <v>9.5079365079365079</v>
      </c>
      <c r="AL295" s="153">
        <f t="shared" si="405"/>
        <v>8.6931689730023063</v>
      </c>
      <c r="AM295" s="125">
        <f t="shared" si="406"/>
        <v>0.23333333333333339</v>
      </c>
      <c r="AN295" s="125">
        <f t="shared" si="439"/>
        <v>0.21111111111111125</v>
      </c>
      <c r="AO295" s="166"/>
      <c r="AP295" s="17" t="s">
        <v>249</v>
      </c>
      <c r="AQ295" s="162"/>
      <c r="AR295" s="169"/>
      <c r="AS295" s="169"/>
      <c r="AT295" s="169"/>
      <c r="AU295" s="162">
        <v>59.9</v>
      </c>
      <c r="AV295" s="141">
        <f t="shared" si="408"/>
        <v>59.9</v>
      </c>
      <c r="AW295" s="142">
        <f t="shared" si="409"/>
        <v>8.5571428571428569</v>
      </c>
      <c r="AX295" s="126">
        <f t="shared" si="440"/>
        <v>7.8238520757020762</v>
      </c>
      <c r="AY295" s="147" t="s">
        <v>645</v>
      </c>
      <c r="AZ295" s="183"/>
      <c r="BB295" s="161">
        <f t="shared" ref="BB295:BB364" si="485">AB295/0.3</f>
        <v>36.731699885925245</v>
      </c>
      <c r="BC295" s="161">
        <f t="shared" ref="BC295:BC364" si="486">BB295*0.6</f>
        <v>22.039019931555146</v>
      </c>
      <c r="BD295" s="161">
        <f t="shared" ref="BD295:BD364" si="487">BB295*0.5</f>
        <v>18.365849942962623</v>
      </c>
      <c r="BE295" s="161">
        <f t="shared" ref="BE295:BE364" si="488">BB295*0.4</f>
        <v>14.692679954370099</v>
      </c>
    </row>
    <row r="296" spans="1:57" s="129" customFormat="1" hidden="1">
      <c r="A296" s="88" t="s">
        <v>1302</v>
      </c>
      <c r="B296" s="88" t="s">
        <v>1318</v>
      </c>
      <c r="C296" s="88" t="s">
        <v>1318</v>
      </c>
      <c r="D296" s="88" t="s">
        <v>55</v>
      </c>
      <c r="E296" s="88" t="s">
        <v>621</v>
      </c>
      <c r="F296" s="89" t="s">
        <v>621</v>
      </c>
      <c r="G296" s="131" t="s">
        <v>622</v>
      </c>
      <c r="H296" s="92"/>
      <c r="I296" s="167" t="s">
        <v>646</v>
      </c>
      <c r="J296" s="167" t="str">
        <f>_xlfn.XLOOKUP(I296,[1]Sheet1!$A:$A,[1]Sheet1!$B:$B,"")</f>
        <v>U0501007</v>
      </c>
      <c r="K296" s="90" t="s">
        <v>647</v>
      </c>
      <c r="L296" s="90" t="s">
        <v>648</v>
      </c>
      <c r="M296" s="92"/>
      <c r="N296" s="89" t="s">
        <v>60</v>
      </c>
      <c r="O296" s="92"/>
      <c r="P296" s="88" t="s">
        <v>241</v>
      </c>
      <c r="Q296" s="92" t="s">
        <v>635</v>
      </c>
      <c r="R296" s="92">
        <v>240</v>
      </c>
      <c r="S296" s="431" t="e">
        <v>#N/A</v>
      </c>
      <c r="T296" s="128" t="s">
        <v>3863</v>
      </c>
      <c r="U296" s="456">
        <v>1.7000000000000001E-2</v>
      </c>
      <c r="V296" s="207">
        <v>45</v>
      </c>
      <c r="W296" s="207">
        <v>45</v>
      </c>
      <c r="X296" s="207">
        <v>55</v>
      </c>
      <c r="Y296" s="207" t="s">
        <v>359</v>
      </c>
      <c r="Z296" s="133">
        <f t="shared" si="483"/>
        <v>9.6480331262939973</v>
      </c>
      <c r="AA296" s="133"/>
      <c r="AB296" s="161">
        <f t="shared" si="402"/>
        <v>8.6867893686907767</v>
      </c>
      <c r="AC296" s="161"/>
      <c r="AD296" s="213">
        <f t="shared" si="403"/>
        <v>0.1</v>
      </c>
      <c r="AE296" s="213">
        <v>0.1</v>
      </c>
      <c r="AF296" s="215">
        <v>0.29000000000000004</v>
      </c>
      <c r="AG296" s="215" t="s">
        <v>9</v>
      </c>
      <c r="AH296" s="148">
        <f t="shared" si="484"/>
        <v>8.6867893686907767</v>
      </c>
      <c r="AI296" s="122">
        <f t="shared" si="396"/>
        <v>0.29000000000000004</v>
      </c>
      <c r="AJ296" s="444"/>
      <c r="AK296" s="150">
        <f t="shared" si="404"/>
        <v>7.3968253968253972</v>
      </c>
      <c r="AL296" s="153">
        <f t="shared" si="405"/>
        <v>6.8529116130782795</v>
      </c>
      <c r="AM296" s="125">
        <f t="shared" si="406"/>
        <v>0.23333333333333339</v>
      </c>
      <c r="AN296" s="125">
        <f t="shared" si="439"/>
        <v>0.21111111111111114</v>
      </c>
      <c r="AO296" s="166"/>
      <c r="AP296" s="17" t="s">
        <v>249</v>
      </c>
      <c r="AQ296" s="162"/>
      <c r="AR296" s="162"/>
      <c r="AS296" s="162"/>
      <c r="AT296" s="162"/>
      <c r="AU296" s="162">
        <v>46.6</v>
      </c>
      <c r="AV296" s="141">
        <f t="shared" si="408"/>
        <v>46.6</v>
      </c>
      <c r="AW296" s="142">
        <f t="shared" si="409"/>
        <v>6.6571428571428575</v>
      </c>
      <c r="AX296" s="126">
        <f t="shared" si="440"/>
        <v>6.1676204517704516</v>
      </c>
      <c r="AY296" s="147" t="s">
        <v>649</v>
      </c>
      <c r="AZ296" s="183"/>
      <c r="BB296" s="161">
        <f t="shared" si="485"/>
        <v>28.95596456230259</v>
      </c>
      <c r="BC296" s="161">
        <f t="shared" si="486"/>
        <v>17.373578737381553</v>
      </c>
      <c r="BD296" s="161">
        <f t="shared" si="487"/>
        <v>14.477982281151295</v>
      </c>
      <c r="BE296" s="161">
        <f t="shared" si="488"/>
        <v>11.582385824921037</v>
      </c>
    </row>
    <row r="297" spans="1:57" s="129" customFormat="1" hidden="1">
      <c r="A297" s="90" t="s">
        <v>1302</v>
      </c>
      <c r="B297" s="88" t="s">
        <v>1317</v>
      </c>
      <c r="C297" s="88" t="s">
        <v>1318</v>
      </c>
      <c r="D297" s="90" t="s">
        <v>55</v>
      </c>
      <c r="E297" s="90" t="s">
        <v>621</v>
      </c>
      <c r="F297" s="90" t="s">
        <v>621</v>
      </c>
      <c r="G297" s="131" t="s">
        <v>266</v>
      </c>
      <c r="H297" s="92"/>
      <c r="I297" s="167" t="s">
        <v>650</v>
      </c>
      <c r="J297" s="167" t="str">
        <f>_xlfn.XLOOKUP(I297,[1]Sheet1!$A:$A,[1]Sheet1!$B:$B,"")</f>
        <v>U0501004</v>
      </c>
      <c r="K297" s="90" t="s">
        <v>1312</v>
      </c>
      <c r="L297" s="90" t="s">
        <v>1315</v>
      </c>
      <c r="M297" s="92"/>
      <c r="N297" s="89" t="s">
        <v>60</v>
      </c>
      <c r="O297" s="92"/>
      <c r="P297" s="88" t="s">
        <v>241</v>
      </c>
      <c r="Q297" s="92" t="s">
        <v>635</v>
      </c>
      <c r="R297" s="92">
        <v>240</v>
      </c>
      <c r="S297" s="431" t="e">
        <v>#N/A</v>
      </c>
      <c r="T297" s="128" t="s">
        <v>3863</v>
      </c>
      <c r="U297" s="456">
        <v>1.7000000000000001E-2</v>
      </c>
      <c r="V297" s="207">
        <v>45</v>
      </c>
      <c r="W297" s="207">
        <v>45</v>
      </c>
      <c r="X297" s="207">
        <v>55</v>
      </c>
      <c r="Y297" s="207" t="s">
        <v>359</v>
      </c>
      <c r="Z297" s="133">
        <f t="shared" si="483"/>
        <v>14.781746031746032</v>
      </c>
      <c r="AA297" s="133"/>
      <c r="AB297" s="161">
        <f t="shared" si="402"/>
        <v>13.029690542190544</v>
      </c>
      <c r="AC297" s="161"/>
      <c r="AD297" s="213">
        <f t="shared" si="403"/>
        <v>0.1</v>
      </c>
      <c r="AE297" s="213">
        <v>0.1</v>
      </c>
      <c r="AF297" s="215">
        <v>0.26</v>
      </c>
      <c r="AG297" s="215" t="s">
        <v>9</v>
      </c>
      <c r="AH297" s="148">
        <f t="shared" si="484"/>
        <v>13.029690542190544</v>
      </c>
      <c r="AI297" s="122">
        <f t="shared" ref="AI297:AI322" si="489">1-(AX297/AH297)</f>
        <v>0.26</v>
      </c>
      <c r="AJ297" s="444"/>
      <c r="AK297" s="150">
        <f t="shared" si="404"/>
        <v>11.825396825396824</v>
      </c>
      <c r="AL297" s="153">
        <f t="shared" si="405"/>
        <v>10.71330111246778</v>
      </c>
      <c r="AM297" s="125">
        <f t="shared" si="406"/>
        <v>0.20000000000000007</v>
      </c>
      <c r="AN297" s="125">
        <f t="shared" si="439"/>
        <v>0.17777777777777781</v>
      </c>
      <c r="AO297" s="166"/>
      <c r="AP297" s="17" t="s">
        <v>249</v>
      </c>
      <c r="AQ297" s="162"/>
      <c r="AR297" s="169"/>
      <c r="AS297" s="169"/>
      <c r="AT297" s="169"/>
      <c r="AU297" s="162">
        <v>74.5</v>
      </c>
      <c r="AV297" s="141">
        <f t="shared" si="408"/>
        <v>74.5</v>
      </c>
      <c r="AW297" s="142">
        <f t="shared" si="409"/>
        <v>10.642857142857142</v>
      </c>
      <c r="AX297" s="126">
        <f t="shared" si="440"/>
        <v>9.6419710012210018</v>
      </c>
      <c r="AY297" s="147" t="s">
        <v>651</v>
      </c>
      <c r="AZ297" s="183"/>
      <c r="BB297" s="161">
        <f t="shared" si="485"/>
        <v>43.432301807301812</v>
      </c>
      <c r="BC297" s="161">
        <f t="shared" si="486"/>
        <v>26.059381084381087</v>
      </c>
      <c r="BD297" s="161">
        <f t="shared" si="487"/>
        <v>21.716150903650906</v>
      </c>
      <c r="BE297" s="161">
        <f t="shared" si="488"/>
        <v>17.372920722920725</v>
      </c>
    </row>
    <row r="298" spans="1:57" s="129" customFormat="1" hidden="1">
      <c r="A298" s="90" t="s">
        <v>1302</v>
      </c>
      <c r="B298" s="88" t="s">
        <v>1317</v>
      </c>
      <c r="C298" s="88" t="s">
        <v>1318</v>
      </c>
      <c r="D298" s="90" t="s">
        <v>55</v>
      </c>
      <c r="E298" s="90" t="s">
        <v>621</v>
      </c>
      <c r="F298" s="90" t="s">
        <v>621</v>
      </c>
      <c r="G298" s="131" t="s">
        <v>266</v>
      </c>
      <c r="H298" s="92"/>
      <c r="I298" s="167" t="s">
        <v>652</v>
      </c>
      <c r="J298" s="167" t="str">
        <f>_xlfn.XLOOKUP(I298,[1]Sheet1!$A:$A,[1]Sheet1!$B:$B,"")</f>
        <v>U0501005</v>
      </c>
      <c r="K298" s="90" t="s">
        <v>1313</v>
      </c>
      <c r="L298" s="90" t="s">
        <v>1316</v>
      </c>
      <c r="M298" s="92"/>
      <c r="N298" s="89" t="s">
        <v>60</v>
      </c>
      <c r="O298" s="92"/>
      <c r="P298" s="88" t="s">
        <v>241</v>
      </c>
      <c r="Q298" s="92" t="s">
        <v>635</v>
      </c>
      <c r="R298" s="92">
        <v>120</v>
      </c>
      <c r="S298" s="431" t="e">
        <v>#N/A</v>
      </c>
      <c r="T298" s="128" t="s">
        <v>3863</v>
      </c>
      <c r="U298" s="456">
        <v>1.7000000000000001E-2</v>
      </c>
      <c r="V298" s="207">
        <v>45</v>
      </c>
      <c r="W298" s="207">
        <v>45</v>
      </c>
      <c r="X298" s="207">
        <v>55</v>
      </c>
      <c r="Y298" s="207" t="s">
        <v>359</v>
      </c>
      <c r="Z298" s="133">
        <f t="shared" si="483"/>
        <v>20.281746031746032</v>
      </c>
      <c r="AA298" s="133"/>
      <c r="AB298" s="161">
        <f t="shared" si="402"/>
        <v>18.18714826914827</v>
      </c>
      <c r="AC298" s="161"/>
      <c r="AD298" s="213">
        <f t="shared" si="403"/>
        <v>0.1</v>
      </c>
      <c r="AE298" s="213">
        <v>0.1</v>
      </c>
      <c r="AF298" s="215">
        <v>0.26</v>
      </c>
      <c r="AG298" s="215" t="s">
        <v>9</v>
      </c>
      <c r="AH298" s="148">
        <f t="shared" si="484"/>
        <v>18.18714826914827</v>
      </c>
      <c r="AI298" s="122">
        <f t="shared" si="489"/>
        <v>0.2599999999999999</v>
      </c>
      <c r="AJ298" s="444"/>
      <c r="AK298" s="150">
        <f t="shared" si="404"/>
        <v>16.225396825396825</v>
      </c>
      <c r="AL298" s="153">
        <f t="shared" si="405"/>
        <v>14.953877465744135</v>
      </c>
      <c r="AM298" s="125">
        <f t="shared" si="406"/>
        <v>0.20000000000000007</v>
      </c>
      <c r="AN298" s="125">
        <f t="shared" si="439"/>
        <v>0.1777777777777777</v>
      </c>
      <c r="AO298" s="166"/>
      <c r="AP298" s="17" t="s">
        <v>249</v>
      </c>
      <c r="AQ298" s="162"/>
      <c r="AR298" s="169"/>
      <c r="AS298" s="169"/>
      <c r="AT298" s="169">
        <v>2.72</v>
      </c>
      <c r="AU298" s="162">
        <v>99.5</v>
      </c>
      <c r="AV298" s="141">
        <f t="shared" si="408"/>
        <v>102.22</v>
      </c>
      <c r="AW298" s="142">
        <f t="shared" si="409"/>
        <v>14.602857142857143</v>
      </c>
      <c r="AX298" s="126">
        <f t="shared" si="440"/>
        <v>13.458489719169721</v>
      </c>
      <c r="AY298" s="147" t="s">
        <v>653</v>
      </c>
      <c r="AZ298" s="183"/>
      <c r="BB298" s="161">
        <f t="shared" si="485"/>
        <v>60.623827563827568</v>
      </c>
      <c r="BC298" s="161">
        <f t="shared" si="486"/>
        <v>36.374296538296541</v>
      </c>
      <c r="BD298" s="161">
        <f t="shared" si="487"/>
        <v>30.311913781913784</v>
      </c>
      <c r="BE298" s="161">
        <f t="shared" si="488"/>
        <v>24.249531025531027</v>
      </c>
    </row>
    <row r="299" spans="1:57" s="129" customFormat="1" hidden="1">
      <c r="A299" s="90" t="s">
        <v>1302</v>
      </c>
      <c r="B299" s="88" t="s">
        <v>1318</v>
      </c>
      <c r="C299" s="88" t="s">
        <v>1317</v>
      </c>
      <c r="D299" s="90" t="s">
        <v>55</v>
      </c>
      <c r="E299" s="90" t="s">
        <v>621</v>
      </c>
      <c r="F299" s="90" t="s">
        <v>621</v>
      </c>
      <c r="G299" s="131" t="s">
        <v>266</v>
      </c>
      <c r="H299" s="92"/>
      <c r="I299" s="167" t="s">
        <v>654</v>
      </c>
      <c r="J299" s="167" t="str">
        <f>_xlfn.XLOOKUP(I299,[1]Sheet1!$A:$A,[1]Sheet1!$B:$B,"")</f>
        <v>U0501006</v>
      </c>
      <c r="K299" s="90" t="s">
        <v>1314</v>
      </c>
      <c r="L299" s="90" t="s">
        <v>1316</v>
      </c>
      <c r="M299" s="92"/>
      <c r="N299" s="89" t="s">
        <v>60</v>
      </c>
      <c r="O299" s="92"/>
      <c r="P299" s="88" t="s">
        <v>241</v>
      </c>
      <c r="Q299" s="92" t="s">
        <v>635</v>
      </c>
      <c r="R299" s="92">
        <v>120</v>
      </c>
      <c r="S299" s="431" t="e">
        <v>#N/A</v>
      </c>
      <c r="T299" s="128" t="s">
        <v>3863</v>
      </c>
      <c r="U299" s="456">
        <v>1.7000000000000001E-2</v>
      </c>
      <c r="V299" s="207">
        <v>45</v>
      </c>
      <c r="W299" s="207">
        <v>45</v>
      </c>
      <c r="X299" s="207">
        <v>55</v>
      </c>
      <c r="Y299" s="207" t="s">
        <v>359</v>
      </c>
      <c r="Z299" s="133">
        <f t="shared" si="483"/>
        <v>27.587301587301585</v>
      </c>
      <c r="AA299" s="133"/>
      <c r="AB299" s="161">
        <f t="shared" ref="AB299" si="490">AX299/(1-AF299)</f>
        <v>24.383292182292188</v>
      </c>
      <c r="AC299" s="161"/>
      <c r="AD299" s="213">
        <f t="shared" si="403"/>
        <v>0.1</v>
      </c>
      <c r="AE299" s="213">
        <v>0.1</v>
      </c>
      <c r="AF299" s="215">
        <v>0.26</v>
      </c>
      <c r="AG299" s="215" t="s">
        <v>281</v>
      </c>
      <c r="AH299" s="148">
        <f t="shared" si="484"/>
        <v>24.383292182292188</v>
      </c>
      <c r="AI299" s="122">
        <f t="shared" ref="AI299:AI311" si="491">1-(AX299/AH299)</f>
        <v>0.26</v>
      </c>
      <c r="AJ299" s="444"/>
      <c r="AK299" s="150">
        <f t="shared" si="404"/>
        <v>22.069841269841266</v>
      </c>
      <c r="AL299" s="153">
        <f t="shared" si="405"/>
        <v>20.048484683218017</v>
      </c>
      <c r="AM299" s="125">
        <f t="shared" ref="AM299:AM311" si="492">1-(AK299/Z299)</f>
        <v>0.20000000000000007</v>
      </c>
      <c r="AN299" s="125">
        <f t="shared" ref="AN299:AN311" si="493">1-(AL299/AB299)</f>
        <v>0.17777777777777792</v>
      </c>
      <c r="AO299" s="166"/>
      <c r="AP299" s="17" t="s">
        <v>249</v>
      </c>
      <c r="AQ299" s="162"/>
      <c r="AR299" s="169"/>
      <c r="AS299" s="169"/>
      <c r="AT299" s="169">
        <v>2.72</v>
      </c>
      <c r="AU299" s="162">
        <f>19.2*7.1</f>
        <v>136.32</v>
      </c>
      <c r="AV299" s="141">
        <v>99.5</v>
      </c>
      <c r="AW299" s="142">
        <f>(AT299+AU299)/$F$5</f>
        <v>19.862857142857141</v>
      </c>
      <c r="AX299" s="126">
        <f t="shared" si="440"/>
        <v>18.043636214896217</v>
      </c>
      <c r="AY299" s="147" t="s">
        <v>655</v>
      </c>
      <c r="AZ299" s="183"/>
      <c r="BB299" s="161">
        <f t="shared" si="485"/>
        <v>81.277640607640635</v>
      </c>
      <c r="BC299" s="161">
        <f t="shared" si="486"/>
        <v>48.766584364584382</v>
      </c>
      <c r="BD299" s="161">
        <f t="shared" si="487"/>
        <v>40.638820303820317</v>
      </c>
      <c r="BE299" s="161">
        <f t="shared" si="488"/>
        <v>32.511056243056252</v>
      </c>
    </row>
    <row r="300" spans="1:57" s="129" customFormat="1" hidden="1">
      <c r="A300" s="90" t="s">
        <v>1276</v>
      </c>
      <c r="B300" s="88" t="s">
        <v>1569</v>
      </c>
      <c r="C300" s="88" t="s">
        <v>1317</v>
      </c>
      <c r="D300" s="90" t="s">
        <v>55</v>
      </c>
      <c r="E300" s="90" t="s">
        <v>1570</v>
      </c>
      <c r="F300" s="90" t="s">
        <v>1571</v>
      </c>
      <c r="G300" s="131"/>
      <c r="H300" s="92">
        <v>24</v>
      </c>
      <c r="I300" s="167" t="s">
        <v>3455</v>
      </c>
      <c r="J300" s="167" t="s">
        <v>3644</v>
      </c>
      <c r="K300" s="90" t="s">
        <v>3629</v>
      </c>
      <c r="L300" s="90" t="s">
        <v>3617</v>
      </c>
      <c r="M300" s="92" t="s">
        <v>1584</v>
      </c>
      <c r="N300" s="89" t="s">
        <v>158</v>
      </c>
      <c r="O300" s="190">
        <v>22.3</v>
      </c>
      <c r="P300" s="88" t="s">
        <v>61</v>
      </c>
      <c r="Q300" s="92"/>
      <c r="R300" s="190">
        <v>3</v>
      </c>
      <c r="S300" s="455"/>
      <c r="T300" s="128" t="s">
        <v>3864</v>
      </c>
      <c r="U300" s="456">
        <v>0</v>
      </c>
      <c r="V300" s="207">
        <v>60</v>
      </c>
      <c r="W300" s="207">
        <v>14</v>
      </c>
      <c r="X300" s="207">
        <v>14</v>
      </c>
      <c r="Y300" s="207" t="s">
        <v>1582</v>
      </c>
      <c r="Z300" s="133">
        <f t="shared" ref="Z300:Z311" si="494">(AW300/(1-(AF300+2%)))*$F$6</f>
        <v>1409.6638636363637</v>
      </c>
      <c r="AA300" s="133"/>
      <c r="AB300" s="124">
        <f t="shared" ref="AB300:AB311" si="495">AX300/(1-AF300)</f>
        <v>1200.8272373051786</v>
      </c>
      <c r="AC300" s="124"/>
      <c r="AD300" s="213">
        <v>7.0000000000000007E-2</v>
      </c>
      <c r="AE300" s="213">
        <v>7.0000000000000007E-2</v>
      </c>
      <c r="AF300" s="215">
        <v>0.32</v>
      </c>
      <c r="AG300" s="215" t="s">
        <v>2812</v>
      </c>
      <c r="AH300" s="151">
        <f t="shared" ref="AH300:AH368" si="496">AB300</f>
        <v>1200.8272373051786</v>
      </c>
      <c r="AI300" s="122">
        <f t="shared" si="491"/>
        <v>0.32000000000000006</v>
      </c>
      <c r="AJ300" s="444"/>
      <c r="AK300" s="150">
        <f t="shared" ref="AK300:AK311" si="497">AW300/(1-AD300)*$F$6</f>
        <v>1000.4066129032258</v>
      </c>
      <c r="AL300" s="148">
        <f t="shared" si="405"/>
        <v>878.02421652421663</v>
      </c>
      <c r="AM300" s="125">
        <f t="shared" si="492"/>
        <v>0.29032258064516137</v>
      </c>
      <c r="AN300" s="125">
        <f t="shared" si="493"/>
        <v>0.26881720430107525</v>
      </c>
      <c r="AO300" s="166"/>
      <c r="AP300" s="17" t="s">
        <v>1583</v>
      </c>
      <c r="AQ300" s="169"/>
      <c r="AR300" s="169"/>
      <c r="AS300" s="323">
        <v>580</v>
      </c>
      <c r="AT300" s="169"/>
      <c r="AU300" s="162"/>
      <c r="AV300" s="141"/>
      <c r="AW300" s="154">
        <f>AS300+($F$4-1500)/1000*O300</f>
        <v>795.19500000000005</v>
      </c>
      <c r="AX300" s="126">
        <f t="shared" ref="AX300:AX311" si="498">(AS300+($F$4-1500)/1000*O300)+($F$10/40/R300/$F$6)</f>
        <v>816.56252136752141</v>
      </c>
      <c r="AY300" s="147"/>
      <c r="AZ300" s="183"/>
      <c r="BB300" s="134">
        <f t="shared" si="485"/>
        <v>4002.7574576839288</v>
      </c>
      <c r="BC300" s="134">
        <f t="shared" si="486"/>
        <v>2401.6544746103573</v>
      </c>
      <c r="BD300" s="134">
        <f t="shared" si="487"/>
        <v>2001.3787288419644</v>
      </c>
      <c r="BE300" s="134">
        <f t="shared" si="488"/>
        <v>1601.1029830735715</v>
      </c>
    </row>
    <row r="301" spans="1:57" s="129" customFormat="1" hidden="1">
      <c r="A301" s="90" t="s">
        <v>1276</v>
      </c>
      <c r="B301" s="88" t="s">
        <v>1569</v>
      </c>
      <c r="C301" s="88" t="s">
        <v>1317</v>
      </c>
      <c r="D301" s="90" t="s">
        <v>55</v>
      </c>
      <c r="E301" s="90" t="s">
        <v>1570</v>
      </c>
      <c r="F301" s="90" t="s">
        <v>1571</v>
      </c>
      <c r="G301" s="131"/>
      <c r="H301" s="92">
        <v>24</v>
      </c>
      <c r="I301" s="167" t="s">
        <v>3812</v>
      </c>
      <c r="J301" s="167" t="s">
        <v>3813</v>
      </c>
      <c r="K301" s="90" t="s">
        <v>3630</v>
      </c>
      <c r="L301" s="90" t="s">
        <v>3618</v>
      </c>
      <c r="M301" s="92" t="s">
        <v>1584</v>
      </c>
      <c r="N301" s="89" t="s">
        <v>158</v>
      </c>
      <c r="O301" s="190">
        <v>43.5</v>
      </c>
      <c r="P301" s="88" t="s">
        <v>61</v>
      </c>
      <c r="Q301" s="92"/>
      <c r="R301" s="190">
        <v>2</v>
      </c>
      <c r="S301" s="455"/>
      <c r="T301" s="128" t="s">
        <v>3864</v>
      </c>
      <c r="U301" s="456">
        <v>0</v>
      </c>
      <c r="V301" s="207">
        <v>60</v>
      </c>
      <c r="W301" s="207">
        <v>14</v>
      </c>
      <c r="X301" s="207">
        <v>14</v>
      </c>
      <c r="Y301" s="207" t="s">
        <v>1582</v>
      </c>
      <c r="Z301" s="133">
        <f t="shared" si="494"/>
        <v>2285.5950000000003</v>
      </c>
      <c r="AA301" s="133"/>
      <c r="AB301" s="124">
        <f t="shared" si="495"/>
        <v>1943.024301569078</v>
      </c>
      <c r="AC301" s="124"/>
      <c r="AD301" s="213">
        <v>7.0000000000000007E-2</v>
      </c>
      <c r="AE301" s="213">
        <v>7.0000000000000007E-2</v>
      </c>
      <c r="AF301" s="215">
        <v>0.33</v>
      </c>
      <c r="AG301" s="215" t="s">
        <v>2812</v>
      </c>
      <c r="AH301" s="151">
        <f t="shared" si="496"/>
        <v>1943.024301569078</v>
      </c>
      <c r="AI301" s="122">
        <f t="shared" si="491"/>
        <v>0.33000000000000007</v>
      </c>
      <c r="AJ301" s="444"/>
      <c r="AK301" s="150">
        <f t="shared" si="497"/>
        <v>1597.4588709677421</v>
      </c>
      <c r="AL301" s="148">
        <f t="shared" si="405"/>
        <v>1399.813206506755</v>
      </c>
      <c r="AM301" s="125">
        <f t="shared" si="492"/>
        <v>0.30107526881720437</v>
      </c>
      <c r="AN301" s="125">
        <f t="shared" si="493"/>
        <v>0.27956989247311836</v>
      </c>
      <c r="AO301" s="166"/>
      <c r="AP301" s="17" t="s">
        <v>1583</v>
      </c>
      <c r="AQ301" s="169"/>
      <c r="AR301" s="169"/>
      <c r="AS301" s="323">
        <v>850</v>
      </c>
      <c r="AT301" s="169"/>
      <c r="AU301" s="162"/>
      <c r="AV301" s="141"/>
      <c r="AW301" s="154">
        <f t="shared" ref="AW301:AW310" si="499">AS301+($F$4-1500)/1000*O301</f>
        <v>1269.7750000000001</v>
      </c>
      <c r="AX301" s="126">
        <f t="shared" si="498"/>
        <v>1301.8262820512821</v>
      </c>
      <c r="AY301" s="147"/>
      <c r="AZ301" s="183"/>
      <c r="BB301" s="134">
        <f t="shared" si="485"/>
        <v>6476.7476718969274</v>
      </c>
      <c r="BC301" s="134">
        <f t="shared" si="486"/>
        <v>3886.0486031381561</v>
      </c>
      <c r="BD301" s="134">
        <f t="shared" si="487"/>
        <v>3238.3738359484637</v>
      </c>
      <c r="BE301" s="134">
        <f t="shared" si="488"/>
        <v>2590.6990687587713</v>
      </c>
    </row>
    <row r="302" spans="1:57" s="129" customFormat="1" hidden="1">
      <c r="A302" s="90" t="s">
        <v>1276</v>
      </c>
      <c r="B302" s="88" t="s">
        <v>1569</v>
      </c>
      <c r="C302" s="88" t="s">
        <v>1317</v>
      </c>
      <c r="D302" s="90" t="s">
        <v>55</v>
      </c>
      <c r="E302" s="90" t="s">
        <v>1570</v>
      </c>
      <c r="F302" s="90" t="s">
        <v>1571</v>
      </c>
      <c r="G302" s="131"/>
      <c r="H302" s="92">
        <v>24</v>
      </c>
      <c r="I302" s="167" t="s">
        <v>1574</v>
      </c>
      <c r="J302" s="167" t="s">
        <v>3641</v>
      </c>
      <c r="K302" s="90" t="s">
        <v>3631</v>
      </c>
      <c r="L302" s="90" t="s">
        <v>3619</v>
      </c>
      <c r="M302" s="92" t="s">
        <v>1584</v>
      </c>
      <c r="N302" s="89" t="s">
        <v>158</v>
      </c>
      <c r="O302" s="190">
        <v>64.900000000000006</v>
      </c>
      <c r="P302" s="88" t="s">
        <v>61</v>
      </c>
      <c r="Q302" s="92"/>
      <c r="R302" s="190">
        <v>2</v>
      </c>
      <c r="S302" s="455"/>
      <c r="T302" s="128" t="s">
        <v>3864</v>
      </c>
      <c r="U302" s="456">
        <v>0</v>
      </c>
      <c r="V302" s="207">
        <v>60</v>
      </c>
      <c r="W302" s="207">
        <v>14</v>
      </c>
      <c r="X302" s="207">
        <v>14</v>
      </c>
      <c r="Y302" s="207" t="s">
        <v>1582</v>
      </c>
      <c r="Z302" s="133">
        <f t="shared" si="494"/>
        <v>3062.3130000000006</v>
      </c>
      <c r="AA302" s="133"/>
      <c r="AB302" s="124">
        <f t="shared" si="495"/>
        <v>2587.0690776884808</v>
      </c>
      <c r="AC302" s="124"/>
      <c r="AD302" s="213">
        <v>7.0000000000000007E-2</v>
      </c>
      <c r="AE302" s="213">
        <v>7.0000000000000007E-2</v>
      </c>
      <c r="AF302" s="215">
        <v>0.33</v>
      </c>
      <c r="AG302" s="215" t="s">
        <v>2812</v>
      </c>
      <c r="AH302" s="151">
        <f t="shared" si="496"/>
        <v>2587.0690776884808</v>
      </c>
      <c r="AI302" s="122">
        <f t="shared" si="491"/>
        <v>0.33000000000000007</v>
      </c>
      <c r="AJ302" s="444"/>
      <c r="AK302" s="150">
        <f t="shared" si="497"/>
        <v>2140.3262903225805</v>
      </c>
      <c r="AL302" s="148">
        <f t="shared" si="405"/>
        <v>1863.802453818583</v>
      </c>
      <c r="AM302" s="125">
        <f t="shared" si="492"/>
        <v>0.30107526881720448</v>
      </c>
      <c r="AN302" s="125">
        <f t="shared" si="493"/>
        <v>0.27956989247311825</v>
      </c>
      <c r="AO302" s="166"/>
      <c r="AP302" s="17" t="s">
        <v>1583</v>
      </c>
      <c r="AQ302" s="169"/>
      <c r="AR302" s="169"/>
      <c r="AS302" s="323">
        <v>1075</v>
      </c>
      <c r="AT302" s="169"/>
      <c r="AU302" s="162"/>
      <c r="AV302" s="141"/>
      <c r="AW302" s="154">
        <f t="shared" si="499"/>
        <v>1701.2850000000001</v>
      </c>
      <c r="AX302" s="126">
        <f t="shared" si="498"/>
        <v>1733.3362820512821</v>
      </c>
      <c r="AY302" s="147"/>
      <c r="AZ302" s="183"/>
      <c r="BB302" s="134">
        <f t="shared" si="485"/>
        <v>8623.5635922949368</v>
      </c>
      <c r="BC302" s="134">
        <f t="shared" si="486"/>
        <v>5174.1381553769615</v>
      </c>
      <c r="BD302" s="134">
        <f t="shared" si="487"/>
        <v>4311.7817961474684</v>
      </c>
      <c r="BE302" s="134">
        <f t="shared" si="488"/>
        <v>3449.4254369179748</v>
      </c>
    </row>
    <row r="303" spans="1:57" s="129" customFormat="1" hidden="1">
      <c r="A303" s="90" t="s">
        <v>1276</v>
      </c>
      <c r="B303" s="88" t="s">
        <v>1414</v>
      </c>
      <c r="C303" s="88" t="s">
        <v>1317</v>
      </c>
      <c r="D303" s="90" t="s">
        <v>55</v>
      </c>
      <c r="E303" s="90" t="s">
        <v>1570</v>
      </c>
      <c r="F303" s="90" t="s">
        <v>1571</v>
      </c>
      <c r="G303" s="131"/>
      <c r="H303" s="92">
        <v>24</v>
      </c>
      <c r="I303" s="167" t="s">
        <v>3642</v>
      </c>
      <c r="J303" s="167" t="s">
        <v>3643</v>
      </c>
      <c r="K303" s="90" t="s">
        <v>3632</v>
      </c>
      <c r="L303" s="90" t="s">
        <v>3620</v>
      </c>
      <c r="M303" s="92" t="s">
        <v>1584</v>
      </c>
      <c r="N303" s="89" t="s">
        <v>158</v>
      </c>
      <c r="O303" s="190">
        <v>130.30000000000001</v>
      </c>
      <c r="P303" s="88" t="s">
        <v>61</v>
      </c>
      <c r="Q303" s="92"/>
      <c r="R303" s="190">
        <v>1</v>
      </c>
      <c r="S303" s="455"/>
      <c r="T303" s="128" t="s">
        <v>3864</v>
      </c>
      <c r="U303" s="456">
        <v>0</v>
      </c>
      <c r="V303" s="207">
        <v>60</v>
      </c>
      <c r="W303" s="207">
        <v>14</v>
      </c>
      <c r="X303" s="207">
        <v>14</v>
      </c>
      <c r="Y303" s="207" t="s">
        <v>1224</v>
      </c>
      <c r="Z303" s="133">
        <f t="shared" ref="Z303" si="500">(AW303/(1-(AF303+2%)))*$F$6</f>
        <v>5231.5110000000004</v>
      </c>
      <c r="AA303" s="133"/>
      <c r="AB303" s="124">
        <f t="shared" ref="AB303" si="501">AX303/(1-AF303)</f>
        <v>4433.5784538844246</v>
      </c>
      <c r="AC303" s="124"/>
      <c r="AD303" s="213">
        <v>7.0000000000000007E-2</v>
      </c>
      <c r="AE303" s="213">
        <v>7.0000000000000007E-2</v>
      </c>
      <c r="AF303" s="215">
        <v>0.33</v>
      </c>
      <c r="AG303" s="215" t="s">
        <v>2812</v>
      </c>
      <c r="AH303" s="151">
        <f t="shared" ref="AH303" si="502">AB303</f>
        <v>4433.5784538844246</v>
      </c>
      <c r="AI303" s="122">
        <f t="shared" ref="AI303" si="503">1-(AX303/AH303)</f>
        <v>0.32999999999999996</v>
      </c>
      <c r="AJ303" s="444"/>
      <c r="AK303" s="150">
        <f t="shared" ref="AK303" si="504">AW303/(1-AD303)*$F$6</f>
        <v>3656.4324193548396</v>
      </c>
      <c r="AL303" s="148">
        <f t="shared" ref="AL303" si="505">AX303/(1-AE303)</f>
        <v>3194.0834022608224</v>
      </c>
      <c r="AM303" s="125">
        <f t="shared" ref="AM303" si="506">1-(AK303/Z303)</f>
        <v>0.30107526881720414</v>
      </c>
      <c r="AN303" s="125">
        <f t="shared" ref="AN303" si="507">1-(AL303/AB303)</f>
        <v>0.27956989247311814</v>
      </c>
      <c r="AO303" s="166"/>
      <c r="AP303" s="17" t="s">
        <v>1220</v>
      </c>
      <c r="AQ303" s="169"/>
      <c r="AR303" s="169"/>
      <c r="AS303" s="323">
        <v>1649</v>
      </c>
      <c r="AT303" s="169"/>
      <c r="AU303" s="162"/>
      <c r="AV303" s="141"/>
      <c r="AW303" s="154">
        <f t="shared" ref="AW303" si="508">AS303+($F$4-1500)/1000*O303</f>
        <v>2906.3950000000004</v>
      </c>
      <c r="AX303" s="126">
        <f t="shared" ref="AX303" si="509">(AS303+($F$4-1500)/1000*O303)+($F$10/40/R303/$F$6)</f>
        <v>2970.4975641025644</v>
      </c>
      <c r="AY303" s="147"/>
      <c r="AZ303" s="183"/>
      <c r="BB303" s="134"/>
      <c r="BC303" s="134"/>
      <c r="BD303" s="134"/>
      <c r="BE303" s="134"/>
    </row>
    <row r="304" spans="1:57" s="129" customFormat="1" hidden="1">
      <c r="A304" s="90" t="s">
        <v>1276</v>
      </c>
      <c r="B304" s="88" t="s">
        <v>1569</v>
      </c>
      <c r="C304" s="88" t="s">
        <v>1317</v>
      </c>
      <c r="D304" s="90" t="s">
        <v>55</v>
      </c>
      <c r="E304" s="90" t="s">
        <v>1570</v>
      </c>
      <c r="F304" s="90" t="s">
        <v>1571</v>
      </c>
      <c r="G304" s="131"/>
      <c r="H304" s="92">
        <v>24</v>
      </c>
      <c r="I304" s="167" t="s">
        <v>1575</v>
      </c>
      <c r="J304" s="167" t="str">
        <f>_xlfn.XLOOKUP(I304,[1]Sheet1!$A:$A,[1]Sheet1!$B:$B,"")</f>
        <v/>
      </c>
      <c r="K304" s="90" t="s">
        <v>3633</v>
      </c>
      <c r="L304" s="90" t="s">
        <v>3621</v>
      </c>
      <c r="M304" s="92" t="s">
        <v>1584</v>
      </c>
      <c r="N304" s="89" t="s">
        <v>158</v>
      </c>
      <c r="O304" s="190">
        <v>248.3</v>
      </c>
      <c r="P304" s="88" t="s">
        <v>61</v>
      </c>
      <c r="Q304" s="92"/>
      <c r="R304" s="190">
        <v>1</v>
      </c>
      <c r="S304" s="455"/>
      <c r="T304" s="128" t="s">
        <v>3864</v>
      </c>
      <c r="U304" s="456">
        <v>0</v>
      </c>
      <c r="V304" s="207">
        <v>60</v>
      </c>
      <c r="W304" s="207">
        <v>14</v>
      </c>
      <c r="X304" s="207">
        <v>14</v>
      </c>
      <c r="Y304" s="207" t="s">
        <v>1582</v>
      </c>
      <c r="Z304" s="133">
        <f t="shared" si="494"/>
        <v>9244.9710000000014</v>
      </c>
      <c r="AA304" s="133"/>
      <c r="AB304" s="124">
        <f t="shared" si="495"/>
        <v>7761.48890164562</v>
      </c>
      <c r="AC304" s="124"/>
      <c r="AD304" s="213">
        <v>7.0000000000000007E-2</v>
      </c>
      <c r="AE304" s="213">
        <v>7.0000000000000007E-2</v>
      </c>
      <c r="AF304" s="215">
        <v>0.33</v>
      </c>
      <c r="AG304" s="215" t="s">
        <v>2812</v>
      </c>
      <c r="AH304" s="151">
        <f t="shared" si="496"/>
        <v>7761.48890164562</v>
      </c>
      <c r="AI304" s="122">
        <f t="shared" si="491"/>
        <v>0.33000000000000007</v>
      </c>
      <c r="AJ304" s="444"/>
      <c r="AK304" s="150">
        <f t="shared" si="497"/>
        <v>6461.5388709677427</v>
      </c>
      <c r="AL304" s="148">
        <f t="shared" si="405"/>
        <v>5591.6102839812529</v>
      </c>
      <c r="AM304" s="125">
        <f t="shared" si="492"/>
        <v>0.30107526881720437</v>
      </c>
      <c r="AN304" s="125">
        <f t="shared" si="493"/>
        <v>0.27956989247311825</v>
      </c>
      <c r="AO304" s="166"/>
      <c r="AP304" s="17" t="s">
        <v>1583</v>
      </c>
      <c r="AQ304" s="169"/>
      <c r="AR304" s="169"/>
      <c r="AS304" s="327">
        <v>2740</v>
      </c>
      <c r="AT304" s="169"/>
      <c r="AU304" s="162"/>
      <c r="AV304" s="141"/>
      <c r="AW304" s="154">
        <f t="shared" si="499"/>
        <v>5136.0950000000003</v>
      </c>
      <c r="AX304" s="126">
        <f t="shared" si="498"/>
        <v>5200.1975641025647</v>
      </c>
      <c r="AY304" s="147"/>
      <c r="AZ304" s="183"/>
      <c r="BB304" s="134">
        <f t="shared" si="485"/>
        <v>25871.629672152067</v>
      </c>
      <c r="BC304" s="134">
        <f t="shared" si="486"/>
        <v>15522.97780329124</v>
      </c>
      <c r="BD304" s="134">
        <f t="shared" si="487"/>
        <v>12935.814836076033</v>
      </c>
      <c r="BE304" s="134">
        <f t="shared" si="488"/>
        <v>10348.651868860827</v>
      </c>
    </row>
    <row r="305" spans="1:57" s="129" customFormat="1" hidden="1">
      <c r="A305" s="90" t="s">
        <v>1276</v>
      </c>
      <c r="B305" s="88" t="s">
        <v>1569</v>
      </c>
      <c r="C305" s="88" t="s">
        <v>1317</v>
      </c>
      <c r="D305" s="90" t="s">
        <v>55</v>
      </c>
      <c r="E305" s="90" t="s">
        <v>1570</v>
      </c>
      <c r="F305" s="90" t="s">
        <v>1571</v>
      </c>
      <c r="G305" s="131"/>
      <c r="H305" s="92">
        <v>24</v>
      </c>
      <c r="I305" s="167" t="s">
        <v>1576</v>
      </c>
      <c r="J305" s="167" t="str">
        <f>_xlfn.XLOOKUP(I305,[1]Sheet1!$A:$A,[1]Sheet1!$B:$B,"")</f>
        <v/>
      </c>
      <c r="K305" s="90" t="s">
        <v>3634</v>
      </c>
      <c r="L305" s="90" t="s">
        <v>3622</v>
      </c>
      <c r="M305" s="92" t="s">
        <v>1584</v>
      </c>
      <c r="N305" s="89" t="s">
        <v>158</v>
      </c>
      <c r="O305" s="190">
        <v>496.4</v>
      </c>
      <c r="P305" s="88" t="s">
        <v>61</v>
      </c>
      <c r="Q305" s="92"/>
      <c r="R305" s="190">
        <v>1</v>
      </c>
      <c r="S305" s="455"/>
      <c r="T305" s="128" t="s">
        <v>3864</v>
      </c>
      <c r="U305" s="456">
        <v>0</v>
      </c>
      <c r="V305" s="207">
        <v>60</v>
      </c>
      <c r="W305" s="207">
        <v>14</v>
      </c>
      <c r="X305" s="207">
        <v>14</v>
      </c>
      <c r="Y305" s="207" t="s">
        <v>1582</v>
      </c>
      <c r="Z305" s="133">
        <f t="shared" si="494"/>
        <v>16992.468000000001</v>
      </c>
      <c r="AA305" s="133"/>
      <c r="AB305" s="124">
        <f t="shared" si="495"/>
        <v>14185.615767317262</v>
      </c>
      <c r="AC305" s="124"/>
      <c r="AD305" s="213">
        <v>7.0000000000000007E-2</v>
      </c>
      <c r="AE305" s="213">
        <v>7.0000000000000007E-2</v>
      </c>
      <c r="AF305" s="215">
        <v>0.33</v>
      </c>
      <c r="AG305" s="215" t="s">
        <v>2812</v>
      </c>
      <c r="AH305" s="151">
        <f t="shared" si="496"/>
        <v>14185.615767317262</v>
      </c>
      <c r="AI305" s="122">
        <f t="shared" si="491"/>
        <v>0.33000000000000007</v>
      </c>
      <c r="AJ305" s="444"/>
      <c r="AK305" s="150">
        <f t="shared" si="497"/>
        <v>11876.456129032258</v>
      </c>
      <c r="AL305" s="148">
        <f t="shared" si="405"/>
        <v>10219.744692583403</v>
      </c>
      <c r="AM305" s="125">
        <f t="shared" si="492"/>
        <v>0.30107526881720437</v>
      </c>
      <c r="AN305" s="125">
        <f t="shared" si="493"/>
        <v>0.27956989247311836</v>
      </c>
      <c r="AO305" s="166"/>
      <c r="AP305" s="17" t="s">
        <v>1583</v>
      </c>
      <c r="AQ305" s="169"/>
      <c r="AR305" s="169"/>
      <c r="AS305" s="327">
        <v>4650</v>
      </c>
      <c r="AT305" s="169"/>
      <c r="AU305" s="162"/>
      <c r="AV305" s="141"/>
      <c r="AW305" s="154">
        <f t="shared" si="499"/>
        <v>9440.26</v>
      </c>
      <c r="AX305" s="126">
        <f t="shared" si="498"/>
        <v>9504.3625641025646</v>
      </c>
      <c r="AY305" s="147"/>
      <c r="AZ305" s="183"/>
      <c r="BB305" s="134">
        <f t="shared" si="485"/>
        <v>47285.385891057544</v>
      </c>
      <c r="BC305" s="134">
        <f t="shared" si="486"/>
        <v>28371.231534634524</v>
      </c>
      <c r="BD305" s="134">
        <f t="shared" si="487"/>
        <v>23642.692945528772</v>
      </c>
      <c r="BE305" s="134">
        <f t="shared" si="488"/>
        <v>18914.15435642302</v>
      </c>
    </row>
    <row r="306" spans="1:57" s="129" customFormat="1" hidden="1">
      <c r="A306" s="90" t="s">
        <v>1276</v>
      </c>
      <c r="B306" s="88" t="s">
        <v>1569</v>
      </c>
      <c r="C306" s="88" t="s">
        <v>1317</v>
      </c>
      <c r="D306" s="90" t="s">
        <v>55</v>
      </c>
      <c r="E306" s="90" t="s">
        <v>1570</v>
      </c>
      <c r="F306" s="90" t="s">
        <v>1571</v>
      </c>
      <c r="G306" s="131"/>
      <c r="H306" s="92">
        <v>20</v>
      </c>
      <c r="I306" s="167" t="s">
        <v>1577</v>
      </c>
      <c r="J306" s="167" t="str">
        <f>_xlfn.XLOOKUP(I306,[1]Sheet1!$A:$A,[1]Sheet1!$B:$B,"")</f>
        <v/>
      </c>
      <c r="K306" s="90" t="s">
        <v>3635</v>
      </c>
      <c r="L306" s="90" t="s">
        <v>3623</v>
      </c>
      <c r="M306" s="92" t="s">
        <v>1584</v>
      </c>
      <c r="N306" s="89" t="s">
        <v>158</v>
      </c>
      <c r="O306" s="190">
        <v>55.1</v>
      </c>
      <c r="P306" s="88" t="s">
        <v>61</v>
      </c>
      <c r="Q306" s="92"/>
      <c r="R306" s="190">
        <v>2</v>
      </c>
      <c r="S306" s="455"/>
      <c r="T306" s="128" t="s">
        <v>3864</v>
      </c>
      <c r="U306" s="456">
        <v>0</v>
      </c>
      <c r="V306" s="207">
        <v>60</v>
      </c>
      <c r="W306" s="207">
        <v>14</v>
      </c>
      <c r="X306" s="207">
        <v>14</v>
      </c>
      <c r="Y306" s="207" t="s">
        <v>1582</v>
      </c>
      <c r="Z306" s="133">
        <f t="shared" si="494"/>
        <v>2385.9655147058825</v>
      </c>
      <c r="AA306" s="133"/>
      <c r="AB306" s="124">
        <f t="shared" si="495"/>
        <v>2026.8089743589746</v>
      </c>
      <c r="AC306" s="124"/>
      <c r="AD306" s="213">
        <v>7.0000000000000007E-2</v>
      </c>
      <c r="AE306" s="213">
        <v>7.0000000000000007E-2</v>
      </c>
      <c r="AF306" s="215">
        <v>0.3</v>
      </c>
      <c r="AG306" s="215" t="s">
        <v>2812</v>
      </c>
      <c r="AH306" s="151">
        <f t="shared" si="496"/>
        <v>2026.8089743589746</v>
      </c>
      <c r="AI306" s="122">
        <f t="shared" si="491"/>
        <v>0.30000000000000004</v>
      </c>
      <c r="AJ306" s="444"/>
      <c r="AK306" s="150">
        <f t="shared" si="497"/>
        <v>1744.576935483871</v>
      </c>
      <c r="AL306" s="148">
        <f t="shared" si="405"/>
        <v>1525.555141990626</v>
      </c>
      <c r="AM306" s="125">
        <f t="shared" si="492"/>
        <v>0.26881720430107525</v>
      </c>
      <c r="AN306" s="125">
        <f t="shared" si="493"/>
        <v>0.24731182795698925</v>
      </c>
      <c r="AO306" s="166"/>
      <c r="AP306" s="17" t="s">
        <v>1583</v>
      </c>
      <c r="AQ306" s="169"/>
      <c r="AR306" s="169"/>
      <c r="AS306" s="323">
        <v>855</v>
      </c>
      <c r="AT306" s="169"/>
      <c r="AU306" s="162"/>
      <c r="AV306" s="141"/>
      <c r="AW306" s="154">
        <f t="shared" si="499"/>
        <v>1386.7150000000001</v>
      </c>
      <c r="AX306" s="126">
        <f t="shared" si="498"/>
        <v>1418.7662820512821</v>
      </c>
      <c r="AY306" s="147"/>
      <c r="AZ306" s="183"/>
      <c r="BB306" s="134">
        <f t="shared" si="485"/>
        <v>6756.0299145299159</v>
      </c>
      <c r="BC306" s="134">
        <f t="shared" si="486"/>
        <v>4053.6179487179493</v>
      </c>
      <c r="BD306" s="134">
        <f t="shared" si="487"/>
        <v>3378.014957264958</v>
      </c>
      <c r="BE306" s="134">
        <f t="shared" si="488"/>
        <v>2702.4119658119666</v>
      </c>
    </row>
    <row r="307" spans="1:57" s="129" customFormat="1" hidden="1">
      <c r="A307" s="90" t="s">
        <v>1276</v>
      </c>
      <c r="B307" s="88" t="s">
        <v>1569</v>
      </c>
      <c r="C307" s="88" t="s">
        <v>1317</v>
      </c>
      <c r="D307" s="90" t="s">
        <v>55</v>
      </c>
      <c r="E307" s="90" t="s">
        <v>1570</v>
      </c>
      <c r="F307" s="90" t="s">
        <v>1571</v>
      </c>
      <c r="G307" s="131"/>
      <c r="H307" s="92">
        <v>20</v>
      </c>
      <c r="I307" s="167" t="s">
        <v>1578</v>
      </c>
      <c r="J307" s="167" t="str">
        <f>_xlfn.XLOOKUP(I307,[1]Sheet1!$A:$A,[1]Sheet1!$B:$B,"")</f>
        <v/>
      </c>
      <c r="K307" s="90" t="s">
        <v>3636</v>
      </c>
      <c r="L307" s="90" t="s">
        <v>3624</v>
      </c>
      <c r="M307" s="92" t="s">
        <v>1584</v>
      </c>
      <c r="N307" s="89" t="s">
        <v>158</v>
      </c>
      <c r="O307" s="190">
        <v>109.3</v>
      </c>
      <c r="P307" s="88" t="s">
        <v>61</v>
      </c>
      <c r="Q307" s="92"/>
      <c r="R307" s="190">
        <v>1</v>
      </c>
      <c r="S307" s="455"/>
      <c r="T307" s="128" t="s">
        <v>3864</v>
      </c>
      <c r="U307" s="456">
        <v>0</v>
      </c>
      <c r="V307" s="207">
        <v>60</v>
      </c>
      <c r="W307" s="207">
        <v>14</v>
      </c>
      <c r="X307" s="207">
        <v>14</v>
      </c>
      <c r="Y307" s="207" t="s">
        <v>1582</v>
      </c>
      <c r="Z307" s="133">
        <f t="shared" si="494"/>
        <v>4056.7083088235295</v>
      </c>
      <c r="AA307" s="133"/>
      <c r="AB307" s="124">
        <f t="shared" si="495"/>
        <v>3459.7822344322344</v>
      </c>
      <c r="AC307" s="124"/>
      <c r="AD307" s="213">
        <v>7.0000000000000007E-2</v>
      </c>
      <c r="AE307" s="213">
        <v>7.0000000000000007E-2</v>
      </c>
      <c r="AF307" s="215">
        <v>0.3</v>
      </c>
      <c r="AG307" s="215" t="s">
        <v>2812</v>
      </c>
      <c r="AH307" s="151">
        <f t="shared" si="496"/>
        <v>3459.7822344322344</v>
      </c>
      <c r="AI307" s="122">
        <f t="shared" si="491"/>
        <v>0.30000000000000004</v>
      </c>
      <c r="AJ307" s="444"/>
      <c r="AK307" s="150">
        <f t="shared" si="497"/>
        <v>2966.1953225806451</v>
      </c>
      <c r="AL307" s="148">
        <f t="shared" si="405"/>
        <v>2604.1371657016816</v>
      </c>
      <c r="AM307" s="125">
        <f t="shared" si="492"/>
        <v>0.26881720430107525</v>
      </c>
      <c r="AN307" s="125">
        <f t="shared" si="493"/>
        <v>0.24731182795698925</v>
      </c>
      <c r="AO307" s="166"/>
      <c r="AP307" s="17" t="s">
        <v>1583</v>
      </c>
      <c r="AQ307" s="169"/>
      <c r="AR307" s="169"/>
      <c r="AS307" s="323">
        <v>1303</v>
      </c>
      <c r="AT307" s="169"/>
      <c r="AU307" s="162"/>
      <c r="AV307" s="141"/>
      <c r="AW307" s="154">
        <f t="shared" si="499"/>
        <v>2357.7449999999999</v>
      </c>
      <c r="AX307" s="126">
        <f t="shared" si="498"/>
        <v>2421.8475641025639</v>
      </c>
      <c r="AY307" s="147"/>
      <c r="AZ307" s="183"/>
      <c r="BB307" s="134">
        <f t="shared" si="485"/>
        <v>11532.607448107448</v>
      </c>
      <c r="BC307" s="134">
        <f t="shared" si="486"/>
        <v>6919.5644688644688</v>
      </c>
      <c r="BD307" s="134">
        <f t="shared" si="487"/>
        <v>5766.3037240537242</v>
      </c>
      <c r="BE307" s="134">
        <f t="shared" si="488"/>
        <v>4613.0429792429795</v>
      </c>
    </row>
    <row r="308" spans="1:57" s="129" customFormat="1" hidden="1">
      <c r="A308" s="90" t="s">
        <v>1276</v>
      </c>
      <c r="B308" s="88" t="s">
        <v>1569</v>
      </c>
      <c r="C308" s="88" t="s">
        <v>1317</v>
      </c>
      <c r="D308" s="90" t="s">
        <v>55</v>
      </c>
      <c r="E308" s="90" t="s">
        <v>1570</v>
      </c>
      <c r="F308" s="90" t="s">
        <v>1571</v>
      </c>
      <c r="G308" s="131"/>
      <c r="H308" s="92">
        <v>20</v>
      </c>
      <c r="I308" s="167" t="s">
        <v>1579</v>
      </c>
      <c r="J308" s="167" t="str">
        <f>_xlfn.XLOOKUP(I308,[1]Sheet1!$A:$A,[1]Sheet1!$B:$B,"")</f>
        <v/>
      </c>
      <c r="K308" s="90" t="s">
        <v>3637</v>
      </c>
      <c r="L308" s="90" t="s">
        <v>3625</v>
      </c>
      <c r="M308" s="92" t="s">
        <v>1584</v>
      </c>
      <c r="N308" s="89" t="s">
        <v>158</v>
      </c>
      <c r="O308" s="190">
        <v>164.1</v>
      </c>
      <c r="P308" s="88" t="s">
        <v>61</v>
      </c>
      <c r="Q308" s="92"/>
      <c r="R308" s="190">
        <v>1</v>
      </c>
      <c r="S308" s="455"/>
      <c r="T308" s="128" t="s">
        <v>3864</v>
      </c>
      <c r="U308" s="456">
        <v>0</v>
      </c>
      <c r="V308" s="207">
        <v>60</v>
      </c>
      <c r="W308" s="207">
        <v>14</v>
      </c>
      <c r="X308" s="207">
        <v>14</v>
      </c>
      <c r="Y308" s="207" t="s">
        <v>1582</v>
      </c>
      <c r="Z308" s="133">
        <f t="shared" si="494"/>
        <v>5572.2368382352943</v>
      </c>
      <c r="AA308" s="133"/>
      <c r="AB308" s="124">
        <f t="shared" si="495"/>
        <v>4718.0965201465206</v>
      </c>
      <c r="AC308" s="124"/>
      <c r="AD308" s="213">
        <v>7.0000000000000007E-2</v>
      </c>
      <c r="AE308" s="213">
        <v>7.0000000000000007E-2</v>
      </c>
      <c r="AF308" s="215">
        <v>0.3</v>
      </c>
      <c r="AG308" s="215" t="s">
        <v>2812</v>
      </c>
      <c r="AH308" s="151">
        <f t="shared" si="496"/>
        <v>4718.0965201465206</v>
      </c>
      <c r="AI308" s="122">
        <f t="shared" si="491"/>
        <v>0.30000000000000004</v>
      </c>
      <c r="AJ308" s="444"/>
      <c r="AK308" s="150">
        <f t="shared" si="497"/>
        <v>4074.3237096774192</v>
      </c>
      <c r="AL308" s="148">
        <f t="shared" si="405"/>
        <v>3551.2554452715744</v>
      </c>
      <c r="AM308" s="125">
        <f t="shared" si="492"/>
        <v>0.26881720430107536</v>
      </c>
      <c r="AN308" s="125">
        <f t="shared" si="493"/>
        <v>0.24731182795698925</v>
      </c>
      <c r="AO308" s="166"/>
      <c r="AP308" s="17" t="s">
        <v>1583</v>
      </c>
      <c r="AQ308" s="169"/>
      <c r="AR308" s="169"/>
      <c r="AS308" s="323">
        <v>1655</v>
      </c>
      <c r="AT308" s="169"/>
      <c r="AU308" s="162"/>
      <c r="AV308" s="141"/>
      <c r="AW308" s="154">
        <f t="shared" si="499"/>
        <v>3238.5650000000001</v>
      </c>
      <c r="AX308" s="126">
        <f t="shared" si="498"/>
        <v>3302.667564102564</v>
      </c>
      <c r="AY308" s="147"/>
      <c r="AZ308" s="183"/>
      <c r="BB308" s="134">
        <f t="shared" si="485"/>
        <v>15726.988400488402</v>
      </c>
      <c r="BC308" s="134">
        <f t="shared" si="486"/>
        <v>9436.1930402930411</v>
      </c>
      <c r="BD308" s="134">
        <f t="shared" si="487"/>
        <v>7863.4942002442012</v>
      </c>
      <c r="BE308" s="134">
        <f t="shared" si="488"/>
        <v>6290.7953601953614</v>
      </c>
    </row>
    <row r="309" spans="1:57" s="129" customFormat="1" hidden="1">
      <c r="A309" s="90" t="s">
        <v>1276</v>
      </c>
      <c r="B309" s="88" t="s">
        <v>1414</v>
      </c>
      <c r="C309" s="88" t="s">
        <v>1317</v>
      </c>
      <c r="D309" s="90" t="s">
        <v>55</v>
      </c>
      <c r="E309" s="90" t="s">
        <v>1570</v>
      </c>
      <c r="F309" s="90" t="s">
        <v>1571</v>
      </c>
      <c r="G309" s="131"/>
      <c r="H309" s="92">
        <v>20</v>
      </c>
      <c r="I309" s="167" t="s">
        <v>3456</v>
      </c>
      <c r="J309" s="167" t="str">
        <f>_xlfn.XLOOKUP(I309,[1]Sheet1!$A:$A,[1]Sheet1!$B:$B,"")</f>
        <v/>
      </c>
      <c r="K309" s="90" t="s">
        <v>3638</v>
      </c>
      <c r="L309" s="90" t="s">
        <v>3626</v>
      </c>
      <c r="M309" s="92" t="s">
        <v>1584</v>
      </c>
      <c r="N309" s="89" t="s">
        <v>158</v>
      </c>
      <c r="O309" s="190">
        <v>331.5</v>
      </c>
      <c r="P309" s="88" t="s">
        <v>61</v>
      </c>
      <c r="Q309" s="92"/>
      <c r="R309" s="190">
        <v>1</v>
      </c>
      <c r="S309" s="455"/>
      <c r="T309" s="128" t="s">
        <v>3864</v>
      </c>
      <c r="U309" s="456">
        <v>0</v>
      </c>
      <c r="V309" s="207">
        <v>60</v>
      </c>
      <c r="W309" s="207">
        <v>14</v>
      </c>
      <c r="X309" s="207">
        <v>14</v>
      </c>
      <c r="Y309" s="207" t="s">
        <v>1224</v>
      </c>
      <c r="Z309" s="133">
        <f t="shared" ref="Z309" si="510">(AW309/(1-(AF309+2%)))*$F$6</f>
        <v>10808.692279411765</v>
      </c>
      <c r="AA309" s="133"/>
      <c r="AB309" s="124">
        <f t="shared" ref="AB309" si="511">AX309/(1-AF309)</f>
        <v>9065.8250915750923</v>
      </c>
      <c r="AC309" s="124"/>
      <c r="AD309" s="213">
        <v>7.0000000000000007E-2</v>
      </c>
      <c r="AE309" s="213">
        <v>7.0000000000000007E-2</v>
      </c>
      <c r="AF309" s="215">
        <v>0.3</v>
      </c>
      <c r="AG309" s="215" t="s">
        <v>2812</v>
      </c>
      <c r="AH309" s="151">
        <f t="shared" ref="AH309" si="512">AB309</f>
        <v>9065.8250915750923</v>
      </c>
      <c r="AI309" s="122">
        <f t="shared" ref="AI309" si="513">1-(AX309/AH309)</f>
        <v>0.29999999999999993</v>
      </c>
      <c r="AJ309" s="444"/>
      <c r="AK309" s="150">
        <f t="shared" ref="AK309" si="514">AW309/(1-AD309)*$F$6</f>
        <v>7903.1298387096776</v>
      </c>
      <c r="AL309" s="148">
        <f t="shared" ref="AL309" si="515">AX309/(1-AE309)</f>
        <v>6823.7393162393173</v>
      </c>
      <c r="AM309" s="125">
        <f t="shared" ref="AM309" si="516">1-(AK309/Z309)</f>
        <v>0.26881720430107525</v>
      </c>
      <c r="AN309" s="125">
        <f t="shared" ref="AN309" si="517">1-(AL309/AB309)</f>
        <v>0.24731182795698914</v>
      </c>
      <c r="AO309" s="166"/>
      <c r="AP309" s="17" t="s">
        <v>1220</v>
      </c>
      <c r="AQ309" s="169"/>
      <c r="AR309" s="169"/>
      <c r="AS309" s="323">
        <v>3083</v>
      </c>
      <c r="AT309" s="169"/>
      <c r="AU309" s="162"/>
      <c r="AV309" s="141"/>
      <c r="AW309" s="154">
        <f t="shared" ref="AW309" si="518">AS309+($F$4-1500)/1000*O309</f>
        <v>6281.9750000000004</v>
      </c>
      <c r="AX309" s="126">
        <f t="shared" ref="AX309" si="519">(AS309+($F$4-1500)/1000*O309)+($F$10/40/R309/$F$6)</f>
        <v>6346.0775641025648</v>
      </c>
      <c r="AY309" s="147"/>
      <c r="AZ309" s="183"/>
      <c r="BB309" s="134"/>
      <c r="BC309" s="134"/>
      <c r="BD309" s="134"/>
      <c r="BE309" s="134"/>
    </row>
    <row r="310" spans="1:57" s="129" customFormat="1" hidden="1">
      <c r="A310" s="90" t="s">
        <v>1276</v>
      </c>
      <c r="B310" s="88" t="s">
        <v>1569</v>
      </c>
      <c r="C310" s="88" t="s">
        <v>1317</v>
      </c>
      <c r="D310" s="90" t="s">
        <v>55</v>
      </c>
      <c r="E310" s="90" t="s">
        <v>1570</v>
      </c>
      <c r="F310" s="90" t="s">
        <v>1571</v>
      </c>
      <c r="G310" s="131"/>
      <c r="H310" s="92">
        <v>20</v>
      </c>
      <c r="I310" s="167" t="s">
        <v>1580</v>
      </c>
      <c r="J310" s="167" t="str">
        <f>_xlfn.XLOOKUP(I310,[1]Sheet1!$A:$A,[1]Sheet1!$B:$B,"")</f>
        <v/>
      </c>
      <c r="K310" s="90" t="s">
        <v>3639</v>
      </c>
      <c r="L310" s="90" t="s">
        <v>3627</v>
      </c>
      <c r="M310" s="92" t="s">
        <v>1584</v>
      </c>
      <c r="N310" s="89" t="s">
        <v>158</v>
      </c>
      <c r="O310" s="190">
        <v>633.29999999999995</v>
      </c>
      <c r="P310" s="88" t="s">
        <v>61</v>
      </c>
      <c r="Q310" s="92"/>
      <c r="R310" s="190">
        <v>1</v>
      </c>
      <c r="S310" s="455"/>
      <c r="T310" s="128" t="s">
        <v>3864</v>
      </c>
      <c r="U310" s="456">
        <v>0</v>
      </c>
      <c r="V310" s="207">
        <v>60</v>
      </c>
      <c r="W310" s="207">
        <v>14</v>
      </c>
      <c r="X310" s="207">
        <v>14</v>
      </c>
      <c r="Y310" s="207" t="s">
        <v>1582</v>
      </c>
      <c r="Z310" s="133">
        <f t="shared" si="494"/>
        <v>18885.770073529413</v>
      </c>
      <c r="AA310" s="133"/>
      <c r="AB310" s="124">
        <f t="shared" si="495"/>
        <v>15772.06794871795</v>
      </c>
      <c r="AC310" s="124"/>
      <c r="AD310" s="213">
        <v>7.0000000000000007E-2</v>
      </c>
      <c r="AE310" s="213">
        <v>7.0000000000000007E-2</v>
      </c>
      <c r="AF310" s="215">
        <v>0.3</v>
      </c>
      <c r="AG310" s="215" t="s">
        <v>2812</v>
      </c>
      <c r="AH310" s="151">
        <f t="shared" si="496"/>
        <v>15772.06794871795</v>
      </c>
      <c r="AI310" s="122">
        <f t="shared" si="491"/>
        <v>0.30000000000000004</v>
      </c>
      <c r="AJ310" s="444"/>
      <c r="AK310" s="150">
        <f t="shared" si="497"/>
        <v>13808.950161290322</v>
      </c>
      <c r="AL310" s="148">
        <f t="shared" si="405"/>
        <v>11871.448993658672</v>
      </c>
      <c r="AM310" s="125">
        <f t="shared" si="492"/>
        <v>0.26881720430107536</v>
      </c>
      <c r="AN310" s="125">
        <f t="shared" si="493"/>
        <v>0.24731182795698925</v>
      </c>
      <c r="AO310" s="166"/>
      <c r="AP310" s="17" t="s">
        <v>1583</v>
      </c>
      <c r="AQ310" s="169"/>
      <c r="AR310" s="169"/>
      <c r="AS310" s="323">
        <v>4865</v>
      </c>
      <c r="AT310" s="169"/>
      <c r="AU310" s="162"/>
      <c r="AV310" s="141"/>
      <c r="AW310" s="154">
        <f t="shared" si="499"/>
        <v>10976.344999999999</v>
      </c>
      <c r="AX310" s="126">
        <f t="shared" si="498"/>
        <v>11040.447564102564</v>
      </c>
      <c r="AY310" s="147"/>
      <c r="AZ310" s="183"/>
      <c r="BB310" s="134">
        <f t="shared" si="485"/>
        <v>52573.559829059835</v>
      </c>
      <c r="BC310" s="134">
        <f t="shared" si="486"/>
        <v>31544.135897435899</v>
      </c>
      <c r="BD310" s="134">
        <f t="shared" si="487"/>
        <v>26286.779914529918</v>
      </c>
      <c r="BE310" s="134">
        <f t="shared" si="488"/>
        <v>21029.423931623936</v>
      </c>
    </row>
    <row r="311" spans="1:57" s="129" customFormat="1" hidden="1">
      <c r="A311" s="90" t="s">
        <v>1276</v>
      </c>
      <c r="B311" s="88" t="s">
        <v>1569</v>
      </c>
      <c r="C311" s="88" t="s">
        <v>1317</v>
      </c>
      <c r="D311" s="90" t="s">
        <v>55</v>
      </c>
      <c r="E311" s="90" t="s">
        <v>1570</v>
      </c>
      <c r="F311" s="90" t="s">
        <v>1571</v>
      </c>
      <c r="G311" s="131"/>
      <c r="H311" s="92">
        <v>20</v>
      </c>
      <c r="I311" s="167" t="s">
        <v>1581</v>
      </c>
      <c r="J311" s="167" t="str">
        <f>_xlfn.XLOOKUP(I311,[1]Sheet1!$A:$A,[1]Sheet1!$B:$B,"")</f>
        <v/>
      </c>
      <c r="K311" s="90" t="s">
        <v>3640</v>
      </c>
      <c r="L311" s="90" t="s">
        <v>3628</v>
      </c>
      <c r="M311" s="92" t="s">
        <v>1584</v>
      </c>
      <c r="N311" s="89" t="s">
        <v>158</v>
      </c>
      <c r="O311" s="190">
        <v>1265.9000000000001</v>
      </c>
      <c r="P311" s="88" t="s">
        <v>61</v>
      </c>
      <c r="Q311" s="92"/>
      <c r="R311" s="190">
        <v>1</v>
      </c>
      <c r="S311" s="455"/>
      <c r="T311" s="128" t="s">
        <v>3864</v>
      </c>
      <c r="U311" s="456">
        <v>0</v>
      </c>
      <c r="V311" s="207">
        <v>60</v>
      </c>
      <c r="W311" s="207">
        <v>14</v>
      </c>
      <c r="X311" s="207">
        <v>14</v>
      </c>
      <c r="Y311" s="207" t="s">
        <v>1582</v>
      </c>
      <c r="Z311" s="133">
        <f t="shared" si="494"/>
        <v>36424.741102941181</v>
      </c>
      <c r="AA311" s="133"/>
      <c r="AB311" s="124">
        <f t="shared" si="495"/>
        <v>30334.33937728938</v>
      </c>
      <c r="AC311" s="124"/>
      <c r="AD311" s="213">
        <v>7.0000000000000007E-2</v>
      </c>
      <c r="AE311" s="213">
        <v>7.0000000000000007E-2</v>
      </c>
      <c r="AF311" s="215">
        <v>0.3</v>
      </c>
      <c r="AG311" s="215" t="s">
        <v>2812</v>
      </c>
      <c r="AH311" s="151">
        <f t="shared" si="496"/>
        <v>30334.33937728938</v>
      </c>
      <c r="AI311" s="122">
        <f t="shared" si="491"/>
        <v>0.30000000000000004</v>
      </c>
      <c r="AJ311" s="444"/>
      <c r="AK311" s="150">
        <f t="shared" si="497"/>
        <v>26633.144032258067</v>
      </c>
      <c r="AL311" s="148">
        <f t="shared" si="405"/>
        <v>22832.298456024262</v>
      </c>
      <c r="AM311" s="125">
        <f t="shared" si="492"/>
        <v>0.26881720430107525</v>
      </c>
      <c r="AN311" s="125">
        <f t="shared" si="493"/>
        <v>0.24731182795698936</v>
      </c>
      <c r="AO311" s="166"/>
      <c r="AP311" s="17" t="s">
        <v>1583</v>
      </c>
      <c r="AQ311" s="169"/>
      <c r="AR311" s="169"/>
      <c r="AS311" s="323">
        <v>8954</v>
      </c>
      <c r="AT311" s="169"/>
      <c r="AU311" s="162"/>
      <c r="AV311" s="141"/>
      <c r="AW311" s="154">
        <f>AS311+($F$4-1500)/1000*O311</f>
        <v>21169.935000000001</v>
      </c>
      <c r="AX311" s="126">
        <f t="shared" si="498"/>
        <v>21234.037564102564</v>
      </c>
      <c r="AY311" s="147"/>
      <c r="AZ311" s="183"/>
      <c r="BB311" s="134">
        <f t="shared" si="485"/>
        <v>101114.46459096461</v>
      </c>
      <c r="BC311" s="134">
        <f t="shared" si="486"/>
        <v>60668.678754578759</v>
      </c>
      <c r="BD311" s="134">
        <f t="shared" si="487"/>
        <v>50557.232295482303</v>
      </c>
      <c r="BE311" s="134">
        <f t="shared" si="488"/>
        <v>40445.785836385847</v>
      </c>
    </row>
    <row r="312" spans="1:57" s="129" customFormat="1" hidden="1">
      <c r="A312" s="88" t="s">
        <v>1302</v>
      </c>
      <c r="B312" s="88" t="s">
        <v>1318</v>
      </c>
      <c r="C312" s="88" t="s">
        <v>1318</v>
      </c>
      <c r="D312" s="88" t="s">
        <v>656</v>
      </c>
      <c r="E312" s="88" t="s">
        <v>657</v>
      </c>
      <c r="F312" s="89" t="s">
        <v>657</v>
      </c>
      <c r="G312" s="92" t="s">
        <v>658</v>
      </c>
      <c r="H312" s="92"/>
      <c r="I312" s="167" t="s">
        <v>659</v>
      </c>
      <c r="J312" s="167" t="str">
        <f>_xlfn.XLOOKUP(I312,[1]Sheet1!$A:$A,[1]Sheet1!$B:$B,"")</f>
        <v>U0601002</v>
      </c>
      <c r="K312" s="88" t="s">
        <v>1695</v>
      </c>
      <c r="L312" s="88" t="s">
        <v>2628</v>
      </c>
      <c r="M312" s="92"/>
      <c r="N312" s="89" t="s">
        <v>60</v>
      </c>
      <c r="O312" s="165"/>
      <c r="P312" s="89" t="s">
        <v>661</v>
      </c>
      <c r="Q312" s="92" t="s">
        <v>242</v>
      </c>
      <c r="R312" s="92">
        <v>51840</v>
      </c>
      <c r="S312" s="455" t="s">
        <v>662</v>
      </c>
      <c r="T312" s="128" t="s">
        <v>3865</v>
      </c>
      <c r="U312" s="456">
        <v>0</v>
      </c>
      <c r="V312" s="207">
        <v>30</v>
      </c>
      <c r="W312" s="92">
        <v>45</v>
      </c>
      <c r="X312" s="92">
        <v>55</v>
      </c>
      <c r="Y312" s="92" t="s">
        <v>64</v>
      </c>
      <c r="Z312" s="133">
        <f t="shared" ref="Z312:Z322" si="520">AK312/(1-(AF312+2%))</f>
        <v>0.48840048840048844</v>
      </c>
      <c r="AA312" s="133"/>
      <c r="AB312" s="161">
        <f t="shared" si="402"/>
        <v>0.36699720895927368</v>
      </c>
      <c r="AC312" s="161"/>
      <c r="AD312" s="213">
        <f t="shared" si="403"/>
        <v>0.1</v>
      </c>
      <c r="AE312" s="213">
        <v>0.1</v>
      </c>
      <c r="AF312" s="215">
        <v>0.33</v>
      </c>
      <c r="AG312" s="215" t="s">
        <v>9</v>
      </c>
      <c r="AH312" s="148">
        <f t="shared" si="496"/>
        <v>0.36699720895927368</v>
      </c>
      <c r="AI312" s="122">
        <f t="shared" si="489"/>
        <v>0.33000000000000007</v>
      </c>
      <c r="AJ312" s="444"/>
      <c r="AK312" s="150">
        <f t="shared" si="404"/>
        <v>0.31746031746031744</v>
      </c>
      <c r="AL312" s="153">
        <f t="shared" si="405"/>
        <v>0.27320903333634816</v>
      </c>
      <c r="AM312" s="125">
        <f t="shared" si="406"/>
        <v>0.35000000000000009</v>
      </c>
      <c r="AN312" s="125">
        <f t="shared" si="439"/>
        <v>0.25555555555555565</v>
      </c>
      <c r="AO312" s="140"/>
      <c r="AP312" s="17" t="s">
        <v>664</v>
      </c>
      <c r="AQ312" s="191"/>
      <c r="AR312" s="191"/>
      <c r="AS312" s="191"/>
      <c r="AT312" s="191"/>
      <c r="AU312" s="141">
        <v>2</v>
      </c>
      <c r="AV312" s="141">
        <f t="shared" si="408"/>
        <v>2</v>
      </c>
      <c r="AW312" s="142">
        <f>(AT312+AU312)/$F$5</f>
        <v>0.2857142857142857</v>
      </c>
      <c r="AX312" s="126">
        <f t="shared" si="440"/>
        <v>0.24588813000271334</v>
      </c>
      <c r="AY312" s="17"/>
      <c r="AZ312" s="183">
        <v>8536700000</v>
      </c>
      <c r="BB312" s="161">
        <f t="shared" si="485"/>
        <v>1.2233240298642456</v>
      </c>
      <c r="BC312" s="161">
        <f t="shared" si="486"/>
        <v>0.73399441791854736</v>
      </c>
      <c r="BD312" s="161">
        <f t="shared" si="487"/>
        <v>0.6116620149321228</v>
      </c>
      <c r="BE312" s="161">
        <f t="shared" si="488"/>
        <v>0.48932961194569824</v>
      </c>
    </row>
    <row r="313" spans="1:57" s="129" customFormat="1" hidden="1">
      <c r="A313" s="88" t="s">
        <v>1302</v>
      </c>
      <c r="B313" s="88" t="s">
        <v>1318</v>
      </c>
      <c r="C313" s="88" t="s">
        <v>1318</v>
      </c>
      <c r="D313" s="88" t="s">
        <v>656</v>
      </c>
      <c r="E313" s="88" t="s">
        <v>657</v>
      </c>
      <c r="F313" s="89" t="s">
        <v>657</v>
      </c>
      <c r="G313" s="92" t="s">
        <v>658</v>
      </c>
      <c r="H313" s="92"/>
      <c r="I313" s="167" t="s">
        <v>665</v>
      </c>
      <c r="J313" s="167" t="str">
        <f>_xlfn.XLOOKUP(I313,[1]Sheet1!$A:$A,[1]Sheet1!$B:$B,"")</f>
        <v>U0601001</v>
      </c>
      <c r="K313" s="88" t="s">
        <v>1696</v>
      </c>
      <c r="L313" s="88" t="s">
        <v>2629</v>
      </c>
      <c r="M313" s="92"/>
      <c r="N313" s="89" t="s">
        <v>60</v>
      </c>
      <c r="O313" s="165"/>
      <c r="P313" s="89" t="s">
        <v>661</v>
      </c>
      <c r="Q313" s="92" t="s">
        <v>242</v>
      </c>
      <c r="R313" s="92">
        <v>51840</v>
      </c>
      <c r="S313" s="431" t="s">
        <v>667</v>
      </c>
      <c r="T313" s="128" t="s">
        <v>3865</v>
      </c>
      <c r="U313" s="456">
        <v>0</v>
      </c>
      <c r="V313" s="207">
        <v>30</v>
      </c>
      <c r="W313" s="92">
        <v>45</v>
      </c>
      <c r="X313" s="92">
        <v>55</v>
      </c>
      <c r="Y313" s="92" t="s">
        <v>64</v>
      </c>
      <c r="Z313" s="133">
        <f t="shared" si="520"/>
        <v>0.48840048840048844</v>
      </c>
      <c r="AA313" s="133"/>
      <c r="AB313" s="161">
        <f t="shared" si="402"/>
        <v>0.36699720895927368</v>
      </c>
      <c r="AC313" s="161"/>
      <c r="AD313" s="213">
        <f t="shared" si="403"/>
        <v>0.1</v>
      </c>
      <c r="AE313" s="213">
        <v>0.1</v>
      </c>
      <c r="AF313" s="215">
        <v>0.33</v>
      </c>
      <c r="AG313" s="215" t="s">
        <v>9</v>
      </c>
      <c r="AH313" s="148">
        <f t="shared" si="496"/>
        <v>0.36699720895927368</v>
      </c>
      <c r="AI313" s="122">
        <f t="shared" si="489"/>
        <v>0.33000000000000007</v>
      </c>
      <c r="AJ313" s="444"/>
      <c r="AK313" s="150">
        <f t="shared" si="404"/>
        <v>0.31746031746031744</v>
      </c>
      <c r="AL313" s="153">
        <f t="shared" si="405"/>
        <v>0.27320903333634816</v>
      </c>
      <c r="AM313" s="125">
        <f t="shared" si="406"/>
        <v>0.35000000000000009</v>
      </c>
      <c r="AN313" s="125">
        <f t="shared" si="439"/>
        <v>0.25555555555555565</v>
      </c>
      <c r="AO313" s="140"/>
      <c r="AP313" s="17" t="s">
        <v>664</v>
      </c>
      <c r="AQ313" s="191"/>
      <c r="AR313" s="191"/>
      <c r="AS313" s="191"/>
      <c r="AT313" s="191"/>
      <c r="AU313" s="141">
        <v>2</v>
      </c>
      <c r="AV313" s="141">
        <f t="shared" si="408"/>
        <v>2</v>
      </c>
      <c r="AW313" s="142">
        <f t="shared" si="409"/>
        <v>0.2857142857142857</v>
      </c>
      <c r="AX313" s="126">
        <f t="shared" si="440"/>
        <v>0.24588813000271334</v>
      </c>
      <c r="AY313" s="17"/>
      <c r="AZ313" s="183">
        <v>8536700000</v>
      </c>
      <c r="BB313" s="161">
        <f t="shared" si="485"/>
        <v>1.2233240298642456</v>
      </c>
      <c r="BC313" s="161">
        <f t="shared" si="486"/>
        <v>0.73399441791854736</v>
      </c>
      <c r="BD313" s="161">
        <f t="shared" si="487"/>
        <v>0.6116620149321228</v>
      </c>
      <c r="BE313" s="161">
        <f t="shared" si="488"/>
        <v>0.48932961194569824</v>
      </c>
    </row>
    <row r="314" spans="1:57" s="129" customFormat="1" hidden="1">
      <c r="A314" s="88" t="s">
        <v>1276</v>
      </c>
      <c r="B314" s="88" t="s">
        <v>1318</v>
      </c>
      <c r="C314" s="88" t="s">
        <v>1318</v>
      </c>
      <c r="D314" s="88" t="s">
        <v>656</v>
      </c>
      <c r="E314" s="88" t="s">
        <v>657</v>
      </c>
      <c r="F314" s="89" t="s">
        <v>657</v>
      </c>
      <c r="G314" s="92" t="s">
        <v>1779</v>
      </c>
      <c r="H314" s="92"/>
      <c r="I314" s="167" t="s">
        <v>2426</v>
      </c>
      <c r="J314" s="167" t="str">
        <f>_xlfn.XLOOKUP(I314,[1]Sheet1!$A:$A,[1]Sheet1!$B:$B,"")</f>
        <v/>
      </c>
      <c r="K314" s="88" t="s">
        <v>2622</v>
      </c>
      <c r="L314" s="88" t="s">
        <v>2630</v>
      </c>
      <c r="M314" s="92"/>
      <c r="N314" s="89" t="s">
        <v>60</v>
      </c>
      <c r="O314" s="165"/>
      <c r="P314" s="89" t="s">
        <v>661</v>
      </c>
      <c r="Q314" s="92" t="s">
        <v>242</v>
      </c>
      <c r="R314" s="92">
        <v>51840</v>
      </c>
      <c r="S314" s="431" t="e">
        <v>#N/A</v>
      </c>
      <c r="T314" s="128" t="s">
        <v>3865</v>
      </c>
      <c r="U314" s="456">
        <v>0</v>
      </c>
      <c r="V314" s="207">
        <v>30</v>
      </c>
      <c r="W314" s="92">
        <v>45</v>
      </c>
      <c r="X314" s="92">
        <v>55</v>
      </c>
      <c r="Y314" s="92" t="s">
        <v>64</v>
      </c>
      <c r="Z314" s="133">
        <f t="shared" ref="Z314" si="521">AK314/(1-(AF314+2%))</f>
        <v>0.48840048840048844</v>
      </c>
      <c r="AA314" s="133"/>
      <c r="AB314" s="161">
        <f t="shared" ref="AB314" si="522">AX314/(1-AF314)</f>
        <v>0.36699720895927368</v>
      </c>
      <c r="AC314" s="161"/>
      <c r="AD314" s="213">
        <f t="shared" ref="AD314" si="523">AE314</f>
        <v>0.1</v>
      </c>
      <c r="AE314" s="213">
        <v>0.1</v>
      </c>
      <c r="AF314" s="215">
        <v>0.33</v>
      </c>
      <c r="AG314" s="215" t="s">
        <v>9</v>
      </c>
      <c r="AH314" s="148">
        <f t="shared" si="496"/>
        <v>0.36699720895927368</v>
      </c>
      <c r="AI314" s="122">
        <f t="shared" ref="AI314" si="524">1-(AX314/AH314)</f>
        <v>0.33000000000000007</v>
      </c>
      <c r="AJ314" s="444"/>
      <c r="AK314" s="150">
        <f t="shared" ref="AK314" si="525">AW314/(1-AD314)</f>
        <v>0.31746031746031744</v>
      </c>
      <c r="AL314" s="153">
        <f t="shared" ref="AL314" si="526">AX314/(1-AE314)</f>
        <v>0.27320903333634816</v>
      </c>
      <c r="AM314" s="125">
        <f t="shared" ref="AM314" si="527">1-(AK314/Z314)</f>
        <v>0.35000000000000009</v>
      </c>
      <c r="AN314" s="125">
        <f t="shared" ref="AN314" si="528">1-(AL314/AB314)</f>
        <v>0.25555555555555565</v>
      </c>
      <c r="AO314" s="140"/>
      <c r="AP314" s="17" t="s">
        <v>664</v>
      </c>
      <c r="AQ314" s="191"/>
      <c r="AR314" s="191"/>
      <c r="AS314" s="191"/>
      <c r="AT314" s="191"/>
      <c r="AU314" s="141">
        <v>2</v>
      </c>
      <c r="AV314" s="141">
        <f t="shared" ref="AV314" si="529">AT314+AU314</f>
        <v>2</v>
      </c>
      <c r="AW314" s="142">
        <f t="shared" ref="AW314" si="530">(AT314+AU314)/$F$5</f>
        <v>0.2857142857142857</v>
      </c>
      <c r="AX314" s="126">
        <f t="shared" ref="AX314" si="531">(AW314/$F$6)+(($F$9+$G$9)/40/R314)+AW314*U314</f>
        <v>0.24588813000271334</v>
      </c>
      <c r="AY314" s="17"/>
      <c r="AZ314" s="183">
        <v>8536700000</v>
      </c>
      <c r="BB314" s="168">
        <f t="shared" si="485"/>
        <v>1.2233240298642456</v>
      </c>
      <c r="BC314" s="168">
        <f t="shared" si="486"/>
        <v>0.73399441791854736</v>
      </c>
      <c r="BD314" s="168">
        <f t="shared" si="487"/>
        <v>0.6116620149321228</v>
      </c>
      <c r="BE314" s="168">
        <f t="shared" si="488"/>
        <v>0.48932961194569824</v>
      </c>
    </row>
    <row r="315" spans="1:57" s="129" customFormat="1" hidden="1">
      <c r="A315" s="88" t="s">
        <v>1276</v>
      </c>
      <c r="B315" s="88" t="s">
        <v>1318</v>
      </c>
      <c r="C315" s="88" t="s">
        <v>1318</v>
      </c>
      <c r="D315" s="88" t="s">
        <v>656</v>
      </c>
      <c r="E315" s="88" t="s">
        <v>657</v>
      </c>
      <c r="F315" s="89" t="s">
        <v>657</v>
      </c>
      <c r="G315" s="92" t="s">
        <v>1779</v>
      </c>
      <c r="H315" s="92"/>
      <c r="I315" s="167" t="s">
        <v>1780</v>
      </c>
      <c r="J315" s="167" t="str">
        <f>_xlfn.XLOOKUP(I315,[1]Sheet1!$A:$A,[1]Sheet1!$B:$B,"")</f>
        <v/>
      </c>
      <c r="K315" s="88" t="s">
        <v>2623</v>
      </c>
      <c r="L315" s="88" t="s">
        <v>2631</v>
      </c>
      <c r="M315" s="92"/>
      <c r="N315" s="89" t="s">
        <v>1781</v>
      </c>
      <c r="O315" s="165"/>
      <c r="P315" s="89" t="s">
        <v>671</v>
      </c>
      <c r="Q315" s="92" t="s">
        <v>242</v>
      </c>
      <c r="R315" s="92">
        <v>25920</v>
      </c>
      <c r="S315" s="431" t="e">
        <v>#N/A</v>
      </c>
      <c r="T315" s="128" t="s">
        <v>3865</v>
      </c>
      <c r="U315" s="456">
        <v>0</v>
      </c>
      <c r="V315" s="207">
        <v>30</v>
      </c>
      <c r="W315" s="92">
        <v>45</v>
      </c>
      <c r="X315" s="92">
        <v>55</v>
      </c>
      <c r="Y315" s="92" t="s">
        <v>64</v>
      </c>
      <c r="Z315" s="133">
        <f t="shared" ref="Z315" si="532">AK315/(1-(AF315+2%))</f>
        <v>0.97680097680097688</v>
      </c>
      <c r="AA315" s="133"/>
      <c r="AB315" s="161">
        <f t="shared" ref="AB315" si="533">AX315/(1-AF315)</f>
        <v>0.73399441791854736</v>
      </c>
      <c r="AC315" s="161"/>
      <c r="AD315" s="213">
        <f t="shared" ref="AD315" si="534">AE315</f>
        <v>0.1</v>
      </c>
      <c r="AE315" s="213">
        <v>0.1</v>
      </c>
      <c r="AF315" s="215">
        <v>0.33</v>
      </c>
      <c r="AG315" s="215" t="s">
        <v>9</v>
      </c>
      <c r="AH315" s="148">
        <f t="shared" si="496"/>
        <v>0.73399441791854736</v>
      </c>
      <c r="AI315" s="122">
        <f t="shared" ref="AI315" si="535">1-(AX315/AH315)</f>
        <v>0.33000000000000007</v>
      </c>
      <c r="AJ315" s="444"/>
      <c r="AK315" s="150">
        <f t="shared" ref="AK315" si="536">AW315/(1-AD315)</f>
        <v>0.63492063492063489</v>
      </c>
      <c r="AL315" s="153">
        <f t="shared" ref="AL315" si="537">AX315/(1-AE315)</f>
        <v>0.54641806667269632</v>
      </c>
      <c r="AM315" s="125">
        <f t="shared" ref="AM315" si="538">1-(AK315/Z315)</f>
        <v>0.35000000000000009</v>
      </c>
      <c r="AN315" s="125">
        <f t="shared" ref="AN315" si="539">1-(AL315/AB315)</f>
        <v>0.25555555555555565</v>
      </c>
      <c r="AO315" s="140"/>
      <c r="AP315" s="17" t="s">
        <v>664</v>
      </c>
      <c r="AQ315" s="191"/>
      <c r="AR315" s="191"/>
      <c r="AS315" s="191"/>
      <c r="AT315" s="191"/>
      <c r="AU315" s="141">
        <v>4</v>
      </c>
      <c r="AV315" s="141">
        <f t="shared" ref="AV315" si="540">AT315+AU315</f>
        <v>4</v>
      </c>
      <c r="AW315" s="142">
        <f t="shared" ref="AW315" si="541">(AT315+AU315)/$F$5</f>
        <v>0.5714285714285714</v>
      </c>
      <c r="AX315" s="126">
        <f t="shared" ref="AX315" si="542">(AW315/$F$6)+(($F$9+$G$9)/40/R315)+AW315*U315</f>
        <v>0.49177626000542668</v>
      </c>
      <c r="AY315" s="17"/>
      <c r="AZ315" s="183"/>
      <c r="BB315" s="168">
        <f t="shared" si="485"/>
        <v>2.4466480597284912</v>
      </c>
      <c r="BC315" s="168">
        <f t="shared" si="486"/>
        <v>1.4679888358370947</v>
      </c>
      <c r="BD315" s="168">
        <f t="shared" si="487"/>
        <v>1.2233240298642456</v>
      </c>
      <c r="BE315" s="168">
        <f t="shared" si="488"/>
        <v>0.97865922389139648</v>
      </c>
    </row>
    <row r="316" spans="1:57" s="129" customFormat="1" hidden="1">
      <c r="A316" s="88" t="s">
        <v>1302</v>
      </c>
      <c r="B316" s="88" t="s">
        <v>1318</v>
      </c>
      <c r="C316" s="88" t="s">
        <v>1318</v>
      </c>
      <c r="D316" s="88" t="s">
        <v>656</v>
      </c>
      <c r="E316" s="88" t="s">
        <v>657</v>
      </c>
      <c r="F316" s="89" t="s">
        <v>657</v>
      </c>
      <c r="G316" s="92" t="s">
        <v>668</v>
      </c>
      <c r="H316" s="92"/>
      <c r="I316" s="167" t="s">
        <v>3711</v>
      </c>
      <c r="J316" s="167" t="str">
        <f>_xlfn.XLOOKUP(I316,[1]Sheet1!$A:$A,[1]Sheet1!$B:$B,"")</f>
        <v>U0601004</v>
      </c>
      <c r="K316" s="88" t="s">
        <v>1821</v>
      </c>
      <c r="L316" s="88" t="s">
        <v>2407</v>
      </c>
      <c r="M316" s="92"/>
      <c r="N316" s="89" t="s">
        <v>60</v>
      </c>
      <c r="O316" s="165"/>
      <c r="P316" s="89" t="s">
        <v>671</v>
      </c>
      <c r="Q316" s="92" t="s">
        <v>242</v>
      </c>
      <c r="R316" s="92">
        <v>25920</v>
      </c>
      <c r="S316" s="431" t="s">
        <v>672</v>
      </c>
      <c r="T316" s="128" t="s">
        <v>3865</v>
      </c>
      <c r="U316" s="456">
        <v>0</v>
      </c>
      <c r="V316" s="207">
        <v>30</v>
      </c>
      <c r="W316" s="92">
        <v>45</v>
      </c>
      <c r="X316" s="92">
        <v>55</v>
      </c>
      <c r="Y316" s="92" t="s">
        <v>64</v>
      </c>
      <c r="Z316" s="133">
        <f t="shared" si="520"/>
        <v>0.36630036630036633</v>
      </c>
      <c r="AA316" s="133"/>
      <c r="AB316" s="161">
        <f t="shared" si="402"/>
        <v>0.27839694739570364</v>
      </c>
      <c r="AC316" s="161"/>
      <c r="AD316" s="213">
        <f t="shared" si="403"/>
        <v>0.1</v>
      </c>
      <c r="AE316" s="213">
        <v>0.1</v>
      </c>
      <c r="AF316" s="215">
        <v>0.33</v>
      </c>
      <c r="AG316" s="215" t="s">
        <v>9</v>
      </c>
      <c r="AH316" s="148">
        <f t="shared" si="496"/>
        <v>0.27839694739570364</v>
      </c>
      <c r="AI316" s="122">
        <f t="shared" si="489"/>
        <v>0.33000000000000018</v>
      </c>
      <c r="AJ316" s="444"/>
      <c r="AK316" s="150">
        <f t="shared" si="404"/>
        <v>0.23809523809523808</v>
      </c>
      <c r="AL316" s="153">
        <f t="shared" si="405"/>
        <v>0.20725106083902378</v>
      </c>
      <c r="AM316" s="125">
        <f t="shared" si="406"/>
        <v>0.35000000000000009</v>
      </c>
      <c r="AN316" s="125">
        <f t="shared" si="439"/>
        <v>0.25555555555555565</v>
      </c>
      <c r="AO316" s="140"/>
      <c r="AP316" s="17" t="s">
        <v>664</v>
      </c>
      <c r="AQ316" s="191"/>
      <c r="AR316" s="191"/>
      <c r="AS316" s="191"/>
      <c r="AT316" s="191"/>
      <c r="AU316" s="141">
        <v>1.5</v>
      </c>
      <c r="AV316" s="141">
        <f t="shared" si="408"/>
        <v>1.5</v>
      </c>
      <c r="AW316" s="142">
        <f t="shared" si="409"/>
        <v>0.21428571428571427</v>
      </c>
      <c r="AX316" s="126">
        <f t="shared" si="440"/>
        <v>0.1865259547551214</v>
      </c>
      <c r="AY316" s="17"/>
      <c r="AZ316" s="183">
        <v>8536700000</v>
      </c>
      <c r="BB316" s="161">
        <f t="shared" si="485"/>
        <v>0.92798982465234547</v>
      </c>
      <c r="BC316" s="161">
        <f t="shared" si="486"/>
        <v>0.55679389479140728</v>
      </c>
      <c r="BD316" s="161">
        <f t="shared" si="487"/>
        <v>0.46399491232617274</v>
      </c>
      <c r="BE316" s="161">
        <f t="shared" si="488"/>
        <v>0.37119592986093819</v>
      </c>
    </row>
    <row r="317" spans="1:57" s="129" customFormat="1" hidden="1">
      <c r="A317" s="88" t="s">
        <v>1302</v>
      </c>
      <c r="B317" s="88" t="s">
        <v>1318</v>
      </c>
      <c r="C317" s="88" t="s">
        <v>1318</v>
      </c>
      <c r="D317" s="88" t="s">
        <v>656</v>
      </c>
      <c r="E317" s="88" t="s">
        <v>657</v>
      </c>
      <c r="F317" s="89" t="s">
        <v>657</v>
      </c>
      <c r="G317" s="92" t="s">
        <v>668</v>
      </c>
      <c r="H317" s="92"/>
      <c r="I317" s="167" t="s">
        <v>673</v>
      </c>
      <c r="J317" s="167" t="str">
        <f>_xlfn.XLOOKUP(I317,[1]Sheet1!$A:$A,[1]Sheet1!$B:$B,"")</f>
        <v>U0601003</v>
      </c>
      <c r="K317" s="88" t="s">
        <v>1822</v>
      </c>
      <c r="L317" s="88" t="s">
        <v>674</v>
      </c>
      <c r="M317" s="92"/>
      <c r="N317" s="89" t="s">
        <v>60</v>
      </c>
      <c r="O317" s="165"/>
      <c r="P317" s="89" t="s">
        <v>671</v>
      </c>
      <c r="Q317" s="92" t="s">
        <v>242</v>
      </c>
      <c r="R317" s="92">
        <v>25920</v>
      </c>
      <c r="S317" s="431" t="s">
        <v>675</v>
      </c>
      <c r="T317" s="128" t="s">
        <v>3865</v>
      </c>
      <c r="U317" s="456">
        <v>0</v>
      </c>
      <c r="V317" s="207">
        <v>30</v>
      </c>
      <c r="W317" s="92">
        <v>45</v>
      </c>
      <c r="X317" s="92">
        <v>55</v>
      </c>
      <c r="Y317" s="92" t="s">
        <v>64</v>
      </c>
      <c r="Z317" s="133">
        <f t="shared" si="520"/>
        <v>0.36630036630036633</v>
      </c>
      <c r="AA317" s="133"/>
      <c r="AB317" s="161">
        <f t="shared" si="402"/>
        <v>0.27839694739570364</v>
      </c>
      <c r="AC317" s="161"/>
      <c r="AD317" s="213">
        <f t="shared" si="403"/>
        <v>0.1</v>
      </c>
      <c r="AE317" s="213">
        <v>0.1</v>
      </c>
      <c r="AF317" s="215">
        <v>0.33</v>
      </c>
      <c r="AG317" s="215" t="s">
        <v>9</v>
      </c>
      <c r="AH317" s="148">
        <f t="shared" si="496"/>
        <v>0.27839694739570364</v>
      </c>
      <c r="AI317" s="122">
        <f t="shared" si="489"/>
        <v>0.33000000000000018</v>
      </c>
      <c r="AJ317" s="444"/>
      <c r="AK317" s="150">
        <f t="shared" si="404"/>
        <v>0.23809523809523808</v>
      </c>
      <c r="AL317" s="153">
        <f t="shared" si="405"/>
        <v>0.20725106083902378</v>
      </c>
      <c r="AM317" s="125">
        <f t="shared" si="406"/>
        <v>0.35000000000000009</v>
      </c>
      <c r="AN317" s="125">
        <f t="shared" si="439"/>
        <v>0.25555555555555565</v>
      </c>
      <c r="AO317" s="140"/>
      <c r="AP317" s="17" t="s">
        <v>664</v>
      </c>
      <c r="AQ317" s="191"/>
      <c r="AR317" s="191"/>
      <c r="AS317" s="191"/>
      <c r="AT317" s="191"/>
      <c r="AU317" s="141">
        <v>1.5</v>
      </c>
      <c r="AV317" s="141">
        <f t="shared" si="408"/>
        <v>1.5</v>
      </c>
      <c r="AW317" s="142">
        <f t="shared" si="409"/>
        <v>0.21428571428571427</v>
      </c>
      <c r="AX317" s="126">
        <f t="shared" si="440"/>
        <v>0.1865259547551214</v>
      </c>
      <c r="AY317" s="17"/>
      <c r="AZ317" s="183">
        <v>8536700000</v>
      </c>
      <c r="BB317" s="161">
        <f t="shared" si="485"/>
        <v>0.92798982465234547</v>
      </c>
      <c r="BC317" s="161">
        <f t="shared" si="486"/>
        <v>0.55679389479140728</v>
      </c>
      <c r="BD317" s="161">
        <f t="shared" si="487"/>
        <v>0.46399491232617274</v>
      </c>
      <c r="BE317" s="161">
        <f t="shared" si="488"/>
        <v>0.37119592986093819</v>
      </c>
    </row>
    <row r="318" spans="1:57" s="129" customFormat="1" hidden="1">
      <c r="A318" s="88" t="s">
        <v>1276</v>
      </c>
      <c r="B318" s="88" t="s">
        <v>1318</v>
      </c>
      <c r="C318" s="88" t="s">
        <v>1318</v>
      </c>
      <c r="D318" s="88" t="s">
        <v>656</v>
      </c>
      <c r="E318" s="88" t="s">
        <v>657</v>
      </c>
      <c r="F318" s="89" t="s">
        <v>657</v>
      </c>
      <c r="G318" s="92" t="s">
        <v>1782</v>
      </c>
      <c r="H318" s="92"/>
      <c r="I318" s="167" t="s">
        <v>1783</v>
      </c>
      <c r="J318" s="167" t="str">
        <f>_xlfn.XLOOKUP(I318,[1]Sheet1!$A:$A,[1]Sheet1!$B:$B,"")</f>
        <v/>
      </c>
      <c r="K318" s="88" t="s">
        <v>2625</v>
      </c>
      <c r="L318" s="88" t="s">
        <v>2627</v>
      </c>
      <c r="M318" s="92"/>
      <c r="N318" s="89" t="s">
        <v>60</v>
      </c>
      <c r="O318" s="165"/>
      <c r="P318" s="89" t="s">
        <v>671</v>
      </c>
      <c r="Q318" s="92" t="s">
        <v>242</v>
      </c>
      <c r="R318" s="92">
        <v>25920</v>
      </c>
      <c r="S318" s="431" t="e">
        <v>#N/A</v>
      </c>
      <c r="T318" s="128" t="s">
        <v>3865</v>
      </c>
      <c r="U318" s="456">
        <v>0</v>
      </c>
      <c r="V318" s="207">
        <v>30</v>
      </c>
      <c r="W318" s="92">
        <v>45</v>
      </c>
      <c r="X318" s="92">
        <v>55</v>
      </c>
      <c r="Y318" s="92" t="s">
        <v>64</v>
      </c>
      <c r="Z318" s="133">
        <f t="shared" ref="Z318" si="543">AK318/(1-(AF318+2%))</f>
        <v>0.36630036630036633</v>
      </c>
      <c r="AA318" s="133"/>
      <c r="AB318" s="161">
        <f t="shared" ref="AB318" si="544">AX318/(1-AF318)</f>
        <v>0.27839694739570364</v>
      </c>
      <c r="AC318" s="161"/>
      <c r="AD318" s="213">
        <f t="shared" ref="AD318" si="545">AE318</f>
        <v>0.1</v>
      </c>
      <c r="AE318" s="213">
        <v>0.1</v>
      </c>
      <c r="AF318" s="215">
        <v>0.33</v>
      </c>
      <c r="AG318" s="215" t="s">
        <v>9</v>
      </c>
      <c r="AH318" s="148">
        <f t="shared" si="496"/>
        <v>0.27839694739570364</v>
      </c>
      <c r="AI318" s="122">
        <f t="shared" ref="AI318" si="546">1-(AX318/AH318)</f>
        <v>0.33000000000000018</v>
      </c>
      <c r="AJ318" s="444"/>
      <c r="AK318" s="150">
        <f t="shared" ref="AK318" si="547">AW318/(1-AD318)</f>
        <v>0.23809523809523808</v>
      </c>
      <c r="AL318" s="153">
        <f t="shared" ref="AL318" si="548">AX318/(1-AE318)</f>
        <v>0.20725106083902378</v>
      </c>
      <c r="AM318" s="125">
        <f t="shared" ref="AM318" si="549">1-(AK318/Z318)</f>
        <v>0.35000000000000009</v>
      </c>
      <c r="AN318" s="125">
        <f t="shared" ref="AN318" si="550">1-(AL318/AB318)</f>
        <v>0.25555555555555565</v>
      </c>
      <c r="AO318" s="140"/>
      <c r="AP318" s="17" t="s">
        <v>664</v>
      </c>
      <c r="AQ318" s="191"/>
      <c r="AR318" s="191"/>
      <c r="AS318" s="191"/>
      <c r="AT318" s="191"/>
      <c r="AU318" s="141">
        <v>1.5</v>
      </c>
      <c r="AV318" s="141">
        <f t="shared" ref="AV318" si="551">AT318+AU318</f>
        <v>1.5</v>
      </c>
      <c r="AW318" s="142">
        <f t="shared" ref="AW318" si="552">(AT318+AU318)/$F$5</f>
        <v>0.21428571428571427</v>
      </c>
      <c r="AX318" s="126">
        <f t="shared" ref="AX318" si="553">(AW318/$F$6)+(($F$9+$G$9)/40/R318)+AW318*U318</f>
        <v>0.1865259547551214</v>
      </c>
      <c r="AY318" s="17"/>
      <c r="AZ318" s="183">
        <v>8536700000</v>
      </c>
      <c r="BB318" s="168">
        <f t="shared" si="485"/>
        <v>0.92798982465234547</v>
      </c>
      <c r="BC318" s="168">
        <f t="shared" si="486"/>
        <v>0.55679389479140728</v>
      </c>
      <c r="BD318" s="168">
        <f t="shared" si="487"/>
        <v>0.46399491232617274</v>
      </c>
      <c r="BE318" s="168">
        <f t="shared" si="488"/>
        <v>0.37119592986093819</v>
      </c>
    </row>
    <row r="319" spans="1:57" s="129" customFormat="1" hidden="1">
      <c r="A319" s="88" t="s">
        <v>1276</v>
      </c>
      <c r="B319" s="88" t="s">
        <v>1318</v>
      </c>
      <c r="C319" s="88" t="s">
        <v>1318</v>
      </c>
      <c r="D319" s="88" t="s">
        <v>656</v>
      </c>
      <c r="E319" s="88" t="s">
        <v>657</v>
      </c>
      <c r="F319" s="89" t="s">
        <v>657</v>
      </c>
      <c r="G319" s="92" t="s">
        <v>668</v>
      </c>
      <c r="H319" s="92"/>
      <c r="I319" s="167" t="s">
        <v>1452</v>
      </c>
      <c r="J319" s="167" t="str">
        <f>_xlfn.XLOOKUP(I319,[1]Sheet1!$A:$A,[1]Sheet1!$B:$B,"")</f>
        <v/>
      </c>
      <c r="K319" s="88" t="s">
        <v>1334</v>
      </c>
      <c r="L319" s="88" t="s">
        <v>2626</v>
      </c>
      <c r="M319" s="92"/>
      <c r="N319" s="89" t="s">
        <v>60</v>
      </c>
      <c r="O319" s="92"/>
      <c r="P319" s="89" t="s">
        <v>671</v>
      </c>
      <c r="Q319" s="92" t="s">
        <v>1723</v>
      </c>
      <c r="R319" s="92">
        <v>25920</v>
      </c>
      <c r="S319" s="431" t="e">
        <v>#N/A</v>
      </c>
      <c r="T319" s="128" t="s">
        <v>3865</v>
      </c>
      <c r="U319" s="456">
        <v>0</v>
      </c>
      <c r="V319" s="207">
        <v>30</v>
      </c>
      <c r="W319" s="207">
        <v>45</v>
      </c>
      <c r="X319" s="207">
        <v>55</v>
      </c>
      <c r="Y319" s="207" t="s">
        <v>1706</v>
      </c>
      <c r="Z319" s="133">
        <f t="shared" si="520"/>
        <v>0.17094017094017094</v>
      </c>
      <c r="AA319" s="133"/>
      <c r="AB319" s="161">
        <v>0.26</v>
      </c>
      <c r="AC319" s="161"/>
      <c r="AD319" s="213">
        <f t="shared" ref="AD319:AD320" si="554">AE319</f>
        <v>0.1</v>
      </c>
      <c r="AE319" s="213">
        <v>0.1</v>
      </c>
      <c r="AF319" s="215">
        <v>0.33</v>
      </c>
      <c r="AG319" s="215" t="s">
        <v>9</v>
      </c>
      <c r="AH319" s="148">
        <f t="shared" si="496"/>
        <v>0.26</v>
      </c>
      <c r="AI319" s="122">
        <f t="shared" ref="AI319:AI320" si="555">1-(AX319/AH319)</f>
        <v>0.65828516509606261</v>
      </c>
      <c r="AJ319" s="444"/>
      <c r="AK319" s="150">
        <f t="shared" ref="AK319:AK320" si="556">AW319/(1-AD319)</f>
        <v>0.1111111111111111</v>
      </c>
      <c r="AL319" s="153">
        <f t="shared" ref="AL319:AL320" si="557">AX319/(1-AE319)</f>
        <v>9.8717618972248594E-2</v>
      </c>
      <c r="AM319" s="125">
        <f t="shared" ref="AM319:AM320" si="558">1-(AK319/Z319)</f>
        <v>0.35000000000000009</v>
      </c>
      <c r="AN319" s="125">
        <f t="shared" ref="AN319:AN320" si="559">1-(AL319/AB319)</f>
        <v>0.62031685010673621</v>
      </c>
      <c r="AO319" s="140"/>
      <c r="AP319" s="17" t="s">
        <v>664</v>
      </c>
      <c r="AQ319" s="169"/>
      <c r="AR319" s="191"/>
      <c r="AS319" s="191"/>
      <c r="AT319" s="169"/>
      <c r="AU319" s="162">
        <v>0.7</v>
      </c>
      <c r="AV319" s="141">
        <f t="shared" si="408"/>
        <v>0.7</v>
      </c>
      <c r="AW319" s="142">
        <f t="shared" si="409"/>
        <v>9.9999999999999992E-2</v>
      </c>
      <c r="AX319" s="126">
        <f t="shared" si="440"/>
        <v>8.8845857075023738E-2</v>
      </c>
      <c r="AY319" s="147"/>
      <c r="AZ319" s="183"/>
      <c r="BB319" s="168">
        <f t="shared" si="485"/>
        <v>0.8666666666666667</v>
      </c>
      <c r="BC319" s="168">
        <f t="shared" si="486"/>
        <v>0.52</v>
      </c>
      <c r="BD319" s="168">
        <f t="shared" si="487"/>
        <v>0.43333333333333335</v>
      </c>
      <c r="BE319" s="168">
        <f t="shared" si="488"/>
        <v>0.34666666666666668</v>
      </c>
    </row>
    <row r="320" spans="1:57" s="129" customFormat="1" hidden="1">
      <c r="A320" s="88" t="s">
        <v>1276</v>
      </c>
      <c r="B320" s="88" t="s">
        <v>1318</v>
      </c>
      <c r="C320" s="88" t="s">
        <v>1318</v>
      </c>
      <c r="D320" s="88" t="s">
        <v>656</v>
      </c>
      <c r="E320" s="88" t="s">
        <v>657</v>
      </c>
      <c r="F320" s="89" t="s">
        <v>657</v>
      </c>
      <c r="G320" s="92" t="s">
        <v>668</v>
      </c>
      <c r="H320" s="92"/>
      <c r="I320" s="167" t="s">
        <v>2805</v>
      </c>
      <c r="J320" s="167" t="str">
        <f>_xlfn.XLOOKUP(I320,[1]Sheet1!$A:$A,[1]Sheet1!$B:$B,"")</f>
        <v/>
      </c>
      <c r="K320" s="88" t="s">
        <v>2624</v>
      </c>
      <c r="L320" s="88" t="s">
        <v>2626</v>
      </c>
      <c r="M320" s="92"/>
      <c r="N320" s="89" t="s">
        <v>60</v>
      </c>
      <c r="O320" s="92"/>
      <c r="P320" s="89" t="s">
        <v>671</v>
      </c>
      <c r="Q320" s="92" t="s">
        <v>1723</v>
      </c>
      <c r="R320" s="92">
        <v>25920</v>
      </c>
      <c r="S320" s="431" t="e">
        <v>#N/A</v>
      </c>
      <c r="T320" s="128" t="s">
        <v>3865</v>
      </c>
      <c r="U320" s="456">
        <v>0</v>
      </c>
      <c r="V320" s="207">
        <v>30</v>
      </c>
      <c r="W320" s="207">
        <v>45</v>
      </c>
      <c r="X320" s="207">
        <v>55</v>
      </c>
      <c r="Y320" s="207" t="s">
        <v>1706</v>
      </c>
      <c r="Z320" s="133">
        <f t="shared" si="520"/>
        <v>0.17094017094017094</v>
      </c>
      <c r="AA320" s="133"/>
      <c r="AB320" s="161">
        <v>0.26</v>
      </c>
      <c r="AC320" s="161"/>
      <c r="AD320" s="213">
        <f t="shared" si="554"/>
        <v>0.1</v>
      </c>
      <c r="AE320" s="213">
        <v>0.1</v>
      </c>
      <c r="AF320" s="215">
        <v>0.33</v>
      </c>
      <c r="AG320" s="215" t="s">
        <v>9</v>
      </c>
      <c r="AH320" s="148">
        <f t="shared" si="496"/>
        <v>0.26</v>
      </c>
      <c r="AI320" s="122">
        <f t="shared" si="555"/>
        <v>0.65828516509606261</v>
      </c>
      <c r="AJ320" s="444"/>
      <c r="AK320" s="150">
        <f t="shared" si="556"/>
        <v>0.1111111111111111</v>
      </c>
      <c r="AL320" s="153">
        <f t="shared" si="557"/>
        <v>9.8717618972248594E-2</v>
      </c>
      <c r="AM320" s="125">
        <f t="shared" si="558"/>
        <v>0.35000000000000009</v>
      </c>
      <c r="AN320" s="125">
        <f t="shared" si="559"/>
        <v>0.62031685010673621</v>
      </c>
      <c r="AO320" s="140"/>
      <c r="AP320" s="17" t="s">
        <v>664</v>
      </c>
      <c r="AQ320" s="169"/>
      <c r="AR320" s="191"/>
      <c r="AS320" s="191"/>
      <c r="AT320" s="169"/>
      <c r="AU320" s="162">
        <v>0.7</v>
      </c>
      <c r="AV320" s="141">
        <f t="shared" ref="AV320" si="560">AT320+AU320</f>
        <v>0.7</v>
      </c>
      <c r="AW320" s="142">
        <f t="shared" ref="AW320" si="561">(AT320+AU320)/$F$5</f>
        <v>9.9999999999999992E-2</v>
      </c>
      <c r="AX320" s="126">
        <f t="shared" si="440"/>
        <v>8.8845857075023738E-2</v>
      </c>
      <c r="AY320" s="147"/>
      <c r="AZ320" s="183"/>
      <c r="BB320" s="168">
        <f t="shared" si="485"/>
        <v>0.8666666666666667</v>
      </c>
      <c r="BC320" s="168">
        <f t="shared" si="486"/>
        <v>0.52</v>
      </c>
      <c r="BD320" s="168">
        <f t="shared" si="487"/>
        <v>0.43333333333333335</v>
      </c>
      <c r="BE320" s="168">
        <f t="shared" si="488"/>
        <v>0.34666666666666668</v>
      </c>
    </row>
    <row r="321" spans="1:58" s="129" customFormat="1" hidden="1">
      <c r="A321" s="88" t="s">
        <v>1302</v>
      </c>
      <c r="B321" s="88" t="s">
        <v>1318</v>
      </c>
      <c r="C321" s="88" t="s">
        <v>1318</v>
      </c>
      <c r="D321" s="88" t="s">
        <v>656</v>
      </c>
      <c r="E321" s="88" t="s">
        <v>676</v>
      </c>
      <c r="F321" s="89" t="s">
        <v>677</v>
      </c>
      <c r="G321" s="92"/>
      <c r="H321" s="92"/>
      <c r="I321" s="132" t="s">
        <v>1456</v>
      </c>
      <c r="J321" s="132" t="str">
        <f>_xlfn.XLOOKUP(I321,[1]Sheet1!$A:$A,[1]Sheet1!$B:$B,"")</f>
        <v>U0701002</v>
      </c>
      <c r="K321" s="91" t="s">
        <v>679</v>
      </c>
      <c r="L321" s="88" t="s">
        <v>680</v>
      </c>
      <c r="M321" s="92"/>
      <c r="N321" s="89" t="s">
        <v>60</v>
      </c>
      <c r="O321" s="165"/>
      <c r="P321" s="89" t="s">
        <v>241</v>
      </c>
      <c r="Q321" s="92" t="s">
        <v>635</v>
      </c>
      <c r="R321" s="92">
        <v>1800</v>
      </c>
      <c r="S321" s="431" t="s">
        <v>2493</v>
      </c>
      <c r="T321" s="128" t="s">
        <v>3863</v>
      </c>
      <c r="U321" s="456">
        <v>1.7000000000000001E-2</v>
      </c>
      <c r="V321" s="207">
        <v>30</v>
      </c>
      <c r="W321" s="92">
        <v>45</v>
      </c>
      <c r="X321" s="92">
        <v>55</v>
      </c>
      <c r="Y321" s="92" t="s">
        <v>64</v>
      </c>
      <c r="Z321" s="133">
        <f t="shared" si="520"/>
        <v>1.2544802867383513</v>
      </c>
      <c r="AA321" s="133"/>
      <c r="AB321" s="161">
        <f t="shared" si="402"/>
        <v>1.0293776709401712</v>
      </c>
      <c r="AC321" s="161"/>
      <c r="AD321" s="213">
        <f t="shared" si="403"/>
        <v>0.1</v>
      </c>
      <c r="AE321" s="213">
        <v>0.1</v>
      </c>
      <c r="AF321" s="215">
        <v>0.36</v>
      </c>
      <c r="AG321" s="215" t="s">
        <v>9</v>
      </c>
      <c r="AH321" s="148">
        <f t="shared" si="496"/>
        <v>1.0293776709401712</v>
      </c>
      <c r="AI321" s="122">
        <f t="shared" si="489"/>
        <v>0.36</v>
      </c>
      <c r="AJ321" s="444"/>
      <c r="AK321" s="150">
        <f t="shared" si="404"/>
        <v>0.77777777777777779</v>
      </c>
      <c r="AL321" s="153">
        <f t="shared" si="405"/>
        <v>0.73200189933523285</v>
      </c>
      <c r="AM321" s="125">
        <f t="shared" si="406"/>
        <v>0.38</v>
      </c>
      <c r="AN321" s="125">
        <f t="shared" si="439"/>
        <v>0.28888888888888886</v>
      </c>
      <c r="AO321" s="140"/>
      <c r="AP321" s="17" t="s">
        <v>664</v>
      </c>
      <c r="AQ321" s="141"/>
      <c r="AR321" s="191"/>
      <c r="AS321" s="191"/>
      <c r="AT321" s="141"/>
      <c r="AU321" s="141">
        <v>4.9000000000000004</v>
      </c>
      <c r="AV321" s="141">
        <f t="shared" si="408"/>
        <v>4.9000000000000004</v>
      </c>
      <c r="AW321" s="142">
        <f t="shared" si="409"/>
        <v>0.70000000000000007</v>
      </c>
      <c r="AX321" s="126">
        <f t="shared" si="440"/>
        <v>0.65880170940170957</v>
      </c>
      <c r="AY321" s="192" t="s">
        <v>2552</v>
      </c>
      <c r="AZ321" s="128"/>
      <c r="BB321" s="161">
        <f t="shared" si="485"/>
        <v>3.4312589031339042</v>
      </c>
      <c r="BC321" s="161">
        <f t="shared" si="486"/>
        <v>2.0587553418803424</v>
      </c>
      <c r="BD321" s="161">
        <f t="shared" si="487"/>
        <v>1.7156294515669521</v>
      </c>
      <c r="BE321" s="161">
        <f t="shared" si="488"/>
        <v>1.3725035612535619</v>
      </c>
    </row>
    <row r="322" spans="1:58" s="309" customFormat="1" hidden="1">
      <c r="A322" s="287" t="s">
        <v>1302</v>
      </c>
      <c r="B322" s="287" t="s">
        <v>1318</v>
      </c>
      <c r="C322" s="287" t="s">
        <v>1318</v>
      </c>
      <c r="D322" s="287" t="s">
        <v>656</v>
      </c>
      <c r="E322" s="287" t="s">
        <v>676</v>
      </c>
      <c r="F322" s="288" t="s">
        <v>677</v>
      </c>
      <c r="G322" s="289"/>
      <c r="H322" s="289"/>
      <c r="I322" s="290" t="s">
        <v>681</v>
      </c>
      <c r="J322" s="290" t="str">
        <f>_xlfn.XLOOKUP(I322,[1]Sheet1!$A:$A,[1]Sheet1!$B:$B,"")</f>
        <v>U0701001</v>
      </c>
      <c r="K322" s="291" t="s">
        <v>682</v>
      </c>
      <c r="L322" s="287" t="s">
        <v>683</v>
      </c>
      <c r="M322" s="289"/>
      <c r="N322" s="288" t="s">
        <v>60</v>
      </c>
      <c r="O322" s="292"/>
      <c r="P322" s="288" t="s">
        <v>241</v>
      </c>
      <c r="Q322" s="289" t="s">
        <v>635</v>
      </c>
      <c r="R322" s="289">
        <v>90000</v>
      </c>
      <c r="S322" s="457" t="s">
        <v>2494</v>
      </c>
      <c r="T322" s="308" t="s">
        <v>3863</v>
      </c>
      <c r="U322" s="458">
        <v>1.7000000000000001E-2</v>
      </c>
      <c r="V322" s="293">
        <v>30</v>
      </c>
      <c r="W322" s="289">
        <v>45</v>
      </c>
      <c r="X322" s="289">
        <v>55</v>
      </c>
      <c r="Y322" s="289" t="s">
        <v>64</v>
      </c>
      <c r="Z322" s="294">
        <f t="shared" si="520"/>
        <v>3.3416875522138685E-2</v>
      </c>
      <c r="AA322" s="294"/>
      <c r="AB322" s="295">
        <f t="shared" si="402"/>
        <v>2.6975704145195675E-2</v>
      </c>
      <c r="AC322" s="295"/>
      <c r="AD322" s="296">
        <f t="shared" si="403"/>
        <v>0.1</v>
      </c>
      <c r="AE322" s="296">
        <v>0.1</v>
      </c>
      <c r="AF322" s="296">
        <v>0.41000000000000003</v>
      </c>
      <c r="AG322" s="296" t="s">
        <v>9</v>
      </c>
      <c r="AH322" s="297">
        <f t="shared" si="496"/>
        <v>2.6975704145195675E-2</v>
      </c>
      <c r="AI322" s="296">
        <f t="shared" si="489"/>
        <v>0.41000000000000003</v>
      </c>
      <c r="AJ322" s="444"/>
      <c r="AK322" s="298">
        <f t="shared" si="404"/>
        <v>1.9047619047619049E-2</v>
      </c>
      <c r="AL322" s="299">
        <f t="shared" si="405"/>
        <v>1.7684072717406053E-2</v>
      </c>
      <c r="AM322" s="300">
        <f t="shared" si="406"/>
        <v>0.43000000000000005</v>
      </c>
      <c r="AN322" s="300">
        <f t="shared" si="439"/>
        <v>0.34444444444444444</v>
      </c>
      <c r="AO322" s="301"/>
      <c r="AP322" s="302" t="s">
        <v>664</v>
      </c>
      <c r="AQ322" s="303"/>
      <c r="AR322" s="304"/>
      <c r="AS322" s="304"/>
      <c r="AT322" s="303"/>
      <c r="AU322" s="303">
        <v>0.12</v>
      </c>
      <c r="AV322" s="303">
        <f t="shared" si="408"/>
        <v>0.12</v>
      </c>
      <c r="AW322" s="305">
        <f t="shared" si="409"/>
        <v>1.7142857142857144E-2</v>
      </c>
      <c r="AX322" s="306">
        <f t="shared" si="440"/>
        <v>1.5915665445665448E-2</v>
      </c>
      <c r="AY322" s="307"/>
      <c r="AZ322" s="308"/>
      <c r="BB322" s="295">
        <f t="shared" si="485"/>
        <v>8.9919013817318913E-2</v>
      </c>
      <c r="BC322" s="295">
        <f t="shared" si="486"/>
        <v>5.3951408290391349E-2</v>
      </c>
      <c r="BD322" s="295">
        <f t="shared" si="487"/>
        <v>4.4959506908659456E-2</v>
      </c>
      <c r="BE322" s="295">
        <f t="shared" si="488"/>
        <v>3.5967605526927564E-2</v>
      </c>
      <c r="BF322" s="129"/>
    </row>
    <row r="323" spans="1:58" s="129" customFormat="1" hidden="1">
      <c r="A323" s="88" t="s">
        <v>1302</v>
      </c>
      <c r="B323" s="88" t="s">
        <v>1318</v>
      </c>
      <c r="C323" s="88" t="s">
        <v>1318</v>
      </c>
      <c r="D323" s="88" t="s">
        <v>656</v>
      </c>
      <c r="E323" s="88" t="s">
        <v>907</v>
      </c>
      <c r="F323" s="89" t="s">
        <v>908</v>
      </c>
      <c r="G323" s="92" t="s">
        <v>685</v>
      </c>
      <c r="H323" s="92"/>
      <c r="I323" s="167" t="s">
        <v>909</v>
      </c>
      <c r="J323" s="167" t="str">
        <f>_xlfn.XLOOKUP(I323,[1]Sheet1!$A:$A,[1]Sheet1!$B:$B,"")</f>
        <v>U0901009</v>
      </c>
      <c r="K323" s="88" t="s">
        <v>910</v>
      </c>
      <c r="L323" s="88" t="s">
        <v>911</v>
      </c>
      <c r="M323" s="92"/>
      <c r="N323" s="89" t="s">
        <v>60</v>
      </c>
      <c r="O323" s="165"/>
      <c r="P323" s="89" t="s">
        <v>912</v>
      </c>
      <c r="Q323" s="92" t="s">
        <v>913</v>
      </c>
      <c r="R323" s="92">
        <v>2160</v>
      </c>
      <c r="S323" s="92" t="e">
        <v>#N/A</v>
      </c>
      <c r="T323" s="450">
        <v>8544700000</v>
      </c>
      <c r="U323" s="155">
        <v>0</v>
      </c>
      <c r="V323" s="207">
        <v>30</v>
      </c>
      <c r="W323" s="92">
        <v>45</v>
      </c>
      <c r="X323" s="92">
        <v>55</v>
      </c>
      <c r="Y323" s="92" t="s">
        <v>64</v>
      </c>
      <c r="Z323" s="133">
        <f t="shared" ref="Z323:Z483" si="562">AK323/(1-(AF323+2%))</f>
        <v>2.3589743589743595</v>
      </c>
      <c r="AA323" s="133"/>
      <c r="AB323" s="161">
        <f t="shared" ref="AB323:AB483" si="563">AX323/(1-AF323)</f>
        <v>1.8208902070842377</v>
      </c>
      <c r="AC323" s="161"/>
      <c r="AD323" s="213">
        <f t="shared" ref="AD323:AD483" si="564">AE323</f>
        <v>0.1</v>
      </c>
      <c r="AE323" s="213">
        <v>0.1</v>
      </c>
      <c r="AF323" s="215">
        <v>0.33</v>
      </c>
      <c r="AG323" s="215" t="s">
        <v>9</v>
      </c>
      <c r="AH323" s="148">
        <f t="shared" si="496"/>
        <v>1.8208902070842377</v>
      </c>
      <c r="AI323" s="122">
        <f t="shared" ref="AI323:AI397" si="565">1-(AX323/AH323)</f>
        <v>0.33000000000000007</v>
      </c>
      <c r="AJ323" s="444"/>
      <c r="AK323" s="150">
        <f t="shared" ref="AK323:AK483" si="566">AW323/(1-AD323)</f>
        <v>1.5333333333333334</v>
      </c>
      <c r="AL323" s="153">
        <f t="shared" ref="AL323:AL483" si="567">AX323/(1-AE323)</f>
        <v>1.3555515986071545</v>
      </c>
      <c r="AM323" s="125">
        <f t="shared" ref="AM323:AM483" si="568">1-(AK323/Z323)</f>
        <v>0.35000000000000009</v>
      </c>
      <c r="AN323" s="125">
        <f t="shared" ref="AN323:AN358" si="569">1-(AL323/AB323)</f>
        <v>0.25555555555555565</v>
      </c>
      <c r="AO323" s="140"/>
      <c r="AP323" s="17" t="s">
        <v>664</v>
      </c>
      <c r="AQ323" s="141"/>
      <c r="AR323" s="191"/>
      <c r="AS323" s="191"/>
      <c r="AT323" s="141"/>
      <c r="AU323" s="141">
        <v>9.66</v>
      </c>
      <c r="AV323" s="141">
        <f t="shared" ref="AV323:AV482" si="570">AT323+AU323</f>
        <v>9.66</v>
      </c>
      <c r="AW323" s="142">
        <f t="shared" ref="AW323:AW482" si="571">(AT323+AU323)/$F$5</f>
        <v>1.3800000000000001</v>
      </c>
      <c r="AX323" s="126">
        <f t="shared" ref="AX323:AX365" si="572">(AW323/$F$6)+(($F$9+$G$9)/40/R323)+AW323*U323</f>
        <v>1.219996438746439</v>
      </c>
      <c r="AY323" s="17"/>
      <c r="AZ323" s="128">
        <v>8544700000</v>
      </c>
      <c r="BB323" s="161">
        <f t="shared" si="485"/>
        <v>6.0696340236141255</v>
      </c>
      <c r="BC323" s="161">
        <f t="shared" si="486"/>
        <v>3.6417804141684753</v>
      </c>
      <c r="BD323" s="161">
        <f t="shared" si="487"/>
        <v>3.0348170118070628</v>
      </c>
      <c r="BE323" s="161">
        <f t="shared" si="488"/>
        <v>2.4278536094456502</v>
      </c>
    </row>
    <row r="324" spans="1:58" s="129" customFormat="1" hidden="1">
      <c r="A324" s="88" t="s">
        <v>1302</v>
      </c>
      <c r="B324" s="88" t="s">
        <v>1318</v>
      </c>
      <c r="C324" s="88" t="s">
        <v>1318</v>
      </c>
      <c r="D324" s="88" t="s">
        <v>656</v>
      </c>
      <c r="E324" s="88" t="s">
        <v>907</v>
      </c>
      <c r="F324" s="89" t="s">
        <v>908</v>
      </c>
      <c r="G324" s="92" t="s">
        <v>685</v>
      </c>
      <c r="H324" s="92"/>
      <c r="I324" s="167" t="s">
        <v>914</v>
      </c>
      <c r="J324" s="167" t="str">
        <f>_xlfn.XLOOKUP(I324,[1]Sheet1!$A:$A,[1]Sheet1!$B:$B,"")</f>
        <v>U0901010</v>
      </c>
      <c r="K324" s="88" t="s">
        <v>915</v>
      </c>
      <c r="L324" s="88" t="s">
        <v>916</v>
      </c>
      <c r="M324" s="92"/>
      <c r="N324" s="89" t="s">
        <v>60</v>
      </c>
      <c r="O324" s="165"/>
      <c r="P324" s="89" t="s">
        <v>912</v>
      </c>
      <c r="Q324" s="92" t="s">
        <v>913</v>
      </c>
      <c r="R324" s="92">
        <v>1920</v>
      </c>
      <c r="S324" s="92" t="e">
        <v>#N/A</v>
      </c>
      <c r="T324" s="92">
        <v>8544700000</v>
      </c>
      <c r="U324" s="155">
        <v>0</v>
      </c>
      <c r="V324" s="207">
        <v>30</v>
      </c>
      <c r="W324" s="92">
        <v>45</v>
      </c>
      <c r="X324" s="92">
        <v>55</v>
      </c>
      <c r="Y324" s="92" t="s">
        <v>64</v>
      </c>
      <c r="Z324" s="133">
        <f t="shared" si="562"/>
        <v>2.5958485958485964</v>
      </c>
      <c r="AA324" s="133"/>
      <c r="AB324" s="161">
        <f t="shared" si="563"/>
        <v>2.005219723270097</v>
      </c>
      <c r="AC324" s="161"/>
      <c r="AD324" s="213">
        <f t="shared" si="564"/>
        <v>0.1</v>
      </c>
      <c r="AE324" s="213">
        <v>0.1</v>
      </c>
      <c r="AF324" s="215">
        <v>0.33</v>
      </c>
      <c r="AG324" s="215" t="s">
        <v>9</v>
      </c>
      <c r="AH324" s="148">
        <f t="shared" si="496"/>
        <v>2.005219723270097</v>
      </c>
      <c r="AI324" s="122">
        <f t="shared" si="565"/>
        <v>0.33000000000000007</v>
      </c>
      <c r="AJ324" s="444"/>
      <c r="AK324" s="150">
        <f t="shared" si="566"/>
        <v>1.6873015873015873</v>
      </c>
      <c r="AL324" s="153">
        <f t="shared" si="567"/>
        <v>1.49277468287885</v>
      </c>
      <c r="AM324" s="125">
        <f t="shared" si="568"/>
        <v>0.35000000000000009</v>
      </c>
      <c r="AN324" s="125">
        <f t="shared" si="569"/>
        <v>0.25555555555555554</v>
      </c>
      <c r="AO324" s="140"/>
      <c r="AP324" s="17" t="s">
        <v>664</v>
      </c>
      <c r="AQ324" s="141"/>
      <c r="AR324" s="191"/>
      <c r="AS324" s="191"/>
      <c r="AT324" s="141"/>
      <c r="AU324" s="141">
        <v>10.63</v>
      </c>
      <c r="AV324" s="141">
        <f t="shared" si="570"/>
        <v>10.63</v>
      </c>
      <c r="AW324" s="142">
        <f t="shared" si="571"/>
        <v>1.5185714285714287</v>
      </c>
      <c r="AX324" s="126">
        <f t="shared" si="572"/>
        <v>1.3434972145909649</v>
      </c>
      <c r="AY324" s="17"/>
      <c r="AZ324" s="128">
        <v>8544700000</v>
      </c>
      <c r="BB324" s="161">
        <f t="shared" si="485"/>
        <v>6.6840657442336573</v>
      </c>
      <c r="BC324" s="161">
        <f t="shared" si="486"/>
        <v>4.010439446540194</v>
      </c>
      <c r="BD324" s="161">
        <f t="shared" si="487"/>
        <v>3.3420328721168286</v>
      </c>
      <c r="BE324" s="161">
        <f t="shared" si="488"/>
        <v>2.6736262976934633</v>
      </c>
    </row>
    <row r="325" spans="1:58" s="129" customFormat="1" hidden="1">
      <c r="A325" s="88" t="s">
        <v>1302</v>
      </c>
      <c r="B325" s="88" t="s">
        <v>1318</v>
      </c>
      <c r="C325" s="88" t="s">
        <v>1318</v>
      </c>
      <c r="D325" s="88" t="s">
        <v>656</v>
      </c>
      <c r="E325" s="88" t="s">
        <v>907</v>
      </c>
      <c r="F325" s="89" t="s">
        <v>908</v>
      </c>
      <c r="G325" s="92" t="s">
        <v>685</v>
      </c>
      <c r="H325" s="92"/>
      <c r="I325" s="167" t="s">
        <v>917</v>
      </c>
      <c r="J325" s="167" t="str">
        <f>_xlfn.XLOOKUP(I325,[1]Sheet1!$A:$A,[1]Sheet1!$B:$B,"")</f>
        <v>U0901011</v>
      </c>
      <c r="K325" s="88" t="s">
        <v>918</v>
      </c>
      <c r="L325" s="88" t="s">
        <v>919</v>
      </c>
      <c r="M325" s="92"/>
      <c r="N325" s="89" t="s">
        <v>60</v>
      </c>
      <c r="O325" s="165"/>
      <c r="P325" s="89" t="s">
        <v>912</v>
      </c>
      <c r="Q325" s="92" t="s">
        <v>913</v>
      </c>
      <c r="R325" s="92">
        <v>1920</v>
      </c>
      <c r="S325" s="92" t="e">
        <v>#N/A</v>
      </c>
      <c r="T325" s="92">
        <v>8544700000</v>
      </c>
      <c r="U325" s="155">
        <v>0</v>
      </c>
      <c r="V325" s="207">
        <v>30</v>
      </c>
      <c r="W325" s="92">
        <v>45</v>
      </c>
      <c r="X325" s="92">
        <v>55</v>
      </c>
      <c r="Y325" s="92" t="s">
        <v>64</v>
      </c>
      <c r="Z325" s="133">
        <f t="shared" si="562"/>
        <v>2.8302808302808304</v>
      </c>
      <c r="AA325" s="133"/>
      <c r="AB325" s="161">
        <f t="shared" si="563"/>
        <v>2.180169151950869</v>
      </c>
      <c r="AC325" s="161"/>
      <c r="AD325" s="213">
        <f t="shared" si="564"/>
        <v>0.1</v>
      </c>
      <c r="AE325" s="213">
        <v>0.1</v>
      </c>
      <c r="AF325" s="215">
        <v>0.33</v>
      </c>
      <c r="AG325" s="215" t="s">
        <v>9</v>
      </c>
      <c r="AH325" s="148">
        <f t="shared" si="496"/>
        <v>2.180169151950869</v>
      </c>
      <c r="AI325" s="122">
        <f t="shared" si="565"/>
        <v>0.33000000000000018</v>
      </c>
      <c r="AJ325" s="444"/>
      <c r="AK325" s="150">
        <f t="shared" si="566"/>
        <v>1.8396825396825396</v>
      </c>
      <c r="AL325" s="153">
        <f t="shared" si="567"/>
        <v>1.6230148131189799</v>
      </c>
      <c r="AM325" s="125">
        <f t="shared" si="568"/>
        <v>0.35000000000000009</v>
      </c>
      <c r="AN325" s="125">
        <f t="shared" si="569"/>
        <v>0.25555555555555576</v>
      </c>
      <c r="AO325" s="140"/>
      <c r="AP325" s="17" t="s">
        <v>664</v>
      </c>
      <c r="AQ325" s="141"/>
      <c r="AR325" s="191"/>
      <c r="AS325" s="191"/>
      <c r="AT325" s="141"/>
      <c r="AU325" s="141">
        <v>11.59</v>
      </c>
      <c r="AV325" s="141">
        <f t="shared" si="570"/>
        <v>11.59</v>
      </c>
      <c r="AW325" s="142">
        <f t="shared" si="571"/>
        <v>1.6557142857142857</v>
      </c>
      <c r="AX325" s="126">
        <f t="shared" si="572"/>
        <v>1.460713331807082</v>
      </c>
      <c r="AY325" s="17"/>
      <c r="AZ325" s="128">
        <v>8544700000</v>
      </c>
      <c r="BB325" s="161">
        <f t="shared" si="485"/>
        <v>7.267230506502897</v>
      </c>
      <c r="BC325" s="161">
        <f t="shared" si="486"/>
        <v>4.360338303901738</v>
      </c>
      <c r="BD325" s="161">
        <f t="shared" si="487"/>
        <v>3.6336152532514485</v>
      </c>
      <c r="BE325" s="161">
        <f t="shared" si="488"/>
        <v>2.906892202601159</v>
      </c>
    </row>
    <row r="326" spans="1:58" s="129" customFormat="1" hidden="1">
      <c r="A326" s="88" t="s">
        <v>1302</v>
      </c>
      <c r="B326" s="88" t="s">
        <v>1318</v>
      </c>
      <c r="C326" s="88" t="s">
        <v>1318</v>
      </c>
      <c r="D326" s="88" t="s">
        <v>656</v>
      </c>
      <c r="E326" s="88" t="s">
        <v>907</v>
      </c>
      <c r="F326" s="89" t="s">
        <v>908</v>
      </c>
      <c r="G326" s="92" t="s">
        <v>685</v>
      </c>
      <c r="H326" s="92"/>
      <c r="I326" s="167" t="s">
        <v>920</v>
      </c>
      <c r="J326" s="167" t="str">
        <f>_xlfn.XLOOKUP(I326,[1]Sheet1!$A:$A,[1]Sheet1!$B:$B,"")</f>
        <v>U0901012</v>
      </c>
      <c r="K326" s="88" t="s">
        <v>921</v>
      </c>
      <c r="L326" s="88" t="s">
        <v>922</v>
      </c>
      <c r="M326" s="92"/>
      <c r="N326" s="89" t="s">
        <v>60</v>
      </c>
      <c r="O326" s="165"/>
      <c r="P326" s="89" t="s">
        <v>912</v>
      </c>
      <c r="Q326" s="92" t="s">
        <v>913</v>
      </c>
      <c r="R326" s="92">
        <v>1440</v>
      </c>
      <c r="S326" s="92" t="e">
        <v>#N/A</v>
      </c>
      <c r="T326" s="92">
        <v>8544700000</v>
      </c>
      <c r="U326" s="155">
        <v>0</v>
      </c>
      <c r="V326" s="207">
        <v>30</v>
      </c>
      <c r="W326" s="92">
        <v>45</v>
      </c>
      <c r="X326" s="92">
        <v>55</v>
      </c>
      <c r="Y326" s="92" t="s">
        <v>64</v>
      </c>
      <c r="Z326" s="133">
        <f t="shared" si="562"/>
        <v>3.2869352869352872</v>
      </c>
      <c r="AA326" s="133"/>
      <c r="AB326" s="161">
        <f t="shared" si="563"/>
        <v>2.543629152770944</v>
      </c>
      <c r="AC326" s="161"/>
      <c r="AD326" s="213">
        <f t="shared" si="564"/>
        <v>0.1</v>
      </c>
      <c r="AE326" s="213">
        <v>0.1</v>
      </c>
      <c r="AF326" s="215">
        <v>0.33</v>
      </c>
      <c r="AG326" s="215" t="s">
        <v>9</v>
      </c>
      <c r="AH326" s="148">
        <f t="shared" si="496"/>
        <v>2.543629152770944</v>
      </c>
      <c r="AI326" s="122">
        <f t="shared" si="565"/>
        <v>0.33000000000000007</v>
      </c>
      <c r="AJ326" s="444"/>
      <c r="AK326" s="150">
        <f t="shared" si="566"/>
        <v>2.1365079365079365</v>
      </c>
      <c r="AL326" s="153">
        <f t="shared" si="567"/>
        <v>1.8935905915072582</v>
      </c>
      <c r="AM326" s="125">
        <f t="shared" si="568"/>
        <v>0.35000000000000009</v>
      </c>
      <c r="AN326" s="125">
        <f t="shared" si="569"/>
        <v>0.25555555555555565</v>
      </c>
      <c r="AO326" s="140"/>
      <c r="AP326" s="17" t="s">
        <v>664</v>
      </c>
      <c r="AQ326" s="141"/>
      <c r="AR326" s="191"/>
      <c r="AS326" s="191"/>
      <c r="AT326" s="141"/>
      <c r="AU326" s="141">
        <v>13.46</v>
      </c>
      <c r="AV326" s="141">
        <f t="shared" si="570"/>
        <v>13.46</v>
      </c>
      <c r="AW326" s="142">
        <f t="shared" si="571"/>
        <v>1.922857142857143</v>
      </c>
      <c r="AX326" s="126">
        <f t="shared" si="572"/>
        <v>1.7042315323565325</v>
      </c>
      <c r="AY326" s="17"/>
      <c r="AZ326" s="128">
        <v>8544700000</v>
      </c>
      <c r="BB326" s="161">
        <f t="shared" si="485"/>
        <v>8.4787638425698137</v>
      </c>
      <c r="BC326" s="161">
        <f t="shared" si="486"/>
        <v>5.0872583055418881</v>
      </c>
      <c r="BD326" s="161">
        <f t="shared" si="487"/>
        <v>4.2393819212849069</v>
      </c>
      <c r="BE326" s="161">
        <f t="shared" si="488"/>
        <v>3.3915055370279257</v>
      </c>
    </row>
    <row r="327" spans="1:58" s="129" customFormat="1" hidden="1">
      <c r="A327" s="88" t="s">
        <v>1276</v>
      </c>
      <c r="B327" s="88" t="s">
        <v>1318</v>
      </c>
      <c r="C327" s="88" t="s">
        <v>1318</v>
      </c>
      <c r="D327" s="88" t="s">
        <v>656</v>
      </c>
      <c r="E327" s="88" t="s">
        <v>907</v>
      </c>
      <c r="F327" s="89" t="s">
        <v>908</v>
      </c>
      <c r="G327" s="92" t="s">
        <v>685</v>
      </c>
      <c r="H327" s="92"/>
      <c r="I327" s="167" t="s">
        <v>2427</v>
      </c>
      <c r="J327" s="167" t="str">
        <f>_xlfn.XLOOKUP(I327,[1]Sheet1!$A:$A,[1]Sheet1!$B:$B,"")</f>
        <v/>
      </c>
      <c r="K327" s="88" t="s">
        <v>1596</v>
      </c>
      <c r="L327" s="88" t="s">
        <v>1598</v>
      </c>
      <c r="M327" s="92"/>
      <c r="N327" s="89" t="s">
        <v>60</v>
      </c>
      <c r="O327" s="165"/>
      <c r="P327" s="89" t="s">
        <v>912</v>
      </c>
      <c r="Q327" s="92" t="s">
        <v>913</v>
      </c>
      <c r="R327" s="92">
        <v>720</v>
      </c>
      <c r="S327" s="92" t="e">
        <v>#N/A</v>
      </c>
      <c r="T327" s="92">
        <v>8544700000</v>
      </c>
      <c r="U327" s="155">
        <v>0</v>
      </c>
      <c r="V327" s="207">
        <v>30</v>
      </c>
      <c r="W327" s="92">
        <v>45</v>
      </c>
      <c r="X327" s="92">
        <v>55</v>
      </c>
      <c r="Y327" s="92" t="s">
        <v>64</v>
      </c>
      <c r="Z327" s="133">
        <f t="shared" ref="Z327:Z328" si="573">AK327/(1-(AF327+2%))</f>
        <v>4.8058608058608066</v>
      </c>
      <c r="AA327" s="133"/>
      <c r="AB327" s="161">
        <f t="shared" ref="AB327:AB328" si="574">AX327/(1-AF327)</f>
        <v>3.7678480309077327</v>
      </c>
      <c r="AC327" s="161"/>
      <c r="AD327" s="213">
        <f t="shared" ref="AD327:AD328" si="575">AE327</f>
        <v>0.1</v>
      </c>
      <c r="AE327" s="213">
        <v>0.1</v>
      </c>
      <c r="AF327" s="215">
        <v>0.33</v>
      </c>
      <c r="AG327" s="215" t="s">
        <v>9</v>
      </c>
      <c r="AH327" s="148">
        <f t="shared" si="496"/>
        <v>3.7678480309077327</v>
      </c>
      <c r="AI327" s="122">
        <f t="shared" ref="AI327:AI328" si="576">1-(AX327/AH327)</f>
        <v>0.33000000000000007</v>
      </c>
      <c r="AJ327" s="444"/>
      <c r="AK327" s="150">
        <f t="shared" ref="AK327:AK328" si="577">AW327/(1-AD327)</f>
        <v>3.1238095238095238</v>
      </c>
      <c r="AL327" s="153">
        <f t="shared" ref="AL327:AL328" si="578">AX327/(1-AE327)</f>
        <v>2.8049535341202003</v>
      </c>
      <c r="AM327" s="125">
        <f t="shared" ref="AM327:AM328" si="579">1-(AK327/Z327)</f>
        <v>0.35000000000000009</v>
      </c>
      <c r="AN327" s="125">
        <f t="shared" ref="AN327:AN328" si="580">1-(AL327/AB327)</f>
        <v>0.25555555555555576</v>
      </c>
      <c r="AO327" s="140"/>
      <c r="AP327" s="17" t="s">
        <v>664</v>
      </c>
      <c r="AQ327" s="141"/>
      <c r="AR327" s="191"/>
      <c r="AS327" s="191"/>
      <c r="AT327" s="141"/>
      <c r="AU327" s="141">
        <v>19.68</v>
      </c>
      <c r="AV327" s="141">
        <f t="shared" ref="AV327:AV328" si="581">AT327+AU327</f>
        <v>19.68</v>
      </c>
      <c r="AW327" s="142">
        <f t="shared" ref="AW327:AW328" si="582">(AT327+AU327)/$F$5</f>
        <v>2.8114285714285714</v>
      </c>
      <c r="AX327" s="126">
        <f t="shared" ref="AX327:AX328" si="583">(AW327/$F$6)+(($F$9+$G$9)/40/R327)+AW327*U327</f>
        <v>2.5244581807081805</v>
      </c>
      <c r="AY327" s="17"/>
      <c r="AZ327" s="128">
        <v>8544700000</v>
      </c>
      <c r="BB327" s="168">
        <f t="shared" si="485"/>
        <v>12.559493436359109</v>
      </c>
      <c r="BC327" s="168">
        <f t="shared" si="486"/>
        <v>7.5356960618154645</v>
      </c>
      <c r="BD327" s="168">
        <f t="shared" si="487"/>
        <v>6.2797467181795543</v>
      </c>
      <c r="BE327" s="168">
        <f t="shared" si="488"/>
        <v>5.0237973745436442</v>
      </c>
    </row>
    <row r="328" spans="1:58" s="129" customFormat="1" hidden="1">
      <c r="A328" s="88" t="s">
        <v>1276</v>
      </c>
      <c r="B328" s="88" t="s">
        <v>1318</v>
      </c>
      <c r="C328" s="88" t="s">
        <v>1318</v>
      </c>
      <c r="D328" s="88" t="s">
        <v>656</v>
      </c>
      <c r="E328" s="88" t="s">
        <v>907</v>
      </c>
      <c r="F328" s="89" t="s">
        <v>908</v>
      </c>
      <c r="G328" s="92" t="s">
        <v>685</v>
      </c>
      <c r="H328" s="92"/>
      <c r="I328" s="167" t="s">
        <v>1595</v>
      </c>
      <c r="J328" s="167" t="str">
        <f>_xlfn.XLOOKUP(I328,[1]Sheet1!$A:$A,[1]Sheet1!$B:$B,"")</f>
        <v/>
      </c>
      <c r="K328" s="88" t="s">
        <v>1597</v>
      </c>
      <c r="L328" s="88" t="s">
        <v>1599</v>
      </c>
      <c r="M328" s="92"/>
      <c r="N328" s="89" t="s">
        <v>60</v>
      </c>
      <c r="O328" s="165"/>
      <c r="P328" s="89" t="s">
        <v>912</v>
      </c>
      <c r="Q328" s="92" t="s">
        <v>913</v>
      </c>
      <c r="R328" s="92">
        <v>480</v>
      </c>
      <c r="S328" s="92" t="e">
        <v>#N/A</v>
      </c>
      <c r="T328" s="92">
        <v>8544700000</v>
      </c>
      <c r="U328" s="155">
        <v>0</v>
      </c>
      <c r="V328" s="207">
        <v>30</v>
      </c>
      <c r="W328" s="92">
        <v>45</v>
      </c>
      <c r="X328" s="92">
        <v>55</v>
      </c>
      <c r="Y328" s="92" t="s">
        <v>64</v>
      </c>
      <c r="Z328" s="133">
        <f t="shared" si="573"/>
        <v>6.1733821733821745</v>
      </c>
      <c r="AA328" s="133"/>
      <c r="AB328" s="161">
        <f t="shared" si="574"/>
        <v>4.8790787363548569</v>
      </c>
      <c r="AC328" s="161"/>
      <c r="AD328" s="213">
        <f t="shared" si="575"/>
        <v>0.1</v>
      </c>
      <c r="AE328" s="213">
        <v>0.1</v>
      </c>
      <c r="AF328" s="215">
        <v>0.33</v>
      </c>
      <c r="AG328" s="215" t="s">
        <v>9</v>
      </c>
      <c r="AH328" s="148">
        <f t="shared" si="496"/>
        <v>4.8790787363548569</v>
      </c>
      <c r="AI328" s="122">
        <f t="shared" si="576"/>
        <v>0.33000000000000007</v>
      </c>
      <c r="AJ328" s="444"/>
      <c r="AK328" s="150">
        <f t="shared" si="577"/>
        <v>4.0126984126984127</v>
      </c>
      <c r="AL328" s="153">
        <f t="shared" si="578"/>
        <v>3.6322030592863932</v>
      </c>
      <c r="AM328" s="125">
        <f t="shared" si="579"/>
        <v>0.35000000000000009</v>
      </c>
      <c r="AN328" s="125">
        <f t="shared" si="580"/>
        <v>0.25555555555555565</v>
      </c>
      <c r="AO328" s="140"/>
      <c r="AP328" s="17" t="s">
        <v>664</v>
      </c>
      <c r="AQ328" s="141"/>
      <c r="AR328" s="191"/>
      <c r="AS328" s="191"/>
      <c r="AT328" s="141"/>
      <c r="AU328" s="141">
        <v>25.28</v>
      </c>
      <c r="AV328" s="141">
        <f t="shared" si="581"/>
        <v>25.28</v>
      </c>
      <c r="AW328" s="142">
        <f t="shared" si="582"/>
        <v>3.6114285714285717</v>
      </c>
      <c r="AX328" s="126">
        <f t="shared" si="583"/>
        <v>3.2689827533577538</v>
      </c>
      <c r="AY328" s="17"/>
      <c r="AZ328" s="128">
        <v>8544700000</v>
      </c>
      <c r="BB328" s="168">
        <f t="shared" si="485"/>
        <v>16.263595787849525</v>
      </c>
      <c r="BC328" s="168">
        <f t="shared" si="486"/>
        <v>9.7581574727097138</v>
      </c>
      <c r="BD328" s="168">
        <f t="shared" si="487"/>
        <v>8.1317978939247624</v>
      </c>
      <c r="BE328" s="168">
        <f t="shared" si="488"/>
        <v>6.5054383151398101</v>
      </c>
    </row>
    <row r="329" spans="1:58" s="129" customFormat="1" hidden="1">
      <c r="A329" s="88" t="s">
        <v>1302</v>
      </c>
      <c r="B329" s="88" t="s">
        <v>1318</v>
      </c>
      <c r="C329" s="88" t="s">
        <v>1318</v>
      </c>
      <c r="D329" s="88" t="s">
        <v>656</v>
      </c>
      <c r="E329" s="88" t="s">
        <v>907</v>
      </c>
      <c r="F329" s="89" t="s">
        <v>923</v>
      </c>
      <c r="G329" s="92" t="s">
        <v>685</v>
      </c>
      <c r="H329" s="92"/>
      <c r="I329" s="167" t="s">
        <v>3853</v>
      </c>
      <c r="J329" s="167" t="str">
        <f>_xlfn.XLOOKUP(I329,[1]Sheet1!$A:$A,[1]Sheet1!$B:$B,"")</f>
        <v>U0901005</v>
      </c>
      <c r="K329" s="88" t="s">
        <v>925</v>
      </c>
      <c r="L329" s="88" t="s">
        <v>926</v>
      </c>
      <c r="M329" s="92"/>
      <c r="N329" s="89" t="s">
        <v>60</v>
      </c>
      <c r="O329" s="165"/>
      <c r="P329" s="89" t="s">
        <v>912</v>
      </c>
      <c r="Q329" s="92" t="s">
        <v>913</v>
      </c>
      <c r="R329" s="92">
        <v>2160</v>
      </c>
      <c r="S329" s="92" t="s">
        <v>2495</v>
      </c>
      <c r="T329" s="92">
        <v>8544700000</v>
      </c>
      <c r="U329" s="155">
        <v>0</v>
      </c>
      <c r="V329" s="207">
        <v>30</v>
      </c>
      <c r="W329" s="92">
        <v>45</v>
      </c>
      <c r="X329" s="92">
        <v>55</v>
      </c>
      <c r="Y329" s="92" t="s">
        <v>64</v>
      </c>
      <c r="Z329" s="133">
        <f t="shared" si="562"/>
        <v>2.3589743589743595</v>
      </c>
      <c r="AA329" s="133"/>
      <c r="AB329" s="161">
        <f t="shared" si="563"/>
        <v>1.8208902070842377</v>
      </c>
      <c r="AC329" s="161"/>
      <c r="AD329" s="213">
        <f t="shared" si="564"/>
        <v>0.1</v>
      </c>
      <c r="AE329" s="213">
        <v>0.1</v>
      </c>
      <c r="AF329" s="215">
        <v>0.33</v>
      </c>
      <c r="AG329" s="215" t="s">
        <v>9</v>
      </c>
      <c r="AH329" s="148">
        <f t="shared" si="496"/>
        <v>1.8208902070842377</v>
      </c>
      <c r="AI329" s="122">
        <f t="shared" si="565"/>
        <v>0.33000000000000007</v>
      </c>
      <c r="AJ329" s="444"/>
      <c r="AK329" s="150">
        <f t="shared" si="566"/>
        <v>1.5333333333333334</v>
      </c>
      <c r="AL329" s="153">
        <f t="shared" si="567"/>
        <v>1.3555515986071545</v>
      </c>
      <c r="AM329" s="125">
        <f t="shared" si="568"/>
        <v>0.35000000000000009</v>
      </c>
      <c r="AN329" s="125">
        <f t="shared" si="569"/>
        <v>0.25555555555555565</v>
      </c>
      <c r="AO329" s="140"/>
      <c r="AP329" s="17" t="s">
        <v>664</v>
      </c>
      <c r="AQ329" s="141"/>
      <c r="AR329" s="191"/>
      <c r="AS329" s="191"/>
      <c r="AT329" s="141"/>
      <c r="AU329" s="141">
        <v>9.66</v>
      </c>
      <c r="AV329" s="141">
        <f t="shared" si="570"/>
        <v>9.66</v>
      </c>
      <c r="AW329" s="142">
        <f t="shared" si="571"/>
        <v>1.3800000000000001</v>
      </c>
      <c r="AX329" s="126">
        <f t="shared" si="572"/>
        <v>1.219996438746439</v>
      </c>
      <c r="AY329" s="17"/>
      <c r="AZ329" s="128">
        <v>8544700000</v>
      </c>
      <c r="BB329" s="161">
        <f t="shared" si="485"/>
        <v>6.0696340236141255</v>
      </c>
      <c r="BC329" s="161">
        <f t="shared" si="486"/>
        <v>3.6417804141684753</v>
      </c>
      <c r="BD329" s="161">
        <f t="shared" si="487"/>
        <v>3.0348170118070628</v>
      </c>
      <c r="BE329" s="161">
        <f t="shared" si="488"/>
        <v>2.4278536094456502</v>
      </c>
    </row>
    <row r="330" spans="1:58" s="129" customFormat="1" hidden="1">
      <c r="A330" s="88" t="s">
        <v>1302</v>
      </c>
      <c r="B330" s="88" t="s">
        <v>1318</v>
      </c>
      <c r="C330" s="88" t="s">
        <v>1318</v>
      </c>
      <c r="D330" s="88" t="s">
        <v>656</v>
      </c>
      <c r="E330" s="88" t="s">
        <v>907</v>
      </c>
      <c r="F330" s="89" t="s">
        <v>923</v>
      </c>
      <c r="G330" s="92" t="s">
        <v>685</v>
      </c>
      <c r="H330" s="92"/>
      <c r="I330" s="167" t="s">
        <v>927</v>
      </c>
      <c r="J330" s="167" t="str">
        <f>_xlfn.XLOOKUP(I330,[1]Sheet1!$A:$A,[1]Sheet1!$B:$B,"")</f>
        <v>U0901006</v>
      </c>
      <c r="K330" s="88" t="s">
        <v>928</v>
      </c>
      <c r="L330" s="88" t="s">
        <v>929</v>
      </c>
      <c r="M330" s="92"/>
      <c r="N330" s="89" t="s">
        <v>60</v>
      </c>
      <c r="O330" s="165"/>
      <c r="P330" s="89" t="s">
        <v>912</v>
      </c>
      <c r="Q330" s="92" t="s">
        <v>913</v>
      </c>
      <c r="R330" s="92">
        <v>1920</v>
      </c>
      <c r="S330" s="92" t="e">
        <v>#N/A</v>
      </c>
      <c r="T330" s="92">
        <v>8544700000</v>
      </c>
      <c r="U330" s="155">
        <v>0</v>
      </c>
      <c r="V330" s="207">
        <v>30</v>
      </c>
      <c r="W330" s="92">
        <v>45</v>
      </c>
      <c r="X330" s="92">
        <v>55</v>
      </c>
      <c r="Y330" s="92" t="s">
        <v>64</v>
      </c>
      <c r="Z330" s="133">
        <f t="shared" si="562"/>
        <v>2.5958485958485964</v>
      </c>
      <c r="AA330" s="133"/>
      <c r="AB330" s="161">
        <f t="shared" si="563"/>
        <v>2.005219723270097</v>
      </c>
      <c r="AC330" s="161"/>
      <c r="AD330" s="213">
        <f t="shared" si="564"/>
        <v>0.1</v>
      </c>
      <c r="AE330" s="213">
        <v>0.1</v>
      </c>
      <c r="AF330" s="215">
        <v>0.33</v>
      </c>
      <c r="AG330" s="215" t="s">
        <v>9</v>
      </c>
      <c r="AH330" s="148">
        <f t="shared" si="496"/>
        <v>2.005219723270097</v>
      </c>
      <c r="AI330" s="122">
        <f t="shared" si="565"/>
        <v>0.33000000000000007</v>
      </c>
      <c r="AJ330" s="444"/>
      <c r="AK330" s="150">
        <f t="shared" si="566"/>
        <v>1.6873015873015873</v>
      </c>
      <c r="AL330" s="153">
        <f t="shared" si="567"/>
        <v>1.49277468287885</v>
      </c>
      <c r="AM330" s="125">
        <f t="shared" si="568"/>
        <v>0.35000000000000009</v>
      </c>
      <c r="AN330" s="125">
        <f t="shared" si="569"/>
        <v>0.25555555555555554</v>
      </c>
      <c r="AO330" s="140"/>
      <c r="AP330" s="17" t="s">
        <v>664</v>
      </c>
      <c r="AQ330" s="141"/>
      <c r="AR330" s="191"/>
      <c r="AS330" s="191"/>
      <c r="AT330" s="141"/>
      <c r="AU330" s="141">
        <v>10.63</v>
      </c>
      <c r="AV330" s="141">
        <f t="shared" si="570"/>
        <v>10.63</v>
      </c>
      <c r="AW330" s="142">
        <f t="shared" si="571"/>
        <v>1.5185714285714287</v>
      </c>
      <c r="AX330" s="126">
        <f t="shared" si="572"/>
        <v>1.3434972145909649</v>
      </c>
      <c r="AY330" s="17"/>
      <c r="AZ330" s="128">
        <v>8544700000</v>
      </c>
      <c r="BB330" s="161">
        <f t="shared" si="485"/>
        <v>6.6840657442336573</v>
      </c>
      <c r="BC330" s="161">
        <f t="shared" si="486"/>
        <v>4.010439446540194</v>
      </c>
      <c r="BD330" s="161">
        <f t="shared" si="487"/>
        <v>3.3420328721168286</v>
      </c>
      <c r="BE330" s="161">
        <f t="shared" si="488"/>
        <v>2.6736262976934633</v>
      </c>
    </row>
    <row r="331" spans="1:58" s="129" customFormat="1" hidden="1">
      <c r="A331" s="88" t="s">
        <v>1302</v>
      </c>
      <c r="B331" s="88" t="s">
        <v>1318</v>
      </c>
      <c r="C331" s="88" t="s">
        <v>1318</v>
      </c>
      <c r="D331" s="88" t="s">
        <v>656</v>
      </c>
      <c r="E331" s="88" t="s">
        <v>907</v>
      </c>
      <c r="F331" s="89" t="s">
        <v>923</v>
      </c>
      <c r="G331" s="92" t="s">
        <v>685</v>
      </c>
      <c r="H331" s="92"/>
      <c r="I331" s="167" t="s">
        <v>930</v>
      </c>
      <c r="J331" s="167" t="str">
        <f>_xlfn.XLOOKUP(I331,[1]Sheet1!$A:$A,[1]Sheet1!$B:$B,"")</f>
        <v>U0901007</v>
      </c>
      <c r="K331" s="88" t="s">
        <v>931</v>
      </c>
      <c r="L331" s="88" t="s">
        <v>932</v>
      </c>
      <c r="M331" s="92"/>
      <c r="N331" s="89" t="s">
        <v>60</v>
      </c>
      <c r="O331" s="165"/>
      <c r="P331" s="89" t="s">
        <v>912</v>
      </c>
      <c r="Q331" s="92" t="s">
        <v>913</v>
      </c>
      <c r="R331" s="92">
        <v>1920</v>
      </c>
      <c r="S331" s="92" t="s">
        <v>2496</v>
      </c>
      <c r="T331" s="92">
        <v>8544700000</v>
      </c>
      <c r="U331" s="155">
        <v>0</v>
      </c>
      <c r="V331" s="207">
        <v>30</v>
      </c>
      <c r="W331" s="92">
        <v>45</v>
      </c>
      <c r="X331" s="92">
        <v>55</v>
      </c>
      <c r="Y331" s="92" t="s">
        <v>64</v>
      </c>
      <c r="Z331" s="133">
        <f t="shared" si="562"/>
        <v>2.8302808302808304</v>
      </c>
      <c r="AA331" s="133"/>
      <c r="AB331" s="161">
        <f t="shared" si="563"/>
        <v>2.180169151950869</v>
      </c>
      <c r="AC331" s="161"/>
      <c r="AD331" s="213">
        <f t="shared" si="564"/>
        <v>0.1</v>
      </c>
      <c r="AE331" s="213">
        <v>0.1</v>
      </c>
      <c r="AF331" s="215">
        <v>0.33</v>
      </c>
      <c r="AG331" s="215" t="s">
        <v>9</v>
      </c>
      <c r="AH331" s="148">
        <f t="shared" si="496"/>
        <v>2.180169151950869</v>
      </c>
      <c r="AI331" s="122">
        <f t="shared" si="565"/>
        <v>0.33000000000000018</v>
      </c>
      <c r="AJ331" s="444"/>
      <c r="AK331" s="150">
        <f t="shared" si="566"/>
        <v>1.8396825396825396</v>
      </c>
      <c r="AL331" s="153">
        <f t="shared" si="567"/>
        <v>1.6230148131189799</v>
      </c>
      <c r="AM331" s="125">
        <f t="shared" si="568"/>
        <v>0.35000000000000009</v>
      </c>
      <c r="AN331" s="125">
        <f t="shared" si="569"/>
        <v>0.25555555555555576</v>
      </c>
      <c r="AO331" s="140"/>
      <c r="AP331" s="17" t="s">
        <v>664</v>
      </c>
      <c r="AQ331" s="141"/>
      <c r="AR331" s="191"/>
      <c r="AS331" s="191"/>
      <c r="AT331" s="141"/>
      <c r="AU331" s="141">
        <v>11.59</v>
      </c>
      <c r="AV331" s="141">
        <f t="shared" si="570"/>
        <v>11.59</v>
      </c>
      <c r="AW331" s="142">
        <f t="shared" si="571"/>
        <v>1.6557142857142857</v>
      </c>
      <c r="AX331" s="126">
        <f t="shared" si="572"/>
        <v>1.460713331807082</v>
      </c>
      <c r="AY331" s="17"/>
      <c r="AZ331" s="128">
        <v>8544700000</v>
      </c>
      <c r="BB331" s="161">
        <f t="shared" si="485"/>
        <v>7.267230506502897</v>
      </c>
      <c r="BC331" s="161">
        <f t="shared" si="486"/>
        <v>4.360338303901738</v>
      </c>
      <c r="BD331" s="161">
        <f t="shared" si="487"/>
        <v>3.6336152532514485</v>
      </c>
      <c r="BE331" s="161">
        <f t="shared" si="488"/>
        <v>2.906892202601159</v>
      </c>
    </row>
    <row r="332" spans="1:58" s="129" customFormat="1" hidden="1">
      <c r="A332" s="88" t="s">
        <v>1302</v>
      </c>
      <c r="B332" s="88" t="s">
        <v>1318</v>
      </c>
      <c r="C332" s="88" t="s">
        <v>1318</v>
      </c>
      <c r="D332" s="88" t="s">
        <v>656</v>
      </c>
      <c r="E332" s="88" t="s">
        <v>907</v>
      </c>
      <c r="F332" s="89" t="s">
        <v>923</v>
      </c>
      <c r="G332" s="92" t="s">
        <v>685</v>
      </c>
      <c r="H332" s="92"/>
      <c r="I332" s="167" t="s">
        <v>933</v>
      </c>
      <c r="J332" s="167" t="str">
        <f>_xlfn.XLOOKUP(I332,[1]Sheet1!$A:$A,[1]Sheet1!$B:$B,"")</f>
        <v>U0901008</v>
      </c>
      <c r="K332" s="88" t="s">
        <v>934</v>
      </c>
      <c r="L332" s="88" t="s">
        <v>935</v>
      </c>
      <c r="M332" s="92"/>
      <c r="N332" s="89" t="s">
        <v>60</v>
      </c>
      <c r="O332" s="165"/>
      <c r="P332" s="89" t="s">
        <v>912</v>
      </c>
      <c r="Q332" s="92" t="s">
        <v>913</v>
      </c>
      <c r="R332" s="92">
        <v>1440</v>
      </c>
      <c r="S332" s="92" t="e">
        <v>#N/A</v>
      </c>
      <c r="T332" s="92">
        <v>8544700000</v>
      </c>
      <c r="U332" s="155">
        <v>0</v>
      </c>
      <c r="V332" s="207">
        <v>30</v>
      </c>
      <c r="W332" s="92">
        <v>45</v>
      </c>
      <c r="X332" s="92">
        <v>55</v>
      </c>
      <c r="Y332" s="92" t="s">
        <v>64</v>
      </c>
      <c r="Z332" s="133">
        <f t="shared" si="562"/>
        <v>3.2869352869352872</v>
      </c>
      <c r="AA332" s="133"/>
      <c r="AB332" s="161">
        <f t="shared" si="563"/>
        <v>2.543629152770944</v>
      </c>
      <c r="AC332" s="161"/>
      <c r="AD332" s="213">
        <f t="shared" si="564"/>
        <v>0.1</v>
      </c>
      <c r="AE332" s="213">
        <v>0.1</v>
      </c>
      <c r="AF332" s="215">
        <v>0.33</v>
      </c>
      <c r="AG332" s="215" t="s">
        <v>9</v>
      </c>
      <c r="AH332" s="148">
        <f t="shared" si="496"/>
        <v>2.543629152770944</v>
      </c>
      <c r="AI332" s="122">
        <f t="shared" si="565"/>
        <v>0.33000000000000007</v>
      </c>
      <c r="AJ332" s="444"/>
      <c r="AK332" s="150">
        <f t="shared" si="566"/>
        <v>2.1365079365079365</v>
      </c>
      <c r="AL332" s="153">
        <f t="shared" si="567"/>
        <v>1.8935905915072582</v>
      </c>
      <c r="AM332" s="125">
        <f t="shared" si="568"/>
        <v>0.35000000000000009</v>
      </c>
      <c r="AN332" s="125">
        <f t="shared" si="569"/>
        <v>0.25555555555555565</v>
      </c>
      <c r="AO332" s="140"/>
      <c r="AP332" s="17" t="s">
        <v>664</v>
      </c>
      <c r="AQ332" s="141"/>
      <c r="AR332" s="191"/>
      <c r="AS332" s="191"/>
      <c r="AT332" s="141"/>
      <c r="AU332" s="141">
        <v>13.46</v>
      </c>
      <c r="AV332" s="141">
        <f t="shared" si="570"/>
        <v>13.46</v>
      </c>
      <c r="AW332" s="142">
        <f t="shared" si="571"/>
        <v>1.922857142857143</v>
      </c>
      <c r="AX332" s="126">
        <f t="shared" si="572"/>
        <v>1.7042315323565325</v>
      </c>
      <c r="AY332" s="17"/>
      <c r="AZ332" s="128">
        <v>8544700000</v>
      </c>
      <c r="BB332" s="161">
        <f t="shared" si="485"/>
        <v>8.4787638425698137</v>
      </c>
      <c r="BC332" s="161">
        <f t="shared" si="486"/>
        <v>5.0872583055418881</v>
      </c>
      <c r="BD332" s="161">
        <f t="shared" si="487"/>
        <v>4.2393819212849069</v>
      </c>
      <c r="BE332" s="161">
        <f t="shared" si="488"/>
        <v>3.3915055370279257</v>
      </c>
    </row>
    <row r="333" spans="1:58" s="129" customFormat="1" hidden="1">
      <c r="A333" s="88" t="s">
        <v>1276</v>
      </c>
      <c r="B333" s="88" t="s">
        <v>1318</v>
      </c>
      <c r="C333" s="88" t="s">
        <v>1318</v>
      </c>
      <c r="D333" s="88" t="s">
        <v>656</v>
      </c>
      <c r="E333" s="88" t="s">
        <v>907</v>
      </c>
      <c r="F333" s="89" t="s">
        <v>923</v>
      </c>
      <c r="G333" s="92" t="s">
        <v>685</v>
      </c>
      <c r="H333" s="92"/>
      <c r="I333" s="167" t="s">
        <v>2428</v>
      </c>
      <c r="J333" s="167" t="s">
        <v>3913</v>
      </c>
      <c r="K333" s="88" t="s">
        <v>1601</v>
      </c>
      <c r="L333" s="88" t="s">
        <v>1603</v>
      </c>
      <c r="M333" s="92"/>
      <c r="N333" s="89" t="s">
        <v>60</v>
      </c>
      <c r="O333" s="165"/>
      <c r="P333" s="89" t="s">
        <v>912</v>
      </c>
      <c r="Q333" s="92" t="s">
        <v>913</v>
      </c>
      <c r="R333" s="92">
        <v>720</v>
      </c>
      <c r="S333" s="92" t="e">
        <v>#N/A</v>
      </c>
      <c r="T333" s="92">
        <v>8544700000</v>
      </c>
      <c r="U333" s="155">
        <v>0</v>
      </c>
      <c r="V333" s="207">
        <v>30</v>
      </c>
      <c r="W333" s="92">
        <v>45</v>
      </c>
      <c r="X333" s="92">
        <v>55</v>
      </c>
      <c r="Y333" s="92" t="s">
        <v>64</v>
      </c>
      <c r="Z333" s="133">
        <f t="shared" ref="Z333:Z334" si="584">AK333/(1-(AF333+2%))</f>
        <v>4.8058608058608066</v>
      </c>
      <c r="AA333" s="133"/>
      <c r="AB333" s="161">
        <f t="shared" ref="AB333:AB334" si="585">AX333/(1-AF333)</f>
        <v>3.7678480309077327</v>
      </c>
      <c r="AC333" s="161"/>
      <c r="AD333" s="213">
        <f t="shared" ref="AD333:AD334" si="586">AE333</f>
        <v>0.1</v>
      </c>
      <c r="AE333" s="213">
        <v>0.1</v>
      </c>
      <c r="AF333" s="215">
        <v>0.33</v>
      </c>
      <c r="AG333" s="215" t="s">
        <v>9</v>
      </c>
      <c r="AH333" s="148">
        <f t="shared" si="496"/>
        <v>3.7678480309077327</v>
      </c>
      <c r="AI333" s="122">
        <f t="shared" ref="AI333:AI334" si="587">1-(AX333/AH333)</f>
        <v>0.33000000000000007</v>
      </c>
      <c r="AJ333" s="444"/>
      <c r="AK333" s="150">
        <f t="shared" ref="AK333:AK334" si="588">AW333/(1-AD333)</f>
        <v>3.1238095238095238</v>
      </c>
      <c r="AL333" s="153">
        <f t="shared" ref="AL333:AL334" si="589">AX333/(1-AE333)</f>
        <v>2.8049535341202003</v>
      </c>
      <c r="AM333" s="125">
        <f t="shared" ref="AM333:AM334" si="590">1-(AK333/Z333)</f>
        <v>0.35000000000000009</v>
      </c>
      <c r="AN333" s="125">
        <f t="shared" ref="AN333:AN334" si="591">1-(AL333/AB333)</f>
        <v>0.25555555555555576</v>
      </c>
      <c r="AO333" s="140"/>
      <c r="AP333" s="17" t="s">
        <v>664</v>
      </c>
      <c r="AQ333" s="141"/>
      <c r="AR333" s="191"/>
      <c r="AS333" s="191"/>
      <c r="AT333" s="141"/>
      <c r="AU333" s="141">
        <v>19.68</v>
      </c>
      <c r="AV333" s="141">
        <f t="shared" ref="AV333:AV334" si="592">AT333+AU333</f>
        <v>19.68</v>
      </c>
      <c r="AW333" s="142">
        <f t="shared" ref="AW333:AW334" si="593">(AT333+AU333)/$F$5</f>
        <v>2.8114285714285714</v>
      </c>
      <c r="AX333" s="126">
        <f t="shared" ref="AX333:AX334" si="594">(AW333/$F$6)+(($F$9+$G$9)/40/R333)+AW333*U333</f>
        <v>2.5244581807081805</v>
      </c>
      <c r="AY333" s="17"/>
      <c r="AZ333" s="128">
        <v>8544700000</v>
      </c>
      <c r="BB333" s="168">
        <f t="shared" si="485"/>
        <v>12.559493436359109</v>
      </c>
      <c r="BC333" s="168">
        <f t="shared" si="486"/>
        <v>7.5356960618154645</v>
      </c>
      <c r="BD333" s="168">
        <f t="shared" si="487"/>
        <v>6.2797467181795543</v>
      </c>
      <c r="BE333" s="168">
        <f t="shared" si="488"/>
        <v>5.0237973745436442</v>
      </c>
    </row>
    <row r="334" spans="1:58" s="129" customFormat="1" hidden="1">
      <c r="A334" s="88" t="s">
        <v>1276</v>
      </c>
      <c r="B334" s="88" t="s">
        <v>1318</v>
      </c>
      <c r="C334" s="88" t="s">
        <v>1318</v>
      </c>
      <c r="D334" s="88" t="s">
        <v>656</v>
      </c>
      <c r="E334" s="88" t="s">
        <v>907</v>
      </c>
      <c r="F334" s="89" t="s">
        <v>923</v>
      </c>
      <c r="G334" s="92" t="s">
        <v>685</v>
      </c>
      <c r="H334" s="92"/>
      <c r="I334" s="167" t="s">
        <v>1600</v>
      </c>
      <c r="J334" s="167" t="s">
        <v>3914</v>
      </c>
      <c r="K334" s="88" t="s">
        <v>1602</v>
      </c>
      <c r="L334" s="88" t="s">
        <v>1604</v>
      </c>
      <c r="M334" s="92"/>
      <c r="N334" s="89" t="s">
        <v>60</v>
      </c>
      <c r="O334" s="165"/>
      <c r="P334" s="89" t="s">
        <v>912</v>
      </c>
      <c r="Q334" s="92" t="s">
        <v>913</v>
      </c>
      <c r="R334" s="92">
        <v>480</v>
      </c>
      <c r="S334" s="92" t="e">
        <v>#N/A</v>
      </c>
      <c r="T334" s="92">
        <v>8544700000</v>
      </c>
      <c r="U334" s="155">
        <v>0</v>
      </c>
      <c r="V334" s="207">
        <v>30</v>
      </c>
      <c r="W334" s="92">
        <v>45</v>
      </c>
      <c r="X334" s="92">
        <v>55</v>
      </c>
      <c r="Y334" s="92" t="s">
        <v>64</v>
      </c>
      <c r="Z334" s="133">
        <f t="shared" si="584"/>
        <v>6.1733821733821745</v>
      </c>
      <c r="AA334" s="133"/>
      <c r="AB334" s="161">
        <f t="shared" si="585"/>
        <v>4.8790787363548569</v>
      </c>
      <c r="AC334" s="161"/>
      <c r="AD334" s="213">
        <f t="shared" si="586"/>
        <v>0.1</v>
      </c>
      <c r="AE334" s="213">
        <v>0.1</v>
      </c>
      <c r="AF334" s="215">
        <v>0.33</v>
      </c>
      <c r="AG334" s="215" t="s">
        <v>9</v>
      </c>
      <c r="AH334" s="148">
        <f t="shared" si="496"/>
        <v>4.8790787363548569</v>
      </c>
      <c r="AI334" s="122">
        <f t="shared" si="587"/>
        <v>0.33000000000000007</v>
      </c>
      <c r="AJ334" s="444"/>
      <c r="AK334" s="150">
        <f t="shared" si="588"/>
        <v>4.0126984126984127</v>
      </c>
      <c r="AL334" s="153">
        <f t="shared" si="589"/>
        <v>3.6322030592863932</v>
      </c>
      <c r="AM334" s="125">
        <f t="shared" si="590"/>
        <v>0.35000000000000009</v>
      </c>
      <c r="AN334" s="125">
        <f t="shared" si="591"/>
        <v>0.25555555555555565</v>
      </c>
      <c r="AO334" s="140"/>
      <c r="AP334" s="17" t="s">
        <v>664</v>
      </c>
      <c r="AQ334" s="141"/>
      <c r="AR334" s="191"/>
      <c r="AS334" s="191"/>
      <c r="AT334" s="141"/>
      <c r="AU334" s="141">
        <v>25.28</v>
      </c>
      <c r="AV334" s="141">
        <f t="shared" si="592"/>
        <v>25.28</v>
      </c>
      <c r="AW334" s="142">
        <f t="shared" si="593"/>
        <v>3.6114285714285717</v>
      </c>
      <c r="AX334" s="126">
        <f t="shared" si="594"/>
        <v>3.2689827533577538</v>
      </c>
      <c r="AY334" s="17"/>
      <c r="AZ334" s="128">
        <v>8544700000</v>
      </c>
      <c r="BB334" s="168">
        <f t="shared" si="485"/>
        <v>16.263595787849525</v>
      </c>
      <c r="BC334" s="168">
        <f t="shared" si="486"/>
        <v>9.7581574727097138</v>
      </c>
      <c r="BD334" s="168">
        <f t="shared" si="487"/>
        <v>8.1317978939247624</v>
      </c>
      <c r="BE334" s="168">
        <f t="shared" si="488"/>
        <v>6.5054383151398101</v>
      </c>
    </row>
    <row r="335" spans="1:58" s="129" customFormat="1" hidden="1">
      <c r="A335" s="88" t="s">
        <v>1276</v>
      </c>
      <c r="B335" s="88" t="s">
        <v>1318</v>
      </c>
      <c r="C335" s="88" t="s">
        <v>1318</v>
      </c>
      <c r="D335" s="88" t="s">
        <v>656</v>
      </c>
      <c r="E335" s="88" t="s">
        <v>907</v>
      </c>
      <c r="F335" s="89" t="s">
        <v>923</v>
      </c>
      <c r="G335" s="92" t="s">
        <v>685</v>
      </c>
      <c r="H335" s="92"/>
      <c r="I335" s="167" t="s">
        <v>3919</v>
      </c>
      <c r="J335" s="167" t="s">
        <v>3925</v>
      </c>
      <c r="K335" s="88" t="s">
        <v>3920</v>
      </c>
      <c r="L335" s="88" t="s">
        <v>3921</v>
      </c>
      <c r="M335" s="92"/>
      <c r="N335" s="89" t="s">
        <v>60</v>
      </c>
      <c r="O335" s="165"/>
      <c r="P335" s="89" t="s">
        <v>912</v>
      </c>
      <c r="Q335" s="92" t="s">
        <v>913</v>
      </c>
      <c r="R335" s="92"/>
      <c r="S335" s="92"/>
      <c r="T335" s="92">
        <v>8544700000</v>
      </c>
      <c r="U335" s="155">
        <v>0</v>
      </c>
      <c r="V335" s="207">
        <v>30</v>
      </c>
      <c r="W335" s="92">
        <v>45</v>
      </c>
      <c r="X335" s="92">
        <v>55</v>
      </c>
      <c r="Y335" s="92" t="s">
        <v>64</v>
      </c>
      <c r="Z335" s="133"/>
      <c r="AA335" s="133"/>
      <c r="AB335" s="161"/>
      <c r="AC335" s="161"/>
      <c r="AD335" s="213">
        <f t="shared" ref="AD335" si="595">AE335</f>
        <v>0.1</v>
      </c>
      <c r="AE335" s="213">
        <v>0.1</v>
      </c>
      <c r="AF335" s="215">
        <v>0.33</v>
      </c>
      <c r="AG335" s="215" t="s">
        <v>9</v>
      </c>
      <c r="AH335" s="148"/>
      <c r="AI335" s="122"/>
      <c r="AJ335" s="444"/>
      <c r="AK335" s="150"/>
      <c r="AL335" s="153"/>
      <c r="AM335" s="125"/>
      <c r="AN335" s="125"/>
      <c r="AO335" s="140"/>
      <c r="AP335" s="17" t="s">
        <v>664</v>
      </c>
      <c r="AQ335" s="141"/>
      <c r="AR335" s="191"/>
      <c r="AS335" s="191"/>
      <c r="AT335" s="141"/>
      <c r="AU335" s="141"/>
      <c r="AV335" s="141"/>
      <c r="AW335" s="142"/>
      <c r="AX335" s="126"/>
      <c r="AY335" s="17"/>
      <c r="AZ335" s="128">
        <v>8544700000</v>
      </c>
      <c r="BB335" s="168">
        <f t="shared" ref="BB335" si="596">AB335/0.3</f>
        <v>0</v>
      </c>
      <c r="BC335" s="168">
        <f t="shared" ref="BC335" si="597">BB335*0.6</f>
        <v>0</v>
      </c>
      <c r="BD335" s="168">
        <f t="shared" ref="BD335" si="598">BB335*0.5</f>
        <v>0</v>
      </c>
      <c r="BE335" s="168">
        <f t="shared" ref="BE335" si="599">BB335*0.4</f>
        <v>0</v>
      </c>
    </row>
    <row r="336" spans="1:58" s="129" customFormat="1" hidden="1">
      <c r="A336" s="88" t="s">
        <v>1302</v>
      </c>
      <c r="B336" s="88" t="s">
        <v>1318</v>
      </c>
      <c r="C336" s="88" t="s">
        <v>1318</v>
      </c>
      <c r="D336" s="88" t="s">
        <v>656</v>
      </c>
      <c r="E336" s="88" t="s">
        <v>907</v>
      </c>
      <c r="F336" s="89" t="s">
        <v>936</v>
      </c>
      <c r="G336" s="92" t="s">
        <v>685</v>
      </c>
      <c r="H336" s="92"/>
      <c r="I336" s="167" t="s">
        <v>3851</v>
      </c>
      <c r="J336" s="167" t="str">
        <f>_xlfn.XLOOKUP(I336,[1]Sheet1!$A:$A,[1]Sheet1!$B:$B,"")</f>
        <v>U0901001</v>
      </c>
      <c r="K336" s="88" t="s">
        <v>938</v>
      </c>
      <c r="L336" s="88" t="s">
        <v>939</v>
      </c>
      <c r="M336" s="92"/>
      <c r="N336" s="89" t="s">
        <v>60</v>
      </c>
      <c r="O336" s="165"/>
      <c r="P336" s="89" t="s">
        <v>912</v>
      </c>
      <c r="Q336" s="92" t="s">
        <v>913</v>
      </c>
      <c r="R336" s="92">
        <v>2160</v>
      </c>
      <c r="S336" s="92" t="s">
        <v>2497</v>
      </c>
      <c r="T336" s="92">
        <v>8544700000</v>
      </c>
      <c r="U336" s="155">
        <v>0</v>
      </c>
      <c r="V336" s="207">
        <v>30</v>
      </c>
      <c r="W336" s="92">
        <v>45</v>
      </c>
      <c r="X336" s="92">
        <v>55</v>
      </c>
      <c r="Y336" s="92" t="s">
        <v>64</v>
      </c>
      <c r="Z336" s="133">
        <f t="shared" si="562"/>
        <v>2.3589743589743595</v>
      </c>
      <c r="AA336" s="133"/>
      <c r="AB336" s="161">
        <f t="shared" si="563"/>
        <v>1.8208902070842377</v>
      </c>
      <c r="AC336" s="161"/>
      <c r="AD336" s="213">
        <f t="shared" si="564"/>
        <v>0.1</v>
      </c>
      <c r="AE336" s="213">
        <v>0.1</v>
      </c>
      <c r="AF336" s="215">
        <v>0.33</v>
      </c>
      <c r="AG336" s="215" t="s">
        <v>9</v>
      </c>
      <c r="AH336" s="148">
        <f t="shared" si="496"/>
        <v>1.8208902070842377</v>
      </c>
      <c r="AI336" s="122">
        <f t="shared" si="565"/>
        <v>0.33000000000000007</v>
      </c>
      <c r="AJ336" s="444"/>
      <c r="AK336" s="150">
        <f t="shared" si="566"/>
        <v>1.5333333333333334</v>
      </c>
      <c r="AL336" s="153">
        <f t="shared" si="567"/>
        <v>1.3555515986071545</v>
      </c>
      <c r="AM336" s="125">
        <f t="shared" si="568"/>
        <v>0.35000000000000009</v>
      </c>
      <c r="AN336" s="125">
        <f t="shared" si="569"/>
        <v>0.25555555555555565</v>
      </c>
      <c r="AO336" s="140"/>
      <c r="AP336" s="17" t="s">
        <v>664</v>
      </c>
      <c r="AQ336" s="141"/>
      <c r="AR336" s="191"/>
      <c r="AS336" s="191"/>
      <c r="AT336" s="141"/>
      <c r="AU336" s="141">
        <v>9.66</v>
      </c>
      <c r="AV336" s="141">
        <f t="shared" si="570"/>
        <v>9.66</v>
      </c>
      <c r="AW336" s="142">
        <f t="shared" si="571"/>
        <v>1.3800000000000001</v>
      </c>
      <c r="AX336" s="126">
        <f t="shared" si="572"/>
        <v>1.219996438746439</v>
      </c>
      <c r="AY336" s="17"/>
      <c r="AZ336" s="128">
        <v>8544700000</v>
      </c>
      <c r="BB336" s="161">
        <f t="shared" si="485"/>
        <v>6.0696340236141255</v>
      </c>
      <c r="BC336" s="161">
        <f t="shared" si="486"/>
        <v>3.6417804141684753</v>
      </c>
      <c r="BD336" s="161">
        <f t="shared" si="487"/>
        <v>3.0348170118070628</v>
      </c>
      <c r="BE336" s="161">
        <f t="shared" si="488"/>
        <v>2.4278536094456502</v>
      </c>
    </row>
    <row r="337" spans="1:57" s="129" customFormat="1" hidden="1">
      <c r="A337" s="88" t="s">
        <v>1302</v>
      </c>
      <c r="B337" s="88" t="s">
        <v>1318</v>
      </c>
      <c r="C337" s="88" t="s">
        <v>1318</v>
      </c>
      <c r="D337" s="88" t="s">
        <v>656</v>
      </c>
      <c r="E337" s="88" t="s">
        <v>907</v>
      </c>
      <c r="F337" s="89" t="s">
        <v>936</v>
      </c>
      <c r="G337" s="92" t="s">
        <v>685</v>
      </c>
      <c r="H337" s="92"/>
      <c r="I337" s="167" t="s">
        <v>940</v>
      </c>
      <c r="J337" s="167" t="str">
        <f>_xlfn.XLOOKUP(I337,[1]Sheet1!$A:$A,[1]Sheet1!$B:$B,"")</f>
        <v>U0901002</v>
      </c>
      <c r="K337" s="88" t="s">
        <v>941</v>
      </c>
      <c r="L337" s="88" t="s">
        <v>942</v>
      </c>
      <c r="M337" s="92"/>
      <c r="N337" s="89" t="s">
        <v>60</v>
      </c>
      <c r="O337" s="165"/>
      <c r="P337" s="89" t="s">
        <v>912</v>
      </c>
      <c r="Q337" s="92" t="s">
        <v>913</v>
      </c>
      <c r="R337" s="92">
        <v>1920</v>
      </c>
      <c r="S337" s="92" t="e">
        <v>#N/A</v>
      </c>
      <c r="T337" s="92">
        <v>8544700000</v>
      </c>
      <c r="U337" s="155">
        <v>0</v>
      </c>
      <c r="V337" s="207">
        <v>30</v>
      </c>
      <c r="W337" s="92">
        <v>45</v>
      </c>
      <c r="X337" s="92">
        <v>55</v>
      </c>
      <c r="Y337" s="92" t="s">
        <v>64</v>
      </c>
      <c r="Z337" s="133">
        <f t="shared" si="562"/>
        <v>2.5958485958485964</v>
      </c>
      <c r="AA337" s="133"/>
      <c r="AB337" s="161">
        <f t="shared" si="563"/>
        <v>2.005219723270097</v>
      </c>
      <c r="AC337" s="161"/>
      <c r="AD337" s="213">
        <f t="shared" si="564"/>
        <v>0.1</v>
      </c>
      <c r="AE337" s="213">
        <v>0.1</v>
      </c>
      <c r="AF337" s="215">
        <v>0.33</v>
      </c>
      <c r="AG337" s="215" t="s">
        <v>9</v>
      </c>
      <c r="AH337" s="148">
        <f t="shared" si="496"/>
        <v>2.005219723270097</v>
      </c>
      <c r="AI337" s="122">
        <f t="shared" si="565"/>
        <v>0.33000000000000007</v>
      </c>
      <c r="AJ337" s="444"/>
      <c r="AK337" s="150">
        <f t="shared" si="566"/>
        <v>1.6873015873015873</v>
      </c>
      <c r="AL337" s="153">
        <f t="shared" si="567"/>
        <v>1.49277468287885</v>
      </c>
      <c r="AM337" s="125">
        <f t="shared" si="568"/>
        <v>0.35000000000000009</v>
      </c>
      <c r="AN337" s="125">
        <f t="shared" si="569"/>
        <v>0.25555555555555554</v>
      </c>
      <c r="AO337" s="140"/>
      <c r="AP337" s="17" t="s">
        <v>664</v>
      </c>
      <c r="AQ337" s="141"/>
      <c r="AR337" s="191"/>
      <c r="AS337" s="191"/>
      <c r="AT337" s="141"/>
      <c r="AU337" s="141">
        <v>10.63</v>
      </c>
      <c r="AV337" s="141">
        <f t="shared" si="570"/>
        <v>10.63</v>
      </c>
      <c r="AW337" s="142">
        <f t="shared" si="571"/>
        <v>1.5185714285714287</v>
      </c>
      <c r="AX337" s="126">
        <f t="shared" si="572"/>
        <v>1.3434972145909649</v>
      </c>
      <c r="AY337" s="17"/>
      <c r="AZ337" s="128">
        <v>8544700000</v>
      </c>
      <c r="BB337" s="161">
        <f t="shared" si="485"/>
        <v>6.6840657442336573</v>
      </c>
      <c r="BC337" s="161">
        <f t="shared" si="486"/>
        <v>4.010439446540194</v>
      </c>
      <c r="BD337" s="161">
        <f t="shared" si="487"/>
        <v>3.3420328721168286</v>
      </c>
      <c r="BE337" s="161">
        <f t="shared" si="488"/>
        <v>2.6736262976934633</v>
      </c>
    </row>
    <row r="338" spans="1:57" s="129" customFormat="1" hidden="1">
      <c r="A338" s="88" t="s">
        <v>1302</v>
      </c>
      <c r="B338" s="88" t="s">
        <v>1318</v>
      </c>
      <c r="C338" s="88" t="s">
        <v>1318</v>
      </c>
      <c r="D338" s="88" t="s">
        <v>656</v>
      </c>
      <c r="E338" s="88" t="s">
        <v>907</v>
      </c>
      <c r="F338" s="89" t="s">
        <v>936</v>
      </c>
      <c r="G338" s="92" t="s">
        <v>685</v>
      </c>
      <c r="H338" s="92"/>
      <c r="I338" s="167" t="s">
        <v>3852</v>
      </c>
      <c r="J338" s="167" t="str">
        <f>_xlfn.XLOOKUP(I338,[1]Sheet1!$A:$A,[1]Sheet1!$B:$B,"")</f>
        <v>U0901003</v>
      </c>
      <c r="K338" s="88" t="s">
        <v>944</v>
      </c>
      <c r="L338" s="88" t="s">
        <v>945</v>
      </c>
      <c r="M338" s="92"/>
      <c r="N338" s="89" t="s">
        <v>60</v>
      </c>
      <c r="O338" s="165"/>
      <c r="P338" s="89" t="s">
        <v>912</v>
      </c>
      <c r="Q338" s="92" t="s">
        <v>913</v>
      </c>
      <c r="R338" s="92">
        <v>1920</v>
      </c>
      <c r="S338" s="92" t="s">
        <v>2498</v>
      </c>
      <c r="T338" s="92">
        <v>8544700000</v>
      </c>
      <c r="U338" s="155">
        <v>0</v>
      </c>
      <c r="V338" s="207">
        <v>30</v>
      </c>
      <c r="W338" s="92">
        <v>45</v>
      </c>
      <c r="X338" s="92">
        <v>55</v>
      </c>
      <c r="Y338" s="92" t="s">
        <v>64</v>
      </c>
      <c r="Z338" s="133">
        <f t="shared" si="562"/>
        <v>2.8302808302808304</v>
      </c>
      <c r="AA338" s="133"/>
      <c r="AB338" s="161">
        <f t="shared" si="563"/>
        <v>2.180169151950869</v>
      </c>
      <c r="AC338" s="161"/>
      <c r="AD338" s="213">
        <f t="shared" si="564"/>
        <v>0.1</v>
      </c>
      <c r="AE338" s="213">
        <v>0.1</v>
      </c>
      <c r="AF338" s="215">
        <v>0.33</v>
      </c>
      <c r="AG338" s="215" t="s">
        <v>9</v>
      </c>
      <c r="AH338" s="148">
        <f t="shared" si="496"/>
        <v>2.180169151950869</v>
      </c>
      <c r="AI338" s="122">
        <f t="shared" si="565"/>
        <v>0.33000000000000018</v>
      </c>
      <c r="AJ338" s="444"/>
      <c r="AK338" s="150">
        <f t="shared" si="566"/>
        <v>1.8396825396825396</v>
      </c>
      <c r="AL338" s="153">
        <f t="shared" si="567"/>
        <v>1.6230148131189799</v>
      </c>
      <c r="AM338" s="125">
        <f t="shared" si="568"/>
        <v>0.35000000000000009</v>
      </c>
      <c r="AN338" s="125">
        <f t="shared" si="569"/>
        <v>0.25555555555555576</v>
      </c>
      <c r="AO338" s="140"/>
      <c r="AP338" s="17" t="s">
        <v>664</v>
      </c>
      <c r="AQ338" s="141"/>
      <c r="AR338" s="191"/>
      <c r="AS338" s="191"/>
      <c r="AT338" s="141"/>
      <c r="AU338" s="141">
        <v>11.59</v>
      </c>
      <c r="AV338" s="141">
        <f t="shared" si="570"/>
        <v>11.59</v>
      </c>
      <c r="AW338" s="142">
        <f t="shared" si="571"/>
        <v>1.6557142857142857</v>
      </c>
      <c r="AX338" s="126">
        <f t="shared" si="572"/>
        <v>1.460713331807082</v>
      </c>
      <c r="AY338" s="17"/>
      <c r="AZ338" s="128">
        <v>8544700000</v>
      </c>
      <c r="BB338" s="161">
        <f t="shared" si="485"/>
        <v>7.267230506502897</v>
      </c>
      <c r="BC338" s="161">
        <f t="shared" si="486"/>
        <v>4.360338303901738</v>
      </c>
      <c r="BD338" s="161">
        <f t="shared" si="487"/>
        <v>3.6336152532514485</v>
      </c>
      <c r="BE338" s="161">
        <f t="shared" si="488"/>
        <v>2.906892202601159</v>
      </c>
    </row>
    <row r="339" spans="1:57" s="129" customFormat="1" hidden="1">
      <c r="A339" s="88" t="s">
        <v>1302</v>
      </c>
      <c r="B339" s="88" t="s">
        <v>1318</v>
      </c>
      <c r="C339" s="88" t="s">
        <v>1318</v>
      </c>
      <c r="D339" s="88" t="s">
        <v>656</v>
      </c>
      <c r="E339" s="88" t="s">
        <v>907</v>
      </c>
      <c r="F339" s="89" t="s">
        <v>936</v>
      </c>
      <c r="G339" s="92" t="s">
        <v>685</v>
      </c>
      <c r="H339" s="92"/>
      <c r="I339" s="167" t="s">
        <v>946</v>
      </c>
      <c r="J339" s="167" t="str">
        <f>_xlfn.XLOOKUP(I339,[1]Sheet1!$A:$A,[1]Sheet1!$B:$B,"")</f>
        <v>U0901004</v>
      </c>
      <c r="K339" s="88" t="s">
        <v>947</v>
      </c>
      <c r="L339" s="88" t="s">
        <v>948</v>
      </c>
      <c r="M339" s="92"/>
      <c r="N339" s="89" t="s">
        <v>60</v>
      </c>
      <c r="O339" s="165"/>
      <c r="P339" s="89" t="s">
        <v>912</v>
      </c>
      <c r="Q339" s="92" t="s">
        <v>913</v>
      </c>
      <c r="R339" s="92">
        <v>1440</v>
      </c>
      <c r="S339" s="92" t="s">
        <v>2499</v>
      </c>
      <c r="T339" s="92">
        <v>8544700000</v>
      </c>
      <c r="U339" s="155">
        <v>0</v>
      </c>
      <c r="V339" s="207">
        <v>30</v>
      </c>
      <c r="W339" s="92">
        <v>45</v>
      </c>
      <c r="X339" s="92">
        <v>55</v>
      </c>
      <c r="Y339" s="92" t="s">
        <v>64</v>
      </c>
      <c r="Z339" s="133">
        <f t="shared" si="562"/>
        <v>3.2869352869352872</v>
      </c>
      <c r="AA339" s="133"/>
      <c r="AB339" s="161">
        <f t="shared" si="563"/>
        <v>2.543629152770944</v>
      </c>
      <c r="AC339" s="161"/>
      <c r="AD339" s="213">
        <f t="shared" si="564"/>
        <v>0.1</v>
      </c>
      <c r="AE339" s="213">
        <v>0.1</v>
      </c>
      <c r="AF339" s="215">
        <v>0.33</v>
      </c>
      <c r="AG339" s="215" t="s">
        <v>9</v>
      </c>
      <c r="AH339" s="148">
        <f t="shared" si="496"/>
        <v>2.543629152770944</v>
      </c>
      <c r="AI339" s="122">
        <f t="shared" si="565"/>
        <v>0.33000000000000007</v>
      </c>
      <c r="AJ339" s="444"/>
      <c r="AK339" s="150">
        <f t="shared" si="566"/>
        <v>2.1365079365079365</v>
      </c>
      <c r="AL339" s="153">
        <f t="shared" si="567"/>
        <v>1.8935905915072582</v>
      </c>
      <c r="AM339" s="125">
        <f t="shared" si="568"/>
        <v>0.35000000000000009</v>
      </c>
      <c r="AN339" s="125">
        <f t="shared" si="569"/>
        <v>0.25555555555555565</v>
      </c>
      <c r="AO339" s="140"/>
      <c r="AP339" s="17" t="s">
        <v>664</v>
      </c>
      <c r="AQ339" s="141"/>
      <c r="AR339" s="191"/>
      <c r="AS339" s="191"/>
      <c r="AT339" s="141"/>
      <c r="AU339" s="141">
        <v>13.46</v>
      </c>
      <c r="AV339" s="141">
        <f t="shared" si="570"/>
        <v>13.46</v>
      </c>
      <c r="AW339" s="142">
        <f t="shared" si="571"/>
        <v>1.922857142857143</v>
      </c>
      <c r="AX339" s="126">
        <f t="shared" si="572"/>
        <v>1.7042315323565325</v>
      </c>
      <c r="AY339" s="17"/>
      <c r="AZ339" s="128">
        <v>8544700000</v>
      </c>
      <c r="BB339" s="161">
        <f t="shared" si="485"/>
        <v>8.4787638425698137</v>
      </c>
      <c r="BC339" s="161">
        <f t="shared" si="486"/>
        <v>5.0872583055418881</v>
      </c>
      <c r="BD339" s="161">
        <f t="shared" si="487"/>
        <v>4.2393819212849069</v>
      </c>
      <c r="BE339" s="161">
        <f t="shared" si="488"/>
        <v>3.3915055370279257</v>
      </c>
    </row>
    <row r="340" spans="1:57" s="129" customFormat="1" hidden="1">
      <c r="A340" s="88" t="s">
        <v>1276</v>
      </c>
      <c r="B340" s="88" t="s">
        <v>1318</v>
      </c>
      <c r="C340" s="88" t="s">
        <v>1318</v>
      </c>
      <c r="D340" s="88" t="s">
        <v>656</v>
      </c>
      <c r="E340" s="88" t="s">
        <v>907</v>
      </c>
      <c r="F340" s="89" t="s">
        <v>936</v>
      </c>
      <c r="G340" s="92" t="s">
        <v>685</v>
      </c>
      <c r="H340" s="92"/>
      <c r="I340" s="167" t="s">
        <v>3915</v>
      </c>
      <c r="J340" s="167" t="s">
        <v>3916</v>
      </c>
      <c r="K340" s="88" t="s">
        <v>1607</v>
      </c>
      <c r="L340" s="88" t="s">
        <v>1609</v>
      </c>
      <c r="M340" s="92"/>
      <c r="N340" s="89" t="s">
        <v>60</v>
      </c>
      <c r="O340" s="165"/>
      <c r="P340" s="89" t="s">
        <v>912</v>
      </c>
      <c r="Q340" s="92" t="s">
        <v>913</v>
      </c>
      <c r="R340" s="92">
        <v>720</v>
      </c>
      <c r="S340" s="92" t="e">
        <v>#N/A</v>
      </c>
      <c r="T340" s="92">
        <v>8544700000</v>
      </c>
      <c r="U340" s="155">
        <v>0</v>
      </c>
      <c r="V340" s="207">
        <v>30</v>
      </c>
      <c r="W340" s="92">
        <v>45</v>
      </c>
      <c r="X340" s="92">
        <v>55</v>
      </c>
      <c r="Y340" s="92" t="s">
        <v>64</v>
      </c>
      <c r="Z340" s="133">
        <f t="shared" ref="Z340:Z341" si="600">AK340/(1-(AF340+2%))</f>
        <v>4.8058608058608066</v>
      </c>
      <c r="AA340" s="133"/>
      <c r="AB340" s="161">
        <f t="shared" ref="AB340:AB341" si="601">AX340/(1-AF340)</f>
        <v>3.7678480309077327</v>
      </c>
      <c r="AC340" s="161"/>
      <c r="AD340" s="213">
        <f t="shared" ref="AD340:AD341" si="602">AE340</f>
        <v>0.1</v>
      </c>
      <c r="AE340" s="213">
        <v>0.1</v>
      </c>
      <c r="AF340" s="215">
        <v>0.33</v>
      </c>
      <c r="AG340" s="215" t="s">
        <v>9</v>
      </c>
      <c r="AH340" s="148">
        <f t="shared" si="496"/>
        <v>3.7678480309077327</v>
      </c>
      <c r="AI340" s="122">
        <f t="shared" ref="AI340:AI341" si="603">1-(AX340/AH340)</f>
        <v>0.33000000000000007</v>
      </c>
      <c r="AJ340" s="444"/>
      <c r="AK340" s="150">
        <f t="shared" ref="AK340:AK341" si="604">AW340/(1-AD340)</f>
        <v>3.1238095238095238</v>
      </c>
      <c r="AL340" s="153">
        <f t="shared" ref="AL340:AL341" si="605">AX340/(1-AE340)</f>
        <v>2.8049535341202003</v>
      </c>
      <c r="AM340" s="125">
        <f t="shared" ref="AM340:AM341" si="606">1-(AK340/Z340)</f>
        <v>0.35000000000000009</v>
      </c>
      <c r="AN340" s="125">
        <f t="shared" ref="AN340:AN341" si="607">1-(AL340/AB340)</f>
        <v>0.25555555555555576</v>
      </c>
      <c r="AO340" s="140"/>
      <c r="AP340" s="17" t="s">
        <v>664</v>
      </c>
      <c r="AQ340" s="141"/>
      <c r="AR340" s="191"/>
      <c r="AS340" s="191"/>
      <c r="AT340" s="141"/>
      <c r="AU340" s="141">
        <v>19.68</v>
      </c>
      <c r="AV340" s="141">
        <f t="shared" ref="AV340:AV341" si="608">AT340+AU340</f>
        <v>19.68</v>
      </c>
      <c r="AW340" s="142">
        <f t="shared" ref="AW340:AW341" si="609">(AT340+AU340)/$F$5</f>
        <v>2.8114285714285714</v>
      </c>
      <c r="AX340" s="126">
        <f t="shared" ref="AX340:AX341" si="610">(AW340/$F$6)+(($F$9+$G$9)/40/R340)+AW340*U340</f>
        <v>2.5244581807081805</v>
      </c>
      <c r="AY340" s="17"/>
      <c r="AZ340" s="128">
        <v>8544700000</v>
      </c>
      <c r="BB340" s="168">
        <f t="shared" si="485"/>
        <v>12.559493436359109</v>
      </c>
      <c r="BC340" s="168">
        <f t="shared" si="486"/>
        <v>7.5356960618154645</v>
      </c>
      <c r="BD340" s="168">
        <f t="shared" si="487"/>
        <v>6.2797467181795543</v>
      </c>
      <c r="BE340" s="168">
        <f t="shared" si="488"/>
        <v>5.0237973745436442</v>
      </c>
    </row>
    <row r="341" spans="1:57" s="129" customFormat="1" hidden="1">
      <c r="A341" s="88" t="s">
        <v>1276</v>
      </c>
      <c r="B341" s="88" t="s">
        <v>1318</v>
      </c>
      <c r="C341" s="88" t="s">
        <v>1318</v>
      </c>
      <c r="D341" s="88" t="s">
        <v>656</v>
      </c>
      <c r="E341" s="88" t="s">
        <v>907</v>
      </c>
      <c r="F341" s="89" t="s">
        <v>936</v>
      </c>
      <c r="G341" s="92" t="s">
        <v>685</v>
      </c>
      <c r="H341" s="92"/>
      <c r="I341" s="167" t="s">
        <v>3917</v>
      </c>
      <c r="J341" s="167" t="s">
        <v>3918</v>
      </c>
      <c r="K341" s="88" t="s">
        <v>1608</v>
      </c>
      <c r="L341" s="88" t="s">
        <v>1610</v>
      </c>
      <c r="M341" s="92"/>
      <c r="N341" s="89" t="s">
        <v>60</v>
      </c>
      <c r="O341" s="165"/>
      <c r="P341" s="89" t="s">
        <v>912</v>
      </c>
      <c r="Q341" s="92" t="s">
        <v>913</v>
      </c>
      <c r="R341" s="92">
        <v>480</v>
      </c>
      <c r="S341" s="92" t="e">
        <v>#N/A</v>
      </c>
      <c r="T341" s="92">
        <v>8544700000</v>
      </c>
      <c r="U341" s="155">
        <v>0</v>
      </c>
      <c r="V341" s="207">
        <v>30</v>
      </c>
      <c r="W341" s="92">
        <v>45</v>
      </c>
      <c r="X341" s="92">
        <v>55</v>
      </c>
      <c r="Y341" s="92" t="s">
        <v>64</v>
      </c>
      <c r="Z341" s="133">
        <f t="shared" si="600"/>
        <v>6.1733821733821745</v>
      </c>
      <c r="AA341" s="133"/>
      <c r="AB341" s="161">
        <f t="shared" si="601"/>
        <v>4.8790787363548569</v>
      </c>
      <c r="AC341" s="161"/>
      <c r="AD341" s="213">
        <f t="shared" si="602"/>
        <v>0.1</v>
      </c>
      <c r="AE341" s="213">
        <v>0.1</v>
      </c>
      <c r="AF341" s="215">
        <v>0.33</v>
      </c>
      <c r="AG341" s="215" t="s">
        <v>9</v>
      </c>
      <c r="AH341" s="148">
        <f t="shared" si="496"/>
        <v>4.8790787363548569</v>
      </c>
      <c r="AI341" s="122">
        <f t="shared" si="603"/>
        <v>0.33000000000000007</v>
      </c>
      <c r="AJ341" s="444"/>
      <c r="AK341" s="150">
        <f t="shared" si="604"/>
        <v>4.0126984126984127</v>
      </c>
      <c r="AL341" s="153">
        <f t="shared" si="605"/>
        <v>3.6322030592863932</v>
      </c>
      <c r="AM341" s="125">
        <f t="shared" si="606"/>
        <v>0.35000000000000009</v>
      </c>
      <c r="AN341" s="125">
        <f t="shared" si="607"/>
        <v>0.25555555555555565</v>
      </c>
      <c r="AO341" s="140"/>
      <c r="AP341" s="17" t="s">
        <v>664</v>
      </c>
      <c r="AQ341" s="141"/>
      <c r="AR341" s="191"/>
      <c r="AS341" s="191"/>
      <c r="AT341" s="141"/>
      <c r="AU341" s="141">
        <v>25.28</v>
      </c>
      <c r="AV341" s="141">
        <f t="shared" si="608"/>
        <v>25.28</v>
      </c>
      <c r="AW341" s="142">
        <f t="shared" si="609"/>
        <v>3.6114285714285717</v>
      </c>
      <c r="AX341" s="126">
        <f t="shared" si="610"/>
        <v>3.2689827533577538</v>
      </c>
      <c r="AY341" s="17"/>
      <c r="AZ341" s="128">
        <v>8544700000</v>
      </c>
      <c r="BB341" s="168">
        <f t="shared" si="485"/>
        <v>16.263595787849525</v>
      </c>
      <c r="BC341" s="168">
        <f t="shared" si="486"/>
        <v>9.7581574727097138</v>
      </c>
      <c r="BD341" s="168">
        <f t="shared" si="487"/>
        <v>8.1317978939247624</v>
      </c>
      <c r="BE341" s="168">
        <f t="shared" si="488"/>
        <v>6.5054383151398101</v>
      </c>
    </row>
    <row r="342" spans="1:57" s="129" customFormat="1" hidden="1">
      <c r="A342" s="88" t="s">
        <v>1276</v>
      </c>
      <c r="B342" s="88" t="s">
        <v>1318</v>
      </c>
      <c r="C342" s="88" t="s">
        <v>1318</v>
      </c>
      <c r="D342" s="88" t="s">
        <v>656</v>
      </c>
      <c r="E342" s="88" t="s">
        <v>907</v>
      </c>
      <c r="F342" s="89" t="s">
        <v>936</v>
      </c>
      <c r="G342" s="92" t="s">
        <v>685</v>
      </c>
      <c r="H342" s="92"/>
      <c r="I342" s="167" t="s">
        <v>3922</v>
      </c>
      <c r="J342" s="167" t="s">
        <v>3926</v>
      </c>
      <c r="K342" s="88" t="s">
        <v>3923</v>
      </c>
      <c r="L342" s="88" t="s">
        <v>3924</v>
      </c>
      <c r="M342" s="92"/>
      <c r="N342" s="89" t="s">
        <v>60</v>
      </c>
      <c r="O342" s="165"/>
      <c r="P342" s="89" t="s">
        <v>912</v>
      </c>
      <c r="Q342" s="92" t="s">
        <v>913</v>
      </c>
      <c r="R342" s="92"/>
      <c r="S342" s="92"/>
      <c r="T342" s="92">
        <v>8544700000</v>
      </c>
      <c r="U342" s="155">
        <v>0</v>
      </c>
      <c r="V342" s="207">
        <v>30</v>
      </c>
      <c r="W342" s="92">
        <v>45</v>
      </c>
      <c r="X342" s="92">
        <v>55</v>
      </c>
      <c r="Y342" s="92" t="s">
        <v>64</v>
      </c>
      <c r="Z342" s="133"/>
      <c r="AA342" s="133"/>
      <c r="AB342" s="161"/>
      <c r="AC342" s="161"/>
      <c r="AD342" s="213">
        <f t="shared" ref="AD342" si="611">AE342</f>
        <v>0.1</v>
      </c>
      <c r="AE342" s="213">
        <v>0.1</v>
      </c>
      <c r="AF342" s="215">
        <v>0.33</v>
      </c>
      <c r="AG342" s="215" t="s">
        <v>9</v>
      </c>
      <c r="AH342" s="148"/>
      <c r="AI342" s="122"/>
      <c r="AJ342" s="444"/>
      <c r="AK342" s="150"/>
      <c r="AL342" s="153"/>
      <c r="AM342" s="125"/>
      <c r="AN342" s="125"/>
      <c r="AO342" s="140"/>
      <c r="AP342" s="17" t="s">
        <v>664</v>
      </c>
      <c r="AQ342" s="141"/>
      <c r="AR342" s="191"/>
      <c r="AS342" s="191"/>
      <c r="AT342" s="141"/>
      <c r="AU342" s="141"/>
      <c r="AV342" s="141"/>
      <c r="AW342" s="142"/>
      <c r="AX342" s="126"/>
      <c r="AY342" s="17"/>
      <c r="AZ342" s="128">
        <v>8544700000</v>
      </c>
      <c r="BB342" s="168">
        <f t="shared" ref="BB342" si="612">AB342/0.3</f>
        <v>0</v>
      </c>
      <c r="BC342" s="168">
        <f t="shared" ref="BC342" si="613">BB342*0.6</f>
        <v>0</v>
      </c>
      <c r="BD342" s="168">
        <f t="shared" ref="BD342" si="614">BB342*0.5</f>
        <v>0</v>
      </c>
      <c r="BE342" s="168">
        <f t="shared" ref="BE342" si="615">BB342*0.4</f>
        <v>0</v>
      </c>
    </row>
    <row r="343" spans="1:57" s="129" customFormat="1" hidden="1">
      <c r="A343" s="88" t="s">
        <v>1302</v>
      </c>
      <c r="B343" s="88" t="s">
        <v>1318</v>
      </c>
      <c r="C343" s="88" t="s">
        <v>1318</v>
      </c>
      <c r="D343" s="88" t="s">
        <v>656</v>
      </c>
      <c r="E343" s="88" t="s">
        <v>907</v>
      </c>
      <c r="F343" s="89" t="s">
        <v>908</v>
      </c>
      <c r="G343" s="92" t="s">
        <v>765</v>
      </c>
      <c r="H343" s="92"/>
      <c r="I343" s="167" t="s">
        <v>949</v>
      </c>
      <c r="J343" s="167" t="str">
        <f>_xlfn.XLOOKUP(I343,[1]Sheet1!$A:$A,[1]Sheet1!$B:$B,"")</f>
        <v>U0902009</v>
      </c>
      <c r="K343" s="88" t="s">
        <v>950</v>
      </c>
      <c r="L343" s="88" t="s">
        <v>951</v>
      </c>
      <c r="M343" s="92"/>
      <c r="N343" s="89" t="s">
        <v>60</v>
      </c>
      <c r="O343" s="165"/>
      <c r="P343" s="89" t="s">
        <v>912</v>
      </c>
      <c r="Q343" s="92" t="s">
        <v>913</v>
      </c>
      <c r="R343" s="92">
        <v>2160</v>
      </c>
      <c r="S343" s="92" t="e">
        <v>#N/A</v>
      </c>
      <c r="T343" s="92">
        <v>8544700000</v>
      </c>
      <c r="U343" s="155">
        <v>0</v>
      </c>
      <c r="V343" s="207">
        <v>30</v>
      </c>
      <c r="W343" s="92">
        <v>45</v>
      </c>
      <c r="X343" s="92">
        <v>55</v>
      </c>
      <c r="Y343" s="92" t="s">
        <v>64</v>
      </c>
      <c r="Z343" s="133">
        <f t="shared" si="562"/>
        <v>2.5274725274725274</v>
      </c>
      <c r="AA343" s="133"/>
      <c r="AB343" s="161">
        <f t="shared" si="563"/>
        <v>1.9466351089485421</v>
      </c>
      <c r="AC343" s="161"/>
      <c r="AD343" s="213">
        <f t="shared" si="564"/>
        <v>0.1</v>
      </c>
      <c r="AE343" s="213">
        <v>0.1</v>
      </c>
      <c r="AF343" s="215">
        <v>0.33</v>
      </c>
      <c r="AG343" s="215" t="s">
        <v>9</v>
      </c>
      <c r="AH343" s="148">
        <f t="shared" si="496"/>
        <v>1.9466351089485421</v>
      </c>
      <c r="AI343" s="122">
        <f t="shared" si="565"/>
        <v>0.33000000000000007</v>
      </c>
      <c r="AJ343" s="444"/>
      <c r="AK343" s="150">
        <f t="shared" si="566"/>
        <v>1.6428571428571426</v>
      </c>
      <c r="AL343" s="153">
        <f t="shared" si="567"/>
        <v>1.4491616922172477</v>
      </c>
      <c r="AM343" s="125">
        <f t="shared" si="568"/>
        <v>0.35000000000000009</v>
      </c>
      <c r="AN343" s="125">
        <f t="shared" si="569"/>
        <v>0.25555555555555576</v>
      </c>
      <c r="AO343" s="140"/>
      <c r="AP343" s="17" t="s">
        <v>664</v>
      </c>
      <c r="AQ343" s="141"/>
      <c r="AR343" s="191"/>
      <c r="AS343" s="191"/>
      <c r="AT343" s="141"/>
      <c r="AU343" s="141">
        <v>10.35</v>
      </c>
      <c r="AV343" s="141">
        <f t="shared" si="570"/>
        <v>10.35</v>
      </c>
      <c r="AW343" s="142">
        <f t="shared" si="571"/>
        <v>1.4785714285714284</v>
      </c>
      <c r="AX343" s="126">
        <f t="shared" si="572"/>
        <v>1.304245522995523</v>
      </c>
      <c r="AY343" s="17"/>
      <c r="AZ343" s="128">
        <v>8544700000</v>
      </c>
      <c r="BB343" s="161">
        <f t="shared" si="485"/>
        <v>6.4887836964951404</v>
      </c>
      <c r="BC343" s="161">
        <f t="shared" si="486"/>
        <v>3.8932702178970842</v>
      </c>
      <c r="BD343" s="161">
        <f t="shared" si="487"/>
        <v>3.2443918482475702</v>
      </c>
      <c r="BE343" s="161">
        <f t="shared" si="488"/>
        <v>2.5955134785980563</v>
      </c>
    </row>
    <row r="344" spans="1:57" s="129" customFormat="1" hidden="1">
      <c r="A344" s="88" t="s">
        <v>1302</v>
      </c>
      <c r="B344" s="88" t="s">
        <v>1318</v>
      </c>
      <c r="C344" s="88" t="s">
        <v>1318</v>
      </c>
      <c r="D344" s="88" t="s">
        <v>656</v>
      </c>
      <c r="E344" s="88" t="s">
        <v>907</v>
      </c>
      <c r="F344" s="89" t="s">
        <v>908</v>
      </c>
      <c r="G344" s="92" t="s">
        <v>765</v>
      </c>
      <c r="H344" s="92"/>
      <c r="I344" s="167" t="s">
        <v>952</v>
      </c>
      <c r="J344" s="167" t="str">
        <f>_xlfn.XLOOKUP(I344,[1]Sheet1!$A:$A,[1]Sheet1!$B:$B,"")</f>
        <v>U0902010</v>
      </c>
      <c r="K344" s="88" t="s">
        <v>953</v>
      </c>
      <c r="L344" s="88" t="s">
        <v>954</v>
      </c>
      <c r="M344" s="92"/>
      <c r="N344" s="89" t="s">
        <v>60</v>
      </c>
      <c r="O344" s="165"/>
      <c r="P344" s="89" t="s">
        <v>912</v>
      </c>
      <c r="Q344" s="92" t="s">
        <v>913</v>
      </c>
      <c r="R344" s="92">
        <v>1920</v>
      </c>
      <c r="S344" s="92" t="e">
        <v>#N/A</v>
      </c>
      <c r="T344" s="92">
        <v>8544700000</v>
      </c>
      <c r="U344" s="155">
        <v>0</v>
      </c>
      <c r="V344" s="207">
        <v>30</v>
      </c>
      <c r="W344" s="92">
        <v>45</v>
      </c>
      <c r="X344" s="92">
        <v>55</v>
      </c>
      <c r="Y344" s="92" t="s">
        <v>64</v>
      </c>
      <c r="Z344" s="133">
        <f t="shared" si="562"/>
        <v>2.9157509157509161</v>
      </c>
      <c r="AA344" s="133"/>
      <c r="AB344" s="161">
        <f t="shared" si="563"/>
        <v>2.243952797824067</v>
      </c>
      <c r="AC344" s="161"/>
      <c r="AD344" s="213">
        <f t="shared" si="564"/>
        <v>0.1</v>
      </c>
      <c r="AE344" s="213">
        <v>0.1</v>
      </c>
      <c r="AF344" s="215">
        <v>0.33</v>
      </c>
      <c r="AG344" s="215" t="s">
        <v>9</v>
      </c>
      <c r="AH344" s="148">
        <f t="shared" si="496"/>
        <v>2.243952797824067</v>
      </c>
      <c r="AI344" s="122">
        <f t="shared" si="565"/>
        <v>0.33000000000000007</v>
      </c>
      <c r="AJ344" s="444"/>
      <c r="AK344" s="150">
        <f t="shared" si="566"/>
        <v>1.8952380952380952</v>
      </c>
      <c r="AL344" s="153">
        <f t="shared" si="567"/>
        <v>1.6704981939356942</v>
      </c>
      <c r="AM344" s="125">
        <f t="shared" si="568"/>
        <v>0.35000000000000009</v>
      </c>
      <c r="AN344" s="125">
        <f t="shared" si="569"/>
        <v>0.25555555555555565</v>
      </c>
      <c r="AO344" s="140"/>
      <c r="AP344" s="17" t="s">
        <v>664</v>
      </c>
      <c r="AQ344" s="141"/>
      <c r="AR344" s="191"/>
      <c r="AS344" s="191"/>
      <c r="AT344" s="141"/>
      <c r="AU344" s="141">
        <v>11.94</v>
      </c>
      <c r="AV344" s="141">
        <f t="shared" si="570"/>
        <v>11.94</v>
      </c>
      <c r="AW344" s="142">
        <f t="shared" si="571"/>
        <v>1.7057142857142857</v>
      </c>
      <c r="AX344" s="126">
        <f t="shared" si="572"/>
        <v>1.5034483745421248</v>
      </c>
      <c r="AY344" s="17"/>
      <c r="AZ344" s="128">
        <v>8544700000</v>
      </c>
      <c r="BB344" s="161">
        <f t="shared" si="485"/>
        <v>7.4798426594135572</v>
      </c>
      <c r="BC344" s="161">
        <f t="shared" si="486"/>
        <v>4.487905595648134</v>
      </c>
      <c r="BD344" s="161">
        <f t="shared" si="487"/>
        <v>3.7399213297067786</v>
      </c>
      <c r="BE344" s="161">
        <f t="shared" si="488"/>
        <v>2.9919370637654232</v>
      </c>
    </row>
    <row r="345" spans="1:57" s="129" customFormat="1" hidden="1">
      <c r="A345" s="88" t="s">
        <v>1302</v>
      </c>
      <c r="B345" s="88" t="s">
        <v>1318</v>
      </c>
      <c r="C345" s="88" t="s">
        <v>1318</v>
      </c>
      <c r="D345" s="88" t="s">
        <v>656</v>
      </c>
      <c r="E345" s="88" t="s">
        <v>907</v>
      </c>
      <c r="F345" s="89" t="s">
        <v>908</v>
      </c>
      <c r="G345" s="92" t="s">
        <v>765</v>
      </c>
      <c r="H345" s="92"/>
      <c r="I345" s="167" t="s">
        <v>955</v>
      </c>
      <c r="J345" s="167" t="str">
        <f>_xlfn.XLOOKUP(I345,[1]Sheet1!$A:$A,[1]Sheet1!$B:$B,"")</f>
        <v>U0902011</v>
      </c>
      <c r="K345" s="88" t="s">
        <v>956</v>
      </c>
      <c r="L345" s="88" t="s">
        <v>957</v>
      </c>
      <c r="M345" s="92"/>
      <c r="N345" s="89" t="s">
        <v>60</v>
      </c>
      <c r="O345" s="165"/>
      <c r="P345" s="89" t="s">
        <v>912</v>
      </c>
      <c r="Q345" s="92" t="s">
        <v>913</v>
      </c>
      <c r="R345" s="92">
        <v>1920</v>
      </c>
      <c r="S345" s="92" t="e">
        <v>#N/A</v>
      </c>
      <c r="T345" s="92">
        <v>8544700000</v>
      </c>
      <c r="U345" s="155">
        <v>0</v>
      </c>
      <c r="V345" s="207">
        <v>30</v>
      </c>
      <c r="W345" s="92">
        <v>45</v>
      </c>
      <c r="X345" s="92">
        <v>55</v>
      </c>
      <c r="Y345" s="92" t="s">
        <v>64</v>
      </c>
      <c r="Z345" s="133">
        <f t="shared" si="562"/>
        <v>3.3186813186813189</v>
      </c>
      <c r="AA345" s="133"/>
      <c r="AB345" s="161">
        <f t="shared" si="563"/>
        <v>2.5446471283691436</v>
      </c>
      <c r="AC345" s="161"/>
      <c r="AD345" s="213">
        <f t="shared" si="564"/>
        <v>0.1</v>
      </c>
      <c r="AE345" s="213">
        <v>0.1</v>
      </c>
      <c r="AF345" s="215">
        <v>0.33</v>
      </c>
      <c r="AG345" s="215" t="s">
        <v>9</v>
      </c>
      <c r="AH345" s="148">
        <f t="shared" si="496"/>
        <v>2.5446471283691436</v>
      </c>
      <c r="AI345" s="122">
        <f t="shared" si="565"/>
        <v>0.33000000000000007</v>
      </c>
      <c r="AJ345" s="444"/>
      <c r="AK345" s="150">
        <f t="shared" si="566"/>
        <v>2.157142857142857</v>
      </c>
      <c r="AL345" s="153">
        <f t="shared" si="567"/>
        <v>1.894348417785918</v>
      </c>
      <c r="AM345" s="125">
        <f t="shared" si="568"/>
        <v>0.35000000000000009</v>
      </c>
      <c r="AN345" s="125">
        <f t="shared" si="569"/>
        <v>0.25555555555555554</v>
      </c>
      <c r="AO345" s="140"/>
      <c r="AP345" s="17" t="s">
        <v>664</v>
      </c>
      <c r="AQ345" s="141"/>
      <c r="AR345" s="191"/>
      <c r="AS345" s="191"/>
      <c r="AT345" s="141"/>
      <c r="AU345" s="141">
        <v>13.59</v>
      </c>
      <c r="AV345" s="141">
        <f t="shared" si="570"/>
        <v>13.59</v>
      </c>
      <c r="AW345" s="142">
        <f t="shared" si="571"/>
        <v>1.9414285714285715</v>
      </c>
      <c r="AX345" s="126">
        <f t="shared" si="572"/>
        <v>1.7049135760073262</v>
      </c>
      <c r="AY345" s="17"/>
      <c r="AZ345" s="128">
        <v>8544700000</v>
      </c>
      <c r="BB345" s="161">
        <f t="shared" si="485"/>
        <v>8.4821570945638118</v>
      </c>
      <c r="BC345" s="161">
        <f t="shared" si="486"/>
        <v>5.0892942567382873</v>
      </c>
      <c r="BD345" s="161">
        <f t="shared" si="487"/>
        <v>4.2410785472819059</v>
      </c>
      <c r="BE345" s="161">
        <f t="shared" si="488"/>
        <v>3.392862837825525</v>
      </c>
    </row>
    <row r="346" spans="1:57" s="129" customFormat="1" hidden="1">
      <c r="A346" s="88" t="s">
        <v>1302</v>
      </c>
      <c r="B346" s="88" t="s">
        <v>1318</v>
      </c>
      <c r="C346" s="88" t="s">
        <v>1318</v>
      </c>
      <c r="D346" s="88" t="s">
        <v>656</v>
      </c>
      <c r="E346" s="88" t="s">
        <v>907</v>
      </c>
      <c r="F346" s="89" t="s">
        <v>908</v>
      </c>
      <c r="G346" s="92" t="s">
        <v>765</v>
      </c>
      <c r="H346" s="92"/>
      <c r="I346" s="167" t="s">
        <v>958</v>
      </c>
      <c r="J346" s="167" t="str">
        <f>_xlfn.XLOOKUP(I346,[1]Sheet1!$A:$A,[1]Sheet1!$B:$B,"")</f>
        <v>U0902012</v>
      </c>
      <c r="K346" s="88" t="s">
        <v>959</v>
      </c>
      <c r="L346" s="88" t="s">
        <v>960</v>
      </c>
      <c r="M346" s="92"/>
      <c r="N346" s="89" t="s">
        <v>60</v>
      </c>
      <c r="O346" s="165"/>
      <c r="P346" s="89" t="s">
        <v>912</v>
      </c>
      <c r="Q346" s="92" t="s">
        <v>913</v>
      </c>
      <c r="R346" s="92">
        <v>1440</v>
      </c>
      <c r="S346" s="92" t="e">
        <v>#N/A</v>
      </c>
      <c r="T346" s="92">
        <v>8544700000</v>
      </c>
      <c r="U346" s="155">
        <v>0</v>
      </c>
      <c r="V346" s="207">
        <v>30</v>
      </c>
      <c r="W346" s="92">
        <v>45</v>
      </c>
      <c r="X346" s="92">
        <v>55</v>
      </c>
      <c r="Y346" s="92" t="s">
        <v>64</v>
      </c>
      <c r="Z346" s="133">
        <f t="shared" si="562"/>
        <v>4.1123321123321128</v>
      </c>
      <c r="AA346" s="133"/>
      <c r="AB346" s="161">
        <f t="shared" si="563"/>
        <v>3.1595969329178293</v>
      </c>
      <c r="AC346" s="161"/>
      <c r="AD346" s="213">
        <f t="shared" si="564"/>
        <v>0.1</v>
      </c>
      <c r="AE346" s="213">
        <v>0.1</v>
      </c>
      <c r="AF346" s="215">
        <v>0.33</v>
      </c>
      <c r="AG346" s="215" t="s">
        <v>9</v>
      </c>
      <c r="AH346" s="148">
        <f t="shared" si="496"/>
        <v>3.1595969329178293</v>
      </c>
      <c r="AI346" s="122">
        <f t="shared" si="565"/>
        <v>0.33000000000000007</v>
      </c>
      <c r="AJ346" s="444"/>
      <c r="AK346" s="150">
        <f t="shared" si="566"/>
        <v>2.6730158730158728</v>
      </c>
      <c r="AL346" s="153">
        <f t="shared" si="567"/>
        <v>2.3521443833943834</v>
      </c>
      <c r="AM346" s="125">
        <f t="shared" si="568"/>
        <v>0.35000000000000009</v>
      </c>
      <c r="AN346" s="125">
        <f t="shared" si="569"/>
        <v>0.25555555555555576</v>
      </c>
      <c r="AO346" s="140"/>
      <c r="AP346" s="17" t="s">
        <v>664</v>
      </c>
      <c r="AQ346" s="141"/>
      <c r="AR346" s="191"/>
      <c r="AS346" s="191"/>
      <c r="AT346" s="141"/>
      <c r="AU346" s="141">
        <v>16.84</v>
      </c>
      <c r="AV346" s="141">
        <f t="shared" si="570"/>
        <v>16.84</v>
      </c>
      <c r="AW346" s="142">
        <f t="shared" si="571"/>
        <v>2.4057142857142857</v>
      </c>
      <c r="AX346" s="126">
        <f t="shared" si="572"/>
        <v>2.1169299450549453</v>
      </c>
      <c r="AY346" s="17"/>
      <c r="AZ346" s="128">
        <v>8544700000</v>
      </c>
      <c r="BB346" s="161">
        <f t="shared" si="485"/>
        <v>10.531989776392765</v>
      </c>
      <c r="BC346" s="161">
        <f t="shared" si="486"/>
        <v>6.3191938658356586</v>
      </c>
      <c r="BD346" s="161">
        <f t="shared" si="487"/>
        <v>5.2659948881963823</v>
      </c>
      <c r="BE346" s="161">
        <f t="shared" si="488"/>
        <v>4.212795910557106</v>
      </c>
    </row>
    <row r="347" spans="1:57" s="129" customFormat="1" hidden="1">
      <c r="A347" s="88" t="s">
        <v>1276</v>
      </c>
      <c r="B347" s="88" t="s">
        <v>1318</v>
      </c>
      <c r="C347" s="88" t="s">
        <v>1318</v>
      </c>
      <c r="D347" s="88" t="s">
        <v>656</v>
      </c>
      <c r="E347" s="88" t="s">
        <v>907</v>
      </c>
      <c r="F347" s="89" t="s">
        <v>908</v>
      </c>
      <c r="G347" s="92" t="s">
        <v>765</v>
      </c>
      <c r="H347" s="92"/>
      <c r="I347" s="167" t="s">
        <v>1611</v>
      </c>
      <c r="J347" s="167" t="str">
        <f>_xlfn.XLOOKUP(I347,[1]Sheet1!$A:$A,[1]Sheet1!$B:$B,"")</f>
        <v/>
      </c>
      <c r="K347" s="88" t="s">
        <v>1613</v>
      </c>
      <c r="L347" s="88" t="s">
        <v>1615</v>
      </c>
      <c r="M347" s="92"/>
      <c r="N347" s="89" t="s">
        <v>60</v>
      </c>
      <c r="O347" s="165"/>
      <c r="P347" s="89" t="s">
        <v>912</v>
      </c>
      <c r="Q347" s="92" t="s">
        <v>913</v>
      </c>
      <c r="R347" s="92">
        <v>720</v>
      </c>
      <c r="S347" s="92" t="e">
        <v>#N/A</v>
      </c>
      <c r="T347" s="92">
        <v>8544700000</v>
      </c>
      <c r="U347" s="155">
        <v>0</v>
      </c>
      <c r="V347" s="207">
        <v>30</v>
      </c>
      <c r="W347" s="92">
        <v>45</v>
      </c>
      <c r="X347" s="92">
        <v>55</v>
      </c>
      <c r="Y347" s="92" t="s">
        <v>64</v>
      </c>
      <c r="Z347" s="133">
        <f t="shared" ref="Z347:Z348" si="616">AK347/(1-(AF347+2%))</f>
        <v>6.2222222222222232</v>
      </c>
      <c r="AA347" s="133"/>
      <c r="AB347" s="161">
        <f t="shared" ref="AB347:AB348" si="617">AX347/(1-AF347)</f>
        <v>4.8248341625207312</v>
      </c>
      <c r="AC347" s="161"/>
      <c r="AD347" s="213">
        <f t="shared" ref="AD347:AD348" si="618">AE347</f>
        <v>0.1</v>
      </c>
      <c r="AE347" s="213">
        <v>0.1</v>
      </c>
      <c r="AF347" s="215">
        <v>0.33</v>
      </c>
      <c r="AG347" s="215" t="s">
        <v>9</v>
      </c>
      <c r="AH347" s="148">
        <f t="shared" si="496"/>
        <v>4.8248341625207312</v>
      </c>
      <c r="AI347" s="122">
        <f t="shared" ref="AI347:AI348" si="619">1-(AX347/AH347)</f>
        <v>0.33000000000000007</v>
      </c>
      <c r="AJ347" s="444"/>
      <c r="AK347" s="150">
        <f t="shared" ref="AK347:AK348" si="620">AW347/(1-AD347)</f>
        <v>4.0444444444444443</v>
      </c>
      <c r="AL347" s="153">
        <f t="shared" ref="AL347:AL348" si="621">AX347/(1-AE347)</f>
        <v>3.5918209876543212</v>
      </c>
      <c r="AM347" s="125">
        <f t="shared" ref="AM347:AM348" si="622">1-(AK347/Z347)</f>
        <v>0.35000000000000009</v>
      </c>
      <c r="AN347" s="125">
        <f t="shared" ref="AN347:AN348" si="623">1-(AL347/AB347)</f>
        <v>0.25555555555555576</v>
      </c>
      <c r="AO347" s="140"/>
      <c r="AP347" s="17" t="s">
        <v>664</v>
      </c>
      <c r="AQ347" s="141"/>
      <c r="AR347" s="191"/>
      <c r="AS347" s="191"/>
      <c r="AT347" s="141"/>
      <c r="AU347" s="141">
        <v>25.48</v>
      </c>
      <c r="AV347" s="141">
        <f t="shared" ref="AV347:AV348" si="624">AT347+AU347</f>
        <v>25.48</v>
      </c>
      <c r="AW347" s="142">
        <f t="shared" ref="AW347:AW348" si="625">(AT347+AU347)/$F$5</f>
        <v>3.64</v>
      </c>
      <c r="AX347" s="126">
        <f t="shared" ref="AX347:AX348" si="626">(AW347/$F$6)+(($F$9+$G$9)/40/R347)+AW347*U347</f>
        <v>3.2326388888888893</v>
      </c>
      <c r="AY347" s="17"/>
      <c r="AZ347" s="128">
        <v>8544700000</v>
      </c>
      <c r="BB347" s="168">
        <f t="shared" si="485"/>
        <v>16.082780541735772</v>
      </c>
      <c r="BC347" s="168">
        <f t="shared" si="486"/>
        <v>9.6496683250414623</v>
      </c>
      <c r="BD347" s="168">
        <f t="shared" si="487"/>
        <v>8.0413902708678862</v>
      </c>
      <c r="BE347" s="168">
        <f t="shared" si="488"/>
        <v>6.4331122166943091</v>
      </c>
    </row>
    <row r="348" spans="1:57" s="129" customFormat="1" hidden="1">
      <c r="A348" s="88" t="s">
        <v>1276</v>
      </c>
      <c r="B348" s="88" t="s">
        <v>1318</v>
      </c>
      <c r="C348" s="88" t="s">
        <v>1318</v>
      </c>
      <c r="D348" s="88" t="s">
        <v>656</v>
      </c>
      <c r="E348" s="88" t="s">
        <v>907</v>
      </c>
      <c r="F348" s="89" t="s">
        <v>908</v>
      </c>
      <c r="G348" s="92" t="s">
        <v>765</v>
      </c>
      <c r="H348" s="92"/>
      <c r="I348" s="167" t="s">
        <v>1612</v>
      </c>
      <c r="J348" s="167" t="str">
        <f>_xlfn.XLOOKUP(I348,[1]Sheet1!$A:$A,[1]Sheet1!$B:$B,"")</f>
        <v/>
      </c>
      <c r="K348" s="88" t="s">
        <v>1614</v>
      </c>
      <c r="L348" s="88" t="s">
        <v>1616</v>
      </c>
      <c r="M348" s="92"/>
      <c r="N348" s="89" t="s">
        <v>60</v>
      </c>
      <c r="O348" s="165"/>
      <c r="P348" s="89" t="s">
        <v>912</v>
      </c>
      <c r="Q348" s="92" t="s">
        <v>913</v>
      </c>
      <c r="R348" s="92">
        <v>480</v>
      </c>
      <c r="S348" s="92" t="e">
        <v>#N/A</v>
      </c>
      <c r="T348" s="92">
        <v>8544700000</v>
      </c>
      <c r="U348" s="155">
        <v>0</v>
      </c>
      <c r="V348" s="207">
        <v>30</v>
      </c>
      <c r="W348" s="92">
        <v>45</v>
      </c>
      <c r="X348" s="92">
        <v>55</v>
      </c>
      <c r="Y348" s="92" t="s">
        <v>64</v>
      </c>
      <c r="Z348" s="133">
        <f t="shared" si="616"/>
        <v>8.2979242979242986</v>
      </c>
      <c r="AA348" s="133"/>
      <c r="AB348" s="161">
        <f t="shared" si="617"/>
        <v>6.4645579337743531</v>
      </c>
      <c r="AC348" s="161"/>
      <c r="AD348" s="213">
        <f t="shared" si="618"/>
        <v>0.1</v>
      </c>
      <c r="AE348" s="213">
        <v>0.1</v>
      </c>
      <c r="AF348" s="215">
        <v>0.33</v>
      </c>
      <c r="AG348" s="215" t="s">
        <v>9</v>
      </c>
      <c r="AH348" s="148">
        <f t="shared" si="496"/>
        <v>6.4645579337743531</v>
      </c>
      <c r="AI348" s="122">
        <f t="shared" si="619"/>
        <v>0.33000000000000007</v>
      </c>
      <c r="AJ348" s="444"/>
      <c r="AK348" s="150">
        <f t="shared" si="620"/>
        <v>5.3936507936507931</v>
      </c>
      <c r="AL348" s="153">
        <f t="shared" si="621"/>
        <v>4.8125042395875735</v>
      </c>
      <c r="AM348" s="125">
        <f t="shared" si="622"/>
        <v>0.35000000000000009</v>
      </c>
      <c r="AN348" s="125">
        <f t="shared" si="623"/>
        <v>0.25555555555555565</v>
      </c>
      <c r="AO348" s="140"/>
      <c r="AP348" s="17" t="s">
        <v>664</v>
      </c>
      <c r="AQ348" s="141"/>
      <c r="AR348" s="191"/>
      <c r="AS348" s="191"/>
      <c r="AT348" s="141"/>
      <c r="AU348" s="141">
        <v>33.979999999999997</v>
      </c>
      <c r="AV348" s="141">
        <f t="shared" si="624"/>
        <v>33.979999999999997</v>
      </c>
      <c r="AW348" s="142">
        <f t="shared" si="625"/>
        <v>4.8542857142857141</v>
      </c>
      <c r="AX348" s="126">
        <f t="shared" si="626"/>
        <v>4.3312538156288163</v>
      </c>
      <c r="AY348" s="17"/>
      <c r="AZ348" s="128">
        <v>8544700000</v>
      </c>
      <c r="BB348" s="168">
        <f t="shared" si="485"/>
        <v>21.548526445914511</v>
      </c>
      <c r="BC348" s="168">
        <f t="shared" si="486"/>
        <v>12.929115867548706</v>
      </c>
      <c r="BD348" s="168">
        <f t="shared" si="487"/>
        <v>10.774263222957256</v>
      </c>
      <c r="BE348" s="168">
        <f t="shared" si="488"/>
        <v>8.6194105783658053</v>
      </c>
    </row>
    <row r="349" spans="1:57" s="129" customFormat="1" hidden="1">
      <c r="A349" s="88" t="s">
        <v>1302</v>
      </c>
      <c r="B349" s="88" t="s">
        <v>1318</v>
      </c>
      <c r="C349" s="88" t="s">
        <v>1318</v>
      </c>
      <c r="D349" s="88" t="s">
        <v>656</v>
      </c>
      <c r="E349" s="88" t="s">
        <v>907</v>
      </c>
      <c r="F349" s="89" t="s">
        <v>923</v>
      </c>
      <c r="G349" s="92" t="s">
        <v>765</v>
      </c>
      <c r="H349" s="92"/>
      <c r="I349" s="167" t="s">
        <v>961</v>
      </c>
      <c r="J349" s="167" t="str">
        <f>_xlfn.XLOOKUP(I349,[1]Sheet1!$A:$A,[1]Sheet1!$B:$B,"")</f>
        <v>U0902005</v>
      </c>
      <c r="K349" s="88" t="s">
        <v>962</v>
      </c>
      <c r="L349" s="88" t="s">
        <v>963</v>
      </c>
      <c r="M349" s="92"/>
      <c r="N349" s="89" t="s">
        <v>60</v>
      </c>
      <c r="O349" s="165"/>
      <c r="P349" s="89" t="s">
        <v>912</v>
      </c>
      <c r="Q349" s="92" t="s">
        <v>913</v>
      </c>
      <c r="R349" s="92">
        <v>2160</v>
      </c>
      <c r="S349" s="92" t="e">
        <v>#N/A</v>
      </c>
      <c r="T349" s="92">
        <v>8544700000</v>
      </c>
      <c r="U349" s="155">
        <v>0</v>
      </c>
      <c r="V349" s="207">
        <v>30</v>
      </c>
      <c r="W349" s="92">
        <v>45</v>
      </c>
      <c r="X349" s="92">
        <v>55</v>
      </c>
      <c r="Y349" s="92" t="s">
        <v>64</v>
      </c>
      <c r="Z349" s="133">
        <f t="shared" si="562"/>
        <v>2.5274725274725274</v>
      </c>
      <c r="AA349" s="133"/>
      <c r="AB349" s="161">
        <f t="shared" si="563"/>
        <v>1.9466351089485421</v>
      </c>
      <c r="AC349" s="161"/>
      <c r="AD349" s="213">
        <f t="shared" si="564"/>
        <v>0.1</v>
      </c>
      <c r="AE349" s="213">
        <v>0.1</v>
      </c>
      <c r="AF349" s="215">
        <v>0.33</v>
      </c>
      <c r="AG349" s="215" t="s">
        <v>9</v>
      </c>
      <c r="AH349" s="148">
        <f t="shared" si="496"/>
        <v>1.9466351089485421</v>
      </c>
      <c r="AI349" s="122">
        <f t="shared" si="565"/>
        <v>0.33000000000000007</v>
      </c>
      <c r="AJ349" s="444"/>
      <c r="AK349" s="150">
        <f t="shared" si="566"/>
        <v>1.6428571428571426</v>
      </c>
      <c r="AL349" s="153">
        <f t="shared" si="567"/>
        <v>1.4491616922172477</v>
      </c>
      <c r="AM349" s="125">
        <f t="shared" si="568"/>
        <v>0.35000000000000009</v>
      </c>
      <c r="AN349" s="125">
        <f t="shared" si="569"/>
        <v>0.25555555555555576</v>
      </c>
      <c r="AO349" s="140"/>
      <c r="AP349" s="17" t="s">
        <v>664</v>
      </c>
      <c r="AQ349" s="141"/>
      <c r="AR349" s="191"/>
      <c r="AS349" s="191"/>
      <c r="AT349" s="141"/>
      <c r="AU349" s="141">
        <v>10.35</v>
      </c>
      <c r="AV349" s="141">
        <f t="shared" si="570"/>
        <v>10.35</v>
      </c>
      <c r="AW349" s="142">
        <f t="shared" si="571"/>
        <v>1.4785714285714284</v>
      </c>
      <c r="AX349" s="126">
        <f t="shared" si="572"/>
        <v>1.304245522995523</v>
      </c>
      <c r="AY349" s="17"/>
      <c r="AZ349" s="128">
        <v>8544700000</v>
      </c>
      <c r="BB349" s="161">
        <f t="shared" si="485"/>
        <v>6.4887836964951404</v>
      </c>
      <c r="BC349" s="161">
        <f t="shared" si="486"/>
        <v>3.8932702178970842</v>
      </c>
      <c r="BD349" s="161">
        <f t="shared" si="487"/>
        <v>3.2443918482475702</v>
      </c>
      <c r="BE349" s="161">
        <f t="shared" si="488"/>
        <v>2.5955134785980563</v>
      </c>
    </row>
    <row r="350" spans="1:57" s="129" customFormat="1" hidden="1">
      <c r="A350" s="88" t="s">
        <v>1302</v>
      </c>
      <c r="B350" s="88" t="s">
        <v>1318</v>
      </c>
      <c r="C350" s="88" t="s">
        <v>1318</v>
      </c>
      <c r="D350" s="88" t="s">
        <v>656</v>
      </c>
      <c r="E350" s="88" t="s">
        <v>907</v>
      </c>
      <c r="F350" s="89" t="s">
        <v>923</v>
      </c>
      <c r="G350" s="92" t="s">
        <v>765</v>
      </c>
      <c r="H350" s="92"/>
      <c r="I350" s="167" t="s">
        <v>964</v>
      </c>
      <c r="J350" s="167" t="str">
        <f>_xlfn.XLOOKUP(I350,[1]Sheet1!$A:$A,[1]Sheet1!$B:$B,"")</f>
        <v>U0902006</v>
      </c>
      <c r="K350" s="88" t="s">
        <v>965</v>
      </c>
      <c r="L350" s="88" t="s">
        <v>966</v>
      </c>
      <c r="M350" s="92"/>
      <c r="N350" s="89" t="s">
        <v>60</v>
      </c>
      <c r="O350" s="165"/>
      <c r="P350" s="89" t="s">
        <v>912</v>
      </c>
      <c r="Q350" s="92" t="s">
        <v>913</v>
      </c>
      <c r="R350" s="92">
        <v>1920</v>
      </c>
      <c r="S350" s="92" t="e">
        <v>#N/A</v>
      </c>
      <c r="T350" s="92">
        <v>8544700000</v>
      </c>
      <c r="U350" s="155">
        <v>0</v>
      </c>
      <c r="V350" s="207">
        <v>30</v>
      </c>
      <c r="W350" s="92">
        <v>45</v>
      </c>
      <c r="X350" s="92">
        <v>55</v>
      </c>
      <c r="Y350" s="92" t="s">
        <v>64</v>
      </c>
      <c r="Z350" s="133">
        <f t="shared" si="562"/>
        <v>2.9157509157509161</v>
      </c>
      <c r="AA350" s="133"/>
      <c r="AB350" s="161">
        <f t="shared" si="563"/>
        <v>2.243952797824067</v>
      </c>
      <c r="AC350" s="161"/>
      <c r="AD350" s="213">
        <f t="shared" si="564"/>
        <v>0.1</v>
      </c>
      <c r="AE350" s="213">
        <v>0.1</v>
      </c>
      <c r="AF350" s="215">
        <v>0.33</v>
      </c>
      <c r="AG350" s="215" t="s">
        <v>9</v>
      </c>
      <c r="AH350" s="148">
        <f t="shared" si="496"/>
        <v>2.243952797824067</v>
      </c>
      <c r="AI350" s="122">
        <f t="shared" si="565"/>
        <v>0.33000000000000007</v>
      </c>
      <c r="AJ350" s="444"/>
      <c r="AK350" s="150">
        <f t="shared" si="566"/>
        <v>1.8952380952380952</v>
      </c>
      <c r="AL350" s="153">
        <f t="shared" si="567"/>
        <v>1.6704981939356942</v>
      </c>
      <c r="AM350" s="125">
        <f t="shared" si="568"/>
        <v>0.35000000000000009</v>
      </c>
      <c r="AN350" s="125">
        <f t="shared" si="569"/>
        <v>0.25555555555555565</v>
      </c>
      <c r="AO350" s="140"/>
      <c r="AP350" s="17" t="s">
        <v>664</v>
      </c>
      <c r="AQ350" s="141"/>
      <c r="AR350" s="191"/>
      <c r="AS350" s="191"/>
      <c r="AT350" s="141"/>
      <c r="AU350" s="141">
        <v>11.94</v>
      </c>
      <c r="AV350" s="141">
        <f t="shared" si="570"/>
        <v>11.94</v>
      </c>
      <c r="AW350" s="142">
        <f t="shared" si="571"/>
        <v>1.7057142857142857</v>
      </c>
      <c r="AX350" s="126">
        <f t="shared" si="572"/>
        <v>1.5034483745421248</v>
      </c>
      <c r="AY350" s="17"/>
      <c r="AZ350" s="128">
        <v>8544700000</v>
      </c>
      <c r="BB350" s="161">
        <f t="shared" si="485"/>
        <v>7.4798426594135572</v>
      </c>
      <c r="BC350" s="161">
        <f t="shared" si="486"/>
        <v>4.487905595648134</v>
      </c>
      <c r="BD350" s="161">
        <f t="shared" si="487"/>
        <v>3.7399213297067786</v>
      </c>
      <c r="BE350" s="161">
        <f t="shared" si="488"/>
        <v>2.9919370637654232</v>
      </c>
    </row>
    <row r="351" spans="1:57" s="129" customFormat="1" hidden="1">
      <c r="A351" s="88" t="s">
        <v>1302</v>
      </c>
      <c r="B351" s="88" t="s">
        <v>1318</v>
      </c>
      <c r="C351" s="88" t="s">
        <v>1318</v>
      </c>
      <c r="D351" s="88" t="s">
        <v>656</v>
      </c>
      <c r="E351" s="88" t="s">
        <v>907</v>
      </c>
      <c r="F351" s="89" t="s">
        <v>923</v>
      </c>
      <c r="G351" s="92" t="s">
        <v>765</v>
      </c>
      <c r="H351" s="92"/>
      <c r="I351" s="167" t="s">
        <v>967</v>
      </c>
      <c r="J351" s="167" t="str">
        <f>_xlfn.XLOOKUP(I351,[1]Sheet1!$A:$A,[1]Sheet1!$B:$B,"")</f>
        <v>U0902007</v>
      </c>
      <c r="K351" s="88" t="s">
        <v>968</v>
      </c>
      <c r="L351" s="88" t="s">
        <v>969</v>
      </c>
      <c r="M351" s="92"/>
      <c r="N351" s="89" t="s">
        <v>60</v>
      </c>
      <c r="O351" s="165"/>
      <c r="P351" s="89" t="s">
        <v>912</v>
      </c>
      <c r="Q351" s="92" t="s">
        <v>913</v>
      </c>
      <c r="R351" s="92">
        <v>1920</v>
      </c>
      <c r="S351" s="92" t="e">
        <v>#N/A</v>
      </c>
      <c r="T351" s="92">
        <v>8544700000</v>
      </c>
      <c r="U351" s="155">
        <v>0</v>
      </c>
      <c r="V351" s="207">
        <v>30</v>
      </c>
      <c r="W351" s="92">
        <v>45</v>
      </c>
      <c r="X351" s="92">
        <v>55</v>
      </c>
      <c r="Y351" s="92" t="s">
        <v>64</v>
      </c>
      <c r="Z351" s="133">
        <f t="shared" si="562"/>
        <v>3.3186813186813189</v>
      </c>
      <c r="AA351" s="133"/>
      <c r="AB351" s="161">
        <f t="shared" si="563"/>
        <v>2.5446471283691436</v>
      </c>
      <c r="AC351" s="161"/>
      <c r="AD351" s="213">
        <f t="shared" si="564"/>
        <v>0.1</v>
      </c>
      <c r="AE351" s="213">
        <v>0.1</v>
      </c>
      <c r="AF351" s="215">
        <v>0.33</v>
      </c>
      <c r="AG351" s="215" t="s">
        <v>9</v>
      </c>
      <c r="AH351" s="148">
        <f t="shared" si="496"/>
        <v>2.5446471283691436</v>
      </c>
      <c r="AI351" s="122">
        <f t="shared" si="565"/>
        <v>0.33000000000000007</v>
      </c>
      <c r="AJ351" s="444"/>
      <c r="AK351" s="150">
        <f t="shared" si="566"/>
        <v>2.157142857142857</v>
      </c>
      <c r="AL351" s="153">
        <f t="shared" si="567"/>
        <v>1.894348417785918</v>
      </c>
      <c r="AM351" s="125">
        <f t="shared" si="568"/>
        <v>0.35000000000000009</v>
      </c>
      <c r="AN351" s="125">
        <f t="shared" si="569"/>
        <v>0.25555555555555554</v>
      </c>
      <c r="AO351" s="140"/>
      <c r="AP351" s="17" t="s">
        <v>664</v>
      </c>
      <c r="AQ351" s="141"/>
      <c r="AR351" s="191"/>
      <c r="AS351" s="191"/>
      <c r="AT351" s="141"/>
      <c r="AU351" s="141">
        <v>13.59</v>
      </c>
      <c r="AV351" s="141">
        <f t="shared" si="570"/>
        <v>13.59</v>
      </c>
      <c r="AW351" s="142">
        <f t="shared" si="571"/>
        <v>1.9414285714285715</v>
      </c>
      <c r="AX351" s="126">
        <f t="shared" si="572"/>
        <v>1.7049135760073262</v>
      </c>
      <c r="AY351" s="17"/>
      <c r="AZ351" s="128">
        <v>8544700000</v>
      </c>
      <c r="BB351" s="161">
        <f t="shared" si="485"/>
        <v>8.4821570945638118</v>
      </c>
      <c r="BC351" s="161">
        <f t="shared" si="486"/>
        <v>5.0892942567382873</v>
      </c>
      <c r="BD351" s="161">
        <f t="shared" si="487"/>
        <v>4.2410785472819059</v>
      </c>
      <c r="BE351" s="161">
        <f t="shared" si="488"/>
        <v>3.392862837825525</v>
      </c>
    </row>
    <row r="352" spans="1:57" s="129" customFormat="1" hidden="1">
      <c r="A352" s="88" t="s">
        <v>1302</v>
      </c>
      <c r="B352" s="88" t="s">
        <v>1318</v>
      </c>
      <c r="C352" s="88" t="s">
        <v>1318</v>
      </c>
      <c r="D352" s="88" t="s">
        <v>656</v>
      </c>
      <c r="E352" s="88" t="s">
        <v>907</v>
      </c>
      <c r="F352" s="89" t="s">
        <v>923</v>
      </c>
      <c r="G352" s="92" t="s">
        <v>765</v>
      </c>
      <c r="H352" s="92"/>
      <c r="I352" s="167" t="s">
        <v>970</v>
      </c>
      <c r="J352" s="167" t="str">
        <f>_xlfn.XLOOKUP(I352,[1]Sheet1!$A:$A,[1]Sheet1!$B:$B,"")</f>
        <v>U0902008</v>
      </c>
      <c r="K352" s="88" t="s">
        <v>971</v>
      </c>
      <c r="L352" s="88" t="s">
        <v>972</v>
      </c>
      <c r="M352" s="92"/>
      <c r="N352" s="89" t="s">
        <v>60</v>
      </c>
      <c r="O352" s="165"/>
      <c r="P352" s="89" t="s">
        <v>912</v>
      </c>
      <c r="Q352" s="92" t="s">
        <v>913</v>
      </c>
      <c r="R352" s="92">
        <v>1440</v>
      </c>
      <c r="S352" s="92" t="e">
        <v>#N/A</v>
      </c>
      <c r="T352" s="92">
        <v>8544700000</v>
      </c>
      <c r="U352" s="155">
        <v>0</v>
      </c>
      <c r="V352" s="207">
        <v>30</v>
      </c>
      <c r="W352" s="92">
        <v>45</v>
      </c>
      <c r="X352" s="92">
        <v>55</v>
      </c>
      <c r="Y352" s="92" t="s">
        <v>64</v>
      </c>
      <c r="Z352" s="133">
        <f t="shared" si="562"/>
        <v>4.1123321123321128</v>
      </c>
      <c r="AA352" s="133"/>
      <c r="AB352" s="161">
        <f t="shared" si="563"/>
        <v>3.1595969329178293</v>
      </c>
      <c r="AC352" s="161"/>
      <c r="AD352" s="213">
        <f t="shared" si="564"/>
        <v>0.1</v>
      </c>
      <c r="AE352" s="213">
        <v>0.1</v>
      </c>
      <c r="AF352" s="215">
        <v>0.33</v>
      </c>
      <c r="AG352" s="215" t="s">
        <v>9</v>
      </c>
      <c r="AH352" s="148">
        <f t="shared" si="496"/>
        <v>3.1595969329178293</v>
      </c>
      <c r="AI352" s="122">
        <f t="shared" si="565"/>
        <v>0.33000000000000007</v>
      </c>
      <c r="AJ352" s="444"/>
      <c r="AK352" s="150">
        <f t="shared" si="566"/>
        <v>2.6730158730158728</v>
      </c>
      <c r="AL352" s="153">
        <f t="shared" si="567"/>
        <v>2.3521443833943834</v>
      </c>
      <c r="AM352" s="125">
        <f t="shared" si="568"/>
        <v>0.35000000000000009</v>
      </c>
      <c r="AN352" s="125">
        <f t="shared" si="569"/>
        <v>0.25555555555555576</v>
      </c>
      <c r="AO352" s="140"/>
      <c r="AP352" s="17" t="s">
        <v>664</v>
      </c>
      <c r="AQ352" s="141"/>
      <c r="AR352" s="191"/>
      <c r="AS352" s="191"/>
      <c r="AT352" s="141"/>
      <c r="AU352" s="141">
        <v>16.84</v>
      </c>
      <c r="AV352" s="141">
        <f t="shared" si="570"/>
        <v>16.84</v>
      </c>
      <c r="AW352" s="142">
        <f t="shared" si="571"/>
        <v>2.4057142857142857</v>
      </c>
      <c r="AX352" s="126">
        <f t="shared" si="572"/>
        <v>2.1169299450549453</v>
      </c>
      <c r="AY352" s="17"/>
      <c r="AZ352" s="128">
        <v>8544700000</v>
      </c>
      <c r="BB352" s="161">
        <f t="shared" si="485"/>
        <v>10.531989776392765</v>
      </c>
      <c r="BC352" s="161">
        <f t="shared" si="486"/>
        <v>6.3191938658356586</v>
      </c>
      <c r="BD352" s="161">
        <f t="shared" si="487"/>
        <v>5.2659948881963823</v>
      </c>
      <c r="BE352" s="161">
        <f t="shared" si="488"/>
        <v>4.212795910557106</v>
      </c>
    </row>
    <row r="353" spans="1:57" s="129" customFormat="1" hidden="1">
      <c r="A353" s="88" t="s">
        <v>1276</v>
      </c>
      <c r="B353" s="88" t="s">
        <v>1318</v>
      </c>
      <c r="C353" s="88" t="s">
        <v>1318</v>
      </c>
      <c r="D353" s="88" t="s">
        <v>656</v>
      </c>
      <c r="E353" s="88" t="s">
        <v>907</v>
      </c>
      <c r="F353" s="89" t="s">
        <v>923</v>
      </c>
      <c r="G353" s="92" t="s">
        <v>765</v>
      </c>
      <c r="H353" s="92"/>
      <c r="I353" s="167" t="s">
        <v>3927</v>
      </c>
      <c r="J353" s="167" t="s">
        <v>3928</v>
      </c>
      <c r="K353" s="88" t="s">
        <v>1619</v>
      </c>
      <c r="L353" s="88" t="s">
        <v>1621</v>
      </c>
      <c r="M353" s="92"/>
      <c r="N353" s="89" t="s">
        <v>60</v>
      </c>
      <c r="O353" s="165"/>
      <c r="P353" s="89" t="s">
        <v>912</v>
      </c>
      <c r="Q353" s="92" t="s">
        <v>913</v>
      </c>
      <c r="R353" s="92">
        <v>720</v>
      </c>
      <c r="S353" s="92" t="e">
        <v>#N/A</v>
      </c>
      <c r="T353" s="92">
        <v>8544700000</v>
      </c>
      <c r="U353" s="155">
        <v>0</v>
      </c>
      <c r="V353" s="207">
        <v>30</v>
      </c>
      <c r="W353" s="92">
        <v>45</v>
      </c>
      <c r="X353" s="92">
        <v>55</v>
      </c>
      <c r="Y353" s="92" t="s">
        <v>64</v>
      </c>
      <c r="Z353" s="133">
        <f t="shared" ref="Z353:Z354" si="627">AK353/(1-(AF353+2%))</f>
        <v>6.2222222222222232</v>
      </c>
      <c r="AA353" s="133"/>
      <c r="AB353" s="161">
        <f t="shared" ref="AB353:AB354" si="628">AX353/(1-AF353)</f>
        <v>4.8248341625207312</v>
      </c>
      <c r="AC353" s="161"/>
      <c r="AD353" s="213">
        <f t="shared" ref="AD353:AD354" si="629">AE353</f>
        <v>0.1</v>
      </c>
      <c r="AE353" s="213">
        <v>0.1</v>
      </c>
      <c r="AF353" s="215">
        <v>0.33</v>
      </c>
      <c r="AG353" s="215" t="s">
        <v>9</v>
      </c>
      <c r="AH353" s="148">
        <f t="shared" si="496"/>
        <v>4.8248341625207312</v>
      </c>
      <c r="AI353" s="122">
        <f t="shared" ref="AI353:AI354" si="630">1-(AX353/AH353)</f>
        <v>0.33000000000000007</v>
      </c>
      <c r="AJ353" s="444"/>
      <c r="AK353" s="150">
        <f t="shared" ref="AK353:AK354" si="631">AW353/(1-AD353)</f>
        <v>4.0444444444444443</v>
      </c>
      <c r="AL353" s="153">
        <f t="shared" ref="AL353:AL354" si="632">AX353/(1-AE353)</f>
        <v>3.5918209876543212</v>
      </c>
      <c r="AM353" s="125">
        <f t="shared" ref="AM353:AM354" si="633">1-(AK353/Z353)</f>
        <v>0.35000000000000009</v>
      </c>
      <c r="AN353" s="125">
        <f t="shared" ref="AN353:AN354" si="634">1-(AL353/AB353)</f>
        <v>0.25555555555555576</v>
      </c>
      <c r="AO353" s="140"/>
      <c r="AP353" s="17" t="s">
        <v>664</v>
      </c>
      <c r="AQ353" s="141"/>
      <c r="AR353" s="191"/>
      <c r="AS353" s="191"/>
      <c r="AT353" s="141"/>
      <c r="AU353" s="141">
        <v>25.48</v>
      </c>
      <c r="AV353" s="141">
        <f t="shared" ref="AV353:AV354" si="635">AT353+AU353</f>
        <v>25.48</v>
      </c>
      <c r="AW353" s="142">
        <f t="shared" ref="AW353:AW354" si="636">(AT353+AU353)/$F$5</f>
        <v>3.64</v>
      </c>
      <c r="AX353" s="126">
        <f t="shared" ref="AX353:AX354" si="637">(AW353/$F$6)+(($F$9+$G$9)/40/R353)+AW353*U353</f>
        <v>3.2326388888888893</v>
      </c>
      <c r="AY353" s="17"/>
      <c r="AZ353" s="128">
        <v>8544700000</v>
      </c>
      <c r="BB353" s="168">
        <f t="shared" si="485"/>
        <v>16.082780541735772</v>
      </c>
      <c r="BC353" s="168">
        <f t="shared" si="486"/>
        <v>9.6496683250414623</v>
      </c>
      <c r="BD353" s="168">
        <f t="shared" si="487"/>
        <v>8.0413902708678862</v>
      </c>
      <c r="BE353" s="168">
        <f t="shared" si="488"/>
        <v>6.4331122166943091</v>
      </c>
    </row>
    <row r="354" spans="1:57" s="129" customFormat="1" hidden="1">
      <c r="A354" s="88" t="s">
        <v>1276</v>
      </c>
      <c r="B354" s="88" t="s">
        <v>1318</v>
      </c>
      <c r="C354" s="88" t="s">
        <v>1318</v>
      </c>
      <c r="D354" s="88" t="s">
        <v>656</v>
      </c>
      <c r="E354" s="88" t="s">
        <v>907</v>
      </c>
      <c r="F354" s="89" t="s">
        <v>923</v>
      </c>
      <c r="G354" s="92" t="s">
        <v>765</v>
      </c>
      <c r="H354" s="92"/>
      <c r="I354" s="167" t="s">
        <v>3929</v>
      </c>
      <c r="J354" s="167" t="s">
        <v>3930</v>
      </c>
      <c r="K354" s="88" t="s">
        <v>1620</v>
      </c>
      <c r="L354" s="88" t="s">
        <v>1622</v>
      </c>
      <c r="M354" s="92"/>
      <c r="N354" s="89" t="s">
        <v>60</v>
      </c>
      <c r="O354" s="165"/>
      <c r="P354" s="89" t="s">
        <v>912</v>
      </c>
      <c r="Q354" s="92" t="s">
        <v>913</v>
      </c>
      <c r="R354" s="92">
        <v>480</v>
      </c>
      <c r="S354" s="92" t="e">
        <v>#N/A</v>
      </c>
      <c r="T354" s="92">
        <v>8544700000</v>
      </c>
      <c r="U354" s="155">
        <v>0</v>
      </c>
      <c r="V354" s="207">
        <v>30</v>
      </c>
      <c r="W354" s="92">
        <v>45</v>
      </c>
      <c r="X354" s="92">
        <v>55</v>
      </c>
      <c r="Y354" s="92" t="s">
        <v>64</v>
      </c>
      <c r="Z354" s="133">
        <f t="shared" si="627"/>
        <v>8.2979242979242986</v>
      </c>
      <c r="AA354" s="133"/>
      <c r="AB354" s="161">
        <f t="shared" si="628"/>
        <v>6.4645579337743531</v>
      </c>
      <c r="AC354" s="161"/>
      <c r="AD354" s="213">
        <f t="shared" si="629"/>
        <v>0.1</v>
      </c>
      <c r="AE354" s="213">
        <v>0.1</v>
      </c>
      <c r="AF354" s="215">
        <v>0.33</v>
      </c>
      <c r="AG354" s="215" t="s">
        <v>9</v>
      </c>
      <c r="AH354" s="148">
        <f t="shared" si="496"/>
        <v>6.4645579337743531</v>
      </c>
      <c r="AI354" s="122">
        <f t="shared" si="630"/>
        <v>0.33000000000000007</v>
      </c>
      <c r="AJ354" s="444"/>
      <c r="AK354" s="150">
        <f t="shared" si="631"/>
        <v>5.3936507936507931</v>
      </c>
      <c r="AL354" s="153">
        <f t="shared" si="632"/>
        <v>4.8125042395875735</v>
      </c>
      <c r="AM354" s="125">
        <f t="shared" si="633"/>
        <v>0.35000000000000009</v>
      </c>
      <c r="AN354" s="125">
        <f t="shared" si="634"/>
        <v>0.25555555555555565</v>
      </c>
      <c r="AO354" s="140"/>
      <c r="AP354" s="17" t="s">
        <v>664</v>
      </c>
      <c r="AQ354" s="141"/>
      <c r="AR354" s="191"/>
      <c r="AS354" s="191"/>
      <c r="AT354" s="141"/>
      <c r="AU354" s="141">
        <v>33.979999999999997</v>
      </c>
      <c r="AV354" s="141">
        <f t="shared" si="635"/>
        <v>33.979999999999997</v>
      </c>
      <c r="AW354" s="142">
        <f t="shared" si="636"/>
        <v>4.8542857142857141</v>
      </c>
      <c r="AX354" s="126">
        <f t="shared" si="637"/>
        <v>4.3312538156288163</v>
      </c>
      <c r="AY354" s="17"/>
      <c r="AZ354" s="128">
        <v>8544700000</v>
      </c>
      <c r="BB354" s="168">
        <f t="shared" si="485"/>
        <v>21.548526445914511</v>
      </c>
      <c r="BC354" s="168">
        <f t="shared" si="486"/>
        <v>12.929115867548706</v>
      </c>
      <c r="BD354" s="168">
        <f t="shared" si="487"/>
        <v>10.774263222957256</v>
      </c>
      <c r="BE354" s="168">
        <f t="shared" si="488"/>
        <v>8.6194105783658053</v>
      </c>
    </row>
    <row r="355" spans="1:57" s="129" customFormat="1" hidden="1">
      <c r="A355" s="88" t="s">
        <v>1276</v>
      </c>
      <c r="B355" s="88" t="s">
        <v>1318</v>
      </c>
      <c r="C355" s="88" t="s">
        <v>1318</v>
      </c>
      <c r="D355" s="88" t="s">
        <v>656</v>
      </c>
      <c r="E355" s="88" t="s">
        <v>907</v>
      </c>
      <c r="F355" s="89" t="s">
        <v>923</v>
      </c>
      <c r="G355" s="92" t="s">
        <v>765</v>
      </c>
      <c r="H355" s="92"/>
      <c r="I355" s="167" t="s">
        <v>3935</v>
      </c>
      <c r="J355" s="167" t="s">
        <v>3941</v>
      </c>
      <c r="K355" s="88" t="s">
        <v>3936</v>
      </c>
      <c r="L355" s="88" t="s">
        <v>3937</v>
      </c>
      <c r="M355" s="92"/>
      <c r="N355" s="89" t="s">
        <v>60</v>
      </c>
      <c r="O355" s="165"/>
      <c r="P355" s="89" t="s">
        <v>912</v>
      </c>
      <c r="Q355" s="92" t="s">
        <v>913</v>
      </c>
      <c r="R355" s="92"/>
      <c r="S355" s="92"/>
      <c r="T355" s="92">
        <v>8544700000</v>
      </c>
      <c r="U355" s="155">
        <v>0</v>
      </c>
      <c r="V355" s="207">
        <v>30</v>
      </c>
      <c r="W355" s="92">
        <v>45</v>
      </c>
      <c r="X355" s="92">
        <v>55</v>
      </c>
      <c r="Y355" s="92" t="s">
        <v>64</v>
      </c>
      <c r="Z355" s="133"/>
      <c r="AA355" s="133"/>
      <c r="AB355" s="161"/>
      <c r="AC355" s="161"/>
      <c r="AD355" s="213">
        <f t="shared" ref="AD355" si="638">AE355</f>
        <v>0.1</v>
      </c>
      <c r="AE355" s="213">
        <v>0.1</v>
      </c>
      <c r="AF355" s="215">
        <v>0.33</v>
      </c>
      <c r="AG355" s="215" t="s">
        <v>9</v>
      </c>
      <c r="AH355" s="148"/>
      <c r="AI355" s="122"/>
      <c r="AJ355" s="444"/>
      <c r="AK355" s="150"/>
      <c r="AL355" s="153"/>
      <c r="AM355" s="125"/>
      <c r="AN355" s="125"/>
      <c r="AO355" s="140"/>
      <c r="AP355" s="17" t="s">
        <v>664</v>
      </c>
      <c r="AQ355" s="141"/>
      <c r="AR355" s="191"/>
      <c r="AS355" s="191"/>
      <c r="AT355" s="141"/>
      <c r="AU355" s="141"/>
      <c r="AV355" s="141"/>
      <c r="AW355" s="142"/>
      <c r="AX355" s="126"/>
      <c r="AY355" s="17"/>
      <c r="AZ355" s="128">
        <v>8544700000</v>
      </c>
      <c r="BB355" s="168"/>
      <c r="BC355" s="168">
        <f t="shared" ref="BC355" si="639">BB355*0.6</f>
        <v>0</v>
      </c>
      <c r="BD355" s="168"/>
      <c r="BE355" s="168"/>
    </row>
    <row r="356" spans="1:57" s="129" customFormat="1" hidden="1">
      <c r="A356" s="88" t="s">
        <v>1302</v>
      </c>
      <c r="B356" s="88" t="s">
        <v>1318</v>
      </c>
      <c r="C356" s="88" t="s">
        <v>1318</v>
      </c>
      <c r="D356" s="88" t="s">
        <v>656</v>
      </c>
      <c r="E356" s="88" t="s">
        <v>907</v>
      </c>
      <c r="F356" s="89" t="s">
        <v>936</v>
      </c>
      <c r="G356" s="92" t="s">
        <v>765</v>
      </c>
      <c r="H356" s="92"/>
      <c r="I356" s="167" t="s">
        <v>973</v>
      </c>
      <c r="J356" s="167" t="str">
        <f>_xlfn.XLOOKUP(I356,[1]Sheet1!$A:$A,[1]Sheet1!$B:$B,"")</f>
        <v>U0902001</v>
      </c>
      <c r="K356" s="88" t="s">
        <v>1699</v>
      </c>
      <c r="L356" s="88" t="s">
        <v>974</v>
      </c>
      <c r="M356" s="92"/>
      <c r="N356" s="89" t="s">
        <v>60</v>
      </c>
      <c r="O356" s="165"/>
      <c r="P356" s="89" t="s">
        <v>912</v>
      </c>
      <c r="Q356" s="92" t="s">
        <v>913</v>
      </c>
      <c r="R356" s="92">
        <v>2160</v>
      </c>
      <c r="S356" s="92" t="s">
        <v>2500</v>
      </c>
      <c r="T356" s="92">
        <v>8544700000</v>
      </c>
      <c r="U356" s="155">
        <v>0</v>
      </c>
      <c r="V356" s="207">
        <v>30</v>
      </c>
      <c r="W356" s="92">
        <v>45</v>
      </c>
      <c r="X356" s="92">
        <v>55</v>
      </c>
      <c r="Y356" s="92" t="s">
        <v>64</v>
      </c>
      <c r="Z356" s="133">
        <f t="shared" si="562"/>
        <v>2.5274725274725274</v>
      </c>
      <c r="AA356" s="133"/>
      <c r="AB356" s="161">
        <f t="shared" si="563"/>
        <v>1.9466351089485421</v>
      </c>
      <c r="AC356" s="161"/>
      <c r="AD356" s="213">
        <f t="shared" si="564"/>
        <v>0.1</v>
      </c>
      <c r="AE356" s="213">
        <v>0.1</v>
      </c>
      <c r="AF356" s="215">
        <v>0.33</v>
      </c>
      <c r="AG356" s="215" t="s">
        <v>9</v>
      </c>
      <c r="AH356" s="148">
        <f t="shared" si="496"/>
        <v>1.9466351089485421</v>
      </c>
      <c r="AI356" s="122">
        <f t="shared" si="565"/>
        <v>0.33000000000000007</v>
      </c>
      <c r="AJ356" s="444"/>
      <c r="AK356" s="150">
        <f t="shared" si="566"/>
        <v>1.6428571428571426</v>
      </c>
      <c r="AL356" s="153">
        <f t="shared" si="567"/>
        <v>1.4491616922172477</v>
      </c>
      <c r="AM356" s="125">
        <f t="shared" si="568"/>
        <v>0.35000000000000009</v>
      </c>
      <c r="AN356" s="125">
        <f t="shared" si="569"/>
        <v>0.25555555555555576</v>
      </c>
      <c r="AO356" s="140"/>
      <c r="AP356" s="17" t="s">
        <v>664</v>
      </c>
      <c r="AQ356" s="141"/>
      <c r="AR356" s="191"/>
      <c r="AS356" s="191"/>
      <c r="AT356" s="141"/>
      <c r="AU356" s="141">
        <v>10.35</v>
      </c>
      <c r="AV356" s="141">
        <f t="shared" si="570"/>
        <v>10.35</v>
      </c>
      <c r="AW356" s="142">
        <f t="shared" si="571"/>
        <v>1.4785714285714284</v>
      </c>
      <c r="AX356" s="126">
        <f t="shared" si="572"/>
        <v>1.304245522995523</v>
      </c>
      <c r="AY356" s="17"/>
      <c r="AZ356" s="128">
        <v>8544700000</v>
      </c>
      <c r="BB356" s="161">
        <f t="shared" si="485"/>
        <v>6.4887836964951404</v>
      </c>
      <c r="BC356" s="161">
        <f t="shared" si="486"/>
        <v>3.8932702178970842</v>
      </c>
      <c r="BD356" s="161">
        <f t="shared" si="487"/>
        <v>3.2443918482475702</v>
      </c>
      <c r="BE356" s="161">
        <f t="shared" si="488"/>
        <v>2.5955134785980563</v>
      </c>
    </row>
    <row r="357" spans="1:57" s="129" customFormat="1" hidden="1">
      <c r="A357" s="88" t="s">
        <v>1302</v>
      </c>
      <c r="B357" s="88" t="s">
        <v>1318</v>
      </c>
      <c r="C357" s="88" t="s">
        <v>1318</v>
      </c>
      <c r="D357" s="88" t="s">
        <v>656</v>
      </c>
      <c r="E357" s="88" t="s">
        <v>907</v>
      </c>
      <c r="F357" s="89" t="s">
        <v>936</v>
      </c>
      <c r="G357" s="92" t="s">
        <v>765</v>
      </c>
      <c r="H357" s="92"/>
      <c r="I357" s="167" t="s">
        <v>975</v>
      </c>
      <c r="J357" s="167" t="str">
        <f>_xlfn.XLOOKUP(I357,[1]Sheet1!$A:$A,[1]Sheet1!$B:$B,"")</f>
        <v>U0902002</v>
      </c>
      <c r="K357" s="88" t="s">
        <v>976</v>
      </c>
      <c r="L357" s="88" t="s">
        <v>977</v>
      </c>
      <c r="M357" s="92"/>
      <c r="N357" s="89" t="s">
        <v>60</v>
      </c>
      <c r="O357" s="165"/>
      <c r="P357" s="89" t="s">
        <v>912</v>
      </c>
      <c r="Q357" s="92" t="s">
        <v>913</v>
      </c>
      <c r="R357" s="92">
        <v>1920</v>
      </c>
      <c r="S357" s="92" t="s">
        <v>2501</v>
      </c>
      <c r="T357" s="92">
        <v>8544700000</v>
      </c>
      <c r="U357" s="155">
        <v>0</v>
      </c>
      <c r="V357" s="207">
        <v>30</v>
      </c>
      <c r="W357" s="92">
        <v>45</v>
      </c>
      <c r="X357" s="92">
        <v>55</v>
      </c>
      <c r="Y357" s="92" t="s">
        <v>64</v>
      </c>
      <c r="Z357" s="133">
        <f t="shared" si="562"/>
        <v>2.9157509157509161</v>
      </c>
      <c r="AA357" s="133"/>
      <c r="AB357" s="161">
        <f t="shared" si="563"/>
        <v>2.243952797824067</v>
      </c>
      <c r="AC357" s="161"/>
      <c r="AD357" s="213">
        <f t="shared" si="564"/>
        <v>0.1</v>
      </c>
      <c r="AE357" s="213">
        <v>0.1</v>
      </c>
      <c r="AF357" s="215">
        <v>0.33</v>
      </c>
      <c r="AG357" s="215" t="s">
        <v>9</v>
      </c>
      <c r="AH357" s="148">
        <f t="shared" si="496"/>
        <v>2.243952797824067</v>
      </c>
      <c r="AI357" s="122">
        <f t="shared" si="565"/>
        <v>0.33000000000000007</v>
      </c>
      <c r="AJ357" s="444"/>
      <c r="AK357" s="150">
        <f t="shared" si="566"/>
        <v>1.8952380952380952</v>
      </c>
      <c r="AL357" s="153">
        <f t="shared" si="567"/>
        <v>1.6704981939356942</v>
      </c>
      <c r="AM357" s="125">
        <f t="shared" si="568"/>
        <v>0.35000000000000009</v>
      </c>
      <c r="AN357" s="125">
        <f t="shared" si="569"/>
        <v>0.25555555555555565</v>
      </c>
      <c r="AO357" s="140"/>
      <c r="AP357" s="17" t="s">
        <v>664</v>
      </c>
      <c r="AQ357" s="141"/>
      <c r="AR357" s="191"/>
      <c r="AS357" s="191"/>
      <c r="AT357" s="141"/>
      <c r="AU357" s="141">
        <v>11.94</v>
      </c>
      <c r="AV357" s="141">
        <f t="shared" si="570"/>
        <v>11.94</v>
      </c>
      <c r="AW357" s="142">
        <f t="shared" si="571"/>
        <v>1.7057142857142857</v>
      </c>
      <c r="AX357" s="126">
        <f t="shared" si="572"/>
        <v>1.5034483745421248</v>
      </c>
      <c r="AY357" s="17"/>
      <c r="AZ357" s="128">
        <v>8544700000</v>
      </c>
      <c r="BB357" s="161">
        <f t="shared" si="485"/>
        <v>7.4798426594135572</v>
      </c>
      <c r="BC357" s="161">
        <f t="shared" si="486"/>
        <v>4.487905595648134</v>
      </c>
      <c r="BD357" s="161">
        <f t="shared" si="487"/>
        <v>3.7399213297067786</v>
      </c>
      <c r="BE357" s="161">
        <f t="shared" si="488"/>
        <v>2.9919370637654232</v>
      </c>
    </row>
    <row r="358" spans="1:57" s="129" customFormat="1" hidden="1">
      <c r="A358" s="88" t="s">
        <v>1302</v>
      </c>
      <c r="B358" s="88" t="s">
        <v>1318</v>
      </c>
      <c r="C358" s="88" t="s">
        <v>1318</v>
      </c>
      <c r="D358" s="88" t="s">
        <v>656</v>
      </c>
      <c r="E358" s="88" t="s">
        <v>907</v>
      </c>
      <c r="F358" s="89" t="s">
        <v>936</v>
      </c>
      <c r="G358" s="92" t="s">
        <v>765</v>
      </c>
      <c r="H358" s="92"/>
      <c r="I358" s="167" t="s">
        <v>978</v>
      </c>
      <c r="J358" s="167" t="str">
        <f>_xlfn.XLOOKUP(I358,[1]Sheet1!$A:$A,[1]Sheet1!$B:$B,"")</f>
        <v>U0902003</v>
      </c>
      <c r="K358" s="88" t="s">
        <v>979</v>
      </c>
      <c r="L358" s="88" t="s">
        <v>980</v>
      </c>
      <c r="M358" s="92"/>
      <c r="N358" s="89" t="s">
        <v>60</v>
      </c>
      <c r="O358" s="165"/>
      <c r="P358" s="89" t="s">
        <v>912</v>
      </c>
      <c r="Q358" s="92" t="s">
        <v>913</v>
      </c>
      <c r="R358" s="92">
        <v>1920</v>
      </c>
      <c r="S358" s="92" t="s">
        <v>2502</v>
      </c>
      <c r="T358" s="92">
        <v>8544700000</v>
      </c>
      <c r="U358" s="155">
        <v>0</v>
      </c>
      <c r="V358" s="207">
        <v>30</v>
      </c>
      <c r="W358" s="92">
        <v>45</v>
      </c>
      <c r="X358" s="92">
        <v>55</v>
      </c>
      <c r="Y358" s="92" t="s">
        <v>64</v>
      </c>
      <c r="Z358" s="133">
        <f t="shared" si="562"/>
        <v>3.3186813186813189</v>
      </c>
      <c r="AA358" s="133"/>
      <c r="AB358" s="161">
        <f t="shared" si="563"/>
        <v>2.5446471283691436</v>
      </c>
      <c r="AC358" s="161"/>
      <c r="AD358" s="213">
        <f t="shared" si="564"/>
        <v>0.1</v>
      </c>
      <c r="AE358" s="213">
        <v>0.1</v>
      </c>
      <c r="AF358" s="215">
        <v>0.33</v>
      </c>
      <c r="AG358" s="215" t="s">
        <v>9</v>
      </c>
      <c r="AH358" s="148">
        <f t="shared" si="496"/>
        <v>2.5446471283691436</v>
      </c>
      <c r="AI358" s="122">
        <f t="shared" si="565"/>
        <v>0.33000000000000007</v>
      </c>
      <c r="AJ358" s="444"/>
      <c r="AK358" s="150">
        <f t="shared" si="566"/>
        <v>2.157142857142857</v>
      </c>
      <c r="AL358" s="153">
        <f t="shared" si="567"/>
        <v>1.894348417785918</v>
      </c>
      <c r="AM358" s="125">
        <f t="shared" si="568"/>
        <v>0.35000000000000009</v>
      </c>
      <c r="AN358" s="125">
        <f t="shared" si="569"/>
        <v>0.25555555555555554</v>
      </c>
      <c r="AO358" s="140"/>
      <c r="AP358" s="17" t="s">
        <v>664</v>
      </c>
      <c r="AQ358" s="141"/>
      <c r="AR358" s="191"/>
      <c r="AS358" s="191"/>
      <c r="AT358" s="141"/>
      <c r="AU358" s="141">
        <v>13.59</v>
      </c>
      <c r="AV358" s="141">
        <f t="shared" si="570"/>
        <v>13.59</v>
      </c>
      <c r="AW358" s="142">
        <f t="shared" si="571"/>
        <v>1.9414285714285715</v>
      </c>
      <c r="AX358" s="126">
        <f t="shared" si="572"/>
        <v>1.7049135760073262</v>
      </c>
      <c r="AY358" s="17"/>
      <c r="AZ358" s="128">
        <v>8544700000</v>
      </c>
      <c r="BB358" s="161">
        <f t="shared" si="485"/>
        <v>8.4821570945638118</v>
      </c>
      <c r="BC358" s="161">
        <f t="shared" si="486"/>
        <v>5.0892942567382873</v>
      </c>
      <c r="BD358" s="161">
        <f t="shared" si="487"/>
        <v>4.2410785472819059</v>
      </c>
      <c r="BE358" s="161">
        <f t="shared" si="488"/>
        <v>3.392862837825525</v>
      </c>
    </row>
    <row r="359" spans="1:57" s="129" customFormat="1" hidden="1">
      <c r="A359" s="88" t="s">
        <v>1302</v>
      </c>
      <c r="B359" s="88" t="s">
        <v>1318</v>
      </c>
      <c r="C359" s="88" t="s">
        <v>1318</v>
      </c>
      <c r="D359" s="88" t="s">
        <v>656</v>
      </c>
      <c r="E359" s="88" t="s">
        <v>907</v>
      </c>
      <c r="F359" s="89" t="s">
        <v>936</v>
      </c>
      <c r="G359" s="92" t="s">
        <v>765</v>
      </c>
      <c r="H359" s="92"/>
      <c r="I359" s="167" t="s">
        <v>981</v>
      </c>
      <c r="J359" s="167" t="str">
        <f>_xlfn.XLOOKUP(I359,[1]Sheet1!$A:$A,[1]Sheet1!$B:$B,"")</f>
        <v>U0902004</v>
      </c>
      <c r="K359" s="88" t="s">
        <v>982</v>
      </c>
      <c r="L359" s="88" t="s">
        <v>983</v>
      </c>
      <c r="M359" s="92"/>
      <c r="N359" s="89" t="s">
        <v>60</v>
      </c>
      <c r="O359" s="165"/>
      <c r="P359" s="89" t="s">
        <v>912</v>
      </c>
      <c r="Q359" s="92" t="s">
        <v>913</v>
      </c>
      <c r="R359" s="92">
        <v>1440</v>
      </c>
      <c r="S359" s="92" t="s">
        <v>2503</v>
      </c>
      <c r="T359" s="92">
        <v>8544700000</v>
      </c>
      <c r="U359" s="155">
        <v>0</v>
      </c>
      <c r="V359" s="207">
        <v>30</v>
      </c>
      <c r="W359" s="92">
        <v>45</v>
      </c>
      <c r="X359" s="92">
        <v>55</v>
      </c>
      <c r="Y359" s="92" t="s">
        <v>64</v>
      </c>
      <c r="Z359" s="133">
        <f t="shared" si="562"/>
        <v>4.1123321123321128</v>
      </c>
      <c r="AA359" s="133"/>
      <c r="AB359" s="161">
        <f t="shared" si="563"/>
        <v>3.1595969329178293</v>
      </c>
      <c r="AC359" s="161"/>
      <c r="AD359" s="213">
        <f t="shared" si="564"/>
        <v>0.1</v>
      </c>
      <c r="AE359" s="213">
        <v>0.1</v>
      </c>
      <c r="AF359" s="215">
        <v>0.33</v>
      </c>
      <c r="AG359" s="215" t="s">
        <v>9</v>
      </c>
      <c r="AH359" s="148">
        <f t="shared" si="496"/>
        <v>3.1595969329178293</v>
      </c>
      <c r="AI359" s="122">
        <f t="shared" si="565"/>
        <v>0.33000000000000007</v>
      </c>
      <c r="AJ359" s="444"/>
      <c r="AK359" s="150">
        <f t="shared" si="566"/>
        <v>2.6730158730158728</v>
      </c>
      <c r="AL359" s="153">
        <f t="shared" si="567"/>
        <v>2.3521443833943834</v>
      </c>
      <c r="AM359" s="125">
        <f t="shared" si="568"/>
        <v>0.35000000000000009</v>
      </c>
      <c r="AN359" s="125">
        <f t="shared" ref="AN359:AN511" si="640">1-(AL359/AB359)</f>
        <v>0.25555555555555576</v>
      </c>
      <c r="AO359" s="140"/>
      <c r="AP359" s="17" t="s">
        <v>664</v>
      </c>
      <c r="AQ359" s="141"/>
      <c r="AR359" s="191"/>
      <c r="AS359" s="191"/>
      <c r="AT359" s="141"/>
      <c r="AU359" s="141">
        <v>16.84</v>
      </c>
      <c r="AV359" s="141">
        <f t="shared" si="570"/>
        <v>16.84</v>
      </c>
      <c r="AW359" s="142">
        <f t="shared" si="571"/>
        <v>2.4057142857142857</v>
      </c>
      <c r="AX359" s="126">
        <f t="shared" si="572"/>
        <v>2.1169299450549453</v>
      </c>
      <c r="AY359" s="17"/>
      <c r="AZ359" s="128">
        <v>8544700000</v>
      </c>
      <c r="BB359" s="161">
        <f t="shared" si="485"/>
        <v>10.531989776392765</v>
      </c>
      <c r="BC359" s="161">
        <f t="shared" si="486"/>
        <v>6.3191938658356586</v>
      </c>
      <c r="BD359" s="161">
        <f t="shared" si="487"/>
        <v>5.2659948881963823</v>
      </c>
      <c r="BE359" s="161">
        <f t="shared" si="488"/>
        <v>4.212795910557106</v>
      </c>
    </row>
    <row r="360" spans="1:57" s="129" customFormat="1" hidden="1">
      <c r="A360" s="88" t="s">
        <v>1276</v>
      </c>
      <c r="B360" s="88" t="s">
        <v>1318</v>
      </c>
      <c r="C360" s="88" t="s">
        <v>1318</v>
      </c>
      <c r="D360" s="88" t="s">
        <v>656</v>
      </c>
      <c r="E360" s="88" t="s">
        <v>907</v>
      </c>
      <c r="F360" s="89" t="s">
        <v>936</v>
      </c>
      <c r="G360" s="92" t="s">
        <v>765</v>
      </c>
      <c r="H360" s="92"/>
      <c r="I360" s="167" t="s">
        <v>3931</v>
      </c>
      <c r="J360" s="167" t="s">
        <v>3932</v>
      </c>
      <c r="K360" s="88" t="s">
        <v>1475</v>
      </c>
      <c r="L360" s="88" t="s">
        <v>1476</v>
      </c>
      <c r="M360" s="92"/>
      <c r="N360" s="89" t="s">
        <v>60</v>
      </c>
      <c r="O360" s="165"/>
      <c r="P360" s="89" t="s">
        <v>912</v>
      </c>
      <c r="Q360" s="92" t="s">
        <v>913</v>
      </c>
      <c r="R360" s="92">
        <v>720</v>
      </c>
      <c r="S360" s="92" t="e">
        <v>#N/A</v>
      </c>
      <c r="T360" s="92">
        <v>8544700000</v>
      </c>
      <c r="U360" s="155">
        <v>0</v>
      </c>
      <c r="V360" s="207">
        <v>30</v>
      </c>
      <c r="W360" s="92">
        <v>45</v>
      </c>
      <c r="X360" s="92">
        <v>55</v>
      </c>
      <c r="Y360" s="92" t="s">
        <v>64</v>
      </c>
      <c r="Z360" s="133">
        <f t="shared" ref="Z360" si="641">AK360/(1-(AF360+2%))</f>
        <v>6.2222222222222232</v>
      </c>
      <c r="AA360" s="133"/>
      <c r="AB360" s="161">
        <f t="shared" ref="AB360" si="642">AX360/(1-AF360)</f>
        <v>4.8248341625207312</v>
      </c>
      <c r="AC360" s="161"/>
      <c r="AD360" s="213">
        <f t="shared" ref="AD360" si="643">AE360</f>
        <v>0.1</v>
      </c>
      <c r="AE360" s="213">
        <v>0.1</v>
      </c>
      <c r="AF360" s="215">
        <v>0.33</v>
      </c>
      <c r="AG360" s="215" t="s">
        <v>9</v>
      </c>
      <c r="AH360" s="148">
        <f t="shared" si="496"/>
        <v>4.8248341625207312</v>
      </c>
      <c r="AI360" s="122">
        <f t="shared" ref="AI360" si="644">1-(AX360/AH360)</f>
        <v>0.33000000000000007</v>
      </c>
      <c r="AJ360" s="444"/>
      <c r="AK360" s="150">
        <f t="shared" ref="AK360" si="645">AW360/(1-AD360)</f>
        <v>4.0444444444444443</v>
      </c>
      <c r="AL360" s="153">
        <f t="shared" ref="AL360" si="646">AX360/(1-AE360)</f>
        <v>3.5918209876543212</v>
      </c>
      <c r="AM360" s="125">
        <f t="shared" ref="AM360" si="647">1-(AK360/Z360)</f>
        <v>0.35000000000000009</v>
      </c>
      <c r="AN360" s="125">
        <f t="shared" ref="AN360" si="648">1-(AL360/AB360)</f>
        <v>0.25555555555555576</v>
      </c>
      <c r="AO360" s="140"/>
      <c r="AP360" s="17" t="s">
        <v>664</v>
      </c>
      <c r="AQ360" s="141"/>
      <c r="AR360" s="191"/>
      <c r="AS360" s="191"/>
      <c r="AT360" s="141"/>
      <c r="AU360" s="141">
        <v>25.48</v>
      </c>
      <c r="AV360" s="141">
        <f t="shared" ref="AV360" si="649">AT360+AU360</f>
        <v>25.48</v>
      </c>
      <c r="AW360" s="142">
        <f t="shared" ref="AW360" si="650">(AT360+AU360)/$F$5</f>
        <v>3.64</v>
      </c>
      <c r="AX360" s="126">
        <f t="shared" ref="AX360" si="651">(AW360/$F$6)+(($F$9+$G$9)/40/R360)+AW360*U360</f>
        <v>3.2326388888888893</v>
      </c>
      <c r="AY360" s="17"/>
      <c r="AZ360" s="128">
        <v>8544700000</v>
      </c>
      <c r="BB360" s="168">
        <f t="shared" si="485"/>
        <v>16.082780541735772</v>
      </c>
      <c r="BC360" s="168">
        <f t="shared" si="486"/>
        <v>9.6496683250414623</v>
      </c>
      <c r="BD360" s="168">
        <f t="shared" si="487"/>
        <v>8.0413902708678862</v>
      </c>
      <c r="BE360" s="168">
        <f t="shared" si="488"/>
        <v>6.4331122166943091</v>
      </c>
    </row>
    <row r="361" spans="1:57" s="129" customFormat="1" hidden="1">
      <c r="A361" s="88" t="s">
        <v>1276</v>
      </c>
      <c r="B361" s="88" t="s">
        <v>1318</v>
      </c>
      <c r="C361" s="88" t="s">
        <v>1318</v>
      </c>
      <c r="D361" s="88" t="s">
        <v>656</v>
      </c>
      <c r="E361" s="88" t="s">
        <v>907</v>
      </c>
      <c r="F361" s="89" t="s">
        <v>936</v>
      </c>
      <c r="G361" s="92" t="s">
        <v>765</v>
      </c>
      <c r="H361" s="92"/>
      <c r="I361" s="167" t="s">
        <v>3933</v>
      </c>
      <c r="J361" s="167" t="s">
        <v>3934</v>
      </c>
      <c r="K361" s="88" t="s">
        <v>1624</v>
      </c>
      <c r="L361" s="88" t="s">
        <v>1625</v>
      </c>
      <c r="M361" s="92"/>
      <c r="N361" s="89" t="s">
        <v>60</v>
      </c>
      <c r="O361" s="165"/>
      <c r="P361" s="89" t="s">
        <v>912</v>
      </c>
      <c r="Q361" s="92" t="s">
        <v>913</v>
      </c>
      <c r="R361" s="92">
        <v>480</v>
      </c>
      <c r="S361" s="92" t="e">
        <v>#N/A</v>
      </c>
      <c r="T361" s="92">
        <v>8544700000</v>
      </c>
      <c r="U361" s="155">
        <v>0</v>
      </c>
      <c r="V361" s="207">
        <v>30</v>
      </c>
      <c r="W361" s="92">
        <v>45</v>
      </c>
      <c r="X361" s="92">
        <v>55</v>
      </c>
      <c r="Y361" s="92" t="s">
        <v>64</v>
      </c>
      <c r="Z361" s="133">
        <f t="shared" ref="Z361" si="652">AK361/(1-(AF361+2%))</f>
        <v>8.2979242979242986</v>
      </c>
      <c r="AA361" s="133"/>
      <c r="AB361" s="161">
        <f t="shared" ref="AB361" si="653">AX361/(1-AF361)</f>
        <v>6.4645579337743531</v>
      </c>
      <c r="AC361" s="161"/>
      <c r="AD361" s="213">
        <f t="shared" ref="AD361" si="654">AE361</f>
        <v>0.1</v>
      </c>
      <c r="AE361" s="213">
        <v>0.1</v>
      </c>
      <c r="AF361" s="215">
        <v>0.33</v>
      </c>
      <c r="AG361" s="215" t="s">
        <v>9</v>
      </c>
      <c r="AH361" s="148">
        <f t="shared" si="496"/>
        <v>6.4645579337743531</v>
      </c>
      <c r="AI361" s="122">
        <f t="shared" ref="AI361" si="655">1-(AX361/AH361)</f>
        <v>0.33000000000000007</v>
      </c>
      <c r="AJ361" s="444"/>
      <c r="AK361" s="150">
        <f t="shared" ref="AK361" si="656">AW361/(1-AD361)</f>
        <v>5.3936507936507931</v>
      </c>
      <c r="AL361" s="153">
        <f t="shared" ref="AL361" si="657">AX361/(1-AE361)</f>
        <v>4.8125042395875735</v>
      </c>
      <c r="AM361" s="125">
        <f t="shared" ref="AM361" si="658">1-(AK361/Z361)</f>
        <v>0.35000000000000009</v>
      </c>
      <c r="AN361" s="125">
        <f t="shared" ref="AN361" si="659">1-(AL361/AB361)</f>
        <v>0.25555555555555565</v>
      </c>
      <c r="AO361" s="140"/>
      <c r="AP361" s="17" t="s">
        <v>664</v>
      </c>
      <c r="AQ361" s="141"/>
      <c r="AR361" s="191"/>
      <c r="AS361" s="191"/>
      <c r="AT361" s="141"/>
      <c r="AU361" s="141">
        <v>33.979999999999997</v>
      </c>
      <c r="AV361" s="141">
        <f t="shared" ref="AV361" si="660">AT361+AU361</f>
        <v>33.979999999999997</v>
      </c>
      <c r="AW361" s="142">
        <f t="shared" ref="AW361" si="661">(AT361+AU361)/$F$5</f>
        <v>4.8542857142857141</v>
      </c>
      <c r="AX361" s="126">
        <f t="shared" ref="AX361" si="662">(AW361/$F$6)+(($F$9+$G$9)/40/R361)+AW361*U361</f>
        <v>4.3312538156288163</v>
      </c>
      <c r="AY361" s="17"/>
      <c r="AZ361" s="128">
        <v>8544700000</v>
      </c>
      <c r="BB361" s="168">
        <f t="shared" si="485"/>
        <v>21.548526445914511</v>
      </c>
      <c r="BC361" s="168">
        <f t="shared" si="486"/>
        <v>12.929115867548706</v>
      </c>
      <c r="BD361" s="168">
        <f t="shared" si="487"/>
        <v>10.774263222957256</v>
      </c>
      <c r="BE361" s="168">
        <f t="shared" si="488"/>
        <v>8.6194105783658053</v>
      </c>
    </row>
    <row r="362" spans="1:57" s="129" customFormat="1" hidden="1">
      <c r="A362" s="88" t="s">
        <v>1276</v>
      </c>
      <c r="B362" s="88" t="s">
        <v>1318</v>
      </c>
      <c r="C362" s="88" t="s">
        <v>1318</v>
      </c>
      <c r="D362" s="88" t="s">
        <v>656</v>
      </c>
      <c r="E362" s="88" t="s">
        <v>907</v>
      </c>
      <c r="F362" s="89" t="s">
        <v>936</v>
      </c>
      <c r="G362" s="92" t="s">
        <v>765</v>
      </c>
      <c r="H362" s="92"/>
      <c r="I362" s="167" t="s">
        <v>3938</v>
      </c>
      <c r="J362" s="167" t="s">
        <v>3941</v>
      </c>
      <c r="K362" s="88" t="s">
        <v>3939</v>
      </c>
      <c r="L362" s="88" t="s">
        <v>3940</v>
      </c>
      <c r="M362" s="92"/>
      <c r="N362" s="89" t="s">
        <v>60</v>
      </c>
      <c r="O362" s="165"/>
      <c r="P362" s="89" t="s">
        <v>912</v>
      </c>
      <c r="Q362" s="92" t="s">
        <v>913</v>
      </c>
      <c r="R362" s="92"/>
      <c r="S362" s="92"/>
      <c r="T362" s="92">
        <v>8544700000</v>
      </c>
      <c r="U362" s="155">
        <v>0</v>
      </c>
      <c r="V362" s="207">
        <v>30</v>
      </c>
      <c r="W362" s="92">
        <v>45</v>
      </c>
      <c r="X362" s="92">
        <v>55</v>
      </c>
      <c r="Y362" s="92" t="s">
        <v>64</v>
      </c>
      <c r="Z362" s="133">
        <f t="shared" ref="Z362" si="663">AK362/(1-(AF362+2%))</f>
        <v>0</v>
      </c>
      <c r="AA362" s="133"/>
      <c r="AB362" s="161"/>
      <c r="AC362" s="161"/>
      <c r="AD362" s="213">
        <f t="shared" ref="AD362" si="664">AE362</f>
        <v>0.1</v>
      </c>
      <c r="AE362" s="213">
        <v>0.1</v>
      </c>
      <c r="AF362" s="215">
        <v>0.33</v>
      </c>
      <c r="AG362" s="215" t="s">
        <v>9</v>
      </c>
      <c r="AH362" s="148"/>
      <c r="AI362" s="122"/>
      <c r="AJ362" s="444"/>
      <c r="AK362" s="150"/>
      <c r="AL362" s="153"/>
      <c r="AM362" s="125"/>
      <c r="AN362" s="125"/>
      <c r="AO362" s="140"/>
      <c r="AP362" s="17" t="s">
        <v>664</v>
      </c>
      <c r="AQ362" s="141"/>
      <c r="AR362" s="191"/>
      <c r="AS362" s="191"/>
      <c r="AT362" s="141"/>
      <c r="AU362" s="141"/>
      <c r="AV362" s="141"/>
      <c r="AW362" s="142"/>
      <c r="AX362" s="126"/>
      <c r="AY362" s="17"/>
      <c r="AZ362" s="128">
        <v>8544700000</v>
      </c>
      <c r="BB362" s="168">
        <f t="shared" ref="BB362" si="665">AB362/0.3</f>
        <v>0</v>
      </c>
      <c r="BC362" s="168">
        <f t="shared" ref="BC362" si="666">BB362*0.6</f>
        <v>0</v>
      </c>
      <c r="BD362" s="168">
        <f t="shared" ref="BD362" si="667">BB362*0.5</f>
        <v>0</v>
      </c>
      <c r="BE362" s="168">
        <f t="shared" ref="BE362" si="668">BB362*0.4</f>
        <v>0</v>
      </c>
    </row>
    <row r="363" spans="1:57" s="129" customFormat="1" hidden="1">
      <c r="A363" s="88" t="s">
        <v>1302</v>
      </c>
      <c r="B363" s="88" t="s">
        <v>1318</v>
      </c>
      <c r="C363" s="88" t="s">
        <v>1318</v>
      </c>
      <c r="D363" s="88" t="s">
        <v>656</v>
      </c>
      <c r="E363" s="88" t="s">
        <v>907</v>
      </c>
      <c r="F363" s="89" t="s">
        <v>908</v>
      </c>
      <c r="G363" s="92" t="s">
        <v>820</v>
      </c>
      <c r="H363" s="92"/>
      <c r="I363" s="167" t="s">
        <v>984</v>
      </c>
      <c r="J363" s="167" t="str">
        <f>_xlfn.XLOOKUP(I363,[1]Sheet1!$A:$A,[1]Sheet1!$B:$B,"")</f>
        <v>U0903009</v>
      </c>
      <c r="K363" s="88" t="s">
        <v>985</v>
      </c>
      <c r="L363" s="88" t="s">
        <v>986</v>
      </c>
      <c r="M363" s="92"/>
      <c r="N363" s="89" t="s">
        <v>60</v>
      </c>
      <c r="O363" s="165"/>
      <c r="P363" s="89" t="s">
        <v>912</v>
      </c>
      <c r="Q363" s="92" t="s">
        <v>913</v>
      </c>
      <c r="R363" s="92">
        <v>2160</v>
      </c>
      <c r="S363" s="92" t="e">
        <v>#N/A</v>
      </c>
      <c r="T363" s="92">
        <v>8544700000</v>
      </c>
      <c r="U363" s="155">
        <v>0</v>
      </c>
      <c r="V363" s="207">
        <v>30</v>
      </c>
      <c r="W363" s="92">
        <v>45</v>
      </c>
      <c r="X363" s="92">
        <v>55</v>
      </c>
      <c r="Y363" s="92" t="s">
        <v>64</v>
      </c>
      <c r="Z363" s="133">
        <f t="shared" si="562"/>
        <v>2.5787545787545794</v>
      </c>
      <c r="AA363" s="133"/>
      <c r="AB363" s="161">
        <f t="shared" si="563"/>
        <v>1.9849052964724609</v>
      </c>
      <c r="AC363" s="161"/>
      <c r="AD363" s="213">
        <f t="shared" si="564"/>
        <v>0.1</v>
      </c>
      <c r="AE363" s="213">
        <v>0.1</v>
      </c>
      <c r="AF363" s="215">
        <v>0.33</v>
      </c>
      <c r="AG363" s="215" t="s">
        <v>9</v>
      </c>
      <c r="AH363" s="148">
        <f t="shared" si="496"/>
        <v>1.9849052964724609</v>
      </c>
      <c r="AI363" s="122">
        <f t="shared" si="565"/>
        <v>0.33000000000000007</v>
      </c>
      <c r="AJ363" s="444"/>
      <c r="AK363" s="150">
        <f t="shared" si="566"/>
        <v>1.6761904761904762</v>
      </c>
      <c r="AL363" s="153">
        <f t="shared" si="567"/>
        <v>1.4776517207072764</v>
      </c>
      <c r="AM363" s="125">
        <f t="shared" si="568"/>
        <v>0.35000000000000009</v>
      </c>
      <c r="AN363" s="125">
        <f t="shared" si="640"/>
        <v>0.25555555555555565</v>
      </c>
      <c r="AO363" s="140"/>
      <c r="AP363" s="17" t="s">
        <v>664</v>
      </c>
      <c r="AQ363" s="141"/>
      <c r="AR363" s="191"/>
      <c r="AS363" s="191"/>
      <c r="AT363" s="141"/>
      <c r="AU363" s="141">
        <v>10.56</v>
      </c>
      <c r="AV363" s="141">
        <f t="shared" si="570"/>
        <v>10.56</v>
      </c>
      <c r="AW363" s="142">
        <f t="shared" si="571"/>
        <v>1.5085714285714287</v>
      </c>
      <c r="AX363" s="126">
        <f t="shared" si="572"/>
        <v>1.3298865486365488</v>
      </c>
      <c r="AY363" s="17"/>
      <c r="AZ363" s="128">
        <v>8544700000</v>
      </c>
      <c r="BB363" s="161">
        <f t="shared" si="485"/>
        <v>6.6163509882415363</v>
      </c>
      <c r="BC363" s="161">
        <f t="shared" si="486"/>
        <v>3.9698105929449214</v>
      </c>
      <c r="BD363" s="161">
        <f t="shared" si="487"/>
        <v>3.3081754941207682</v>
      </c>
      <c r="BE363" s="161">
        <f t="shared" si="488"/>
        <v>2.6465403952966149</v>
      </c>
    </row>
    <row r="364" spans="1:57" s="129" customFormat="1" hidden="1">
      <c r="A364" s="88" t="s">
        <v>1302</v>
      </c>
      <c r="B364" s="88" t="s">
        <v>1318</v>
      </c>
      <c r="C364" s="88" t="s">
        <v>1318</v>
      </c>
      <c r="D364" s="88" t="s">
        <v>656</v>
      </c>
      <c r="E364" s="88" t="s">
        <v>907</v>
      </c>
      <c r="F364" s="89" t="s">
        <v>908</v>
      </c>
      <c r="G364" s="92" t="s">
        <v>820</v>
      </c>
      <c r="H364" s="92"/>
      <c r="I364" s="167" t="s">
        <v>987</v>
      </c>
      <c r="J364" s="167" t="str">
        <f>_xlfn.XLOOKUP(I364,[1]Sheet1!$A:$A,[1]Sheet1!$B:$B,"")</f>
        <v>U0903010</v>
      </c>
      <c r="K364" s="88" t="s">
        <v>988</v>
      </c>
      <c r="L364" s="88" t="s">
        <v>989</v>
      </c>
      <c r="M364" s="92"/>
      <c r="N364" s="89" t="s">
        <v>60</v>
      </c>
      <c r="O364" s="165"/>
      <c r="P364" s="89" t="s">
        <v>912</v>
      </c>
      <c r="Q364" s="92" t="s">
        <v>913</v>
      </c>
      <c r="R364" s="92">
        <v>1920</v>
      </c>
      <c r="S364" s="92" t="e">
        <v>#N/A</v>
      </c>
      <c r="T364" s="92">
        <v>8544700000</v>
      </c>
      <c r="U364" s="155">
        <v>0</v>
      </c>
      <c r="V364" s="207">
        <v>30</v>
      </c>
      <c r="W364" s="92">
        <v>45</v>
      </c>
      <c r="X364" s="92">
        <v>55</v>
      </c>
      <c r="Y364" s="92" t="s">
        <v>64</v>
      </c>
      <c r="Z364" s="133">
        <f t="shared" si="562"/>
        <v>3.2698412698412702</v>
      </c>
      <c r="AA364" s="133"/>
      <c r="AB364" s="161">
        <f t="shared" si="563"/>
        <v>2.5081993307273165</v>
      </c>
      <c r="AC364" s="161"/>
      <c r="AD364" s="213">
        <f t="shared" si="564"/>
        <v>0.1</v>
      </c>
      <c r="AE364" s="213">
        <v>0.1</v>
      </c>
      <c r="AF364" s="215">
        <v>0.33</v>
      </c>
      <c r="AG364" s="215" t="s">
        <v>9</v>
      </c>
      <c r="AH364" s="148">
        <f t="shared" si="496"/>
        <v>2.5081993307273165</v>
      </c>
      <c r="AI364" s="122">
        <f t="shared" si="565"/>
        <v>0.33000000000000007</v>
      </c>
      <c r="AJ364" s="444"/>
      <c r="AK364" s="150">
        <f t="shared" si="566"/>
        <v>2.1253968253968254</v>
      </c>
      <c r="AL364" s="153">
        <f t="shared" si="567"/>
        <v>1.8672150573192243</v>
      </c>
      <c r="AM364" s="125">
        <f t="shared" si="568"/>
        <v>0.35000000000000009</v>
      </c>
      <c r="AN364" s="125">
        <f t="shared" si="640"/>
        <v>0.25555555555555565</v>
      </c>
      <c r="AO364" s="140"/>
      <c r="AP364" s="17" t="s">
        <v>664</v>
      </c>
      <c r="AQ364" s="141"/>
      <c r="AR364" s="191"/>
      <c r="AS364" s="191"/>
      <c r="AT364" s="141"/>
      <c r="AU364" s="141">
        <v>13.39</v>
      </c>
      <c r="AV364" s="141">
        <f t="shared" si="570"/>
        <v>13.39</v>
      </c>
      <c r="AW364" s="142">
        <f t="shared" si="571"/>
        <v>1.912857142857143</v>
      </c>
      <c r="AX364" s="126">
        <f t="shared" si="572"/>
        <v>1.6804935515873018</v>
      </c>
      <c r="AY364" s="17"/>
      <c r="AZ364" s="128">
        <v>8544700000</v>
      </c>
      <c r="BB364" s="161">
        <f t="shared" si="485"/>
        <v>8.3606644357577213</v>
      </c>
      <c r="BC364" s="161">
        <f t="shared" si="486"/>
        <v>5.016398661454633</v>
      </c>
      <c r="BD364" s="161">
        <f t="shared" si="487"/>
        <v>4.1803322178788607</v>
      </c>
      <c r="BE364" s="161">
        <f t="shared" si="488"/>
        <v>3.3442657743030888</v>
      </c>
    </row>
    <row r="365" spans="1:57" s="129" customFormat="1" hidden="1">
      <c r="A365" s="88" t="s">
        <v>1302</v>
      </c>
      <c r="B365" s="88" t="s">
        <v>1318</v>
      </c>
      <c r="C365" s="88" t="s">
        <v>1318</v>
      </c>
      <c r="D365" s="88" t="s">
        <v>656</v>
      </c>
      <c r="E365" s="88" t="s">
        <v>907</v>
      </c>
      <c r="F365" s="89" t="s">
        <v>908</v>
      </c>
      <c r="G365" s="92" t="s">
        <v>820</v>
      </c>
      <c r="H365" s="92"/>
      <c r="I365" s="167" t="s">
        <v>990</v>
      </c>
      <c r="J365" s="167" t="str">
        <f>_xlfn.XLOOKUP(I365,[1]Sheet1!$A:$A,[1]Sheet1!$B:$B,"")</f>
        <v>U0903011</v>
      </c>
      <c r="K365" s="88" t="s">
        <v>991</v>
      </c>
      <c r="L365" s="88" t="s">
        <v>992</v>
      </c>
      <c r="M365" s="92"/>
      <c r="N365" s="89" t="s">
        <v>60</v>
      </c>
      <c r="O365" s="165"/>
      <c r="P365" s="89" t="s">
        <v>912</v>
      </c>
      <c r="Q365" s="92" t="s">
        <v>913</v>
      </c>
      <c r="R365" s="92">
        <v>1920</v>
      </c>
      <c r="S365" s="92" t="e">
        <v>#N/A</v>
      </c>
      <c r="T365" s="92">
        <v>8544700000</v>
      </c>
      <c r="U365" s="155">
        <v>0</v>
      </c>
      <c r="V365" s="207">
        <v>30</v>
      </c>
      <c r="W365" s="92">
        <v>45</v>
      </c>
      <c r="X365" s="92">
        <v>55</v>
      </c>
      <c r="Y365" s="92" t="s">
        <v>64</v>
      </c>
      <c r="Z365" s="133">
        <f t="shared" si="562"/>
        <v>3.960927960927962</v>
      </c>
      <c r="AA365" s="133"/>
      <c r="AB365" s="161">
        <f t="shared" si="563"/>
        <v>3.0239356673591749</v>
      </c>
      <c r="AC365" s="161"/>
      <c r="AD365" s="213">
        <f t="shared" si="564"/>
        <v>0.1</v>
      </c>
      <c r="AE365" s="213">
        <v>0.1</v>
      </c>
      <c r="AF365" s="215">
        <v>0.33</v>
      </c>
      <c r="AG365" s="215" t="s">
        <v>9</v>
      </c>
      <c r="AH365" s="148">
        <f t="shared" si="496"/>
        <v>3.0239356673591749</v>
      </c>
      <c r="AI365" s="122">
        <f t="shared" si="565"/>
        <v>0.33000000000000007</v>
      </c>
      <c r="AJ365" s="444"/>
      <c r="AK365" s="150">
        <f t="shared" si="566"/>
        <v>2.5746031746031748</v>
      </c>
      <c r="AL365" s="153">
        <f t="shared" si="567"/>
        <v>2.2511521079229411</v>
      </c>
      <c r="AM365" s="125">
        <f t="shared" si="568"/>
        <v>0.35000000000000009</v>
      </c>
      <c r="AN365" s="125">
        <f t="shared" si="640"/>
        <v>0.25555555555555565</v>
      </c>
      <c r="AO365" s="140"/>
      <c r="AP365" s="17" t="s">
        <v>664</v>
      </c>
      <c r="AQ365" s="141"/>
      <c r="AR365" s="191"/>
      <c r="AS365" s="191"/>
      <c r="AT365" s="141"/>
      <c r="AU365" s="141">
        <v>16.22</v>
      </c>
      <c r="AV365" s="141">
        <f t="shared" si="570"/>
        <v>16.22</v>
      </c>
      <c r="AW365" s="142">
        <f t="shared" si="571"/>
        <v>2.3171428571428572</v>
      </c>
      <c r="AX365" s="126">
        <f t="shared" si="572"/>
        <v>2.0260368971306471</v>
      </c>
      <c r="AY365" s="17"/>
      <c r="AZ365" s="128">
        <v>8544700000</v>
      </c>
      <c r="BB365" s="161">
        <f t="shared" ref="BB365:BB430" si="669">AB365/0.3</f>
        <v>10.079785557863916</v>
      </c>
      <c r="BC365" s="161">
        <f t="shared" ref="BC365:BC430" si="670">BB365*0.6</f>
        <v>6.0478713347183497</v>
      </c>
      <c r="BD365" s="161">
        <f t="shared" ref="BD365:BD430" si="671">BB365*0.5</f>
        <v>5.0398927789319581</v>
      </c>
      <c r="BE365" s="161">
        <f t="shared" ref="BE365:BE430" si="672">BB365*0.4</f>
        <v>4.0319142231455665</v>
      </c>
    </row>
    <row r="366" spans="1:57" s="129" customFormat="1" hidden="1">
      <c r="A366" s="88" t="s">
        <v>1302</v>
      </c>
      <c r="B366" s="88" t="s">
        <v>1318</v>
      </c>
      <c r="C366" s="88" t="s">
        <v>1318</v>
      </c>
      <c r="D366" s="88" t="s">
        <v>656</v>
      </c>
      <c r="E366" s="88" t="s">
        <v>907</v>
      </c>
      <c r="F366" s="89" t="s">
        <v>908</v>
      </c>
      <c r="G366" s="92" t="s">
        <v>820</v>
      </c>
      <c r="H366" s="92"/>
      <c r="I366" s="167" t="s">
        <v>993</v>
      </c>
      <c r="J366" s="167" t="str">
        <f>_xlfn.XLOOKUP(I366,[1]Sheet1!$A:$A,[1]Sheet1!$B:$B,"")</f>
        <v>U0903012</v>
      </c>
      <c r="K366" s="88" t="s">
        <v>994</v>
      </c>
      <c r="L366" s="88" t="s">
        <v>995</v>
      </c>
      <c r="M366" s="92"/>
      <c r="N366" s="89" t="s">
        <v>60</v>
      </c>
      <c r="O366" s="165"/>
      <c r="P366" s="89" t="s">
        <v>912</v>
      </c>
      <c r="Q366" s="92" t="s">
        <v>913</v>
      </c>
      <c r="R366" s="92">
        <v>1440</v>
      </c>
      <c r="S366" s="92" t="e">
        <v>#N/A</v>
      </c>
      <c r="T366" s="92">
        <v>8544700000</v>
      </c>
      <c r="U366" s="155">
        <v>0</v>
      </c>
      <c r="V366" s="207">
        <v>30</v>
      </c>
      <c r="W366" s="92">
        <v>45</v>
      </c>
      <c r="X366" s="92">
        <v>55</v>
      </c>
      <c r="Y366" s="92" t="s">
        <v>64</v>
      </c>
      <c r="Z366" s="133">
        <f t="shared" si="562"/>
        <v>5.3406593406593412</v>
      </c>
      <c r="AA366" s="133"/>
      <c r="AB366" s="161">
        <f t="shared" si="563"/>
        <v>4.0762590436097907</v>
      </c>
      <c r="AC366" s="161"/>
      <c r="AD366" s="213">
        <f t="shared" si="564"/>
        <v>0.1</v>
      </c>
      <c r="AE366" s="213">
        <v>0.1</v>
      </c>
      <c r="AF366" s="215">
        <v>0.33</v>
      </c>
      <c r="AG366" s="215" t="s">
        <v>9</v>
      </c>
      <c r="AH366" s="148">
        <f t="shared" si="496"/>
        <v>4.0762590436097907</v>
      </c>
      <c r="AI366" s="122">
        <f t="shared" si="565"/>
        <v>0.33000000000000007</v>
      </c>
      <c r="AJ366" s="444"/>
      <c r="AK366" s="150">
        <f t="shared" si="566"/>
        <v>3.4714285714285715</v>
      </c>
      <c r="AL366" s="153">
        <f t="shared" si="567"/>
        <v>3.0345483991317326</v>
      </c>
      <c r="AM366" s="125">
        <f t="shared" si="568"/>
        <v>0.35000000000000009</v>
      </c>
      <c r="AN366" s="125">
        <f t="shared" si="640"/>
        <v>0.25555555555555565</v>
      </c>
      <c r="AO366" s="140"/>
      <c r="AP366" s="17" t="s">
        <v>664</v>
      </c>
      <c r="AQ366" s="141"/>
      <c r="AR366" s="191"/>
      <c r="AS366" s="191"/>
      <c r="AT366" s="141"/>
      <c r="AU366" s="141">
        <v>21.87</v>
      </c>
      <c r="AV366" s="141">
        <f t="shared" si="570"/>
        <v>21.87</v>
      </c>
      <c r="AW366" s="142">
        <f t="shared" si="571"/>
        <v>3.1242857142857146</v>
      </c>
      <c r="AX366" s="126">
        <f t="shared" ref="AX366:AX467" si="673">(AW366/$F$6)+(($F$9+$G$9)/40/R366)+AW366*U366</f>
        <v>2.7310935592185595</v>
      </c>
      <c r="AY366" s="17"/>
      <c r="AZ366" s="128">
        <v>8544700000</v>
      </c>
      <c r="BB366" s="161">
        <f t="shared" si="669"/>
        <v>13.587530145365969</v>
      </c>
      <c r="BC366" s="161">
        <f t="shared" si="670"/>
        <v>8.1525180872195815</v>
      </c>
      <c r="BD366" s="161">
        <f t="shared" si="671"/>
        <v>6.7937650726829846</v>
      </c>
      <c r="BE366" s="161">
        <f t="shared" si="672"/>
        <v>5.4350120581463877</v>
      </c>
    </row>
    <row r="367" spans="1:57" s="129" customFormat="1" hidden="1">
      <c r="A367" s="88" t="s">
        <v>1276</v>
      </c>
      <c r="B367" s="88" t="s">
        <v>1318</v>
      </c>
      <c r="C367" s="88" t="s">
        <v>1318</v>
      </c>
      <c r="D367" s="88" t="s">
        <v>656</v>
      </c>
      <c r="E367" s="88" t="s">
        <v>907</v>
      </c>
      <c r="F367" s="89" t="s">
        <v>908</v>
      </c>
      <c r="G367" s="92" t="s">
        <v>820</v>
      </c>
      <c r="H367" s="92"/>
      <c r="I367" s="167" t="s">
        <v>1626</v>
      </c>
      <c r="J367" s="167" t="str">
        <f>_xlfn.XLOOKUP(I367,[1]Sheet1!$A:$A,[1]Sheet1!$B:$B,"")</f>
        <v/>
      </c>
      <c r="K367" s="88" t="s">
        <v>1628</v>
      </c>
      <c r="L367" s="88" t="s">
        <v>1630</v>
      </c>
      <c r="M367" s="92"/>
      <c r="N367" s="89" t="s">
        <v>60</v>
      </c>
      <c r="O367" s="165"/>
      <c r="P367" s="89" t="s">
        <v>912</v>
      </c>
      <c r="Q367" s="92" t="s">
        <v>913</v>
      </c>
      <c r="R367" s="92">
        <v>720</v>
      </c>
      <c r="S367" s="92" t="e">
        <v>#N/A</v>
      </c>
      <c r="T367" s="92">
        <v>8544700000</v>
      </c>
      <c r="U367" s="155">
        <v>0</v>
      </c>
      <c r="V367" s="207">
        <v>30</v>
      </c>
      <c r="W367" s="92">
        <v>45</v>
      </c>
      <c r="X367" s="92">
        <v>55</v>
      </c>
      <c r="Y367" s="92" t="s">
        <v>64</v>
      </c>
      <c r="Z367" s="133">
        <f t="shared" ref="Z367:Z368" si="674">AK367/(1-(AF367+2%))</f>
        <v>9.1770451770451764</v>
      </c>
      <c r="AA367" s="133"/>
      <c r="AB367" s="161">
        <f t="shared" ref="AB367:AB368" si="675">AX367/(1-AF367)</f>
        <v>7.0299259198512933</v>
      </c>
      <c r="AC367" s="161"/>
      <c r="AD367" s="213">
        <f t="shared" ref="AD367:AD368" si="676">AE367</f>
        <v>0.1</v>
      </c>
      <c r="AE367" s="213">
        <v>0.1</v>
      </c>
      <c r="AF367" s="215">
        <v>0.33</v>
      </c>
      <c r="AG367" s="215" t="s">
        <v>9</v>
      </c>
      <c r="AH367" s="148">
        <f t="shared" si="496"/>
        <v>7.0299259198512933</v>
      </c>
      <c r="AI367" s="122">
        <f t="shared" ref="AI367:AI368" si="677">1-(AX367/AH367)</f>
        <v>0.33000000000000007</v>
      </c>
      <c r="AJ367" s="444"/>
      <c r="AK367" s="150">
        <f t="shared" ref="AK367:AK368" si="678">AW367/(1-AD367)</f>
        <v>5.9650793650793643</v>
      </c>
      <c r="AL367" s="153">
        <f t="shared" ref="AL367:AL368" si="679">AX367/(1-AE367)</f>
        <v>5.2333892958892951</v>
      </c>
      <c r="AM367" s="125">
        <f t="shared" ref="AM367:AM368" si="680">1-(AK367/Z367)</f>
        <v>0.35000000000000009</v>
      </c>
      <c r="AN367" s="125">
        <f t="shared" ref="AN367:AN368" si="681">1-(AL367/AB367)</f>
        <v>0.25555555555555565</v>
      </c>
      <c r="AO367" s="140"/>
      <c r="AP367" s="17" t="s">
        <v>664</v>
      </c>
      <c r="AQ367" s="141"/>
      <c r="AR367" s="191"/>
      <c r="AS367" s="191"/>
      <c r="AT367" s="141"/>
      <c r="AU367" s="141">
        <v>37.58</v>
      </c>
      <c r="AV367" s="141">
        <f t="shared" ref="AV367:AV368" si="682">AT367+AU367</f>
        <v>37.58</v>
      </c>
      <c r="AW367" s="142">
        <f t="shared" ref="AW367:AW368" si="683">(AT367+AU367)/$F$5</f>
        <v>5.3685714285714283</v>
      </c>
      <c r="AX367" s="126">
        <f t="shared" si="673"/>
        <v>4.7100503663003659</v>
      </c>
      <c r="AY367" s="17"/>
      <c r="AZ367" s="128">
        <v>8544700000</v>
      </c>
      <c r="BB367" s="168">
        <f t="shared" si="669"/>
        <v>23.433086399504312</v>
      </c>
      <c r="BC367" s="168">
        <f t="shared" si="670"/>
        <v>14.059851839702587</v>
      </c>
      <c r="BD367" s="168">
        <f t="shared" si="671"/>
        <v>11.716543199752156</v>
      </c>
      <c r="BE367" s="168">
        <f t="shared" si="672"/>
        <v>9.373234559801725</v>
      </c>
    </row>
    <row r="368" spans="1:57" s="129" customFormat="1" hidden="1">
      <c r="A368" s="88" t="s">
        <v>1276</v>
      </c>
      <c r="B368" s="88" t="s">
        <v>1318</v>
      </c>
      <c r="C368" s="88" t="s">
        <v>1318</v>
      </c>
      <c r="D368" s="88" t="s">
        <v>656</v>
      </c>
      <c r="E368" s="88" t="s">
        <v>907</v>
      </c>
      <c r="F368" s="89" t="s">
        <v>908</v>
      </c>
      <c r="G368" s="92" t="s">
        <v>820</v>
      </c>
      <c r="H368" s="92"/>
      <c r="I368" s="167" t="s">
        <v>1627</v>
      </c>
      <c r="J368" s="167" t="str">
        <f>_xlfn.XLOOKUP(I368,[1]Sheet1!$A:$A,[1]Sheet1!$B:$B,"")</f>
        <v/>
      </c>
      <c r="K368" s="88" t="s">
        <v>1629</v>
      </c>
      <c r="L368" s="88" t="s">
        <v>1631</v>
      </c>
      <c r="M368" s="92"/>
      <c r="N368" s="89" t="s">
        <v>60</v>
      </c>
      <c r="O368" s="165"/>
      <c r="P368" s="89" t="s">
        <v>912</v>
      </c>
      <c r="Q368" s="92" t="s">
        <v>913</v>
      </c>
      <c r="R368" s="92">
        <v>480</v>
      </c>
      <c r="S368" s="92" t="e">
        <v>#N/A</v>
      </c>
      <c r="T368" s="92">
        <v>8544700000</v>
      </c>
      <c r="U368" s="155">
        <v>0</v>
      </c>
      <c r="V368" s="207">
        <v>30</v>
      </c>
      <c r="W368" s="92">
        <v>45</v>
      </c>
      <c r="X368" s="92">
        <v>55</v>
      </c>
      <c r="Y368" s="92" t="s">
        <v>64</v>
      </c>
      <c r="Z368" s="133">
        <f t="shared" si="674"/>
        <v>12.730158730158733</v>
      </c>
      <c r="AA368" s="133"/>
      <c r="AB368" s="161">
        <f t="shared" si="675"/>
        <v>9.772195569770199</v>
      </c>
      <c r="AC368" s="161"/>
      <c r="AD368" s="213">
        <f t="shared" si="676"/>
        <v>0.1</v>
      </c>
      <c r="AE368" s="213">
        <v>0.1</v>
      </c>
      <c r="AF368" s="215">
        <v>0.33</v>
      </c>
      <c r="AG368" s="215" t="s">
        <v>9</v>
      </c>
      <c r="AH368" s="148">
        <f t="shared" si="496"/>
        <v>9.772195569770199</v>
      </c>
      <c r="AI368" s="122">
        <f t="shared" si="677"/>
        <v>0.33000000000000007</v>
      </c>
      <c r="AJ368" s="444"/>
      <c r="AK368" s="150">
        <f t="shared" si="678"/>
        <v>8.2746031746031754</v>
      </c>
      <c r="AL368" s="153">
        <f t="shared" si="679"/>
        <v>7.2748567019400356</v>
      </c>
      <c r="AM368" s="125">
        <f t="shared" si="680"/>
        <v>0.35000000000000009</v>
      </c>
      <c r="AN368" s="125">
        <f t="shared" si="681"/>
        <v>0.25555555555555565</v>
      </c>
      <c r="AO368" s="140"/>
      <c r="AP368" s="17" t="s">
        <v>664</v>
      </c>
      <c r="AQ368" s="141"/>
      <c r="AR368" s="191"/>
      <c r="AS368" s="191"/>
      <c r="AT368" s="141"/>
      <c r="AU368" s="141">
        <v>52.13</v>
      </c>
      <c r="AV368" s="141">
        <f t="shared" si="682"/>
        <v>52.13</v>
      </c>
      <c r="AW368" s="142">
        <f t="shared" si="683"/>
        <v>7.4471428571428575</v>
      </c>
      <c r="AX368" s="126">
        <f t="shared" ref="AX368" si="684">(AW368/$F$6)+(($F$9+$G$9)/40/R368)+AW368*U368</f>
        <v>6.5473710317460325</v>
      </c>
      <c r="AY368" s="17"/>
      <c r="AZ368" s="128">
        <v>8544700000</v>
      </c>
      <c r="BB368" s="168">
        <f t="shared" si="669"/>
        <v>32.573985232567331</v>
      </c>
      <c r="BC368" s="168">
        <f t="shared" si="670"/>
        <v>19.544391139540398</v>
      </c>
      <c r="BD368" s="168">
        <f t="shared" si="671"/>
        <v>16.286992616283666</v>
      </c>
      <c r="BE368" s="168">
        <f t="shared" si="672"/>
        <v>13.029594093026933</v>
      </c>
    </row>
    <row r="369" spans="1:57" s="129" customFormat="1" hidden="1">
      <c r="A369" s="88" t="s">
        <v>1302</v>
      </c>
      <c r="B369" s="88" t="s">
        <v>1318</v>
      </c>
      <c r="C369" s="88" t="s">
        <v>1318</v>
      </c>
      <c r="D369" s="88" t="s">
        <v>656</v>
      </c>
      <c r="E369" s="88" t="s">
        <v>907</v>
      </c>
      <c r="F369" s="89" t="s">
        <v>923</v>
      </c>
      <c r="G369" s="92" t="s">
        <v>820</v>
      </c>
      <c r="H369" s="92"/>
      <c r="I369" s="167" t="s">
        <v>996</v>
      </c>
      <c r="J369" s="167" t="str">
        <f>_xlfn.XLOOKUP(I369,[1]Sheet1!$A:$A,[1]Sheet1!$B:$B,"")</f>
        <v>U0903005</v>
      </c>
      <c r="K369" s="88" t="s">
        <v>997</v>
      </c>
      <c r="L369" s="88" t="s">
        <v>998</v>
      </c>
      <c r="M369" s="92"/>
      <c r="N369" s="89" t="s">
        <v>60</v>
      </c>
      <c r="O369" s="165"/>
      <c r="P369" s="89" t="s">
        <v>912</v>
      </c>
      <c r="Q369" s="92" t="s">
        <v>913</v>
      </c>
      <c r="R369" s="92">
        <v>2160</v>
      </c>
      <c r="S369" s="92" t="e">
        <v>#N/A</v>
      </c>
      <c r="T369" s="92">
        <v>8544700000</v>
      </c>
      <c r="U369" s="155">
        <v>0</v>
      </c>
      <c r="V369" s="207">
        <v>30</v>
      </c>
      <c r="W369" s="92">
        <v>45</v>
      </c>
      <c r="X369" s="92">
        <v>55</v>
      </c>
      <c r="Y369" s="92" t="s">
        <v>64</v>
      </c>
      <c r="Z369" s="133">
        <f t="shared" si="562"/>
        <v>2.5787545787545794</v>
      </c>
      <c r="AA369" s="133"/>
      <c r="AB369" s="161">
        <f t="shared" si="563"/>
        <v>1.9849052964724609</v>
      </c>
      <c r="AC369" s="161"/>
      <c r="AD369" s="213">
        <f t="shared" si="564"/>
        <v>0.1</v>
      </c>
      <c r="AE369" s="213">
        <v>0.1</v>
      </c>
      <c r="AF369" s="215">
        <v>0.33</v>
      </c>
      <c r="AG369" s="215" t="s">
        <v>9</v>
      </c>
      <c r="AH369" s="148">
        <f t="shared" ref="AH369:AH422" si="685">AB369</f>
        <v>1.9849052964724609</v>
      </c>
      <c r="AI369" s="122">
        <f t="shared" si="565"/>
        <v>0.33000000000000007</v>
      </c>
      <c r="AJ369" s="444"/>
      <c r="AK369" s="150">
        <f t="shared" si="566"/>
        <v>1.6761904761904762</v>
      </c>
      <c r="AL369" s="153">
        <f t="shared" si="567"/>
        <v>1.4776517207072764</v>
      </c>
      <c r="AM369" s="125">
        <f t="shared" si="568"/>
        <v>0.35000000000000009</v>
      </c>
      <c r="AN369" s="125">
        <f t="shared" si="640"/>
        <v>0.25555555555555565</v>
      </c>
      <c r="AO369" s="140"/>
      <c r="AP369" s="17" t="s">
        <v>664</v>
      </c>
      <c r="AQ369" s="141"/>
      <c r="AR369" s="191"/>
      <c r="AS369" s="191"/>
      <c r="AT369" s="141"/>
      <c r="AU369" s="141">
        <v>10.56</v>
      </c>
      <c r="AV369" s="141">
        <f t="shared" si="570"/>
        <v>10.56</v>
      </c>
      <c r="AW369" s="142">
        <f t="shared" si="571"/>
        <v>1.5085714285714287</v>
      </c>
      <c r="AX369" s="126">
        <f t="shared" si="673"/>
        <v>1.3298865486365488</v>
      </c>
      <c r="AY369" s="17"/>
      <c r="AZ369" s="128">
        <v>8544700000</v>
      </c>
      <c r="BB369" s="161">
        <f t="shared" si="669"/>
        <v>6.6163509882415363</v>
      </c>
      <c r="BC369" s="161">
        <f t="shared" si="670"/>
        <v>3.9698105929449214</v>
      </c>
      <c r="BD369" s="161">
        <f t="shared" si="671"/>
        <v>3.3081754941207682</v>
      </c>
      <c r="BE369" s="161">
        <f t="shared" si="672"/>
        <v>2.6465403952966149</v>
      </c>
    </row>
    <row r="370" spans="1:57" s="129" customFormat="1" hidden="1">
      <c r="A370" s="88" t="s">
        <v>1302</v>
      </c>
      <c r="B370" s="88" t="s">
        <v>1318</v>
      </c>
      <c r="C370" s="88" t="s">
        <v>1318</v>
      </c>
      <c r="D370" s="88" t="s">
        <v>656</v>
      </c>
      <c r="E370" s="88" t="s">
        <v>907</v>
      </c>
      <c r="F370" s="89" t="s">
        <v>923</v>
      </c>
      <c r="G370" s="92" t="s">
        <v>820</v>
      </c>
      <c r="H370" s="92"/>
      <c r="I370" s="167" t="s">
        <v>999</v>
      </c>
      <c r="J370" s="167" t="str">
        <f>_xlfn.XLOOKUP(I370,[1]Sheet1!$A:$A,[1]Sheet1!$B:$B,"")</f>
        <v>U0903006</v>
      </c>
      <c r="K370" s="88" t="s">
        <v>1000</v>
      </c>
      <c r="L370" s="88" t="s">
        <v>1001</v>
      </c>
      <c r="M370" s="92"/>
      <c r="N370" s="89" t="s">
        <v>60</v>
      </c>
      <c r="O370" s="165"/>
      <c r="P370" s="89" t="s">
        <v>912</v>
      </c>
      <c r="Q370" s="92" t="s">
        <v>913</v>
      </c>
      <c r="R370" s="92">
        <v>1920</v>
      </c>
      <c r="S370" s="92" t="e">
        <v>#N/A</v>
      </c>
      <c r="T370" s="92">
        <v>8544700000</v>
      </c>
      <c r="U370" s="155">
        <v>0</v>
      </c>
      <c r="V370" s="207">
        <v>30</v>
      </c>
      <c r="W370" s="92">
        <v>45</v>
      </c>
      <c r="X370" s="92">
        <v>55</v>
      </c>
      <c r="Y370" s="92" t="s">
        <v>64</v>
      </c>
      <c r="Z370" s="133">
        <f t="shared" si="562"/>
        <v>3.2698412698412702</v>
      </c>
      <c r="AA370" s="133"/>
      <c r="AB370" s="161">
        <f t="shared" si="563"/>
        <v>2.5081993307273165</v>
      </c>
      <c r="AC370" s="161"/>
      <c r="AD370" s="213">
        <f t="shared" si="564"/>
        <v>0.1</v>
      </c>
      <c r="AE370" s="213">
        <v>0.1</v>
      </c>
      <c r="AF370" s="215">
        <v>0.33</v>
      </c>
      <c r="AG370" s="215" t="s">
        <v>9</v>
      </c>
      <c r="AH370" s="148">
        <f t="shared" si="685"/>
        <v>2.5081993307273165</v>
      </c>
      <c r="AI370" s="122">
        <f t="shared" si="565"/>
        <v>0.33000000000000007</v>
      </c>
      <c r="AJ370" s="444"/>
      <c r="AK370" s="150">
        <f t="shared" si="566"/>
        <v>2.1253968253968254</v>
      </c>
      <c r="AL370" s="153">
        <f t="shared" si="567"/>
        <v>1.8672150573192243</v>
      </c>
      <c r="AM370" s="125">
        <f t="shared" si="568"/>
        <v>0.35000000000000009</v>
      </c>
      <c r="AN370" s="125">
        <f t="shared" si="640"/>
        <v>0.25555555555555565</v>
      </c>
      <c r="AO370" s="140"/>
      <c r="AP370" s="17" t="s">
        <v>664</v>
      </c>
      <c r="AQ370" s="141"/>
      <c r="AR370" s="191"/>
      <c r="AS370" s="191"/>
      <c r="AT370" s="141"/>
      <c r="AU370" s="141">
        <v>13.39</v>
      </c>
      <c r="AV370" s="141">
        <f t="shared" si="570"/>
        <v>13.39</v>
      </c>
      <c r="AW370" s="142">
        <f t="shared" si="571"/>
        <v>1.912857142857143</v>
      </c>
      <c r="AX370" s="126">
        <f t="shared" si="673"/>
        <v>1.6804935515873018</v>
      </c>
      <c r="AY370" s="17"/>
      <c r="AZ370" s="128">
        <v>8544700000</v>
      </c>
      <c r="BB370" s="161">
        <f t="shared" si="669"/>
        <v>8.3606644357577213</v>
      </c>
      <c r="BC370" s="161">
        <f t="shared" si="670"/>
        <v>5.016398661454633</v>
      </c>
      <c r="BD370" s="161">
        <f t="shared" si="671"/>
        <v>4.1803322178788607</v>
      </c>
      <c r="BE370" s="161">
        <f t="shared" si="672"/>
        <v>3.3442657743030888</v>
      </c>
    </row>
    <row r="371" spans="1:57" s="129" customFormat="1" hidden="1">
      <c r="A371" s="88" t="s">
        <v>1302</v>
      </c>
      <c r="B371" s="88" t="s">
        <v>1318</v>
      </c>
      <c r="C371" s="88" t="s">
        <v>1318</v>
      </c>
      <c r="D371" s="88" t="s">
        <v>656</v>
      </c>
      <c r="E371" s="88" t="s">
        <v>907</v>
      </c>
      <c r="F371" s="89" t="s">
        <v>923</v>
      </c>
      <c r="G371" s="92" t="s">
        <v>820</v>
      </c>
      <c r="H371" s="92"/>
      <c r="I371" s="167" t="s">
        <v>1002</v>
      </c>
      <c r="J371" s="167" t="str">
        <f>_xlfn.XLOOKUP(I371,[1]Sheet1!$A:$A,[1]Sheet1!$B:$B,"")</f>
        <v>U0903007</v>
      </c>
      <c r="K371" s="88" t="s">
        <v>1003</v>
      </c>
      <c r="L371" s="88" t="s">
        <v>1004</v>
      </c>
      <c r="M371" s="92"/>
      <c r="N371" s="89" t="s">
        <v>60</v>
      </c>
      <c r="O371" s="165"/>
      <c r="P371" s="89" t="s">
        <v>912</v>
      </c>
      <c r="Q371" s="92" t="s">
        <v>913</v>
      </c>
      <c r="R371" s="92">
        <v>1920</v>
      </c>
      <c r="S371" s="92" t="e">
        <v>#N/A</v>
      </c>
      <c r="T371" s="92">
        <v>8544700000</v>
      </c>
      <c r="U371" s="155">
        <v>0</v>
      </c>
      <c r="V371" s="207">
        <v>30</v>
      </c>
      <c r="W371" s="92">
        <v>45</v>
      </c>
      <c r="X371" s="92">
        <v>55</v>
      </c>
      <c r="Y371" s="92" t="s">
        <v>64</v>
      </c>
      <c r="Z371" s="133">
        <f t="shared" si="562"/>
        <v>3.960927960927962</v>
      </c>
      <c r="AA371" s="133"/>
      <c r="AB371" s="161">
        <f t="shared" si="563"/>
        <v>3.0239356673591749</v>
      </c>
      <c r="AC371" s="161"/>
      <c r="AD371" s="213">
        <f t="shared" si="564"/>
        <v>0.1</v>
      </c>
      <c r="AE371" s="213">
        <v>0.1</v>
      </c>
      <c r="AF371" s="215">
        <v>0.33</v>
      </c>
      <c r="AG371" s="215" t="s">
        <v>9</v>
      </c>
      <c r="AH371" s="148">
        <f t="shared" si="685"/>
        <v>3.0239356673591749</v>
      </c>
      <c r="AI371" s="122">
        <f t="shared" si="565"/>
        <v>0.33000000000000007</v>
      </c>
      <c r="AJ371" s="444"/>
      <c r="AK371" s="150">
        <f t="shared" si="566"/>
        <v>2.5746031746031748</v>
      </c>
      <c r="AL371" s="153">
        <f t="shared" si="567"/>
        <v>2.2511521079229411</v>
      </c>
      <c r="AM371" s="125">
        <f t="shared" si="568"/>
        <v>0.35000000000000009</v>
      </c>
      <c r="AN371" s="125">
        <f t="shared" si="640"/>
        <v>0.25555555555555565</v>
      </c>
      <c r="AO371" s="140"/>
      <c r="AP371" s="17" t="s">
        <v>664</v>
      </c>
      <c r="AQ371" s="141"/>
      <c r="AR371" s="191"/>
      <c r="AS371" s="191"/>
      <c r="AT371" s="141"/>
      <c r="AU371" s="141">
        <v>16.22</v>
      </c>
      <c r="AV371" s="141">
        <f t="shared" si="570"/>
        <v>16.22</v>
      </c>
      <c r="AW371" s="142">
        <f t="shared" si="571"/>
        <v>2.3171428571428572</v>
      </c>
      <c r="AX371" s="126">
        <f t="shared" si="673"/>
        <v>2.0260368971306471</v>
      </c>
      <c r="AY371" s="17"/>
      <c r="AZ371" s="128">
        <v>8544700000</v>
      </c>
      <c r="BB371" s="161">
        <f t="shared" si="669"/>
        <v>10.079785557863916</v>
      </c>
      <c r="BC371" s="161">
        <f t="shared" si="670"/>
        <v>6.0478713347183497</v>
      </c>
      <c r="BD371" s="161">
        <f t="shared" si="671"/>
        <v>5.0398927789319581</v>
      </c>
      <c r="BE371" s="161">
        <f t="shared" si="672"/>
        <v>4.0319142231455665</v>
      </c>
    </row>
    <row r="372" spans="1:57" s="129" customFormat="1" hidden="1">
      <c r="A372" s="88" t="s">
        <v>1302</v>
      </c>
      <c r="B372" s="88" t="s">
        <v>1318</v>
      </c>
      <c r="C372" s="88" t="s">
        <v>1318</v>
      </c>
      <c r="D372" s="88" t="s">
        <v>656</v>
      </c>
      <c r="E372" s="88" t="s">
        <v>907</v>
      </c>
      <c r="F372" s="89" t="s">
        <v>923</v>
      </c>
      <c r="G372" s="92" t="s">
        <v>820</v>
      </c>
      <c r="H372" s="92"/>
      <c r="I372" s="167" t="s">
        <v>1005</v>
      </c>
      <c r="J372" s="167" t="str">
        <f>_xlfn.XLOOKUP(I372,[1]Sheet1!$A:$A,[1]Sheet1!$B:$B,"")</f>
        <v>U0903008</v>
      </c>
      <c r="K372" s="88" t="s">
        <v>1006</v>
      </c>
      <c r="L372" s="88" t="s">
        <v>1007</v>
      </c>
      <c r="M372" s="92"/>
      <c r="N372" s="89" t="s">
        <v>60</v>
      </c>
      <c r="O372" s="165"/>
      <c r="P372" s="89" t="s">
        <v>912</v>
      </c>
      <c r="Q372" s="92" t="s">
        <v>913</v>
      </c>
      <c r="R372" s="92">
        <v>1440</v>
      </c>
      <c r="S372" s="92" t="e">
        <v>#N/A</v>
      </c>
      <c r="T372" s="92">
        <v>8544700000</v>
      </c>
      <c r="U372" s="155">
        <v>0</v>
      </c>
      <c r="V372" s="207">
        <v>30</v>
      </c>
      <c r="W372" s="92">
        <v>45</v>
      </c>
      <c r="X372" s="92">
        <v>55</v>
      </c>
      <c r="Y372" s="92" t="s">
        <v>64</v>
      </c>
      <c r="Z372" s="133">
        <f t="shared" si="562"/>
        <v>5.3406593406593412</v>
      </c>
      <c r="AA372" s="133"/>
      <c r="AB372" s="161">
        <f t="shared" si="563"/>
        <v>4.0762590436097907</v>
      </c>
      <c r="AC372" s="161"/>
      <c r="AD372" s="213">
        <f t="shared" si="564"/>
        <v>0.1</v>
      </c>
      <c r="AE372" s="213">
        <v>0.1</v>
      </c>
      <c r="AF372" s="215">
        <v>0.33</v>
      </c>
      <c r="AG372" s="215" t="s">
        <v>9</v>
      </c>
      <c r="AH372" s="148">
        <f t="shared" si="685"/>
        <v>4.0762590436097907</v>
      </c>
      <c r="AI372" s="122">
        <f t="shared" si="565"/>
        <v>0.33000000000000007</v>
      </c>
      <c r="AJ372" s="444"/>
      <c r="AK372" s="150">
        <f t="shared" si="566"/>
        <v>3.4714285714285715</v>
      </c>
      <c r="AL372" s="153">
        <f t="shared" si="567"/>
        <v>3.0345483991317326</v>
      </c>
      <c r="AM372" s="125">
        <f t="shared" si="568"/>
        <v>0.35000000000000009</v>
      </c>
      <c r="AN372" s="125">
        <f t="shared" si="640"/>
        <v>0.25555555555555565</v>
      </c>
      <c r="AO372" s="140"/>
      <c r="AP372" s="17" t="s">
        <v>664</v>
      </c>
      <c r="AQ372" s="141"/>
      <c r="AR372" s="191"/>
      <c r="AS372" s="191"/>
      <c r="AT372" s="141"/>
      <c r="AU372" s="141">
        <v>21.87</v>
      </c>
      <c r="AV372" s="141">
        <f t="shared" si="570"/>
        <v>21.87</v>
      </c>
      <c r="AW372" s="142">
        <f t="shared" si="571"/>
        <v>3.1242857142857146</v>
      </c>
      <c r="AX372" s="126">
        <f t="shared" si="673"/>
        <v>2.7310935592185595</v>
      </c>
      <c r="AY372" s="17"/>
      <c r="AZ372" s="128">
        <v>8544700000</v>
      </c>
      <c r="BB372" s="161">
        <f t="shared" si="669"/>
        <v>13.587530145365969</v>
      </c>
      <c r="BC372" s="161">
        <f t="shared" si="670"/>
        <v>8.1525180872195815</v>
      </c>
      <c r="BD372" s="161">
        <f t="shared" si="671"/>
        <v>6.7937650726829846</v>
      </c>
      <c r="BE372" s="161">
        <f t="shared" si="672"/>
        <v>5.4350120581463877</v>
      </c>
    </row>
    <row r="373" spans="1:57" s="129" customFormat="1" hidden="1">
      <c r="A373" s="88" t="s">
        <v>1276</v>
      </c>
      <c r="B373" s="88" t="s">
        <v>1318</v>
      </c>
      <c r="C373" s="88" t="s">
        <v>1318</v>
      </c>
      <c r="D373" s="88" t="s">
        <v>656</v>
      </c>
      <c r="E373" s="88" t="s">
        <v>907</v>
      </c>
      <c r="F373" s="89" t="s">
        <v>923</v>
      </c>
      <c r="G373" s="92" t="s">
        <v>820</v>
      </c>
      <c r="H373" s="92"/>
      <c r="I373" s="167" t="s">
        <v>1632</v>
      </c>
      <c r="J373" s="167" t="str">
        <f>_xlfn.XLOOKUP(I373,[1]Sheet1!$A:$A,[1]Sheet1!$B:$B,"")</f>
        <v/>
      </c>
      <c r="K373" s="88" t="s">
        <v>1634</v>
      </c>
      <c r="L373" s="88" t="s">
        <v>1636</v>
      </c>
      <c r="M373" s="92"/>
      <c r="N373" s="89" t="s">
        <v>60</v>
      </c>
      <c r="O373" s="165"/>
      <c r="P373" s="89" t="s">
        <v>912</v>
      </c>
      <c r="Q373" s="92" t="s">
        <v>913</v>
      </c>
      <c r="R373" s="92">
        <v>720</v>
      </c>
      <c r="S373" s="92" t="e">
        <v>#N/A</v>
      </c>
      <c r="T373" s="92">
        <v>8544700000</v>
      </c>
      <c r="U373" s="155">
        <v>0</v>
      </c>
      <c r="V373" s="207">
        <v>30</v>
      </c>
      <c r="W373" s="92">
        <v>45</v>
      </c>
      <c r="X373" s="92">
        <v>55</v>
      </c>
      <c r="Y373" s="92" t="s">
        <v>64</v>
      </c>
      <c r="Z373" s="133">
        <f t="shared" ref="Z373:Z374" si="686">AK373/(1-(AF373+2%))</f>
        <v>9.1770451770451764</v>
      </c>
      <c r="AA373" s="133"/>
      <c r="AB373" s="161">
        <f t="shared" ref="AB373:AB374" si="687">AX373/(1-AF373)</f>
        <v>7.0299259198512933</v>
      </c>
      <c r="AC373" s="161"/>
      <c r="AD373" s="213">
        <f t="shared" ref="AD373:AD374" si="688">AE373</f>
        <v>0.1</v>
      </c>
      <c r="AE373" s="213">
        <v>0.1</v>
      </c>
      <c r="AF373" s="215">
        <v>0.33</v>
      </c>
      <c r="AG373" s="215" t="s">
        <v>9</v>
      </c>
      <c r="AH373" s="148">
        <f t="shared" si="685"/>
        <v>7.0299259198512933</v>
      </c>
      <c r="AI373" s="122">
        <f t="shared" ref="AI373:AI374" si="689">1-(AX373/AH373)</f>
        <v>0.33000000000000007</v>
      </c>
      <c r="AJ373" s="444"/>
      <c r="AK373" s="150">
        <f t="shared" ref="AK373:AK374" si="690">AW373/(1-AD373)</f>
        <v>5.9650793650793643</v>
      </c>
      <c r="AL373" s="153">
        <f t="shared" ref="AL373:AL374" si="691">AX373/(1-AE373)</f>
        <v>5.2333892958892951</v>
      </c>
      <c r="AM373" s="125">
        <f t="shared" ref="AM373:AM374" si="692">1-(AK373/Z373)</f>
        <v>0.35000000000000009</v>
      </c>
      <c r="AN373" s="125">
        <f t="shared" ref="AN373:AN374" si="693">1-(AL373/AB373)</f>
        <v>0.25555555555555565</v>
      </c>
      <c r="AO373" s="140"/>
      <c r="AP373" s="17" t="s">
        <v>664</v>
      </c>
      <c r="AQ373" s="141"/>
      <c r="AR373" s="191"/>
      <c r="AS373" s="191"/>
      <c r="AT373" s="141"/>
      <c r="AU373" s="141">
        <v>37.58</v>
      </c>
      <c r="AV373" s="141">
        <f t="shared" ref="AV373:AV374" si="694">AT373+AU373</f>
        <v>37.58</v>
      </c>
      <c r="AW373" s="142">
        <f t="shared" ref="AW373:AW374" si="695">(AT373+AU373)/$F$5</f>
        <v>5.3685714285714283</v>
      </c>
      <c r="AX373" s="126">
        <f t="shared" ref="AX373:AX374" si="696">(AW373/$F$6)+(($F$9+$G$9)/40/R373)+AW373*U373</f>
        <v>4.7100503663003659</v>
      </c>
      <c r="AY373" s="17"/>
      <c r="AZ373" s="128">
        <v>8544700000</v>
      </c>
      <c r="BB373" s="168">
        <f t="shared" si="669"/>
        <v>23.433086399504312</v>
      </c>
      <c r="BC373" s="168">
        <f t="shared" si="670"/>
        <v>14.059851839702587</v>
      </c>
      <c r="BD373" s="168">
        <f t="shared" si="671"/>
        <v>11.716543199752156</v>
      </c>
      <c r="BE373" s="168">
        <f t="shared" si="672"/>
        <v>9.373234559801725</v>
      </c>
    </row>
    <row r="374" spans="1:57" s="129" customFormat="1" hidden="1">
      <c r="A374" s="88" t="s">
        <v>1276</v>
      </c>
      <c r="B374" s="88" t="s">
        <v>1318</v>
      </c>
      <c r="C374" s="88" t="s">
        <v>1318</v>
      </c>
      <c r="D374" s="88" t="s">
        <v>656</v>
      </c>
      <c r="E374" s="88" t="s">
        <v>907</v>
      </c>
      <c r="F374" s="89" t="s">
        <v>923</v>
      </c>
      <c r="G374" s="92" t="s">
        <v>820</v>
      </c>
      <c r="H374" s="92"/>
      <c r="I374" s="167" t="s">
        <v>1633</v>
      </c>
      <c r="J374" s="167" t="str">
        <f>_xlfn.XLOOKUP(I374,[1]Sheet1!$A:$A,[1]Sheet1!$B:$B,"")</f>
        <v/>
      </c>
      <c r="K374" s="88" t="s">
        <v>1635</v>
      </c>
      <c r="L374" s="88" t="s">
        <v>1637</v>
      </c>
      <c r="M374" s="92"/>
      <c r="N374" s="89" t="s">
        <v>60</v>
      </c>
      <c r="O374" s="165"/>
      <c r="P374" s="89" t="s">
        <v>912</v>
      </c>
      <c r="Q374" s="92" t="s">
        <v>913</v>
      </c>
      <c r="R374" s="92">
        <v>480</v>
      </c>
      <c r="S374" s="92" t="e">
        <v>#N/A</v>
      </c>
      <c r="T374" s="92">
        <v>8544700000</v>
      </c>
      <c r="U374" s="155">
        <v>0</v>
      </c>
      <c r="V374" s="207">
        <v>30</v>
      </c>
      <c r="W374" s="92">
        <v>45</v>
      </c>
      <c r="X374" s="92">
        <v>55</v>
      </c>
      <c r="Y374" s="92" t="s">
        <v>64</v>
      </c>
      <c r="Z374" s="133">
        <f t="shared" si="686"/>
        <v>12.730158730158733</v>
      </c>
      <c r="AA374" s="133"/>
      <c r="AB374" s="161">
        <f t="shared" si="687"/>
        <v>9.772195569770199</v>
      </c>
      <c r="AC374" s="161"/>
      <c r="AD374" s="213">
        <f t="shared" si="688"/>
        <v>0.1</v>
      </c>
      <c r="AE374" s="213">
        <v>0.1</v>
      </c>
      <c r="AF374" s="215">
        <v>0.33</v>
      </c>
      <c r="AG374" s="215" t="s">
        <v>9</v>
      </c>
      <c r="AH374" s="148">
        <f t="shared" si="685"/>
        <v>9.772195569770199</v>
      </c>
      <c r="AI374" s="122">
        <f t="shared" si="689"/>
        <v>0.33000000000000007</v>
      </c>
      <c r="AJ374" s="444"/>
      <c r="AK374" s="150">
        <f t="shared" si="690"/>
        <v>8.2746031746031754</v>
      </c>
      <c r="AL374" s="153">
        <f t="shared" si="691"/>
        <v>7.2748567019400356</v>
      </c>
      <c r="AM374" s="125">
        <f t="shared" si="692"/>
        <v>0.35000000000000009</v>
      </c>
      <c r="AN374" s="125">
        <f t="shared" si="693"/>
        <v>0.25555555555555565</v>
      </c>
      <c r="AO374" s="140"/>
      <c r="AP374" s="17" t="s">
        <v>664</v>
      </c>
      <c r="AQ374" s="141"/>
      <c r="AR374" s="191"/>
      <c r="AS374" s="191"/>
      <c r="AT374" s="141"/>
      <c r="AU374" s="141">
        <v>52.13</v>
      </c>
      <c r="AV374" s="141">
        <f t="shared" si="694"/>
        <v>52.13</v>
      </c>
      <c r="AW374" s="142">
        <f t="shared" si="695"/>
        <v>7.4471428571428575</v>
      </c>
      <c r="AX374" s="126">
        <f t="shared" si="696"/>
        <v>6.5473710317460325</v>
      </c>
      <c r="AY374" s="17"/>
      <c r="AZ374" s="128">
        <v>8544700000</v>
      </c>
      <c r="BB374" s="168">
        <f t="shared" si="669"/>
        <v>32.573985232567331</v>
      </c>
      <c r="BC374" s="168">
        <f t="shared" si="670"/>
        <v>19.544391139540398</v>
      </c>
      <c r="BD374" s="168">
        <f t="shared" si="671"/>
        <v>16.286992616283666</v>
      </c>
      <c r="BE374" s="168">
        <f t="shared" si="672"/>
        <v>13.029594093026933</v>
      </c>
    </row>
    <row r="375" spans="1:57" s="129" customFormat="1" hidden="1">
      <c r="A375" s="88" t="s">
        <v>1302</v>
      </c>
      <c r="B375" s="88" t="s">
        <v>1318</v>
      </c>
      <c r="C375" s="88" t="s">
        <v>1318</v>
      </c>
      <c r="D375" s="88" t="s">
        <v>656</v>
      </c>
      <c r="E375" s="88" t="s">
        <v>907</v>
      </c>
      <c r="F375" s="89" t="s">
        <v>936</v>
      </c>
      <c r="G375" s="92" t="s">
        <v>820</v>
      </c>
      <c r="H375" s="92"/>
      <c r="I375" s="167" t="s">
        <v>1008</v>
      </c>
      <c r="J375" s="167" t="str">
        <f>_xlfn.XLOOKUP(I375,[1]Sheet1!$A:$A,[1]Sheet1!$B:$B,"")</f>
        <v>U0903001</v>
      </c>
      <c r="K375" s="88" t="s">
        <v>1009</v>
      </c>
      <c r="L375" s="88" t="s">
        <v>1010</v>
      </c>
      <c r="M375" s="92"/>
      <c r="N375" s="89" t="s">
        <v>60</v>
      </c>
      <c r="O375" s="165"/>
      <c r="P375" s="89" t="s">
        <v>912</v>
      </c>
      <c r="Q375" s="92" t="s">
        <v>913</v>
      </c>
      <c r="R375" s="92">
        <v>2160</v>
      </c>
      <c r="S375" s="92" t="e">
        <v>#N/A</v>
      </c>
      <c r="T375" s="92">
        <v>8544700000</v>
      </c>
      <c r="U375" s="155">
        <v>0</v>
      </c>
      <c r="V375" s="207">
        <v>30</v>
      </c>
      <c r="W375" s="92">
        <v>45</v>
      </c>
      <c r="X375" s="92">
        <v>55</v>
      </c>
      <c r="Y375" s="92" t="s">
        <v>64</v>
      </c>
      <c r="Z375" s="133">
        <f t="shared" si="562"/>
        <v>2.5787545787545794</v>
      </c>
      <c r="AA375" s="133"/>
      <c r="AB375" s="161">
        <f t="shared" si="563"/>
        <v>1.9849052964724609</v>
      </c>
      <c r="AC375" s="161"/>
      <c r="AD375" s="213">
        <f t="shared" si="564"/>
        <v>0.1</v>
      </c>
      <c r="AE375" s="213">
        <v>0.1</v>
      </c>
      <c r="AF375" s="215">
        <v>0.33</v>
      </c>
      <c r="AG375" s="215" t="s">
        <v>9</v>
      </c>
      <c r="AH375" s="148">
        <f t="shared" si="685"/>
        <v>1.9849052964724609</v>
      </c>
      <c r="AI375" s="122">
        <f t="shared" si="565"/>
        <v>0.33000000000000007</v>
      </c>
      <c r="AJ375" s="444"/>
      <c r="AK375" s="150">
        <f t="shared" si="566"/>
        <v>1.6761904761904762</v>
      </c>
      <c r="AL375" s="153">
        <f t="shared" si="567"/>
        <v>1.4776517207072764</v>
      </c>
      <c r="AM375" s="125">
        <f t="shared" si="568"/>
        <v>0.35000000000000009</v>
      </c>
      <c r="AN375" s="125">
        <f t="shared" si="640"/>
        <v>0.25555555555555565</v>
      </c>
      <c r="AO375" s="140"/>
      <c r="AP375" s="17" t="s">
        <v>664</v>
      </c>
      <c r="AQ375" s="141"/>
      <c r="AR375" s="191"/>
      <c r="AS375" s="191"/>
      <c r="AT375" s="141"/>
      <c r="AU375" s="141">
        <v>10.56</v>
      </c>
      <c r="AV375" s="141">
        <f t="shared" si="570"/>
        <v>10.56</v>
      </c>
      <c r="AW375" s="142">
        <f t="shared" si="571"/>
        <v>1.5085714285714287</v>
      </c>
      <c r="AX375" s="126">
        <f t="shared" si="673"/>
        <v>1.3298865486365488</v>
      </c>
      <c r="AY375" s="17"/>
      <c r="AZ375" s="128">
        <v>8544700000</v>
      </c>
      <c r="BB375" s="161">
        <f t="shared" si="669"/>
        <v>6.6163509882415363</v>
      </c>
      <c r="BC375" s="161">
        <f t="shared" si="670"/>
        <v>3.9698105929449214</v>
      </c>
      <c r="BD375" s="161">
        <f t="shared" si="671"/>
        <v>3.3081754941207682</v>
      </c>
      <c r="BE375" s="161">
        <f t="shared" si="672"/>
        <v>2.6465403952966149</v>
      </c>
    </row>
    <row r="376" spans="1:57" s="129" customFormat="1" hidden="1">
      <c r="A376" s="88" t="s">
        <v>1302</v>
      </c>
      <c r="B376" s="88" t="s">
        <v>1318</v>
      </c>
      <c r="C376" s="88" t="s">
        <v>1318</v>
      </c>
      <c r="D376" s="88" t="s">
        <v>656</v>
      </c>
      <c r="E376" s="88" t="s">
        <v>907</v>
      </c>
      <c r="F376" s="89" t="s">
        <v>936</v>
      </c>
      <c r="G376" s="92" t="s">
        <v>820</v>
      </c>
      <c r="H376" s="92"/>
      <c r="I376" s="167" t="s">
        <v>1011</v>
      </c>
      <c r="J376" s="167" t="str">
        <f>_xlfn.XLOOKUP(I376,[1]Sheet1!$A:$A,[1]Sheet1!$B:$B,"")</f>
        <v>U0903002</v>
      </c>
      <c r="K376" s="88" t="s">
        <v>1012</v>
      </c>
      <c r="L376" s="88" t="s">
        <v>1013</v>
      </c>
      <c r="M376" s="92"/>
      <c r="N376" s="89" t="s">
        <v>60</v>
      </c>
      <c r="O376" s="165"/>
      <c r="P376" s="89" t="s">
        <v>912</v>
      </c>
      <c r="Q376" s="92" t="s">
        <v>913</v>
      </c>
      <c r="R376" s="92">
        <v>1920</v>
      </c>
      <c r="S376" s="92" t="e">
        <v>#N/A</v>
      </c>
      <c r="T376" s="92">
        <v>8544700000</v>
      </c>
      <c r="U376" s="155">
        <v>0</v>
      </c>
      <c r="V376" s="207">
        <v>30</v>
      </c>
      <c r="W376" s="92">
        <v>45</v>
      </c>
      <c r="X376" s="92">
        <v>55</v>
      </c>
      <c r="Y376" s="92" t="s">
        <v>64</v>
      </c>
      <c r="Z376" s="133">
        <f t="shared" si="562"/>
        <v>3.2698412698412702</v>
      </c>
      <c r="AA376" s="133"/>
      <c r="AB376" s="161">
        <f t="shared" si="563"/>
        <v>2.5081993307273165</v>
      </c>
      <c r="AC376" s="161"/>
      <c r="AD376" s="213">
        <f t="shared" si="564"/>
        <v>0.1</v>
      </c>
      <c r="AE376" s="213">
        <v>0.1</v>
      </c>
      <c r="AF376" s="215">
        <v>0.33</v>
      </c>
      <c r="AG376" s="215" t="s">
        <v>9</v>
      </c>
      <c r="AH376" s="148">
        <f t="shared" si="685"/>
        <v>2.5081993307273165</v>
      </c>
      <c r="AI376" s="122">
        <f t="shared" si="565"/>
        <v>0.33000000000000007</v>
      </c>
      <c r="AJ376" s="444"/>
      <c r="AK376" s="150">
        <f t="shared" si="566"/>
        <v>2.1253968253968254</v>
      </c>
      <c r="AL376" s="153">
        <f t="shared" si="567"/>
        <v>1.8672150573192243</v>
      </c>
      <c r="AM376" s="125">
        <f t="shared" si="568"/>
        <v>0.35000000000000009</v>
      </c>
      <c r="AN376" s="125">
        <f t="shared" si="640"/>
        <v>0.25555555555555565</v>
      </c>
      <c r="AO376" s="140"/>
      <c r="AP376" s="17" t="s">
        <v>664</v>
      </c>
      <c r="AQ376" s="141"/>
      <c r="AR376" s="191"/>
      <c r="AS376" s="191"/>
      <c r="AT376" s="141"/>
      <c r="AU376" s="141">
        <v>13.39</v>
      </c>
      <c r="AV376" s="141">
        <f t="shared" si="570"/>
        <v>13.39</v>
      </c>
      <c r="AW376" s="142">
        <f t="shared" si="571"/>
        <v>1.912857142857143</v>
      </c>
      <c r="AX376" s="126">
        <f t="shared" si="673"/>
        <v>1.6804935515873018</v>
      </c>
      <c r="AY376" s="17"/>
      <c r="AZ376" s="128">
        <v>8544700000</v>
      </c>
      <c r="BB376" s="161">
        <f t="shared" si="669"/>
        <v>8.3606644357577213</v>
      </c>
      <c r="BC376" s="161">
        <f t="shared" si="670"/>
        <v>5.016398661454633</v>
      </c>
      <c r="BD376" s="161">
        <f t="shared" si="671"/>
        <v>4.1803322178788607</v>
      </c>
      <c r="BE376" s="161">
        <f t="shared" si="672"/>
        <v>3.3442657743030888</v>
      </c>
    </row>
    <row r="377" spans="1:57" s="129" customFormat="1" hidden="1">
      <c r="A377" s="88" t="s">
        <v>1302</v>
      </c>
      <c r="B377" s="88" t="s">
        <v>1318</v>
      </c>
      <c r="C377" s="88" t="s">
        <v>1318</v>
      </c>
      <c r="D377" s="88" t="s">
        <v>656</v>
      </c>
      <c r="E377" s="88" t="s">
        <v>907</v>
      </c>
      <c r="F377" s="89" t="s">
        <v>936</v>
      </c>
      <c r="G377" s="92" t="s">
        <v>820</v>
      </c>
      <c r="H377" s="92"/>
      <c r="I377" s="167" t="s">
        <v>1014</v>
      </c>
      <c r="J377" s="167" t="str">
        <f>_xlfn.XLOOKUP(I377,[1]Sheet1!$A:$A,[1]Sheet1!$B:$B,"")</f>
        <v>U0903003</v>
      </c>
      <c r="K377" s="88" t="s">
        <v>1015</v>
      </c>
      <c r="L377" s="88" t="s">
        <v>1016</v>
      </c>
      <c r="M377" s="92"/>
      <c r="N377" s="89" t="s">
        <v>60</v>
      </c>
      <c r="O377" s="165"/>
      <c r="P377" s="89" t="s">
        <v>912</v>
      </c>
      <c r="Q377" s="92" t="s">
        <v>913</v>
      </c>
      <c r="R377" s="92">
        <v>1920</v>
      </c>
      <c r="S377" s="92" t="e">
        <v>#N/A</v>
      </c>
      <c r="T377" s="92">
        <v>8544700000</v>
      </c>
      <c r="U377" s="155">
        <v>0</v>
      </c>
      <c r="V377" s="207">
        <v>30</v>
      </c>
      <c r="W377" s="92">
        <v>45</v>
      </c>
      <c r="X377" s="92">
        <v>55</v>
      </c>
      <c r="Y377" s="92" t="s">
        <v>64</v>
      </c>
      <c r="Z377" s="133">
        <f t="shared" si="562"/>
        <v>3.960927960927962</v>
      </c>
      <c r="AA377" s="133"/>
      <c r="AB377" s="161">
        <f t="shared" si="563"/>
        <v>3.0239356673591749</v>
      </c>
      <c r="AC377" s="161"/>
      <c r="AD377" s="213">
        <f t="shared" si="564"/>
        <v>0.1</v>
      </c>
      <c r="AE377" s="213">
        <v>0.1</v>
      </c>
      <c r="AF377" s="215">
        <v>0.33</v>
      </c>
      <c r="AG377" s="215" t="s">
        <v>9</v>
      </c>
      <c r="AH377" s="148">
        <f t="shared" si="685"/>
        <v>3.0239356673591749</v>
      </c>
      <c r="AI377" s="122">
        <f t="shared" si="565"/>
        <v>0.33000000000000007</v>
      </c>
      <c r="AJ377" s="444"/>
      <c r="AK377" s="150">
        <f t="shared" si="566"/>
        <v>2.5746031746031748</v>
      </c>
      <c r="AL377" s="153">
        <f t="shared" si="567"/>
        <v>2.2511521079229411</v>
      </c>
      <c r="AM377" s="125">
        <f t="shared" si="568"/>
        <v>0.35000000000000009</v>
      </c>
      <c r="AN377" s="125">
        <f t="shared" si="640"/>
        <v>0.25555555555555565</v>
      </c>
      <c r="AO377" s="140"/>
      <c r="AP377" s="17" t="s">
        <v>664</v>
      </c>
      <c r="AQ377" s="141"/>
      <c r="AR377" s="191"/>
      <c r="AS377" s="191"/>
      <c r="AT377" s="141"/>
      <c r="AU377" s="141">
        <v>16.22</v>
      </c>
      <c r="AV377" s="141">
        <f t="shared" si="570"/>
        <v>16.22</v>
      </c>
      <c r="AW377" s="142">
        <f t="shared" si="571"/>
        <v>2.3171428571428572</v>
      </c>
      <c r="AX377" s="126">
        <f t="shared" si="673"/>
        <v>2.0260368971306471</v>
      </c>
      <c r="AY377" s="17"/>
      <c r="AZ377" s="128">
        <v>8544700000</v>
      </c>
      <c r="BB377" s="161">
        <f t="shared" si="669"/>
        <v>10.079785557863916</v>
      </c>
      <c r="BC377" s="161">
        <f t="shared" si="670"/>
        <v>6.0478713347183497</v>
      </c>
      <c r="BD377" s="161">
        <f t="shared" si="671"/>
        <v>5.0398927789319581</v>
      </c>
      <c r="BE377" s="161">
        <f t="shared" si="672"/>
        <v>4.0319142231455665</v>
      </c>
    </row>
    <row r="378" spans="1:57" s="129" customFormat="1" hidden="1">
      <c r="A378" s="88" t="s">
        <v>1302</v>
      </c>
      <c r="B378" s="88" t="s">
        <v>1318</v>
      </c>
      <c r="C378" s="88" t="s">
        <v>1318</v>
      </c>
      <c r="D378" s="88" t="s">
        <v>656</v>
      </c>
      <c r="E378" s="88" t="s">
        <v>907</v>
      </c>
      <c r="F378" s="89" t="s">
        <v>936</v>
      </c>
      <c r="G378" s="92" t="s">
        <v>820</v>
      </c>
      <c r="H378" s="92"/>
      <c r="I378" s="167" t="s">
        <v>1017</v>
      </c>
      <c r="J378" s="167" t="str">
        <f>_xlfn.XLOOKUP(I378,[1]Sheet1!$A:$A,[1]Sheet1!$B:$B,"")</f>
        <v>U0903004</v>
      </c>
      <c r="K378" s="88" t="s">
        <v>1018</v>
      </c>
      <c r="L378" s="88" t="s">
        <v>1019</v>
      </c>
      <c r="M378" s="92"/>
      <c r="N378" s="89" t="s">
        <v>60</v>
      </c>
      <c r="O378" s="165"/>
      <c r="P378" s="89" t="s">
        <v>912</v>
      </c>
      <c r="Q378" s="92" t="s">
        <v>913</v>
      </c>
      <c r="R378" s="92">
        <v>1440</v>
      </c>
      <c r="S378" s="92" t="e">
        <v>#N/A</v>
      </c>
      <c r="T378" s="92">
        <v>8544700000</v>
      </c>
      <c r="U378" s="155">
        <v>0</v>
      </c>
      <c r="V378" s="207">
        <v>30</v>
      </c>
      <c r="W378" s="92">
        <v>45</v>
      </c>
      <c r="X378" s="92">
        <v>55</v>
      </c>
      <c r="Y378" s="92" t="s">
        <v>64</v>
      </c>
      <c r="Z378" s="133">
        <f t="shared" si="562"/>
        <v>5.3406593406593412</v>
      </c>
      <c r="AA378" s="133"/>
      <c r="AB378" s="161">
        <f t="shared" si="563"/>
        <v>4.0762590436097907</v>
      </c>
      <c r="AC378" s="161"/>
      <c r="AD378" s="213">
        <f t="shared" si="564"/>
        <v>0.1</v>
      </c>
      <c r="AE378" s="213">
        <v>0.1</v>
      </c>
      <c r="AF378" s="215">
        <v>0.33</v>
      </c>
      <c r="AG378" s="215" t="s">
        <v>9</v>
      </c>
      <c r="AH378" s="148">
        <f t="shared" si="685"/>
        <v>4.0762590436097907</v>
      </c>
      <c r="AI378" s="122">
        <f t="shared" si="565"/>
        <v>0.33000000000000007</v>
      </c>
      <c r="AJ378" s="444"/>
      <c r="AK378" s="150">
        <f t="shared" si="566"/>
        <v>3.4714285714285715</v>
      </c>
      <c r="AL378" s="153">
        <f t="shared" si="567"/>
        <v>3.0345483991317326</v>
      </c>
      <c r="AM378" s="125">
        <f t="shared" si="568"/>
        <v>0.35000000000000009</v>
      </c>
      <c r="AN378" s="125">
        <f t="shared" si="640"/>
        <v>0.25555555555555565</v>
      </c>
      <c r="AO378" s="140"/>
      <c r="AP378" s="17" t="s">
        <v>664</v>
      </c>
      <c r="AQ378" s="141"/>
      <c r="AR378" s="191"/>
      <c r="AS378" s="191"/>
      <c r="AT378" s="141"/>
      <c r="AU378" s="141">
        <v>21.87</v>
      </c>
      <c r="AV378" s="141">
        <f t="shared" si="570"/>
        <v>21.87</v>
      </c>
      <c r="AW378" s="142">
        <f t="shared" si="571"/>
        <v>3.1242857142857146</v>
      </c>
      <c r="AX378" s="126">
        <f t="shared" si="673"/>
        <v>2.7310935592185595</v>
      </c>
      <c r="AY378" s="17"/>
      <c r="AZ378" s="128">
        <v>8544700000</v>
      </c>
      <c r="BB378" s="161">
        <f t="shared" si="669"/>
        <v>13.587530145365969</v>
      </c>
      <c r="BC378" s="161">
        <f t="shared" si="670"/>
        <v>8.1525180872195815</v>
      </c>
      <c r="BD378" s="161">
        <f t="shared" si="671"/>
        <v>6.7937650726829846</v>
      </c>
      <c r="BE378" s="161">
        <f t="shared" si="672"/>
        <v>5.4350120581463877</v>
      </c>
    </row>
    <row r="379" spans="1:57" s="129" customFormat="1" hidden="1">
      <c r="A379" s="88" t="s">
        <v>1276</v>
      </c>
      <c r="B379" s="88" t="s">
        <v>1318</v>
      </c>
      <c r="C379" s="88" t="s">
        <v>1318</v>
      </c>
      <c r="D379" s="88" t="s">
        <v>656</v>
      </c>
      <c r="E379" s="88" t="s">
        <v>907</v>
      </c>
      <c r="F379" s="89" t="s">
        <v>936</v>
      </c>
      <c r="G379" s="92" t="s">
        <v>820</v>
      </c>
      <c r="H379" s="92"/>
      <c r="I379" s="167" t="s">
        <v>1638</v>
      </c>
      <c r="J379" s="167" t="str">
        <f>_xlfn.XLOOKUP(I379,[1]Sheet1!$A:$A,[1]Sheet1!$B:$B,"")</f>
        <v/>
      </c>
      <c r="K379" s="88" t="s">
        <v>1640</v>
      </c>
      <c r="L379" s="88" t="s">
        <v>1642</v>
      </c>
      <c r="M379" s="92"/>
      <c r="N379" s="89" t="s">
        <v>60</v>
      </c>
      <c r="O379" s="165"/>
      <c r="P379" s="89" t="s">
        <v>912</v>
      </c>
      <c r="Q379" s="92" t="s">
        <v>913</v>
      </c>
      <c r="R379" s="92">
        <v>720</v>
      </c>
      <c r="S379" s="92" t="e">
        <v>#N/A</v>
      </c>
      <c r="T379" s="92">
        <v>8544700000</v>
      </c>
      <c r="U379" s="155">
        <v>0</v>
      </c>
      <c r="V379" s="207">
        <v>30</v>
      </c>
      <c r="W379" s="92">
        <v>45</v>
      </c>
      <c r="X379" s="92">
        <v>55</v>
      </c>
      <c r="Y379" s="92" t="s">
        <v>64</v>
      </c>
      <c r="Z379" s="133">
        <f t="shared" ref="Z379:Z380" si="697">AK379/(1-(AF379+2%))</f>
        <v>9.1770451770451764</v>
      </c>
      <c r="AA379" s="133"/>
      <c r="AB379" s="161">
        <f t="shared" ref="AB379:AB380" si="698">AX379/(1-AF379)</f>
        <v>7.0299259198512933</v>
      </c>
      <c r="AC379" s="161"/>
      <c r="AD379" s="213">
        <f t="shared" ref="AD379:AD380" si="699">AE379</f>
        <v>0.1</v>
      </c>
      <c r="AE379" s="213">
        <v>0.1</v>
      </c>
      <c r="AF379" s="215">
        <v>0.33</v>
      </c>
      <c r="AG379" s="215" t="s">
        <v>9</v>
      </c>
      <c r="AH379" s="148">
        <f t="shared" si="685"/>
        <v>7.0299259198512933</v>
      </c>
      <c r="AI379" s="122">
        <f t="shared" ref="AI379:AI380" si="700">1-(AX379/AH379)</f>
        <v>0.33000000000000007</v>
      </c>
      <c r="AJ379" s="444"/>
      <c r="AK379" s="150">
        <f t="shared" ref="AK379:AK380" si="701">AW379/(1-AD379)</f>
        <v>5.9650793650793643</v>
      </c>
      <c r="AL379" s="153">
        <f t="shared" ref="AL379:AL380" si="702">AX379/(1-AE379)</f>
        <v>5.2333892958892951</v>
      </c>
      <c r="AM379" s="125">
        <f t="shared" ref="AM379:AM380" si="703">1-(AK379/Z379)</f>
        <v>0.35000000000000009</v>
      </c>
      <c r="AN379" s="125">
        <f t="shared" ref="AN379:AN380" si="704">1-(AL379/AB379)</f>
        <v>0.25555555555555565</v>
      </c>
      <c r="AO379" s="140"/>
      <c r="AP379" s="17" t="s">
        <v>664</v>
      </c>
      <c r="AQ379" s="141"/>
      <c r="AR379" s="191"/>
      <c r="AS379" s="191"/>
      <c r="AT379" s="141"/>
      <c r="AU379" s="141">
        <v>37.58</v>
      </c>
      <c r="AV379" s="141">
        <f t="shared" ref="AV379:AV380" si="705">AT379+AU379</f>
        <v>37.58</v>
      </c>
      <c r="AW379" s="142">
        <f t="shared" ref="AW379:AW380" si="706">(AT379+AU379)/$F$5</f>
        <v>5.3685714285714283</v>
      </c>
      <c r="AX379" s="126">
        <f t="shared" ref="AX379:AX380" si="707">(AW379/$F$6)+(($F$9+$G$9)/40/R379)+AW379*U379</f>
        <v>4.7100503663003659</v>
      </c>
      <c r="AY379" s="17"/>
      <c r="AZ379" s="128">
        <v>8544700000</v>
      </c>
      <c r="BB379" s="168">
        <f t="shared" si="669"/>
        <v>23.433086399504312</v>
      </c>
      <c r="BC379" s="168">
        <f t="shared" si="670"/>
        <v>14.059851839702587</v>
      </c>
      <c r="BD379" s="168">
        <f t="shared" si="671"/>
        <v>11.716543199752156</v>
      </c>
      <c r="BE379" s="168">
        <f t="shared" si="672"/>
        <v>9.373234559801725</v>
      </c>
    </row>
    <row r="380" spans="1:57" s="129" customFormat="1" hidden="1">
      <c r="A380" s="88" t="s">
        <v>1276</v>
      </c>
      <c r="B380" s="88" t="s">
        <v>1318</v>
      </c>
      <c r="C380" s="88" t="s">
        <v>1318</v>
      </c>
      <c r="D380" s="88" t="s">
        <v>656</v>
      </c>
      <c r="E380" s="88" t="s">
        <v>907</v>
      </c>
      <c r="F380" s="89" t="s">
        <v>936</v>
      </c>
      <c r="G380" s="92" t="s">
        <v>820</v>
      </c>
      <c r="H380" s="92"/>
      <c r="I380" s="167" t="s">
        <v>1639</v>
      </c>
      <c r="J380" s="167" t="str">
        <f>_xlfn.XLOOKUP(I380,[1]Sheet1!$A:$A,[1]Sheet1!$B:$B,"")</f>
        <v/>
      </c>
      <c r="K380" s="88" t="s">
        <v>1641</v>
      </c>
      <c r="L380" s="88" t="s">
        <v>1643</v>
      </c>
      <c r="M380" s="92"/>
      <c r="N380" s="89" t="s">
        <v>60</v>
      </c>
      <c r="O380" s="165"/>
      <c r="P380" s="89" t="s">
        <v>912</v>
      </c>
      <c r="Q380" s="92" t="s">
        <v>913</v>
      </c>
      <c r="R380" s="92">
        <v>480</v>
      </c>
      <c r="S380" s="92" t="e">
        <v>#N/A</v>
      </c>
      <c r="T380" s="92">
        <v>8544700000</v>
      </c>
      <c r="U380" s="155">
        <v>0</v>
      </c>
      <c r="V380" s="207">
        <v>30</v>
      </c>
      <c r="W380" s="92">
        <v>45</v>
      </c>
      <c r="X380" s="92">
        <v>55</v>
      </c>
      <c r="Y380" s="92" t="s">
        <v>64</v>
      </c>
      <c r="Z380" s="133">
        <f t="shared" si="697"/>
        <v>12.730158730158733</v>
      </c>
      <c r="AA380" s="133"/>
      <c r="AB380" s="161">
        <f t="shared" si="698"/>
        <v>9.772195569770199</v>
      </c>
      <c r="AC380" s="161"/>
      <c r="AD380" s="213">
        <f t="shared" si="699"/>
        <v>0.1</v>
      </c>
      <c r="AE380" s="213">
        <v>0.1</v>
      </c>
      <c r="AF380" s="215">
        <v>0.33</v>
      </c>
      <c r="AG380" s="215" t="s">
        <v>9</v>
      </c>
      <c r="AH380" s="148">
        <f t="shared" si="685"/>
        <v>9.772195569770199</v>
      </c>
      <c r="AI380" s="122">
        <f t="shared" si="700"/>
        <v>0.33000000000000007</v>
      </c>
      <c r="AJ380" s="444"/>
      <c r="AK380" s="150">
        <f t="shared" si="701"/>
        <v>8.2746031746031754</v>
      </c>
      <c r="AL380" s="153">
        <f t="shared" si="702"/>
        <v>7.2748567019400356</v>
      </c>
      <c r="AM380" s="125">
        <f t="shared" si="703"/>
        <v>0.35000000000000009</v>
      </c>
      <c r="AN380" s="125">
        <f t="shared" si="704"/>
        <v>0.25555555555555565</v>
      </c>
      <c r="AO380" s="140"/>
      <c r="AP380" s="17" t="s">
        <v>664</v>
      </c>
      <c r="AQ380" s="141"/>
      <c r="AR380" s="191"/>
      <c r="AS380" s="191"/>
      <c r="AT380" s="141"/>
      <c r="AU380" s="141">
        <v>52.13</v>
      </c>
      <c r="AV380" s="141">
        <f t="shared" si="705"/>
        <v>52.13</v>
      </c>
      <c r="AW380" s="142">
        <f t="shared" si="706"/>
        <v>7.4471428571428575</v>
      </c>
      <c r="AX380" s="126">
        <f t="shared" si="707"/>
        <v>6.5473710317460325</v>
      </c>
      <c r="AY380" s="17"/>
      <c r="AZ380" s="128">
        <v>8544700000</v>
      </c>
      <c r="BB380" s="168">
        <f t="shared" si="669"/>
        <v>32.573985232567331</v>
      </c>
      <c r="BC380" s="168">
        <f t="shared" si="670"/>
        <v>19.544391139540398</v>
      </c>
      <c r="BD380" s="168">
        <f t="shared" si="671"/>
        <v>16.286992616283666</v>
      </c>
      <c r="BE380" s="168">
        <f t="shared" si="672"/>
        <v>13.029594093026933</v>
      </c>
    </row>
    <row r="381" spans="1:57" s="129" customFormat="1" hidden="1">
      <c r="A381" s="88" t="s">
        <v>1302</v>
      </c>
      <c r="B381" s="88" t="s">
        <v>1318</v>
      </c>
      <c r="C381" s="88" t="s">
        <v>1318</v>
      </c>
      <c r="D381" s="88" t="s">
        <v>656</v>
      </c>
      <c r="E381" s="88" t="s">
        <v>907</v>
      </c>
      <c r="F381" s="89" t="s">
        <v>908</v>
      </c>
      <c r="G381" s="92" t="s">
        <v>2632</v>
      </c>
      <c r="H381" s="92"/>
      <c r="I381" s="167" t="s">
        <v>1020</v>
      </c>
      <c r="J381" s="167" t="str">
        <f>_xlfn.XLOOKUP(I381,[1]Sheet1!$A:$A,[1]Sheet1!$B:$B,"")</f>
        <v>U0904009</v>
      </c>
      <c r="K381" s="88" t="s">
        <v>1021</v>
      </c>
      <c r="L381" s="88" t="s">
        <v>1022</v>
      </c>
      <c r="M381" s="92"/>
      <c r="N381" s="89" t="s">
        <v>60</v>
      </c>
      <c r="O381" s="165"/>
      <c r="P381" s="89" t="s">
        <v>912</v>
      </c>
      <c r="Q381" s="92" t="s">
        <v>913</v>
      </c>
      <c r="R381" s="92">
        <v>2160</v>
      </c>
      <c r="S381" s="92" t="e">
        <v>#N/A</v>
      </c>
      <c r="T381" s="92">
        <v>8544700000</v>
      </c>
      <c r="U381" s="155">
        <v>0</v>
      </c>
      <c r="V381" s="207">
        <v>30</v>
      </c>
      <c r="W381" s="92">
        <v>45</v>
      </c>
      <c r="X381" s="92">
        <v>55</v>
      </c>
      <c r="Y381" s="92" t="s">
        <v>64</v>
      </c>
      <c r="Z381" s="133">
        <f t="shared" si="562"/>
        <v>3.6239316239316244</v>
      </c>
      <c r="AA381" s="133"/>
      <c r="AB381" s="161">
        <f t="shared" si="563"/>
        <v>2.7648881660075695</v>
      </c>
      <c r="AC381" s="161"/>
      <c r="AD381" s="213">
        <f t="shared" si="564"/>
        <v>0.1</v>
      </c>
      <c r="AE381" s="213">
        <v>0.1</v>
      </c>
      <c r="AF381" s="215">
        <v>0.33</v>
      </c>
      <c r="AG381" s="215" t="s">
        <v>9</v>
      </c>
      <c r="AH381" s="148">
        <f t="shared" si="685"/>
        <v>2.7648881660075695</v>
      </c>
      <c r="AI381" s="122">
        <f t="shared" si="565"/>
        <v>0.33000000000000007</v>
      </c>
      <c r="AJ381" s="444"/>
      <c r="AK381" s="150">
        <f t="shared" si="566"/>
        <v>2.3555555555555556</v>
      </c>
      <c r="AL381" s="153">
        <f t="shared" si="567"/>
        <v>2.0583056346945239</v>
      </c>
      <c r="AM381" s="125">
        <f t="shared" si="568"/>
        <v>0.35000000000000009</v>
      </c>
      <c r="AN381" s="125">
        <f t="shared" si="640"/>
        <v>0.25555555555555554</v>
      </c>
      <c r="AO381" s="140"/>
      <c r="AP381" s="17" t="s">
        <v>664</v>
      </c>
      <c r="AQ381" s="141"/>
      <c r="AR381" s="191"/>
      <c r="AS381" s="191"/>
      <c r="AT381" s="141">
        <v>5.04</v>
      </c>
      <c r="AU381" s="141">
        <v>9.8000000000000007</v>
      </c>
      <c r="AV381" s="141">
        <f t="shared" si="570"/>
        <v>14.84</v>
      </c>
      <c r="AW381" s="142">
        <f t="shared" si="571"/>
        <v>2.12</v>
      </c>
      <c r="AX381" s="126">
        <f t="shared" si="673"/>
        <v>1.8524750712250715</v>
      </c>
      <c r="AY381" s="17"/>
      <c r="AZ381" s="128">
        <v>8544700000</v>
      </c>
      <c r="BB381" s="168">
        <f t="shared" si="669"/>
        <v>9.2162938866918989</v>
      </c>
      <c r="BC381" s="168">
        <f t="shared" si="670"/>
        <v>5.529776332015139</v>
      </c>
      <c r="BD381" s="168">
        <f t="shared" si="671"/>
        <v>4.6081469433459494</v>
      </c>
      <c r="BE381" s="168">
        <f t="shared" si="672"/>
        <v>3.6865175546767599</v>
      </c>
    </row>
    <row r="382" spans="1:57" s="129" customFormat="1" hidden="1">
      <c r="A382" s="88" t="s">
        <v>1302</v>
      </c>
      <c r="B382" s="88" t="s">
        <v>1318</v>
      </c>
      <c r="C382" s="88" t="s">
        <v>1318</v>
      </c>
      <c r="D382" s="88" t="s">
        <v>656</v>
      </c>
      <c r="E382" s="88" t="s">
        <v>907</v>
      </c>
      <c r="F382" s="89" t="s">
        <v>908</v>
      </c>
      <c r="G382" s="92" t="s">
        <v>2632</v>
      </c>
      <c r="H382" s="92"/>
      <c r="I382" s="167" t="s">
        <v>1023</v>
      </c>
      <c r="J382" s="167" t="str">
        <f>_xlfn.XLOOKUP(I382,[1]Sheet1!$A:$A,[1]Sheet1!$B:$B,"")</f>
        <v>U0904010</v>
      </c>
      <c r="K382" s="88" t="s">
        <v>1024</v>
      </c>
      <c r="L382" s="88" t="s">
        <v>1025</v>
      </c>
      <c r="M382" s="92"/>
      <c r="N382" s="89" t="s">
        <v>60</v>
      </c>
      <c r="O382" s="165"/>
      <c r="P382" s="89" t="s">
        <v>912</v>
      </c>
      <c r="Q382" s="92" t="s">
        <v>913</v>
      </c>
      <c r="R382" s="92">
        <v>1920</v>
      </c>
      <c r="S382" s="92" t="e">
        <v>#N/A</v>
      </c>
      <c r="T382" s="92">
        <v>8544700000</v>
      </c>
      <c r="U382" s="155">
        <v>0</v>
      </c>
      <c r="V382" s="207">
        <v>30</v>
      </c>
      <c r="W382" s="92">
        <v>45</v>
      </c>
      <c r="X382" s="92">
        <v>55</v>
      </c>
      <c r="Y382" s="92" t="s">
        <v>64</v>
      </c>
      <c r="Z382" s="133">
        <f t="shared" si="562"/>
        <v>3.7582417582417591</v>
      </c>
      <c r="AA382" s="133"/>
      <c r="AB382" s="161">
        <f t="shared" si="563"/>
        <v>2.872677307145592</v>
      </c>
      <c r="AC382" s="161"/>
      <c r="AD382" s="213">
        <f t="shared" si="564"/>
        <v>0.1</v>
      </c>
      <c r="AE382" s="213">
        <v>0.1</v>
      </c>
      <c r="AF382" s="215">
        <v>0.33</v>
      </c>
      <c r="AG382" s="215" t="s">
        <v>9</v>
      </c>
      <c r="AH382" s="148">
        <f t="shared" si="685"/>
        <v>2.872677307145592</v>
      </c>
      <c r="AI382" s="122">
        <f t="shared" si="565"/>
        <v>0.33000000000000007</v>
      </c>
      <c r="AJ382" s="444"/>
      <c r="AK382" s="150">
        <f t="shared" si="566"/>
        <v>2.4428571428571431</v>
      </c>
      <c r="AL382" s="153">
        <f t="shared" si="567"/>
        <v>2.1385486619861624</v>
      </c>
      <c r="AM382" s="125">
        <f t="shared" si="568"/>
        <v>0.35000000000000009</v>
      </c>
      <c r="AN382" s="125">
        <f t="shared" si="640"/>
        <v>0.25555555555555576</v>
      </c>
      <c r="AO382" s="140"/>
      <c r="AP382" s="17" t="s">
        <v>664</v>
      </c>
      <c r="AQ382" s="141"/>
      <c r="AR382" s="191"/>
      <c r="AS382" s="191"/>
      <c r="AT382" s="141">
        <v>5.04</v>
      </c>
      <c r="AU382" s="141">
        <v>10.35</v>
      </c>
      <c r="AV382" s="141">
        <f t="shared" si="570"/>
        <v>15.39</v>
      </c>
      <c r="AW382" s="142">
        <f t="shared" si="571"/>
        <v>2.1985714285714288</v>
      </c>
      <c r="AX382" s="126">
        <f t="shared" si="673"/>
        <v>1.9246937957875463</v>
      </c>
      <c r="AY382" s="17"/>
      <c r="AZ382" s="128">
        <v>8544700000</v>
      </c>
      <c r="BB382" s="168">
        <f t="shared" si="669"/>
        <v>9.5755910238186406</v>
      </c>
      <c r="BC382" s="168">
        <f t="shared" si="670"/>
        <v>5.745354614291184</v>
      </c>
      <c r="BD382" s="168">
        <f t="shared" si="671"/>
        <v>4.7877955119093203</v>
      </c>
      <c r="BE382" s="168">
        <f t="shared" si="672"/>
        <v>3.8302364095274566</v>
      </c>
    </row>
    <row r="383" spans="1:57" s="129" customFormat="1" hidden="1">
      <c r="A383" s="88" t="s">
        <v>1302</v>
      </c>
      <c r="B383" s="88" t="s">
        <v>1318</v>
      </c>
      <c r="C383" s="88" t="s">
        <v>1318</v>
      </c>
      <c r="D383" s="88" t="s">
        <v>656</v>
      </c>
      <c r="E383" s="88" t="s">
        <v>907</v>
      </c>
      <c r="F383" s="89" t="s">
        <v>908</v>
      </c>
      <c r="G383" s="92" t="s">
        <v>2632</v>
      </c>
      <c r="H383" s="92"/>
      <c r="I383" s="167" t="s">
        <v>1026</v>
      </c>
      <c r="J383" s="167" t="str">
        <f>_xlfn.XLOOKUP(I383,[1]Sheet1!$A:$A,[1]Sheet1!$B:$B,"")</f>
        <v>U0904011</v>
      </c>
      <c r="K383" s="88" t="s">
        <v>1027</v>
      </c>
      <c r="L383" s="88" t="s">
        <v>1028</v>
      </c>
      <c r="M383" s="92"/>
      <c r="N383" s="89" t="s">
        <v>60</v>
      </c>
      <c r="O383" s="165"/>
      <c r="P383" s="89" t="s">
        <v>912</v>
      </c>
      <c r="Q383" s="92" t="s">
        <v>913</v>
      </c>
      <c r="R383" s="92">
        <v>1920</v>
      </c>
      <c r="S383" s="92" t="e">
        <v>#N/A</v>
      </c>
      <c r="T383" s="92">
        <v>8544700000</v>
      </c>
      <c r="U383" s="155">
        <v>0</v>
      </c>
      <c r="V383" s="207">
        <v>30</v>
      </c>
      <c r="W383" s="92">
        <v>45</v>
      </c>
      <c r="X383" s="92">
        <v>55</v>
      </c>
      <c r="Y383" s="92" t="s">
        <v>64</v>
      </c>
      <c r="Z383" s="133">
        <f t="shared" si="562"/>
        <v>3.8925518925518929</v>
      </c>
      <c r="AA383" s="133"/>
      <c r="AB383" s="161">
        <f t="shared" si="563"/>
        <v>2.9729087506606171</v>
      </c>
      <c r="AC383" s="161"/>
      <c r="AD383" s="213">
        <f t="shared" si="564"/>
        <v>0.1</v>
      </c>
      <c r="AE383" s="213">
        <v>0.1</v>
      </c>
      <c r="AF383" s="215">
        <v>0.33</v>
      </c>
      <c r="AG383" s="215" t="s">
        <v>9</v>
      </c>
      <c r="AH383" s="148">
        <f t="shared" si="685"/>
        <v>2.9729087506606171</v>
      </c>
      <c r="AI383" s="122">
        <f t="shared" si="565"/>
        <v>0.33000000000000007</v>
      </c>
      <c r="AJ383" s="444"/>
      <c r="AK383" s="150">
        <f t="shared" si="566"/>
        <v>2.5301587301587301</v>
      </c>
      <c r="AL383" s="153">
        <f t="shared" si="567"/>
        <v>2.2131654032695702</v>
      </c>
      <c r="AM383" s="125">
        <f t="shared" si="568"/>
        <v>0.35000000000000009</v>
      </c>
      <c r="AN383" s="125">
        <f t="shared" si="640"/>
        <v>0.25555555555555565</v>
      </c>
      <c r="AO383" s="140"/>
      <c r="AP383" s="17" t="s">
        <v>664</v>
      </c>
      <c r="AQ383" s="141"/>
      <c r="AR383" s="191"/>
      <c r="AS383" s="191"/>
      <c r="AT383" s="141">
        <v>5.04</v>
      </c>
      <c r="AU383" s="141">
        <v>10.9</v>
      </c>
      <c r="AV383" s="141">
        <f t="shared" si="570"/>
        <v>15.940000000000001</v>
      </c>
      <c r="AW383" s="142">
        <f t="shared" si="571"/>
        <v>2.2771428571428571</v>
      </c>
      <c r="AX383" s="126">
        <f t="shared" si="673"/>
        <v>1.9918488629426132</v>
      </c>
      <c r="AY383" s="17"/>
      <c r="AZ383" s="128">
        <v>8544700000</v>
      </c>
      <c r="BB383" s="168">
        <f t="shared" si="669"/>
        <v>9.9096958355353912</v>
      </c>
      <c r="BC383" s="168">
        <f t="shared" si="670"/>
        <v>5.9458175013212342</v>
      </c>
      <c r="BD383" s="168">
        <f t="shared" si="671"/>
        <v>4.9548479177676956</v>
      </c>
      <c r="BE383" s="168">
        <f t="shared" si="672"/>
        <v>3.9638783342141566</v>
      </c>
    </row>
    <row r="384" spans="1:57" s="129" customFormat="1" hidden="1">
      <c r="A384" s="88" t="s">
        <v>1302</v>
      </c>
      <c r="B384" s="88" t="s">
        <v>1318</v>
      </c>
      <c r="C384" s="88" t="s">
        <v>1318</v>
      </c>
      <c r="D384" s="88" t="s">
        <v>656</v>
      </c>
      <c r="E384" s="88" t="s">
        <v>907</v>
      </c>
      <c r="F384" s="89" t="s">
        <v>908</v>
      </c>
      <c r="G384" s="92" t="s">
        <v>2632</v>
      </c>
      <c r="H384" s="92"/>
      <c r="I384" s="167" t="s">
        <v>1029</v>
      </c>
      <c r="J384" s="167" t="str">
        <f>_xlfn.XLOOKUP(I384,[1]Sheet1!$A:$A,[1]Sheet1!$B:$B,"")</f>
        <v>U0904012</v>
      </c>
      <c r="K384" s="88" t="s">
        <v>1030</v>
      </c>
      <c r="L384" s="88" t="s">
        <v>1031</v>
      </c>
      <c r="M384" s="92"/>
      <c r="N384" s="89" t="s">
        <v>60</v>
      </c>
      <c r="O384" s="165"/>
      <c r="P384" s="89" t="s">
        <v>912</v>
      </c>
      <c r="Q384" s="92" t="s">
        <v>913</v>
      </c>
      <c r="R384" s="92">
        <v>1440</v>
      </c>
      <c r="S384" s="92" t="e">
        <v>#N/A</v>
      </c>
      <c r="T384" s="92">
        <v>8544700000</v>
      </c>
      <c r="U384" s="155">
        <v>0</v>
      </c>
      <c r="V384" s="207">
        <v>30</v>
      </c>
      <c r="W384" s="92">
        <v>45</v>
      </c>
      <c r="X384" s="92">
        <v>55</v>
      </c>
      <c r="Y384" s="92" t="s">
        <v>64</v>
      </c>
      <c r="Z384" s="133">
        <f t="shared" si="562"/>
        <v>4.1465201465201469</v>
      </c>
      <c r="AA384" s="133"/>
      <c r="AB384" s="161">
        <f t="shared" si="563"/>
        <v>3.1851103912671084</v>
      </c>
      <c r="AC384" s="161"/>
      <c r="AD384" s="213">
        <f t="shared" si="564"/>
        <v>0.1</v>
      </c>
      <c r="AE384" s="213">
        <v>0.1</v>
      </c>
      <c r="AF384" s="215">
        <v>0.33</v>
      </c>
      <c r="AG384" s="215" t="s">
        <v>9</v>
      </c>
      <c r="AH384" s="148">
        <f t="shared" si="685"/>
        <v>3.1851103912671084</v>
      </c>
      <c r="AI384" s="122">
        <f t="shared" si="565"/>
        <v>0.33000000000000007</v>
      </c>
      <c r="AJ384" s="444"/>
      <c r="AK384" s="150">
        <f t="shared" si="566"/>
        <v>2.695238095238095</v>
      </c>
      <c r="AL384" s="153">
        <f t="shared" si="567"/>
        <v>2.371137735721069</v>
      </c>
      <c r="AM384" s="125">
        <f t="shared" si="568"/>
        <v>0.35000000000000009</v>
      </c>
      <c r="AN384" s="125">
        <f t="shared" si="640"/>
        <v>0.25555555555555576</v>
      </c>
      <c r="AO384" s="140"/>
      <c r="AP384" s="17" t="s">
        <v>664</v>
      </c>
      <c r="AQ384" s="141"/>
      <c r="AR384" s="191"/>
      <c r="AS384" s="191"/>
      <c r="AT384" s="141">
        <v>5.04</v>
      </c>
      <c r="AU384" s="141">
        <v>11.94</v>
      </c>
      <c r="AV384" s="141">
        <f t="shared" si="570"/>
        <v>16.98</v>
      </c>
      <c r="AW384" s="142">
        <f t="shared" si="571"/>
        <v>2.4257142857142857</v>
      </c>
      <c r="AX384" s="126">
        <f t="shared" si="673"/>
        <v>2.1340239621489623</v>
      </c>
      <c r="AY384" s="17"/>
      <c r="AZ384" s="128">
        <v>8544700000</v>
      </c>
      <c r="BB384" s="168">
        <f t="shared" si="669"/>
        <v>10.617034637557028</v>
      </c>
      <c r="BC384" s="168">
        <f t="shared" si="670"/>
        <v>6.3702207825342168</v>
      </c>
      <c r="BD384" s="168">
        <f t="shared" si="671"/>
        <v>5.308517318778514</v>
      </c>
      <c r="BE384" s="168">
        <f t="shared" si="672"/>
        <v>4.2468138550228112</v>
      </c>
    </row>
    <row r="385" spans="1:57" s="129" customFormat="1" hidden="1">
      <c r="A385" s="88" t="s">
        <v>1276</v>
      </c>
      <c r="B385" s="88" t="s">
        <v>1318</v>
      </c>
      <c r="C385" s="88" t="s">
        <v>1318</v>
      </c>
      <c r="D385" s="88" t="s">
        <v>656</v>
      </c>
      <c r="E385" s="88" t="s">
        <v>907</v>
      </c>
      <c r="F385" s="89" t="s">
        <v>908</v>
      </c>
      <c r="G385" s="92" t="s">
        <v>2632</v>
      </c>
      <c r="H385" s="92"/>
      <c r="I385" s="167" t="s">
        <v>2429</v>
      </c>
      <c r="J385" s="167" t="str">
        <f>_xlfn.XLOOKUP(I385,[1]Sheet1!$A:$A,[1]Sheet1!$B:$B,"")</f>
        <v/>
      </c>
      <c r="K385" s="88" t="s">
        <v>1646</v>
      </c>
      <c r="L385" s="88" t="s">
        <v>1648</v>
      </c>
      <c r="M385" s="92"/>
      <c r="N385" s="89" t="s">
        <v>60</v>
      </c>
      <c r="O385" s="165"/>
      <c r="P385" s="89" t="s">
        <v>912</v>
      </c>
      <c r="Q385" s="92" t="s">
        <v>913</v>
      </c>
      <c r="R385" s="92">
        <v>720</v>
      </c>
      <c r="S385" s="92" t="e">
        <v>#N/A</v>
      </c>
      <c r="T385" s="92">
        <v>8544700000</v>
      </c>
      <c r="U385" s="155">
        <v>0</v>
      </c>
      <c r="V385" s="207">
        <v>30</v>
      </c>
      <c r="W385" s="92">
        <v>45</v>
      </c>
      <c r="X385" s="92">
        <v>55</v>
      </c>
      <c r="Y385" s="92" t="s">
        <v>64</v>
      </c>
      <c r="Z385" s="133">
        <f t="shared" ref="Z385:Z386" si="708">AK385/(1-(AF385+2%))</f>
        <v>4.6935286935286937</v>
      </c>
      <c r="AA385" s="133"/>
      <c r="AB385" s="161">
        <f t="shared" ref="AB385:AB386" si="709">AX385/(1-AF385)</f>
        <v>3.6840180963315294</v>
      </c>
      <c r="AC385" s="161"/>
      <c r="AD385" s="213">
        <f t="shared" ref="AD385:AD386" si="710">AE385</f>
        <v>0.1</v>
      </c>
      <c r="AE385" s="213">
        <v>0.1</v>
      </c>
      <c r="AF385" s="215">
        <v>0.33</v>
      </c>
      <c r="AG385" s="215" t="s">
        <v>9</v>
      </c>
      <c r="AH385" s="148">
        <f t="shared" si="685"/>
        <v>3.6840180963315294</v>
      </c>
      <c r="AI385" s="122">
        <f t="shared" ref="AI385:AI386" si="711">1-(AX385/AH385)</f>
        <v>0.33000000000000007</v>
      </c>
      <c r="AJ385" s="444"/>
      <c r="AK385" s="150">
        <f t="shared" ref="AK385:AK386" si="712">AW385/(1-AD385)</f>
        <v>3.0507936507936506</v>
      </c>
      <c r="AL385" s="153">
        <f t="shared" ref="AL385:AL386" si="713">AX385/(1-AE385)</f>
        <v>2.7425468050468051</v>
      </c>
      <c r="AM385" s="125">
        <f t="shared" ref="AM385:AM386" si="714">1-(AK385/Z385)</f>
        <v>0.35000000000000009</v>
      </c>
      <c r="AN385" s="125">
        <f t="shared" ref="AN385:AN386" si="715">1-(AL385/AB385)</f>
        <v>0.25555555555555554</v>
      </c>
      <c r="AO385" s="140"/>
      <c r="AP385" s="17" t="s">
        <v>664</v>
      </c>
      <c r="AQ385" s="141"/>
      <c r="AR385" s="191"/>
      <c r="AS385" s="191"/>
      <c r="AT385" s="141">
        <v>5.04</v>
      </c>
      <c r="AU385" s="141">
        <v>14.18</v>
      </c>
      <c r="AV385" s="141">
        <f t="shared" ref="AV385:AV386" si="716">AT385+AU385</f>
        <v>19.22</v>
      </c>
      <c r="AW385" s="142">
        <f t="shared" ref="AW385:AW386" si="717">(AT385+AU385)/$F$5</f>
        <v>2.7457142857142856</v>
      </c>
      <c r="AX385" s="126">
        <f t="shared" ref="AX385:AX386" si="718">(AW385/$F$6)+(($F$9+$G$9)/40/R385)+AW385*U385</f>
        <v>2.4682921245421245</v>
      </c>
      <c r="AY385" s="17"/>
      <c r="AZ385" s="128">
        <v>8544700000</v>
      </c>
      <c r="BB385" s="168">
        <f t="shared" si="669"/>
        <v>12.280060321105099</v>
      </c>
      <c r="BC385" s="168">
        <f t="shared" si="670"/>
        <v>7.3680361926630589</v>
      </c>
      <c r="BD385" s="168">
        <f t="shared" si="671"/>
        <v>6.1400301605525494</v>
      </c>
      <c r="BE385" s="168">
        <f t="shared" si="672"/>
        <v>4.9120241284420398</v>
      </c>
    </row>
    <row r="386" spans="1:57" s="129" customFormat="1" hidden="1">
      <c r="A386" s="88" t="s">
        <v>1276</v>
      </c>
      <c r="B386" s="88" t="s">
        <v>1318</v>
      </c>
      <c r="C386" s="88" t="s">
        <v>1318</v>
      </c>
      <c r="D386" s="88" t="s">
        <v>656</v>
      </c>
      <c r="E386" s="88" t="s">
        <v>907</v>
      </c>
      <c r="F386" s="89" t="s">
        <v>908</v>
      </c>
      <c r="G386" s="92" t="s">
        <v>2632</v>
      </c>
      <c r="H386" s="92"/>
      <c r="I386" s="167" t="s">
        <v>1645</v>
      </c>
      <c r="J386" s="167" t="str">
        <f>_xlfn.XLOOKUP(I386,[1]Sheet1!$A:$A,[1]Sheet1!$B:$B,"")</f>
        <v/>
      </c>
      <c r="K386" s="88" t="s">
        <v>1647</v>
      </c>
      <c r="L386" s="88" t="s">
        <v>1649</v>
      </c>
      <c r="M386" s="92"/>
      <c r="N386" s="89" t="s">
        <v>60</v>
      </c>
      <c r="O386" s="165"/>
      <c r="P386" s="89" t="s">
        <v>912</v>
      </c>
      <c r="Q386" s="92" t="s">
        <v>913</v>
      </c>
      <c r="R386" s="92">
        <v>480</v>
      </c>
      <c r="S386" s="92" t="e">
        <v>#N/A</v>
      </c>
      <c r="T386" s="92">
        <v>8544700000</v>
      </c>
      <c r="U386" s="155">
        <v>0</v>
      </c>
      <c r="V386" s="207">
        <v>30</v>
      </c>
      <c r="W386" s="92">
        <v>45</v>
      </c>
      <c r="X386" s="92">
        <v>55</v>
      </c>
      <c r="Y386" s="92" t="s">
        <v>64</v>
      </c>
      <c r="Z386" s="133">
        <f t="shared" si="708"/>
        <v>5.3894993894993899</v>
      </c>
      <c r="AA386" s="133"/>
      <c r="AB386" s="161">
        <f t="shared" si="709"/>
        <v>4.2940915842035254</v>
      </c>
      <c r="AC386" s="161"/>
      <c r="AD386" s="213">
        <f t="shared" si="710"/>
        <v>0.1</v>
      </c>
      <c r="AE386" s="213">
        <v>0.1</v>
      </c>
      <c r="AF386" s="215">
        <v>0.33</v>
      </c>
      <c r="AG386" s="215" t="s">
        <v>9</v>
      </c>
      <c r="AH386" s="148">
        <f t="shared" si="685"/>
        <v>4.2940915842035254</v>
      </c>
      <c r="AI386" s="122">
        <f t="shared" si="711"/>
        <v>0.33000000000000018</v>
      </c>
      <c r="AJ386" s="444"/>
      <c r="AK386" s="150">
        <f t="shared" si="712"/>
        <v>3.5031746031746032</v>
      </c>
      <c r="AL386" s="153">
        <f t="shared" si="713"/>
        <v>3.1967126237959569</v>
      </c>
      <c r="AM386" s="125">
        <f t="shared" si="714"/>
        <v>0.35000000000000009</v>
      </c>
      <c r="AN386" s="125">
        <f t="shared" si="715"/>
        <v>0.25555555555555576</v>
      </c>
      <c r="AO386" s="140"/>
      <c r="AP386" s="17" t="s">
        <v>664</v>
      </c>
      <c r="AQ386" s="141"/>
      <c r="AR386" s="191"/>
      <c r="AS386" s="191"/>
      <c r="AT386" s="141">
        <v>5.04</v>
      </c>
      <c r="AU386" s="141">
        <v>17.03</v>
      </c>
      <c r="AV386" s="141">
        <f t="shared" si="716"/>
        <v>22.07</v>
      </c>
      <c r="AW386" s="142">
        <f t="shared" si="717"/>
        <v>3.152857142857143</v>
      </c>
      <c r="AX386" s="126">
        <f t="shared" si="718"/>
        <v>2.8770413614163615</v>
      </c>
      <c r="AY386" s="17"/>
      <c r="AZ386" s="128">
        <v>8544700000</v>
      </c>
      <c r="BB386" s="168">
        <f t="shared" si="669"/>
        <v>14.313638614011753</v>
      </c>
      <c r="BC386" s="168">
        <f t="shared" si="670"/>
        <v>8.5881831684070509</v>
      </c>
      <c r="BD386" s="168">
        <f t="shared" si="671"/>
        <v>7.1568193070058763</v>
      </c>
      <c r="BE386" s="168">
        <f t="shared" si="672"/>
        <v>5.7254554456047018</v>
      </c>
    </row>
    <row r="387" spans="1:57" s="129" customFormat="1" hidden="1">
      <c r="A387" s="88" t="s">
        <v>1302</v>
      </c>
      <c r="B387" s="88" t="s">
        <v>1318</v>
      </c>
      <c r="C387" s="88" t="s">
        <v>1318</v>
      </c>
      <c r="D387" s="88" t="s">
        <v>656</v>
      </c>
      <c r="E387" s="88" t="s">
        <v>907</v>
      </c>
      <c r="F387" s="89" t="s">
        <v>923</v>
      </c>
      <c r="G387" s="92" t="s">
        <v>2632</v>
      </c>
      <c r="H387" s="92"/>
      <c r="I387" s="167" t="s">
        <v>1032</v>
      </c>
      <c r="J387" s="167" t="str">
        <f>_xlfn.XLOOKUP(I387,[1]Sheet1!$A:$A,[1]Sheet1!$B:$B,"")</f>
        <v>U0904005</v>
      </c>
      <c r="K387" s="88" t="s">
        <v>1033</v>
      </c>
      <c r="L387" s="88" t="s">
        <v>1034</v>
      </c>
      <c r="M387" s="92"/>
      <c r="N387" s="89" t="s">
        <v>60</v>
      </c>
      <c r="O387" s="165"/>
      <c r="P387" s="89" t="s">
        <v>912</v>
      </c>
      <c r="Q387" s="92" t="s">
        <v>913</v>
      </c>
      <c r="R387" s="92">
        <v>2160</v>
      </c>
      <c r="S387" s="92" t="s">
        <v>2504</v>
      </c>
      <c r="T387" s="92">
        <v>8544700000</v>
      </c>
      <c r="U387" s="155">
        <v>0</v>
      </c>
      <c r="V387" s="207">
        <v>30</v>
      </c>
      <c r="W387" s="92">
        <v>45</v>
      </c>
      <c r="X387" s="92">
        <v>55</v>
      </c>
      <c r="Y387" s="92" t="s">
        <v>64</v>
      </c>
      <c r="Z387" s="133">
        <f t="shared" si="562"/>
        <v>3.6239316239316244</v>
      </c>
      <c r="AA387" s="133"/>
      <c r="AB387" s="161">
        <f t="shared" si="563"/>
        <v>2.7648881660075695</v>
      </c>
      <c r="AC387" s="161"/>
      <c r="AD387" s="213">
        <f t="shared" si="564"/>
        <v>0.1</v>
      </c>
      <c r="AE387" s="213">
        <v>0.1</v>
      </c>
      <c r="AF387" s="215">
        <v>0.33</v>
      </c>
      <c r="AG387" s="215" t="s">
        <v>9</v>
      </c>
      <c r="AH387" s="148">
        <f t="shared" si="685"/>
        <v>2.7648881660075695</v>
      </c>
      <c r="AI387" s="122">
        <f t="shared" si="565"/>
        <v>0.33000000000000007</v>
      </c>
      <c r="AJ387" s="444"/>
      <c r="AK387" s="150">
        <f t="shared" si="566"/>
        <v>2.3555555555555556</v>
      </c>
      <c r="AL387" s="153">
        <f t="shared" si="567"/>
        <v>2.0583056346945239</v>
      </c>
      <c r="AM387" s="125">
        <f t="shared" si="568"/>
        <v>0.35000000000000009</v>
      </c>
      <c r="AN387" s="125">
        <f t="shared" si="640"/>
        <v>0.25555555555555554</v>
      </c>
      <c r="AO387" s="140"/>
      <c r="AP387" s="17" t="s">
        <v>664</v>
      </c>
      <c r="AQ387" s="141"/>
      <c r="AR387" s="191"/>
      <c r="AS387" s="191"/>
      <c r="AT387" s="141">
        <v>5.04</v>
      </c>
      <c r="AU387" s="141">
        <v>9.8000000000000007</v>
      </c>
      <c r="AV387" s="141">
        <f t="shared" si="570"/>
        <v>14.84</v>
      </c>
      <c r="AW387" s="142">
        <f t="shared" si="571"/>
        <v>2.12</v>
      </c>
      <c r="AX387" s="126">
        <f t="shared" si="673"/>
        <v>1.8524750712250715</v>
      </c>
      <c r="AY387" s="17"/>
      <c r="AZ387" s="128">
        <v>8544700000</v>
      </c>
      <c r="BB387" s="168">
        <f t="shared" si="669"/>
        <v>9.2162938866918989</v>
      </c>
      <c r="BC387" s="168">
        <f t="shared" si="670"/>
        <v>5.529776332015139</v>
      </c>
      <c r="BD387" s="168">
        <f t="shared" si="671"/>
        <v>4.6081469433459494</v>
      </c>
      <c r="BE387" s="168">
        <f t="shared" si="672"/>
        <v>3.6865175546767599</v>
      </c>
    </row>
    <row r="388" spans="1:57" s="129" customFormat="1" hidden="1">
      <c r="A388" s="88" t="s">
        <v>1302</v>
      </c>
      <c r="B388" s="88" t="s">
        <v>1318</v>
      </c>
      <c r="C388" s="88" t="s">
        <v>1318</v>
      </c>
      <c r="D388" s="88" t="s">
        <v>656</v>
      </c>
      <c r="E388" s="88" t="s">
        <v>907</v>
      </c>
      <c r="F388" s="89" t="s">
        <v>923</v>
      </c>
      <c r="G388" s="92" t="s">
        <v>2632</v>
      </c>
      <c r="H388" s="92"/>
      <c r="I388" s="167" t="s">
        <v>1035</v>
      </c>
      <c r="J388" s="167" t="str">
        <f>_xlfn.XLOOKUP(I388,[1]Sheet1!$A:$A,[1]Sheet1!$B:$B,"")</f>
        <v>U0904006</v>
      </c>
      <c r="K388" s="88" t="s">
        <v>1036</v>
      </c>
      <c r="L388" s="88" t="s">
        <v>1037</v>
      </c>
      <c r="M388" s="92"/>
      <c r="N388" s="89" t="s">
        <v>60</v>
      </c>
      <c r="O388" s="165"/>
      <c r="P388" s="89" t="s">
        <v>912</v>
      </c>
      <c r="Q388" s="92" t="s">
        <v>913</v>
      </c>
      <c r="R388" s="92">
        <v>1920</v>
      </c>
      <c r="S388" s="92" t="e">
        <v>#N/A</v>
      </c>
      <c r="T388" s="92">
        <v>8544700000</v>
      </c>
      <c r="U388" s="155">
        <v>0</v>
      </c>
      <c r="V388" s="207">
        <v>30</v>
      </c>
      <c r="W388" s="92">
        <v>45</v>
      </c>
      <c r="X388" s="92">
        <v>55</v>
      </c>
      <c r="Y388" s="92" t="s">
        <v>64</v>
      </c>
      <c r="Z388" s="133">
        <f t="shared" si="562"/>
        <v>3.7582417582417591</v>
      </c>
      <c r="AA388" s="133"/>
      <c r="AB388" s="161">
        <f t="shared" si="563"/>
        <v>2.872677307145592</v>
      </c>
      <c r="AC388" s="161"/>
      <c r="AD388" s="213">
        <f t="shared" si="564"/>
        <v>0.1</v>
      </c>
      <c r="AE388" s="213">
        <v>0.1</v>
      </c>
      <c r="AF388" s="215">
        <v>0.33</v>
      </c>
      <c r="AG388" s="215" t="s">
        <v>9</v>
      </c>
      <c r="AH388" s="148">
        <f t="shared" si="685"/>
        <v>2.872677307145592</v>
      </c>
      <c r="AI388" s="122">
        <f t="shared" si="565"/>
        <v>0.33000000000000007</v>
      </c>
      <c r="AJ388" s="444"/>
      <c r="AK388" s="150">
        <f t="shared" si="566"/>
        <v>2.4428571428571431</v>
      </c>
      <c r="AL388" s="153">
        <f t="shared" si="567"/>
        <v>2.1385486619861624</v>
      </c>
      <c r="AM388" s="125">
        <f t="shared" si="568"/>
        <v>0.35000000000000009</v>
      </c>
      <c r="AN388" s="125">
        <f t="shared" si="640"/>
        <v>0.25555555555555576</v>
      </c>
      <c r="AO388" s="140"/>
      <c r="AP388" s="17" t="s">
        <v>664</v>
      </c>
      <c r="AQ388" s="141"/>
      <c r="AR388" s="191"/>
      <c r="AS388" s="191"/>
      <c r="AT388" s="141">
        <v>5.04</v>
      </c>
      <c r="AU388" s="141">
        <v>10.35</v>
      </c>
      <c r="AV388" s="141">
        <f t="shared" si="570"/>
        <v>15.39</v>
      </c>
      <c r="AW388" s="142">
        <f t="shared" si="571"/>
        <v>2.1985714285714288</v>
      </c>
      <c r="AX388" s="126">
        <f t="shared" si="673"/>
        <v>1.9246937957875463</v>
      </c>
      <c r="AY388" s="17"/>
      <c r="AZ388" s="128">
        <v>8544700000</v>
      </c>
      <c r="BB388" s="168">
        <f t="shared" si="669"/>
        <v>9.5755910238186406</v>
      </c>
      <c r="BC388" s="168">
        <f t="shared" si="670"/>
        <v>5.745354614291184</v>
      </c>
      <c r="BD388" s="168">
        <f t="shared" si="671"/>
        <v>4.7877955119093203</v>
      </c>
      <c r="BE388" s="168">
        <f t="shared" si="672"/>
        <v>3.8302364095274566</v>
      </c>
    </row>
    <row r="389" spans="1:57" s="129" customFormat="1" hidden="1">
      <c r="A389" s="88" t="s">
        <v>1302</v>
      </c>
      <c r="B389" s="88" t="s">
        <v>1318</v>
      </c>
      <c r="C389" s="88" t="s">
        <v>1318</v>
      </c>
      <c r="D389" s="88" t="s">
        <v>656</v>
      </c>
      <c r="E389" s="88" t="s">
        <v>907</v>
      </c>
      <c r="F389" s="89" t="s">
        <v>923</v>
      </c>
      <c r="G389" s="92" t="s">
        <v>2632</v>
      </c>
      <c r="H389" s="92"/>
      <c r="I389" s="167" t="s">
        <v>1038</v>
      </c>
      <c r="J389" s="167" t="str">
        <f>_xlfn.XLOOKUP(I389,[1]Sheet1!$A:$A,[1]Sheet1!$B:$B,"")</f>
        <v>U0904007</v>
      </c>
      <c r="K389" s="88" t="s">
        <v>1039</v>
      </c>
      <c r="L389" s="88" t="s">
        <v>1040</v>
      </c>
      <c r="M389" s="92"/>
      <c r="N389" s="89" t="s">
        <v>60</v>
      </c>
      <c r="O389" s="165"/>
      <c r="P389" s="89" t="s">
        <v>912</v>
      </c>
      <c r="Q389" s="92" t="s">
        <v>913</v>
      </c>
      <c r="R389" s="92">
        <v>1920</v>
      </c>
      <c r="S389" s="92" t="e">
        <v>#N/A</v>
      </c>
      <c r="T389" s="92">
        <v>8544700000</v>
      </c>
      <c r="U389" s="155">
        <v>0</v>
      </c>
      <c r="V389" s="207">
        <v>30</v>
      </c>
      <c r="W389" s="92">
        <v>45</v>
      </c>
      <c r="X389" s="92">
        <v>55</v>
      </c>
      <c r="Y389" s="92" t="s">
        <v>64</v>
      </c>
      <c r="Z389" s="133">
        <f t="shared" si="562"/>
        <v>3.8925518925518929</v>
      </c>
      <c r="AA389" s="133"/>
      <c r="AB389" s="161">
        <f t="shared" si="563"/>
        <v>2.9729087506606171</v>
      </c>
      <c r="AC389" s="161"/>
      <c r="AD389" s="213">
        <f t="shared" si="564"/>
        <v>0.1</v>
      </c>
      <c r="AE389" s="213">
        <v>0.1</v>
      </c>
      <c r="AF389" s="215">
        <v>0.33</v>
      </c>
      <c r="AG389" s="215" t="s">
        <v>9</v>
      </c>
      <c r="AH389" s="148">
        <f t="shared" si="685"/>
        <v>2.9729087506606171</v>
      </c>
      <c r="AI389" s="122">
        <f t="shared" si="565"/>
        <v>0.33000000000000007</v>
      </c>
      <c r="AJ389" s="444"/>
      <c r="AK389" s="150">
        <f t="shared" si="566"/>
        <v>2.5301587301587301</v>
      </c>
      <c r="AL389" s="153">
        <f t="shared" si="567"/>
        <v>2.2131654032695702</v>
      </c>
      <c r="AM389" s="125">
        <f t="shared" si="568"/>
        <v>0.35000000000000009</v>
      </c>
      <c r="AN389" s="125">
        <f t="shared" si="640"/>
        <v>0.25555555555555565</v>
      </c>
      <c r="AO389" s="140"/>
      <c r="AP389" s="17" t="s">
        <v>664</v>
      </c>
      <c r="AQ389" s="141"/>
      <c r="AR389" s="191"/>
      <c r="AS389" s="191"/>
      <c r="AT389" s="141">
        <v>5.04</v>
      </c>
      <c r="AU389" s="141">
        <v>10.9</v>
      </c>
      <c r="AV389" s="141">
        <f t="shared" si="570"/>
        <v>15.940000000000001</v>
      </c>
      <c r="AW389" s="142">
        <f t="shared" si="571"/>
        <v>2.2771428571428571</v>
      </c>
      <c r="AX389" s="126">
        <f t="shared" si="673"/>
        <v>1.9918488629426132</v>
      </c>
      <c r="AY389" s="17"/>
      <c r="AZ389" s="128">
        <v>8544700000</v>
      </c>
      <c r="BB389" s="168">
        <f t="shared" si="669"/>
        <v>9.9096958355353912</v>
      </c>
      <c r="BC389" s="168">
        <f t="shared" si="670"/>
        <v>5.9458175013212342</v>
      </c>
      <c r="BD389" s="168">
        <f t="shared" si="671"/>
        <v>4.9548479177676956</v>
      </c>
      <c r="BE389" s="168">
        <f t="shared" si="672"/>
        <v>3.9638783342141566</v>
      </c>
    </row>
    <row r="390" spans="1:57" s="129" customFormat="1" hidden="1">
      <c r="A390" s="88" t="s">
        <v>1302</v>
      </c>
      <c r="B390" s="88" t="s">
        <v>1318</v>
      </c>
      <c r="C390" s="88" t="s">
        <v>1318</v>
      </c>
      <c r="D390" s="88" t="s">
        <v>656</v>
      </c>
      <c r="E390" s="88" t="s">
        <v>907</v>
      </c>
      <c r="F390" s="89" t="s">
        <v>923</v>
      </c>
      <c r="G390" s="92" t="s">
        <v>2632</v>
      </c>
      <c r="H390" s="92"/>
      <c r="I390" s="167" t="s">
        <v>1041</v>
      </c>
      <c r="J390" s="167" t="str">
        <f>_xlfn.XLOOKUP(I390,[1]Sheet1!$A:$A,[1]Sheet1!$B:$B,"")</f>
        <v>U0904008</v>
      </c>
      <c r="K390" s="88" t="s">
        <v>1042</v>
      </c>
      <c r="L390" s="88" t="s">
        <v>1043</v>
      </c>
      <c r="M390" s="92"/>
      <c r="N390" s="89" t="s">
        <v>60</v>
      </c>
      <c r="O390" s="165"/>
      <c r="P390" s="89" t="s">
        <v>912</v>
      </c>
      <c r="Q390" s="92" t="s">
        <v>913</v>
      </c>
      <c r="R390" s="92">
        <v>1440</v>
      </c>
      <c r="S390" s="92" t="e">
        <v>#N/A</v>
      </c>
      <c r="T390" s="92">
        <v>8544700000</v>
      </c>
      <c r="U390" s="155">
        <v>0</v>
      </c>
      <c r="V390" s="207">
        <v>30</v>
      </c>
      <c r="W390" s="92">
        <v>45</v>
      </c>
      <c r="X390" s="92">
        <v>55</v>
      </c>
      <c r="Y390" s="92" t="s">
        <v>64</v>
      </c>
      <c r="Z390" s="133">
        <f t="shared" si="562"/>
        <v>4.1465201465201469</v>
      </c>
      <c r="AA390" s="133"/>
      <c r="AB390" s="161">
        <f t="shared" si="563"/>
        <v>3.1851103912671084</v>
      </c>
      <c r="AC390" s="161"/>
      <c r="AD390" s="213">
        <f t="shared" si="564"/>
        <v>0.1</v>
      </c>
      <c r="AE390" s="213">
        <v>0.1</v>
      </c>
      <c r="AF390" s="215">
        <v>0.33</v>
      </c>
      <c r="AG390" s="215" t="s">
        <v>9</v>
      </c>
      <c r="AH390" s="148">
        <f t="shared" si="685"/>
        <v>3.1851103912671084</v>
      </c>
      <c r="AI390" s="122">
        <f t="shared" si="565"/>
        <v>0.33000000000000007</v>
      </c>
      <c r="AJ390" s="444"/>
      <c r="AK390" s="150">
        <f t="shared" si="566"/>
        <v>2.695238095238095</v>
      </c>
      <c r="AL390" s="153">
        <f t="shared" si="567"/>
        <v>2.371137735721069</v>
      </c>
      <c r="AM390" s="125">
        <f t="shared" si="568"/>
        <v>0.35000000000000009</v>
      </c>
      <c r="AN390" s="125">
        <f t="shared" si="640"/>
        <v>0.25555555555555576</v>
      </c>
      <c r="AO390" s="140"/>
      <c r="AP390" s="17" t="s">
        <v>664</v>
      </c>
      <c r="AQ390" s="141"/>
      <c r="AR390" s="191"/>
      <c r="AS390" s="191"/>
      <c r="AT390" s="141">
        <v>5.04</v>
      </c>
      <c r="AU390" s="141">
        <v>11.94</v>
      </c>
      <c r="AV390" s="141">
        <f t="shared" si="570"/>
        <v>16.98</v>
      </c>
      <c r="AW390" s="142">
        <f t="shared" si="571"/>
        <v>2.4257142857142857</v>
      </c>
      <c r="AX390" s="126">
        <f t="shared" si="673"/>
        <v>2.1340239621489623</v>
      </c>
      <c r="AY390" s="17"/>
      <c r="AZ390" s="128">
        <v>8544700000</v>
      </c>
      <c r="BB390" s="168">
        <f t="shared" si="669"/>
        <v>10.617034637557028</v>
      </c>
      <c r="BC390" s="168">
        <f t="shared" si="670"/>
        <v>6.3702207825342168</v>
      </c>
      <c r="BD390" s="168">
        <f t="shared" si="671"/>
        <v>5.308517318778514</v>
      </c>
      <c r="BE390" s="168">
        <f t="shared" si="672"/>
        <v>4.2468138550228112</v>
      </c>
    </row>
    <row r="391" spans="1:57" s="129" customFormat="1" hidden="1">
      <c r="A391" s="88" t="s">
        <v>1276</v>
      </c>
      <c r="B391" s="88" t="s">
        <v>1318</v>
      </c>
      <c r="C391" s="88" t="s">
        <v>1318</v>
      </c>
      <c r="D391" s="88" t="s">
        <v>656</v>
      </c>
      <c r="E391" s="88" t="s">
        <v>907</v>
      </c>
      <c r="F391" s="89" t="s">
        <v>923</v>
      </c>
      <c r="G391" s="92" t="s">
        <v>2632</v>
      </c>
      <c r="H391" s="92"/>
      <c r="I391" s="167" t="s">
        <v>1471</v>
      </c>
      <c r="J391" s="167" t="s">
        <v>3942</v>
      </c>
      <c r="K391" s="88" t="s">
        <v>1472</v>
      </c>
      <c r="L391" s="88" t="s">
        <v>1473</v>
      </c>
      <c r="M391" s="92"/>
      <c r="N391" s="89" t="s">
        <v>60</v>
      </c>
      <c r="O391" s="165"/>
      <c r="P391" s="89" t="s">
        <v>912</v>
      </c>
      <c r="Q391" s="92" t="s">
        <v>913</v>
      </c>
      <c r="R391" s="92">
        <v>720</v>
      </c>
      <c r="S391" s="92" t="e">
        <v>#N/A</v>
      </c>
      <c r="T391" s="92">
        <v>8544700000</v>
      </c>
      <c r="U391" s="155">
        <v>0</v>
      </c>
      <c r="V391" s="207">
        <v>30</v>
      </c>
      <c r="W391" s="92">
        <v>45</v>
      </c>
      <c r="X391" s="92">
        <v>55</v>
      </c>
      <c r="Y391" s="92" t="s">
        <v>64</v>
      </c>
      <c r="Z391" s="133">
        <f t="shared" ref="Z391" si="719">AK391/(1-(AF391+2%))</f>
        <v>4.6935286935286937</v>
      </c>
      <c r="AA391" s="133"/>
      <c r="AB391" s="161">
        <f t="shared" ref="AB391" si="720">AX391/(1-AF391)</f>
        <v>3.6840180963315294</v>
      </c>
      <c r="AC391" s="161"/>
      <c r="AD391" s="213">
        <f t="shared" ref="AD391" si="721">AE391</f>
        <v>0.1</v>
      </c>
      <c r="AE391" s="213">
        <v>0.1</v>
      </c>
      <c r="AF391" s="215">
        <v>0.33</v>
      </c>
      <c r="AG391" s="215" t="s">
        <v>9</v>
      </c>
      <c r="AH391" s="148">
        <f t="shared" si="685"/>
        <v>3.6840180963315294</v>
      </c>
      <c r="AI391" s="122">
        <f t="shared" ref="AI391" si="722">1-(AX391/AH391)</f>
        <v>0.33000000000000007</v>
      </c>
      <c r="AJ391" s="444"/>
      <c r="AK391" s="150">
        <f t="shared" ref="AK391" si="723">AW391/(1-AD391)</f>
        <v>3.0507936507936506</v>
      </c>
      <c r="AL391" s="153">
        <f t="shared" ref="AL391" si="724">AX391/(1-AE391)</f>
        <v>2.7425468050468051</v>
      </c>
      <c r="AM391" s="125">
        <f t="shared" ref="AM391" si="725">1-(AK391/Z391)</f>
        <v>0.35000000000000009</v>
      </c>
      <c r="AN391" s="125">
        <f t="shared" ref="AN391" si="726">1-(AL391/AB391)</f>
        <v>0.25555555555555554</v>
      </c>
      <c r="AO391" s="140"/>
      <c r="AP391" s="17" t="s">
        <v>664</v>
      </c>
      <c r="AQ391" s="141"/>
      <c r="AR391" s="191"/>
      <c r="AS391" s="191"/>
      <c r="AT391" s="141">
        <v>5.04</v>
      </c>
      <c r="AU391" s="141">
        <v>14.18</v>
      </c>
      <c r="AV391" s="141">
        <f t="shared" ref="AV391" si="727">AT391+AU391</f>
        <v>19.22</v>
      </c>
      <c r="AW391" s="142">
        <f t="shared" ref="AW391" si="728">(AT391+AU391)/$F$5</f>
        <v>2.7457142857142856</v>
      </c>
      <c r="AX391" s="126">
        <f t="shared" ref="AX391" si="729">(AW391/$F$6)+(($F$9+$G$9)/40/R391)+AW391*U391</f>
        <v>2.4682921245421245</v>
      </c>
      <c r="AY391" s="17"/>
      <c r="AZ391" s="128">
        <v>8544700000</v>
      </c>
      <c r="BB391" s="168">
        <f t="shared" si="669"/>
        <v>12.280060321105099</v>
      </c>
      <c r="BC391" s="168">
        <f t="shared" si="670"/>
        <v>7.3680361926630589</v>
      </c>
      <c r="BD391" s="168">
        <f t="shared" si="671"/>
        <v>6.1400301605525494</v>
      </c>
      <c r="BE391" s="168">
        <f t="shared" si="672"/>
        <v>4.9120241284420398</v>
      </c>
    </row>
    <row r="392" spans="1:57" s="129" customFormat="1" hidden="1">
      <c r="A392" s="88" t="s">
        <v>1276</v>
      </c>
      <c r="B392" s="88" t="s">
        <v>1318</v>
      </c>
      <c r="C392" s="88" t="s">
        <v>1318</v>
      </c>
      <c r="D392" s="88" t="s">
        <v>656</v>
      </c>
      <c r="E392" s="88" t="s">
        <v>907</v>
      </c>
      <c r="F392" s="89" t="s">
        <v>923</v>
      </c>
      <c r="G392" s="92" t="s">
        <v>2632</v>
      </c>
      <c r="H392" s="92"/>
      <c r="I392" s="167" t="s">
        <v>3943</v>
      </c>
      <c r="J392" s="167" t="s">
        <v>3944</v>
      </c>
      <c r="K392" s="88" t="s">
        <v>1651</v>
      </c>
      <c r="L392" s="88" t="s">
        <v>1652</v>
      </c>
      <c r="M392" s="92"/>
      <c r="N392" s="89" t="s">
        <v>60</v>
      </c>
      <c r="O392" s="165"/>
      <c r="P392" s="89" t="s">
        <v>912</v>
      </c>
      <c r="Q392" s="92" t="s">
        <v>913</v>
      </c>
      <c r="R392" s="92">
        <v>480</v>
      </c>
      <c r="S392" s="92" t="e">
        <v>#N/A</v>
      </c>
      <c r="T392" s="92">
        <v>8544700000</v>
      </c>
      <c r="U392" s="155">
        <v>0</v>
      </c>
      <c r="V392" s="207">
        <v>30</v>
      </c>
      <c r="W392" s="92">
        <v>45</v>
      </c>
      <c r="X392" s="92">
        <v>55</v>
      </c>
      <c r="Y392" s="92" t="s">
        <v>64</v>
      </c>
      <c r="Z392" s="133">
        <f t="shared" ref="Z392" si="730">AK392/(1-(AF392+2%))</f>
        <v>5.3894993894993899</v>
      </c>
      <c r="AA392" s="133"/>
      <c r="AB392" s="161">
        <f t="shared" ref="AB392" si="731">AX392/(1-AF392)</f>
        <v>4.2940915842035254</v>
      </c>
      <c r="AC392" s="161"/>
      <c r="AD392" s="213">
        <f t="shared" ref="AD392" si="732">AE392</f>
        <v>0.1</v>
      </c>
      <c r="AE392" s="213">
        <v>0.1</v>
      </c>
      <c r="AF392" s="215">
        <v>0.33</v>
      </c>
      <c r="AG392" s="215" t="s">
        <v>9</v>
      </c>
      <c r="AH392" s="148">
        <f t="shared" si="685"/>
        <v>4.2940915842035254</v>
      </c>
      <c r="AI392" s="122">
        <f t="shared" ref="AI392" si="733">1-(AX392/AH392)</f>
        <v>0.33000000000000018</v>
      </c>
      <c r="AJ392" s="444"/>
      <c r="AK392" s="150">
        <f t="shared" ref="AK392" si="734">AW392/(1-AD392)</f>
        <v>3.5031746031746032</v>
      </c>
      <c r="AL392" s="153">
        <f t="shared" ref="AL392" si="735">AX392/(1-AE392)</f>
        <v>3.1967126237959569</v>
      </c>
      <c r="AM392" s="125">
        <f t="shared" ref="AM392" si="736">1-(AK392/Z392)</f>
        <v>0.35000000000000009</v>
      </c>
      <c r="AN392" s="125">
        <f t="shared" ref="AN392" si="737">1-(AL392/AB392)</f>
        <v>0.25555555555555576</v>
      </c>
      <c r="AO392" s="140"/>
      <c r="AP392" s="17" t="s">
        <v>664</v>
      </c>
      <c r="AQ392" s="141"/>
      <c r="AR392" s="191"/>
      <c r="AS392" s="191"/>
      <c r="AT392" s="141">
        <v>5.04</v>
      </c>
      <c r="AU392" s="141">
        <v>17.03</v>
      </c>
      <c r="AV392" s="141">
        <f t="shared" ref="AV392" si="738">AT392+AU392</f>
        <v>22.07</v>
      </c>
      <c r="AW392" s="142">
        <f t="shared" ref="AW392" si="739">(AT392+AU392)/$F$5</f>
        <v>3.152857142857143</v>
      </c>
      <c r="AX392" s="126">
        <f t="shared" ref="AX392" si="740">(AW392/$F$6)+(($F$9+$G$9)/40/R392)+AW392*U392</f>
        <v>2.8770413614163615</v>
      </c>
      <c r="AY392" s="17"/>
      <c r="AZ392" s="128">
        <v>8544700000</v>
      </c>
      <c r="BB392" s="168">
        <f t="shared" si="669"/>
        <v>14.313638614011753</v>
      </c>
      <c r="BC392" s="168">
        <f t="shared" si="670"/>
        <v>8.5881831684070509</v>
      </c>
      <c r="BD392" s="168">
        <f t="shared" si="671"/>
        <v>7.1568193070058763</v>
      </c>
      <c r="BE392" s="168">
        <f t="shared" si="672"/>
        <v>5.7254554456047018</v>
      </c>
    </row>
    <row r="393" spans="1:57" s="129" customFormat="1" hidden="1">
      <c r="A393" s="88" t="s">
        <v>1276</v>
      </c>
      <c r="B393" s="88" t="s">
        <v>1318</v>
      </c>
      <c r="C393" s="88" t="s">
        <v>1318</v>
      </c>
      <c r="D393" s="88" t="s">
        <v>656</v>
      </c>
      <c r="E393" s="88" t="s">
        <v>907</v>
      </c>
      <c r="F393" s="89" t="s">
        <v>923</v>
      </c>
      <c r="G393" s="92" t="s">
        <v>2632</v>
      </c>
      <c r="H393" s="92"/>
      <c r="I393" s="167" t="s">
        <v>3948</v>
      </c>
      <c r="J393" s="167" t="s">
        <v>3951</v>
      </c>
      <c r="K393" s="88" t="s">
        <v>3949</v>
      </c>
      <c r="L393" s="88" t="s">
        <v>3950</v>
      </c>
      <c r="M393" s="92"/>
      <c r="N393" s="89" t="s">
        <v>60</v>
      </c>
      <c r="O393" s="165"/>
      <c r="P393" s="89" t="s">
        <v>912</v>
      </c>
      <c r="Q393" s="92" t="s">
        <v>913</v>
      </c>
      <c r="R393" s="92"/>
      <c r="S393" s="92"/>
      <c r="T393" s="92">
        <v>8544700000</v>
      </c>
      <c r="U393" s="155">
        <v>0</v>
      </c>
      <c r="V393" s="207">
        <v>30</v>
      </c>
      <c r="W393" s="92">
        <v>45</v>
      </c>
      <c r="X393" s="92">
        <v>55</v>
      </c>
      <c r="Y393" s="92" t="s">
        <v>64</v>
      </c>
      <c r="Z393" s="133"/>
      <c r="AA393" s="133"/>
      <c r="AB393" s="161"/>
      <c r="AC393" s="161"/>
      <c r="AD393" s="213">
        <f t="shared" ref="AD393" si="741">AE393</f>
        <v>0.1</v>
      </c>
      <c r="AE393" s="213">
        <v>0.1</v>
      </c>
      <c r="AF393" s="215">
        <v>0.33</v>
      </c>
      <c r="AG393" s="215" t="s">
        <v>9</v>
      </c>
      <c r="AH393" s="148"/>
      <c r="AI393" s="122"/>
      <c r="AJ393" s="444"/>
      <c r="AK393" s="150"/>
      <c r="AL393" s="153"/>
      <c r="AM393" s="125"/>
      <c r="AN393" s="125"/>
      <c r="AO393" s="140"/>
      <c r="AP393" s="17" t="s">
        <v>664</v>
      </c>
      <c r="AQ393" s="141"/>
      <c r="AR393" s="191"/>
      <c r="AS393" s="191"/>
      <c r="AT393" s="141"/>
      <c r="AU393" s="141"/>
      <c r="AV393" s="141"/>
      <c r="AW393" s="142"/>
      <c r="AX393" s="126"/>
      <c r="AY393" s="17"/>
      <c r="AZ393" s="128">
        <v>8544700000</v>
      </c>
      <c r="BB393" s="168">
        <f t="shared" ref="BB393" si="742">AB393/0.3</f>
        <v>0</v>
      </c>
      <c r="BC393" s="168">
        <f t="shared" ref="BC393" si="743">BB393*0.6</f>
        <v>0</v>
      </c>
      <c r="BD393" s="168">
        <f t="shared" ref="BD393" si="744">BB393*0.5</f>
        <v>0</v>
      </c>
      <c r="BE393" s="168">
        <f t="shared" ref="BE393" si="745">BB393*0.4</f>
        <v>0</v>
      </c>
    </row>
    <row r="394" spans="1:57" s="129" customFormat="1" hidden="1">
      <c r="A394" s="88" t="s">
        <v>1302</v>
      </c>
      <c r="B394" s="88" t="s">
        <v>1318</v>
      </c>
      <c r="C394" s="88" t="s">
        <v>1318</v>
      </c>
      <c r="D394" s="88" t="s">
        <v>656</v>
      </c>
      <c r="E394" s="88" t="s">
        <v>907</v>
      </c>
      <c r="F394" s="89" t="s">
        <v>936</v>
      </c>
      <c r="G394" s="92" t="s">
        <v>2632</v>
      </c>
      <c r="H394" s="92"/>
      <c r="I394" s="167" t="s">
        <v>1044</v>
      </c>
      <c r="J394" s="167" t="str">
        <f>_xlfn.XLOOKUP(I394,[1]Sheet1!$A:$A,[1]Sheet1!$B:$B,"")</f>
        <v>U0904001</v>
      </c>
      <c r="K394" s="88" t="s">
        <v>1700</v>
      </c>
      <c r="L394" s="88" t="s">
        <v>1046</v>
      </c>
      <c r="M394" s="92"/>
      <c r="N394" s="89" t="s">
        <v>60</v>
      </c>
      <c r="O394" s="165"/>
      <c r="P394" s="89" t="s">
        <v>912</v>
      </c>
      <c r="Q394" s="92" t="s">
        <v>913</v>
      </c>
      <c r="R394" s="92">
        <v>2160</v>
      </c>
      <c r="S394" s="92" t="s">
        <v>2505</v>
      </c>
      <c r="T394" s="92">
        <v>8544700000</v>
      </c>
      <c r="U394" s="155">
        <v>0</v>
      </c>
      <c r="V394" s="207">
        <v>30</v>
      </c>
      <c r="W394" s="92">
        <v>45</v>
      </c>
      <c r="X394" s="92">
        <v>55</v>
      </c>
      <c r="Y394" s="92" t="s">
        <v>64</v>
      </c>
      <c r="Z394" s="133">
        <f t="shared" si="562"/>
        <v>3.6239316239316244</v>
      </c>
      <c r="AA394" s="133"/>
      <c r="AB394" s="161">
        <f t="shared" si="563"/>
        <v>2.7648881660075695</v>
      </c>
      <c r="AC394" s="161"/>
      <c r="AD394" s="213">
        <f t="shared" si="564"/>
        <v>0.1</v>
      </c>
      <c r="AE394" s="213">
        <v>0.1</v>
      </c>
      <c r="AF394" s="215">
        <v>0.33</v>
      </c>
      <c r="AG394" s="215" t="s">
        <v>9</v>
      </c>
      <c r="AH394" s="148">
        <f t="shared" si="685"/>
        <v>2.7648881660075695</v>
      </c>
      <c r="AI394" s="122">
        <f t="shared" si="565"/>
        <v>0.33000000000000007</v>
      </c>
      <c r="AJ394" s="444"/>
      <c r="AK394" s="150">
        <f t="shared" si="566"/>
        <v>2.3555555555555556</v>
      </c>
      <c r="AL394" s="153">
        <f t="shared" si="567"/>
        <v>2.0583056346945239</v>
      </c>
      <c r="AM394" s="125">
        <f t="shared" si="568"/>
        <v>0.35000000000000009</v>
      </c>
      <c r="AN394" s="125">
        <f t="shared" si="640"/>
        <v>0.25555555555555554</v>
      </c>
      <c r="AO394" s="140"/>
      <c r="AP394" s="17" t="s">
        <v>664</v>
      </c>
      <c r="AQ394" s="141"/>
      <c r="AR394" s="191"/>
      <c r="AS394" s="191"/>
      <c r="AT394" s="141">
        <v>5.04</v>
      </c>
      <c r="AU394" s="141">
        <v>9.8000000000000007</v>
      </c>
      <c r="AV394" s="141">
        <f t="shared" si="570"/>
        <v>14.84</v>
      </c>
      <c r="AW394" s="142">
        <f t="shared" si="571"/>
        <v>2.12</v>
      </c>
      <c r="AX394" s="126">
        <f t="shared" si="673"/>
        <v>1.8524750712250715</v>
      </c>
      <c r="AY394" s="17"/>
      <c r="AZ394" s="128">
        <v>8544700000</v>
      </c>
      <c r="BB394" s="168">
        <f t="shared" si="669"/>
        <v>9.2162938866918989</v>
      </c>
      <c r="BC394" s="168">
        <f t="shared" si="670"/>
        <v>5.529776332015139</v>
      </c>
      <c r="BD394" s="168">
        <f t="shared" si="671"/>
        <v>4.6081469433459494</v>
      </c>
      <c r="BE394" s="168">
        <f t="shared" si="672"/>
        <v>3.6865175546767599</v>
      </c>
    </row>
    <row r="395" spans="1:57" s="129" customFormat="1" hidden="1">
      <c r="A395" s="88" t="s">
        <v>1302</v>
      </c>
      <c r="B395" s="88" t="s">
        <v>1318</v>
      </c>
      <c r="C395" s="88" t="s">
        <v>1318</v>
      </c>
      <c r="D395" s="88" t="s">
        <v>656</v>
      </c>
      <c r="E395" s="88" t="s">
        <v>907</v>
      </c>
      <c r="F395" s="89" t="s">
        <v>936</v>
      </c>
      <c r="G395" s="92" t="s">
        <v>2632</v>
      </c>
      <c r="H395" s="92"/>
      <c r="I395" s="167" t="s">
        <v>1047</v>
      </c>
      <c r="J395" s="167" t="str">
        <f>_xlfn.XLOOKUP(I395,[1]Sheet1!$A:$A,[1]Sheet1!$B:$B,"")</f>
        <v>U0904002</v>
      </c>
      <c r="K395" s="88" t="s">
        <v>1048</v>
      </c>
      <c r="L395" s="88" t="s">
        <v>1049</v>
      </c>
      <c r="M395" s="92"/>
      <c r="N395" s="89" t="s">
        <v>60</v>
      </c>
      <c r="O395" s="165"/>
      <c r="P395" s="89" t="s">
        <v>912</v>
      </c>
      <c r="Q395" s="92" t="s">
        <v>913</v>
      </c>
      <c r="R395" s="92">
        <v>1920</v>
      </c>
      <c r="S395" s="92" t="e">
        <v>#N/A</v>
      </c>
      <c r="T395" s="92">
        <v>8544700000</v>
      </c>
      <c r="U395" s="155">
        <v>0</v>
      </c>
      <c r="V395" s="207">
        <v>30</v>
      </c>
      <c r="W395" s="92">
        <v>45</v>
      </c>
      <c r="X395" s="92">
        <v>55</v>
      </c>
      <c r="Y395" s="92" t="s">
        <v>64</v>
      </c>
      <c r="Z395" s="133">
        <f t="shared" si="562"/>
        <v>3.7582417582417591</v>
      </c>
      <c r="AA395" s="133"/>
      <c r="AB395" s="161">
        <f t="shared" si="563"/>
        <v>2.872677307145592</v>
      </c>
      <c r="AC395" s="161"/>
      <c r="AD395" s="213">
        <f t="shared" si="564"/>
        <v>0.1</v>
      </c>
      <c r="AE395" s="213">
        <v>0.1</v>
      </c>
      <c r="AF395" s="215">
        <v>0.33</v>
      </c>
      <c r="AG395" s="215" t="s">
        <v>9</v>
      </c>
      <c r="AH395" s="148">
        <f t="shared" si="685"/>
        <v>2.872677307145592</v>
      </c>
      <c r="AI395" s="122">
        <f t="shared" si="565"/>
        <v>0.33000000000000007</v>
      </c>
      <c r="AJ395" s="444"/>
      <c r="AK395" s="150">
        <f t="shared" si="566"/>
        <v>2.4428571428571431</v>
      </c>
      <c r="AL395" s="153">
        <f t="shared" si="567"/>
        <v>2.1385486619861624</v>
      </c>
      <c r="AM395" s="125">
        <f t="shared" si="568"/>
        <v>0.35000000000000009</v>
      </c>
      <c r="AN395" s="125">
        <f t="shared" si="640"/>
        <v>0.25555555555555576</v>
      </c>
      <c r="AO395" s="140"/>
      <c r="AP395" s="17" t="s">
        <v>664</v>
      </c>
      <c r="AQ395" s="141"/>
      <c r="AR395" s="191"/>
      <c r="AS395" s="191"/>
      <c r="AT395" s="141">
        <v>5.04</v>
      </c>
      <c r="AU395" s="141">
        <v>10.35</v>
      </c>
      <c r="AV395" s="141">
        <f t="shared" si="570"/>
        <v>15.39</v>
      </c>
      <c r="AW395" s="142">
        <f t="shared" si="571"/>
        <v>2.1985714285714288</v>
      </c>
      <c r="AX395" s="126">
        <f t="shared" si="673"/>
        <v>1.9246937957875463</v>
      </c>
      <c r="AY395" s="17"/>
      <c r="AZ395" s="128">
        <v>8544700000</v>
      </c>
      <c r="BB395" s="168">
        <f t="shared" si="669"/>
        <v>9.5755910238186406</v>
      </c>
      <c r="BC395" s="168">
        <f t="shared" si="670"/>
        <v>5.745354614291184</v>
      </c>
      <c r="BD395" s="168">
        <f t="shared" si="671"/>
        <v>4.7877955119093203</v>
      </c>
      <c r="BE395" s="168">
        <f t="shared" si="672"/>
        <v>3.8302364095274566</v>
      </c>
    </row>
    <row r="396" spans="1:57" s="129" customFormat="1" hidden="1">
      <c r="A396" s="88" t="s">
        <v>1302</v>
      </c>
      <c r="B396" s="88" t="s">
        <v>1318</v>
      </c>
      <c r="C396" s="88" t="s">
        <v>1318</v>
      </c>
      <c r="D396" s="88" t="s">
        <v>656</v>
      </c>
      <c r="E396" s="88" t="s">
        <v>907</v>
      </c>
      <c r="F396" s="89" t="s">
        <v>936</v>
      </c>
      <c r="G396" s="92" t="s">
        <v>2632</v>
      </c>
      <c r="H396" s="92"/>
      <c r="I396" s="167" t="s">
        <v>1050</v>
      </c>
      <c r="J396" s="167" t="str">
        <f>_xlfn.XLOOKUP(I396,[1]Sheet1!$A:$A,[1]Sheet1!$B:$B,"")</f>
        <v>U0904003</v>
      </c>
      <c r="K396" s="88" t="s">
        <v>1051</v>
      </c>
      <c r="L396" s="88" t="s">
        <v>1052</v>
      </c>
      <c r="M396" s="92"/>
      <c r="N396" s="89" t="s">
        <v>60</v>
      </c>
      <c r="O396" s="165"/>
      <c r="P396" s="89" t="s">
        <v>912</v>
      </c>
      <c r="Q396" s="92" t="s">
        <v>913</v>
      </c>
      <c r="R396" s="92">
        <v>1920</v>
      </c>
      <c r="S396" s="92" t="s">
        <v>2506</v>
      </c>
      <c r="T396" s="92">
        <v>8544700000</v>
      </c>
      <c r="U396" s="155">
        <v>0</v>
      </c>
      <c r="V396" s="207">
        <v>30</v>
      </c>
      <c r="W396" s="92">
        <v>45</v>
      </c>
      <c r="X396" s="92">
        <v>55</v>
      </c>
      <c r="Y396" s="92" t="s">
        <v>64</v>
      </c>
      <c r="Z396" s="133">
        <f t="shared" si="562"/>
        <v>3.8925518925518929</v>
      </c>
      <c r="AA396" s="133"/>
      <c r="AB396" s="161">
        <f t="shared" si="563"/>
        <v>2.9729087506606171</v>
      </c>
      <c r="AC396" s="161"/>
      <c r="AD396" s="213">
        <f t="shared" si="564"/>
        <v>0.1</v>
      </c>
      <c r="AE396" s="213">
        <v>0.1</v>
      </c>
      <c r="AF396" s="215">
        <v>0.33</v>
      </c>
      <c r="AG396" s="215" t="s">
        <v>9</v>
      </c>
      <c r="AH396" s="148">
        <f t="shared" si="685"/>
        <v>2.9729087506606171</v>
      </c>
      <c r="AI396" s="122">
        <f t="shared" si="565"/>
        <v>0.33000000000000007</v>
      </c>
      <c r="AJ396" s="444"/>
      <c r="AK396" s="150">
        <f t="shared" si="566"/>
        <v>2.5301587301587301</v>
      </c>
      <c r="AL396" s="153">
        <f t="shared" si="567"/>
        <v>2.2131654032695702</v>
      </c>
      <c r="AM396" s="125">
        <f t="shared" si="568"/>
        <v>0.35000000000000009</v>
      </c>
      <c r="AN396" s="125">
        <f t="shared" si="640"/>
        <v>0.25555555555555565</v>
      </c>
      <c r="AO396" s="140"/>
      <c r="AP396" s="17" t="s">
        <v>664</v>
      </c>
      <c r="AQ396" s="141"/>
      <c r="AR396" s="191"/>
      <c r="AS396" s="191"/>
      <c r="AT396" s="141">
        <v>5.04</v>
      </c>
      <c r="AU396" s="141">
        <v>10.9</v>
      </c>
      <c r="AV396" s="141">
        <f t="shared" si="570"/>
        <v>15.940000000000001</v>
      </c>
      <c r="AW396" s="142">
        <f t="shared" si="571"/>
        <v>2.2771428571428571</v>
      </c>
      <c r="AX396" s="126">
        <f t="shared" si="673"/>
        <v>1.9918488629426132</v>
      </c>
      <c r="AY396" s="17"/>
      <c r="AZ396" s="128">
        <v>8544700000</v>
      </c>
      <c r="BB396" s="168">
        <f t="shared" si="669"/>
        <v>9.9096958355353912</v>
      </c>
      <c r="BC396" s="168">
        <f t="shared" si="670"/>
        <v>5.9458175013212342</v>
      </c>
      <c r="BD396" s="168">
        <f t="shared" si="671"/>
        <v>4.9548479177676956</v>
      </c>
      <c r="BE396" s="168">
        <f t="shared" si="672"/>
        <v>3.9638783342141566</v>
      </c>
    </row>
    <row r="397" spans="1:57" s="129" customFormat="1" hidden="1">
      <c r="A397" s="88" t="s">
        <v>1302</v>
      </c>
      <c r="B397" s="88" t="s">
        <v>1318</v>
      </c>
      <c r="C397" s="88" t="s">
        <v>1318</v>
      </c>
      <c r="D397" s="88" t="s">
        <v>656</v>
      </c>
      <c r="E397" s="88" t="s">
        <v>907</v>
      </c>
      <c r="F397" s="89" t="s">
        <v>936</v>
      </c>
      <c r="G397" s="92" t="s">
        <v>2632</v>
      </c>
      <c r="H397" s="92"/>
      <c r="I397" s="167" t="s">
        <v>1053</v>
      </c>
      <c r="J397" s="167" t="str">
        <f>_xlfn.XLOOKUP(I397,[1]Sheet1!$A:$A,[1]Sheet1!$B:$B,"")</f>
        <v>U0904004</v>
      </c>
      <c r="K397" s="88" t="s">
        <v>1054</v>
      </c>
      <c r="L397" s="88" t="s">
        <v>1055</v>
      </c>
      <c r="M397" s="92"/>
      <c r="N397" s="89" t="s">
        <v>60</v>
      </c>
      <c r="O397" s="165"/>
      <c r="P397" s="89" t="s">
        <v>912</v>
      </c>
      <c r="Q397" s="92" t="s">
        <v>913</v>
      </c>
      <c r="R397" s="92">
        <v>1440</v>
      </c>
      <c r="S397" s="92" t="s">
        <v>2507</v>
      </c>
      <c r="T397" s="92">
        <v>8544700000</v>
      </c>
      <c r="U397" s="155">
        <v>0</v>
      </c>
      <c r="V397" s="207">
        <v>30</v>
      </c>
      <c r="W397" s="92">
        <v>45</v>
      </c>
      <c r="X397" s="92">
        <v>55</v>
      </c>
      <c r="Y397" s="92" t="s">
        <v>64</v>
      </c>
      <c r="Z397" s="133">
        <f t="shared" si="562"/>
        <v>4.1465201465201469</v>
      </c>
      <c r="AA397" s="133"/>
      <c r="AB397" s="161">
        <f t="shared" si="563"/>
        <v>3.1851103912671084</v>
      </c>
      <c r="AC397" s="161"/>
      <c r="AD397" s="213">
        <f t="shared" si="564"/>
        <v>0.1</v>
      </c>
      <c r="AE397" s="213">
        <v>0.1</v>
      </c>
      <c r="AF397" s="215">
        <v>0.33</v>
      </c>
      <c r="AG397" s="215" t="s">
        <v>9</v>
      </c>
      <c r="AH397" s="148">
        <f t="shared" si="685"/>
        <v>3.1851103912671084</v>
      </c>
      <c r="AI397" s="122">
        <f t="shared" si="565"/>
        <v>0.33000000000000007</v>
      </c>
      <c r="AJ397" s="444"/>
      <c r="AK397" s="150">
        <f t="shared" si="566"/>
        <v>2.695238095238095</v>
      </c>
      <c r="AL397" s="153">
        <f t="shared" si="567"/>
        <v>2.371137735721069</v>
      </c>
      <c r="AM397" s="125">
        <f t="shared" si="568"/>
        <v>0.35000000000000009</v>
      </c>
      <c r="AN397" s="125">
        <f t="shared" si="640"/>
        <v>0.25555555555555576</v>
      </c>
      <c r="AO397" s="140"/>
      <c r="AP397" s="17" t="s">
        <v>664</v>
      </c>
      <c r="AQ397" s="141"/>
      <c r="AR397" s="191"/>
      <c r="AS397" s="191"/>
      <c r="AT397" s="141">
        <v>5.04</v>
      </c>
      <c r="AU397" s="141">
        <v>11.94</v>
      </c>
      <c r="AV397" s="141">
        <f t="shared" si="570"/>
        <v>16.98</v>
      </c>
      <c r="AW397" s="142">
        <f t="shared" si="571"/>
        <v>2.4257142857142857</v>
      </c>
      <c r="AX397" s="126">
        <f t="shared" si="673"/>
        <v>2.1340239621489623</v>
      </c>
      <c r="AY397" s="17"/>
      <c r="AZ397" s="128">
        <v>8544700000</v>
      </c>
      <c r="BB397" s="168">
        <f t="shared" si="669"/>
        <v>10.617034637557028</v>
      </c>
      <c r="BC397" s="168">
        <f t="shared" si="670"/>
        <v>6.3702207825342168</v>
      </c>
      <c r="BD397" s="168">
        <f t="shared" si="671"/>
        <v>5.308517318778514</v>
      </c>
      <c r="BE397" s="168">
        <f t="shared" si="672"/>
        <v>4.2468138550228112</v>
      </c>
    </row>
    <row r="398" spans="1:57" s="129" customFormat="1" hidden="1">
      <c r="A398" s="88" t="s">
        <v>1276</v>
      </c>
      <c r="B398" s="88" t="s">
        <v>1318</v>
      </c>
      <c r="C398" s="88" t="s">
        <v>1318</v>
      </c>
      <c r="D398" s="88" t="s">
        <v>656</v>
      </c>
      <c r="E398" s="88" t="s">
        <v>907</v>
      </c>
      <c r="F398" s="89" t="s">
        <v>936</v>
      </c>
      <c r="G398" s="92" t="s">
        <v>2632</v>
      </c>
      <c r="H398" s="92"/>
      <c r="I398" s="167" t="s">
        <v>1653</v>
      </c>
      <c r="J398" s="167" t="s">
        <v>3945</v>
      </c>
      <c r="K398" s="88" t="s">
        <v>1655</v>
      </c>
      <c r="L398" s="88" t="s">
        <v>1657</v>
      </c>
      <c r="M398" s="92"/>
      <c r="N398" s="89" t="s">
        <v>60</v>
      </c>
      <c r="O398" s="165"/>
      <c r="P398" s="89" t="s">
        <v>912</v>
      </c>
      <c r="Q398" s="92" t="s">
        <v>913</v>
      </c>
      <c r="R398" s="92">
        <v>720</v>
      </c>
      <c r="S398" s="92" t="e">
        <v>#N/A</v>
      </c>
      <c r="T398" s="92">
        <v>8544700000</v>
      </c>
      <c r="U398" s="155">
        <v>0</v>
      </c>
      <c r="V398" s="207">
        <v>30</v>
      </c>
      <c r="W398" s="92">
        <v>45</v>
      </c>
      <c r="X398" s="92">
        <v>55</v>
      </c>
      <c r="Y398" s="92" t="s">
        <v>64</v>
      </c>
      <c r="Z398" s="133">
        <f t="shared" ref="Z398:Z403" si="746">AK398/(1-(AF398+2%))</f>
        <v>4.6935286935286937</v>
      </c>
      <c r="AA398" s="133"/>
      <c r="AB398" s="161">
        <f t="shared" ref="AB398:AB403" si="747">AX398/(1-AF398)</f>
        <v>3.6840180963315294</v>
      </c>
      <c r="AC398" s="161"/>
      <c r="AD398" s="213">
        <f t="shared" ref="AD398:AD403" si="748">AE398</f>
        <v>0.1</v>
      </c>
      <c r="AE398" s="213">
        <v>0.1</v>
      </c>
      <c r="AF398" s="215">
        <v>0.33</v>
      </c>
      <c r="AG398" s="215" t="s">
        <v>9</v>
      </c>
      <c r="AH398" s="148">
        <f t="shared" si="685"/>
        <v>3.6840180963315294</v>
      </c>
      <c r="AI398" s="122">
        <f t="shared" ref="AI398:AI403" si="749">1-(AX398/AH398)</f>
        <v>0.33000000000000007</v>
      </c>
      <c r="AJ398" s="444"/>
      <c r="AK398" s="150">
        <f t="shared" ref="AK398:AK403" si="750">AW398/(1-AD398)</f>
        <v>3.0507936507936506</v>
      </c>
      <c r="AL398" s="153">
        <f t="shared" ref="AL398:AL403" si="751">AX398/(1-AE398)</f>
        <v>2.7425468050468051</v>
      </c>
      <c r="AM398" s="125">
        <f t="shared" ref="AM398:AM403" si="752">1-(AK398/Z398)</f>
        <v>0.35000000000000009</v>
      </c>
      <c r="AN398" s="125">
        <f t="shared" ref="AN398:AN403" si="753">1-(AL398/AB398)</f>
        <v>0.25555555555555554</v>
      </c>
      <c r="AO398" s="140"/>
      <c r="AP398" s="17" t="s">
        <v>664</v>
      </c>
      <c r="AQ398" s="141"/>
      <c r="AR398" s="191"/>
      <c r="AS398" s="191"/>
      <c r="AT398" s="141">
        <v>5.04</v>
      </c>
      <c r="AU398" s="141">
        <v>14.18</v>
      </c>
      <c r="AV398" s="141">
        <f t="shared" ref="AV398:AV403" si="754">AT398+AU398</f>
        <v>19.22</v>
      </c>
      <c r="AW398" s="142">
        <f t="shared" ref="AW398:AW403" si="755">(AT398+AU398)/$F$5</f>
        <v>2.7457142857142856</v>
      </c>
      <c r="AX398" s="126">
        <f t="shared" ref="AX398:AX403" si="756">(AW398/$F$6)+(($F$9+$G$9)/40/R398)+AW398*U398</f>
        <v>2.4682921245421245</v>
      </c>
      <c r="AY398" s="17"/>
      <c r="AZ398" s="128">
        <v>8544700000</v>
      </c>
      <c r="BB398" s="168">
        <f t="shared" si="669"/>
        <v>12.280060321105099</v>
      </c>
      <c r="BC398" s="168">
        <f t="shared" si="670"/>
        <v>7.3680361926630589</v>
      </c>
      <c r="BD398" s="168">
        <f t="shared" si="671"/>
        <v>6.1400301605525494</v>
      </c>
      <c r="BE398" s="168">
        <f t="shared" si="672"/>
        <v>4.9120241284420398</v>
      </c>
    </row>
    <row r="399" spans="1:57" s="129" customFormat="1" hidden="1">
      <c r="A399" s="88" t="s">
        <v>1276</v>
      </c>
      <c r="B399" s="88" t="s">
        <v>1318</v>
      </c>
      <c r="C399" s="88" t="s">
        <v>1318</v>
      </c>
      <c r="D399" s="88" t="s">
        <v>656</v>
      </c>
      <c r="E399" s="88" t="s">
        <v>907</v>
      </c>
      <c r="F399" s="89" t="s">
        <v>936</v>
      </c>
      <c r="G399" s="92" t="s">
        <v>2632</v>
      </c>
      <c r="H399" s="92"/>
      <c r="I399" s="167" t="s">
        <v>3946</v>
      </c>
      <c r="J399" s="167" t="s">
        <v>3947</v>
      </c>
      <c r="K399" s="88" t="s">
        <v>1656</v>
      </c>
      <c r="L399" s="88" t="s">
        <v>1658</v>
      </c>
      <c r="M399" s="92"/>
      <c r="N399" s="89" t="s">
        <v>60</v>
      </c>
      <c r="O399" s="165"/>
      <c r="P399" s="89" t="s">
        <v>912</v>
      </c>
      <c r="Q399" s="92" t="s">
        <v>913</v>
      </c>
      <c r="R399" s="92">
        <v>480</v>
      </c>
      <c r="S399" s="92" t="e">
        <v>#N/A</v>
      </c>
      <c r="T399" s="92">
        <v>8544700000</v>
      </c>
      <c r="U399" s="155">
        <v>0</v>
      </c>
      <c r="V399" s="207">
        <v>30</v>
      </c>
      <c r="W399" s="92">
        <v>45</v>
      </c>
      <c r="X399" s="92">
        <v>55</v>
      </c>
      <c r="Y399" s="92" t="s">
        <v>64</v>
      </c>
      <c r="Z399" s="133">
        <f t="shared" si="746"/>
        <v>5.3894993894993899</v>
      </c>
      <c r="AA399" s="133"/>
      <c r="AB399" s="161">
        <f t="shared" si="747"/>
        <v>4.2940915842035254</v>
      </c>
      <c r="AC399" s="161"/>
      <c r="AD399" s="213">
        <f t="shared" si="748"/>
        <v>0.1</v>
      </c>
      <c r="AE399" s="213">
        <v>0.1</v>
      </c>
      <c r="AF399" s="215">
        <v>0.33</v>
      </c>
      <c r="AG399" s="215" t="s">
        <v>9</v>
      </c>
      <c r="AH399" s="148">
        <f t="shared" si="685"/>
        <v>4.2940915842035254</v>
      </c>
      <c r="AI399" s="122">
        <f t="shared" si="749"/>
        <v>0.33000000000000018</v>
      </c>
      <c r="AJ399" s="444"/>
      <c r="AK399" s="150">
        <f t="shared" si="750"/>
        <v>3.5031746031746032</v>
      </c>
      <c r="AL399" s="153">
        <f t="shared" si="751"/>
        <v>3.1967126237959569</v>
      </c>
      <c r="AM399" s="125">
        <f t="shared" si="752"/>
        <v>0.35000000000000009</v>
      </c>
      <c r="AN399" s="125">
        <f t="shared" si="753"/>
        <v>0.25555555555555576</v>
      </c>
      <c r="AO399" s="140"/>
      <c r="AP399" s="17" t="s">
        <v>664</v>
      </c>
      <c r="AQ399" s="141"/>
      <c r="AR399" s="191"/>
      <c r="AS399" s="191"/>
      <c r="AT399" s="141">
        <v>5.04</v>
      </c>
      <c r="AU399" s="141">
        <v>17.03</v>
      </c>
      <c r="AV399" s="141">
        <f t="shared" si="754"/>
        <v>22.07</v>
      </c>
      <c r="AW399" s="142">
        <f t="shared" si="755"/>
        <v>3.152857142857143</v>
      </c>
      <c r="AX399" s="126">
        <f t="shared" si="756"/>
        <v>2.8770413614163615</v>
      </c>
      <c r="AY399" s="17"/>
      <c r="AZ399" s="128">
        <v>8544700000</v>
      </c>
      <c r="BB399" s="168">
        <f t="shared" si="669"/>
        <v>14.313638614011753</v>
      </c>
      <c r="BC399" s="168">
        <f t="shared" si="670"/>
        <v>8.5881831684070509</v>
      </c>
      <c r="BD399" s="168">
        <f t="shared" si="671"/>
        <v>7.1568193070058763</v>
      </c>
      <c r="BE399" s="168">
        <f t="shared" si="672"/>
        <v>5.7254554456047018</v>
      </c>
    </row>
    <row r="400" spans="1:57" s="129" customFormat="1" hidden="1">
      <c r="A400" s="88" t="s">
        <v>1276</v>
      </c>
      <c r="B400" s="88" t="s">
        <v>1318</v>
      </c>
      <c r="C400" s="88" t="s">
        <v>1318</v>
      </c>
      <c r="D400" s="88" t="s">
        <v>656</v>
      </c>
      <c r="E400" s="88" t="s">
        <v>907</v>
      </c>
      <c r="F400" s="89" t="s">
        <v>936</v>
      </c>
      <c r="G400" s="92" t="s">
        <v>2632</v>
      </c>
      <c r="H400" s="92"/>
      <c r="I400" s="167" t="s">
        <v>1044</v>
      </c>
      <c r="J400" s="167" t="str">
        <f>_xlfn.XLOOKUP(I400,[1]Sheet1!$A:$A,[1]Sheet1!$B:$B,"")</f>
        <v>U0904001</v>
      </c>
      <c r="K400" s="88" t="s">
        <v>1045</v>
      </c>
      <c r="L400" s="88" t="s">
        <v>1046</v>
      </c>
      <c r="M400" s="92"/>
      <c r="N400" s="89" t="s">
        <v>60</v>
      </c>
      <c r="O400" s="165"/>
      <c r="P400" s="89" t="s">
        <v>912</v>
      </c>
      <c r="Q400" s="92" t="s">
        <v>913</v>
      </c>
      <c r="R400" s="92">
        <v>2160</v>
      </c>
      <c r="S400" s="92" t="s">
        <v>2505</v>
      </c>
      <c r="T400" s="92">
        <v>8544700000</v>
      </c>
      <c r="U400" s="155">
        <v>0</v>
      </c>
      <c r="V400" s="207">
        <v>30</v>
      </c>
      <c r="W400" s="92">
        <v>45</v>
      </c>
      <c r="X400" s="92">
        <v>55</v>
      </c>
      <c r="Y400" s="92" t="s">
        <v>64</v>
      </c>
      <c r="Z400" s="133">
        <f t="shared" si="746"/>
        <v>3.6239316239316244</v>
      </c>
      <c r="AA400" s="133"/>
      <c r="AB400" s="161">
        <f t="shared" si="747"/>
        <v>2.7648881660075695</v>
      </c>
      <c r="AC400" s="161"/>
      <c r="AD400" s="213">
        <f t="shared" si="748"/>
        <v>0.1</v>
      </c>
      <c r="AE400" s="213">
        <v>0.1</v>
      </c>
      <c r="AF400" s="215">
        <v>0.33</v>
      </c>
      <c r="AG400" s="215" t="s">
        <v>9</v>
      </c>
      <c r="AH400" s="148">
        <f t="shared" si="685"/>
        <v>2.7648881660075695</v>
      </c>
      <c r="AI400" s="122">
        <f t="shared" si="749"/>
        <v>0.33000000000000007</v>
      </c>
      <c r="AJ400" s="444"/>
      <c r="AK400" s="150">
        <f t="shared" si="750"/>
        <v>2.3555555555555556</v>
      </c>
      <c r="AL400" s="153">
        <f t="shared" si="751"/>
        <v>2.0583056346945239</v>
      </c>
      <c r="AM400" s="125">
        <f t="shared" si="752"/>
        <v>0.35000000000000009</v>
      </c>
      <c r="AN400" s="125">
        <f t="shared" si="753"/>
        <v>0.25555555555555554</v>
      </c>
      <c r="AO400" s="140"/>
      <c r="AP400" s="17" t="s">
        <v>664</v>
      </c>
      <c r="AQ400" s="141"/>
      <c r="AR400" s="191"/>
      <c r="AS400" s="191"/>
      <c r="AT400" s="141">
        <v>5.04</v>
      </c>
      <c r="AU400" s="141">
        <v>9.8000000000000007</v>
      </c>
      <c r="AV400" s="141">
        <f t="shared" si="754"/>
        <v>14.84</v>
      </c>
      <c r="AW400" s="142">
        <f t="shared" si="755"/>
        <v>2.12</v>
      </c>
      <c r="AX400" s="126">
        <f t="shared" si="756"/>
        <v>1.8524750712250715</v>
      </c>
      <c r="AY400" s="17"/>
      <c r="AZ400" s="128">
        <v>8544700000</v>
      </c>
      <c r="BB400" s="168">
        <f t="shared" si="669"/>
        <v>9.2162938866918989</v>
      </c>
      <c r="BC400" s="168">
        <f t="shared" si="670"/>
        <v>5.529776332015139</v>
      </c>
      <c r="BD400" s="168">
        <f t="shared" si="671"/>
        <v>4.6081469433459494</v>
      </c>
      <c r="BE400" s="168">
        <f t="shared" si="672"/>
        <v>3.6865175546767599</v>
      </c>
    </row>
    <row r="401" spans="1:58" s="129" customFormat="1" hidden="1">
      <c r="A401" s="88" t="s">
        <v>1276</v>
      </c>
      <c r="B401" s="88" t="s">
        <v>1318</v>
      </c>
      <c r="C401" s="88" t="s">
        <v>1318</v>
      </c>
      <c r="D401" s="88" t="s">
        <v>656</v>
      </c>
      <c r="E401" s="88" t="s">
        <v>907</v>
      </c>
      <c r="F401" s="89" t="s">
        <v>936</v>
      </c>
      <c r="G401" s="92" t="s">
        <v>2632</v>
      </c>
      <c r="H401" s="92"/>
      <c r="I401" s="167" t="s">
        <v>1047</v>
      </c>
      <c r="J401" s="167" t="str">
        <f>_xlfn.XLOOKUP(I401,[1]Sheet1!$A:$A,[1]Sheet1!$B:$B,"")</f>
        <v>U0904002</v>
      </c>
      <c r="K401" s="88" t="s">
        <v>1048</v>
      </c>
      <c r="L401" s="88" t="s">
        <v>1049</v>
      </c>
      <c r="M401" s="92"/>
      <c r="N401" s="89" t="s">
        <v>60</v>
      </c>
      <c r="O401" s="165"/>
      <c r="P401" s="89" t="s">
        <v>912</v>
      </c>
      <c r="Q401" s="92" t="s">
        <v>913</v>
      </c>
      <c r="R401" s="92">
        <v>1920</v>
      </c>
      <c r="S401" s="92" t="e">
        <v>#N/A</v>
      </c>
      <c r="T401" s="92">
        <v>8544700000</v>
      </c>
      <c r="U401" s="155">
        <v>0</v>
      </c>
      <c r="V401" s="207">
        <v>30</v>
      </c>
      <c r="W401" s="92">
        <v>45</v>
      </c>
      <c r="X401" s="92">
        <v>55</v>
      </c>
      <c r="Y401" s="92" t="s">
        <v>64</v>
      </c>
      <c r="Z401" s="133">
        <f t="shared" si="746"/>
        <v>3.7582417582417591</v>
      </c>
      <c r="AA401" s="133"/>
      <c r="AB401" s="161">
        <f t="shared" si="747"/>
        <v>2.872677307145592</v>
      </c>
      <c r="AC401" s="161"/>
      <c r="AD401" s="213">
        <f t="shared" si="748"/>
        <v>0.1</v>
      </c>
      <c r="AE401" s="213">
        <v>0.1</v>
      </c>
      <c r="AF401" s="215">
        <v>0.33</v>
      </c>
      <c r="AG401" s="215" t="s">
        <v>9</v>
      </c>
      <c r="AH401" s="148">
        <f t="shared" si="685"/>
        <v>2.872677307145592</v>
      </c>
      <c r="AI401" s="122">
        <f t="shared" si="749"/>
        <v>0.33000000000000007</v>
      </c>
      <c r="AJ401" s="444"/>
      <c r="AK401" s="150">
        <f t="shared" si="750"/>
        <v>2.4428571428571431</v>
      </c>
      <c r="AL401" s="153">
        <f t="shared" si="751"/>
        <v>2.1385486619861624</v>
      </c>
      <c r="AM401" s="125">
        <f t="shared" si="752"/>
        <v>0.35000000000000009</v>
      </c>
      <c r="AN401" s="125">
        <f t="shared" si="753"/>
        <v>0.25555555555555576</v>
      </c>
      <c r="AO401" s="140"/>
      <c r="AP401" s="17" t="s">
        <v>664</v>
      </c>
      <c r="AQ401" s="141"/>
      <c r="AR401" s="191"/>
      <c r="AS401" s="191"/>
      <c r="AT401" s="141">
        <v>5.04</v>
      </c>
      <c r="AU401" s="141">
        <v>10.35</v>
      </c>
      <c r="AV401" s="141">
        <f t="shared" si="754"/>
        <v>15.39</v>
      </c>
      <c r="AW401" s="142">
        <f t="shared" si="755"/>
        <v>2.1985714285714288</v>
      </c>
      <c r="AX401" s="126">
        <f t="shared" si="756"/>
        <v>1.9246937957875463</v>
      </c>
      <c r="AY401" s="17"/>
      <c r="AZ401" s="128">
        <v>8544700000</v>
      </c>
      <c r="BB401" s="168">
        <f t="shared" si="669"/>
        <v>9.5755910238186406</v>
      </c>
      <c r="BC401" s="168">
        <f t="shared" si="670"/>
        <v>5.745354614291184</v>
      </c>
      <c r="BD401" s="168">
        <f t="shared" si="671"/>
        <v>4.7877955119093203</v>
      </c>
      <c r="BE401" s="168">
        <f t="shared" si="672"/>
        <v>3.8302364095274566</v>
      </c>
    </row>
    <row r="402" spans="1:58" s="129" customFormat="1" hidden="1">
      <c r="A402" s="88" t="s">
        <v>1276</v>
      </c>
      <c r="B402" s="88" t="s">
        <v>1318</v>
      </c>
      <c r="C402" s="88" t="s">
        <v>1318</v>
      </c>
      <c r="D402" s="88" t="s">
        <v>656</v>
      </c>
      <c r="E402" s="88" t="s">
        <v>907</v>
      </c>
      <c r="F402" s="89" t="s">
        <v>936</v>
      </c>
      <c r="G402" s="92" t="s">
        <v>2632</v>
      </c>
      <c r="H402" s="92"/>
      <c r="I402" s="167" t="s">
        <v>1050</v>
      </c>
      <c r="J402" s="167" t="str">
        <f>_xlfn.XLOOKUP(I402,[1]Sheet1!$A:$A,[1]Sheet1!$B:$B,"")</f>
        <v>U0904003</v>
      </c>
      <c r="K402" s="88" t="s">
        <v>1051</v>
      </c>
      <c r="L402" s="88" t="s">
        <v>1052</v>
      </c>
      <c r="M402" s="92"/>
      <c r="N402" s="89" t="s">
        <v>60</v>
      </c>
      <c r="O402" s="165"/>
      <c r="P402" s="89" t="s">
        <v>912</v>
      </c>
      <c r="Q402" s="92" t="s">
        <v>913</v>
      </c>
      <c r="R402" s="92">
        <v>1920</v>
      </c>
      <c r="S402" s="92" t="s">
        <v>2506</v>
      </c>
      <c r="T402" s="92">
        <v>8544700000</v>
      </c>
      <c r="U402" s="155">
        <v>0</v>
      </c>
      <c r="V402" s="207">
        <v>30</v>
      </c>
      <c r="W402" s="92">
        <v>45</v>
      </c>
      <c r="X402" s="92">
        <v>55</v>
      </c>
      <c r="Y402" s="92" t="s">
        <v>64</v>
      </c>
      <c r="Z402" s="133">
        <f t="shared" si="746"/>
        <v>3.8925518925518929</v>
      </c>
      <c r="AA402" s="133"/>
      <c r="AB402" s="161">
        <f t="shared" si="747"/>
        <v>2.9729087506606171</v>
      </c>
      <c r="AC402" s="161"/>
      <c r="AD402" s="213">
        <f t="shared" si="748"/>
        <v>0.1</v>
      </c>
      <c r="AE402" s="213">
        <v>0.1</v>
      </c>
      <c r="AF402" s="215">
        <v>0.33</v>
      </c>
      <c r="AG402" s="215" t="s">
        <v>9</v>
      </c>
      <c r="AH402" s="148">
        <f t="shared" si="685"/>
        <v>2.9729087506606171</v>
      </c>
      <c r="AI402" s="122">
        <f t="shared" si="749"/>
        <v>0.33000000000000007</v>
      </c>
      <c r="AJ402" s="444"/>
      <c r="AK402" s="150">
        <f t="shared" si="750"/>
        <v>2.5301587301587301</v>
      </c>
      <c r="AL402" s="153">
        <f t="shared" si="751"/>
        <v>2.2131654032695702</v>
      </c>
      <c r="AM402" s="125">
        <f t="shared" si="752"/>
        <v>0.35000000000000009</v>
      </c>
      <c r="AN402" s="125">
        <f t="shared" si="753"/>
        <v>0.25555555555555565</v>
      </c>
      <c r="AO402" s="140"/>
      <c r="AP402" s="17" t="s">
        <v>664</v>
      </c>
      <c r="AQ402" s="141"/>
      <c r="AR402" s="191"/>
      <c r="AS402" s="191"/>
      <c r="AT402" s="141">
        <v>5.04</v>
      </c>
      <c r="AU402" s="141">
        <v>10.9</v>
      </c>
      <c r="AV402" s="141">
        <f t="shared" si="754"/>
        <v>15.940000000000001</v>
      </c>
      <c r="AW402" s="142">
        <f t="shared" si="755"/>
        <v>2.2771428571428571</v>
      </c>
      <c r="AX402" s="126">
        <f t="shared" si="756"/>
        <v>1.9918488629426132</v>
      </c>
      <c r="AY402" s="17"/>
      <c r="AZ402" s="128">
        <v>8544700000</v>
      </c>
      <c r="BB402" s="168">
        <f t="shared" si="669"/>
        <v>9.9096958355353912</v>
      </c>
      <c r="BC402" s="168">
        <f t="shared" si="670"/>
        <v>5.9458175013212342</v>
      </c>
      <c r="BD402" s="168">
        <f t="shared" si="671"/>
        <v>4.9548479177676956</v>
      </c>
      <c r="BE402" s="168">
        <f t="shared" si="672"/>
        <v>3.9638783342141566</v>
      </c>
    </row>
    <row r="403" spans="1:58" s="129" customFormat="1" hidden="1">
      <c r="A403" s="88" t="s">
        <v>1276</v>
      </c>
      <c r="B403" s="88" t="s">
        <v>1318</v>
      </c>
      <c r="C403" s="88" t="s">
        <v>1318</v>
      </c>
      <c r="D403" s="88" t="s">
        <v>656</v>
      </c>
      <c r="E403" s="88" t="s">
        <v>907</v>
      </c>
      <c r="F403" s="89" t="s">
        <v>936</v>
      </c>
      <c r="G403" s="92" t="s">
        <v>2632</v>
      </c>
      <c r="H403" s="92"/>
      <c r="I403" s="167" t="s">
        <v>1053</v>
      </c>
      <c r="J403" s="167" t="str">
        <f>_xlfn.XLOOKUP(I403,[1]Sheet1!$A:$A,[1]Sheet1!$B:$B,"")</f>
        <v>U0904004</v>
      </c>
      <c r="K403" s="88" t="s">
        <v>1054</v>
      </c>
      <c r="L403" s="88" t="s">
        <v>1055</v>
      </c>
      <c r="M403" s="92"/>
      <c r="N403" s="89" t="s">
        <v>60</v>
      </c>
      <c r="O403" s="165"/>
      <c r="P403" s="89" t="s">
        <v>912</v>
      </c>
      <c r="Q403" s="92" t="s">
        <v>913</v>
      </c>
      <c r="R403" s="92">
        <v>1440</v>
      </c>
      <c r="S403" s="92" t="s">
        <v>2507</v>
      </c>
      <c r="T403" s="92">
        <v>8544700000</v>
      </c>
      <c r="U403" s="155">
        <v>0</v>
      </c>
      <c r="V403" s="207">
        <v>30</v>
      </c>
      <c r="W403" s="92">
        <v>45</v>
      </c>
      <c r="X403" s="92">
        <v>55</v>
      </c>
      <c r="Y403" s="92" t="s">
        <v>64</v>
      </c>
      <c r="Z403" s="133">
        <f t="shared" si="746"/>
        <v>4.1465201465201469</v>
      </c>
      <c r="AA403" s="133"/>
      <c r="AB403" s="161">
        <f t="shared" si="747"/>
        <v>3.1851103912671084</v>
      </c>
      <c r="AC403" s="161"/>
      <c r="AD403" s="213">
        <f t="shared" si="748"/>
        <v>0.1</v>
      </c>
      <c r="AE403" s="213">
        <v>0.1</v>
      </c>
      <c r="AF403" s="215">
        <v>0.33</v>
      </c>
      <c r="AG403" s="215" t="s">
        <v>9</v>
      </c>
      <c r="AH403" s="148">
        <f t="shared" si="685"/>
        <v>3.1851103912671084</v>
      </c>
      <c r="AI403" s="122">
        <f t="shared" si="749"/>
        <v>0.33000000000000007</v>
      </c>
      <c r="AJ403" s="444"/>
      <c r="AK403" s="150">
        <f t="shared" si="750"/>
        <v>2.695238095238095</v>
      </c>
      <c r="AL403" s="153">
        <f t="shared" si="751"/>
        <v>2.371137735721069</v>
      </c>
      <c r="AM403" s="125">
        <f t="shared" si="752"/>
        <v>0.35000000000000009</v>
      </c>
      <c r="AN403" s="125">
        <f t="shared" si="753"/>
        <v>0.25555555555555576</v>
      </c>
      <c r="AO403" s="140"/>
      <c r="AP403" s="17" t="s">
        <v>664</v>
      </c>
      <c r="AQ403" s="141"/>
      <c r="AR403" s="191"/>
      <c r="AS403" s="191"/>
      <c r="AT403" s="141">
        <v>5.04</v>
      </c>
      <c r="AU403" s="141">
        <v>11.94</v>
      </c>
      <c r="AV403" s="141">
        <f t="shared" si="754"/>
        <v>16.98</v>
      </c>
      <c r="AW403" s="142">
        <f t="shared" si="755"/>
        <v>2.4257142857142857</v>
      </c>
      <c r="AX403" s="126">
        <f t="shared" si="756"/>
        <v>2.1340239621489623</v>
      </c>
      <c r="AY403" s="17"/>
      <c r="AZ403" s="128">
        <v>8544700000</v>
      </c>
      <c r="BB403" s="168">
        <f t="shared" si="669"/>
        <v>10.617034637557028</v>
      </c>
      <c r="BC403" s="168">
        <f t="shared" si="670"/>
        <v>6.3702207825342168</v>
      </c>
      <c r="BD403" s="168">
        <f t="shared" si="671"/>
        <v>5.308517318778514</v>
      </c>
      <c r="BE403" s="168">
        <f t="shared" si="672"/>
        <v>4.2468138550228112</v>
      </c>
    </row>
    <row r="404" spans="1:58" s="129" customFormat="1" hidden="1">
      <c r="A404" s="88" t="s">
        <v>1276</v>
      </c>
      <c r="B404" s="88" t="s">
        <v>1318</v>
      </c>
      <c r="C404" s="88" t="s">
        <v>1318</v>
      </c>
      <c r="D404" s="88" t="s">
        <v>656</v>
      </c>
      <c r="E404" s="88" t="s">
        <v>907</v>
      </c>
      <c r="F404" s="89" t="s">
        <v>936</v>
      </c>
      <c r="G404" s="92" t="s">
        <v>2632</v>
      </c>
      <c r="H404" s="92"/>
      <c r="I404" s="167" t="s">
        <v>3952</v>
      </c>
      <c r="J404" s="167" t="s">
        <v>3955</v>
      </c>
      <c r="K404" s="88" t="s">
        <v>3953</v>
      </c>
      <c r="L404" s="88" t="s">
        <v>3954</v>
      </c>
      <c r="M404" s="92"/>
      <c r="N404" s="89" t="s">
        <v>60</v>
      </c>
      <c r="O404" s="165"/>
      <c r="P404" s="89" t="s">
        <v>912</v>
      </c>
      <c r="Q404" s="92" t="s">
        <v>913</v>
      </c>
      <c r="R404" s="92"/>
      <c r="S404" s="92"/>
      <c r="T404" s="92">
        <v>8544700000</v>
      </c>
      <c r="U404" s="155">
        <v>0</v>
      </c>
      <c r="V404" s="207">
        <v>30</v>
      </c>
      <c r="W404" s="92">
        <v>45</v>
      </c>
      <c r="X404" s="92">
        <v>55</v>
      </c>
      <c r="Y404" s="92" t="s">
        <v>64</v>
      </c>
      <c r="Z404" s="133"/>
      <c r="AA404" s="133"/>
      <c r="AB404" s="161"/>
      <c r="AC404" s="161"/>
      <c r="AD404" s="213">
        <f t="shared" ref="AD404:AD422" si="757">AE404</f>
        <v>0.1</v>
      </c>
      <c r="AE404" s="213">
        <v>0.1</v>
      </c>
      <c r="AF404" s="215">
        <v>0.33</v>
      </c>
      <c r="AG404" s="215" t="s">
        <v>9</v>
      </c>
      <c r="AH404" s="148"/>
      <c r="AI404" s="122"/>
      <c r="AJ404" s="444"/>
      <c r="AK404" s="150"/>
      <c r="AL404" s="153"/>
      <c r="AM404" s="125"/>
      <c r="AN404" s="125"/>
      <c r="AO404" s="140"/>
      <c r="AP404" s="17" t="s">
        <v>664</v>
      </c>
      <c r="AQ404" s="141"/>
      <c r="AR404" s="191"/>
      <c r="AS404" s="191"/>
      <c r="AT404" s="141"/>
      <c r="AU404" s="141"/>
      <c r="AV404" s="141"/>
      <c r="AW404" s="142"/>
      <c r="AX404" s="126"/>
      <c r="AY404" s="17"/>
      <c r="AZ404" s="128">
        <v>8544700000</v>
      </c>
      <c r="BB404" s="168">
        <f t="shared" si="669"/>
        <v>0</v>
      </c>
      <c r="BC404" s="168">
        <f t="shared" si="670"/>
        <v>0</v>
      </c>
      <c r="BD404" s="168">
        <f t="shared" si="671"/>
        <v>0</v>
      </c>
      <c r="BE404" s="168">
        <f t="shared" si="672"/>
        <v>0</v>
      </c>
    </row>
    <row r="405" spans="1:58" s="129" customFormat="1" hidden="1">
      <c r="A405" s="88" t="s">
        <v>1276</v>
      </c>
      <c r="B405" s="88" t="s">
        <v>1318</v>
      </c>
      <c r="C405" s="88" t="s">
        <v>1318</v>
      </c>
      <c r="D405" s="88" t="s">
        <v>656</v>
      </c>
      <c r="E405" s="88" t="s">
        <v>907</v>
      </c>
      <c r="F405" s="89" t="s">
        <v>908</v>
      </c>
      <c r="G405" s="92" t="s">
        <v>1785</v>
      </c>
      <c r="H405" s="92"/>
      <c r="I405" s="167" t="s">
        <v>3418</v>
      </c>
      <c r="J405" s="167" t="str">
        <f>_xlfn.XLOOKUP(I405,[1]Sheet1!$A:$A,[1]Sheet1!$B:$B,"")</f>
        <v/>
      </c>
      <c r="K405" s="88" t="s">
        <v>1021</v>
      </c>
      <c r="L405" s="88" t="s">
        <v>1022</v>
      </c>
      <c r="M405" s="92"/>
      <c r="N405" s="89" t="s">
        <v>60</v>
      </c>
      <c r="O405" s="165"/>
      <c r="P405" s="89" t="s">
        <v>912</v>
      </c>
      <c r="Q405" s="92" t="s">
        <v>913</v>
      </c>
      <c r="R405" s="92">
        <v>2160</v>
      </c>
      <c r="S405" s="92" t="e">
        <v>#N/A</v>
      </c>
      <c r="T405" s="92">
        <v>8544700000</v>
      </c>
      <c r="U405" s="155">
        <v>0</v>
      </c>
      <c r="V405" s="207">
        <v>30</v>
      </c>
      <c r="W405" s="92">
        <v>45</v>
      </c>
      <c r="X405" s="92">
        <v>55</v>
      </c>
      <c r="Y405" s="92" t="s">
        <v>64</v>
      </c>
      <c r="Z405" s="133">
        <f t="shared" ref="Z405:Z422" si="758">AK405/(1-(AF405+2%))</f>
        <v>3.6361416361416365</v>
      </c>
      <c r="AA405" s="133"/>
      <c r="AB405" s="161">
        <f t="shared" ref="AB405:AB422" si="759">AX405/(1-AF405)</f>
        <v>2.7740001154180267</v>
      </c>
      <c r="AC405" s="161"/>
      <c r="AD405" s="213">
        <f t="shared" si="757"/>
        <v>0.1</v>
      </c>
      <c r="AE405" s="213">
        <v>0.1</v>
      </c>
      <c r="AF405" s="215">
        <v>0.33</v>
      </c>
      <c r="AG405" s="215" t="s">
        <v>9</v>
      </c>
      <c r="AH405" s="148">
        <f t="shared" si="685"/>
        <v>2.7740001154180267</v>
      </c>
      <c r="AI405" s="122">
        <f t="shared" ref="AI405:AI422" si="760">1-(AX405/AH405)</f>
        <v>0.33000000000000007</v>
      </c>
      <c r="AJ405" s="444"/>
      <c r="AK405" s="150">
        <f t="shared" ref="AK405:AK422" si="761">AW405/(1-AD405)</f>
        <v>2.3634920634920635</v>
      </c>
      <c r="AL405" s="153">
        <f t="shared" ref="AL405:AL422" si="762">AX405/(1-AE405)</f>
        <v>2.0650889748111974</v>
      </c>
      <c r="AM405" s="125">
        <f t="shared" ref="AM405:AM422" si="763">1-(AK405/Z405)</f>
        <v>0.35000000000000009</v>
      </c>
      <c r="AN405" s="125">
        <f t="shared" ref="AN405:AN422" si="764">1-(AL405/AB405)</f>
        <v>0.25555555555555565</v>
      </c>
      <c r="AO405" s="140"/>
      <c r="AP405" s="17" t="s">
        <v>664</v>
      </c>
      <c r="AQ405" s="141"/>
      <c r="AR405" s="191"/>
      <c r="AS405" s="191"/>
      <c r="AT405" s="141">
        <f>5.04+0.05</f>
        <v>5.09</v>
      </c>
      <c r="AU405" s="141">
        <v>9.8000000000000007</v>
      </c>
      <c r="AV405" s="141">
        <f t="shared" ref="AV405:AV422" si="765">AT405+AU405</f>
        <v>14.89</v>
      </c>
      <c r="AW405" s="142">
        <f t="shared" ref="AW405:AW422" si="766">(AT405+AU405)/$F$5</f>
        <v>2.1271428571428572</v>
      </c>
      <c r="AX405" s="126">
        <f t="shared" ref="AX405:AX422" si="767">(AW405/$F$6)+(($F$9+$G$9)/40/R405)+AW405*U405</f>
        <v>1.8585800773300776</v>
      </c>
      <c r="AY405" s="17"/>
      <c r="AZ405" s="128">
        <v>8544700000</v>
      </c>
      <c r="BB405" s="168">
        <f t="shared" si="669"/>
        <v>9.2466670513934233</v>
      </c>
      <c r="BC405" s="168">
        <f t="shared" si="670"/>
        <v>5.5480002308360534</v>
      </c>
      <c r="BD405" s="168">
        <f t="shared" si="671"/>
        <v>4.6233335256967116</v>
      </c>
      <c r="BE405" s="168">
        <f t="shared" si="672"/>
        <v>3.6986668205573694</v>
      </c>
      <c r="BF405" s="32" t="e">
        <f>VLOOKUP(I405,[4]Sheet1!$A$2:$C$689,3,FALSE)</f>
        <v>#N/A</v>
      </c>
    </row>
    <row r="406" spans="1:58" s="129" customFormat="1" hidden="1">
      <c r="A406" s="88" t="s">
        <v>1276</v>
      </c>
      <c r="B406" s="88" t="s">
        <v>1318</v>
      </c>
      <c r="C406" s="88" t="s">
        <v>1318</v>
      </c>
      <c r="D406" s="88" t="s">
        <v>656</v>
      </c>
      <c r="E406" s="88" t="s">
        <v>907</v>
      </c>
      <c r="F406" s="89" t="s">
        <v>908</v>
      </c>
      <c r="G406" s="92" t="s">
        <v>1785</v>
      </c>
      <c r="H406" s="92"/>
      <c r="I406" s="167" t="s">
        <v>3419</v>
      </c>
      <c r="J406" s="167" t="str">
        <f>_xlfn.XLOOKUP(I406,[1]Sheet1!$A:$A,[1]Sheet1!$B:$B,"")</f>
        <v/>
      </c>
      <c r="K406" s="88" t="s">
        <v>1024</v>
      </c>
      <c r="L406" s="88" t="s">
        <v>1025</v>
      </c>
      <c r="M406" s="92"/>
      <c r="N406" s="89" t="s">
        <v>60</v>
      </c>
      <c r="O406" s="165"/>
      <c r="P406" s="89" t="s">
        <v>912</v>
      </c>
      <c r="Q406" s="92" t="s">
        <v>913</v>
      </c>
      <c r="R406" s="92">
        <v>1920</v>
      </c>
      <c r="S406" s="92" t="e">
        <v>#N/A</v>
      </c>
      <c r="T406" s="92">
        <v>8544700000</v>
      </c>
      <c r="U406" s="155">
        <v>0</v>
      </c>
      <c r="V406" s="207">
        <v>30</v>
      </c>
      <c r="W406" s="92">
        <v>45</v>
      </c>
      <c r="X406" s="92">
        <v>55</v>
      </c>
      <c r="Y406" s="92" t="s">
        <v>64</v>
      </c>
      <c r="Z406" s="133">
        <f t="shared" si="758"/>
        <v>3.7826617826617825</v>
      </c>
      <c r="AA406" s="133"/>
      <c r="AB406" s="161">
        <f t="shared" si="759"/>
        <v>2.8909012059665047</v>
      </c>
      <c r="AC406" s="161"/>
      <c r="AD406" s="213">
        <f t="shared" si="757"/>
        <v>0.1</v>
      </c>
      <c r="AE406" s="213">
        <v>0.1</v>
      </c>
      <c r="AF406" s="215">
        <v>0.33</v>
      </c>
      <c r="AG406" s="215" t="s">
        <v>9</v>
      </c>
      <c r="AH406" s="148">
        <f t="shared" si="685"/>
        <v>2.8909012059665047</v>
      </c>
      <c r="AI406" s="122">
        <f t="shared" si="760"/>
        <v>0.33000000000000007</v>
      </c>
      <c r="AJ406" s="444"/>
      <c r="AK406" s="150">
        <f t="shared" si="761"/>
        <v>2.4587301587301584</v>
      </c>
      <c r="AL406" s="153">
        <f t="shared" si="762"/>
        <v>2.152115342219509</v>
      </c>
      <c r="AM406" s="125">
        <f t="shared" si="763"/>
        <v>0.35000000000000009</v>
      </c>
      <c r="AN406" s="125">
        <f t="shared" si="764"/>
        <v>0.25555555555555554</v>
      </c>
      <c r="AO406" s="140"/>
      <c r="AP406" s="17" t="s">
        <v>664</v>
      </c>
      <c r="AQ406" s="141"/>
      <c r="AR406" s="191"/>
      <c r="AS406" s="191"/>
      <c r="AT406" s="141">
        <f>5.04+0.05*2</f>
        <v>5.14</v>
      </c>
      <c r="AU406" s="141">
        <v>10.35</v>
      </c>
      <c r="AV406" s="141">
        <f t="shared" si="765"/>
        <v>15.489999999999998</v>
      </c>
      <c r="AW406" s="142">
        <f t="shared" si="766"/>
        <v>2.2128571428571426</v>
      </c>
      <c r="AX406" s="126">
        <f t="shared" si="767"/>
        <v>1.936903807997558</v>
      </c>
      <c r="AY406" s="17"/>
      <c r="AZ406" s="128">
        <v>8544700000</v>
      </c>
      <c r="BB406" s="168">
        <f t="shared" si="669"/>
        <v>9.6363373532216823</v>
      </c>
      <c r="BC406" s="168">
        <f t="shared" si="670"/>
        <v>5.7818024119330094</v>
      </c>
      <c r="BD406" s="168">
        <f t="shared" si="671"/>
        <v>4.8181686766108411</v>
      </c>
      <c r="BE406" s="168">
        <f t="shared" si="672"/>
        <v>3.8545349412886729</v>
      </c>
      <c r="BF406" s="32" t="e">
        <f>VLOOKUP(I406,[4]Sheet1!$A$2:$C$689,3,FALSE)</f>
        <v>#N/A</v>
      </c>
    </row>
    <row r="407" spans="1:58" s="129" customFormat="1" hidden="1">
      <c r="A407" s="88" t="s">
        <v>1276</v>
      </c>
      <c r="B407" s="88" t="s">
        <v>1318</v>
      </c>
      <c r="C407" s="88" t="s">
        <v>1318</v>
      </c>
      <c r="D407" s="88" t="s">
        <v>656</v>
      </c>
      <c r="E407" s="88" t="s">
        <v>907</v>
      </c>
      <c r="F407" s="89" t="s">
        <v>908</v>
      </c>
      <c r="G407" s="92" t="s">
        <v>1785</v>
      </c>
      <c r="H407" s="92"/>
      <c r="I407" s="167" t="s">
        <v>3420</v>
      </c>
      <c r="J407" s="167" t="str">
        <f>_xlfn.XLOOKUP(I407,[1]Sheet1!$A:$A,[1]Sheet1!$B:$B,"")</f>
        <v/>
      </c>
      <c r="K407" s="88" t="s">
        <v>1027</v>
      </c>
      <c r="L407" s="88" t="s">
        <v>1028</v>
      </c>
      <c r="M407" s="92"/>
      <c r="N407" s="89" t="s">
        <v>60</v>
      </c>
      <c r="O407" s="165"/>
      <c r="P407" s="89" t="s">
        <v>912</v>
      </c>
      <c r="Q407" s="92" t="s">
        <v>913</v>
      </c>
      <c r="R407" s="92">
        <v>1920</v>
      </c>
      <c r="S407" s="92" t="e">
        <v>#N/A</v>
      </c>
      <c r="T407" s="92">
        <v>8544700000</v>
      </c>
      <c r="U407" s="155">
        <v>0</v>
      </c>
      <c r="V407" s="207">
        <v>30</v>
      </c>
      <c r="W407" s="92">
        <v>45</v>
      </c>
      <c r="X407" s="92">
        <v>55</v>
      </c>
      <c r="Y407" s="92" t="s">
        <v>64</v>
      </c>
      <c r="Z407" s="133">
        <f t="shared" si="758"/>
        <v>3.9291819291819294</v>
      </c>
      <c r="AA407" s="133"/>
      <c r="AB407" s="161">
        <f t="shared" si="759"/>
        <v>3.000244598891987</v>
      </c>
      <c r="AC407" s="161"/>
      <c r="AD407" s="213">
        <f t="shared" si="757"/>
        <v>0.1</v>
      </c>
      <c r="AE407" s="213">
        <v>0.1</v>
      </c>
      <c r="AF407" s="215">
        <v>0.33</v>
      </c>
      <c r="AG407" s="215" t="s">
        <v>9</v>
      </c>
      <c r="AH407" s="148">
        <f t="shared" si="685"/>
        <v>3.000244598891987</v>
      </c>
      <c r="AI407" s="122">
        <f t="shared" si="760"/>
        <v>0.33000000000000007</v>
      </c>
      <c r="AJ407" s="444"/>
      <c r="AK407" s="150">
        <f t="shared" si="761"/>
        <v>2.5539682539682538</v>
      </c>
      <c r="AL407" s="153">
        <f t="shared" si="762"/>
        <v>2.2335154236195902</v>
      </c>
      <c r="AM407" s="125">
        <f t="shared" si="763"/>
        <v>0.35000000000000009</v>
      </c>
      <c r="AN407" s="125">
        <f t="shared" si="764"/>
        <v>0.25555555555555565</v>
      </c>
      <c r="AO407" s="140"/>
      <c r="AP407" s="17" t="s">
        <v>664</v>
      </c>
      <c r="AQ407" s="141"/>
      <c r="AR407" s="191"/>
      <c r="AS407" s="191"/>
      <c r="AT407" s="141">
        <f>5.04+0.05*3</f>
        <v>5.19</v>
      </c>
      <c r="AU407" s="141">
        <v>10.9</v>
      </c>
      <c r="AV407" s="141">
        <f t="shared" si="765"/>
        <v>16.09</v>
      </c>
      <c r="AW407" s="142">
        <f t="shared" si="766"/>
        <v>2.2985714285714285</v>
      </c>
      <c r="AX407" s="126">
        <f t="shared" si="767"/>
        <v>2.0101638812576312</v>
      </c>
      <c r="AY407" s="17"/>
      <c r="AZ407" s="128">
        <v>8544700000</v>
      </c>
      <c r="BB407" s="168">
        <f t="shared" si="669"/>
        <v>10.000815329639957</v>
      </c>
      <c r="BC407" s="168">
        <f t="shared" si="670"/>
        <v>6.000489197783974</v>
      </c>
      <c r="BD407" s="168">
        <f t="shared" si="671"/>
        <v>5.0004076648199787</v>
      </c>
      <c r="BE407" s="168">
        <f t="shared" si="672"/>
        <v>4.0003261318559833</v>
      </c>
      <c r="BF407" s="32" t="e">
        <f>VLOOKUP(I407,[4]Sheet1!$A$2:$C$689,3,FALSE)</f>
        <v>#N/A</v>
      </c>
    </row>
    <row r="408" spans="1:58" s="129" customFormat="1" hidden="1">
      <c r="A408" s="88" t="s">
        <v>1276</v>
      </c>
      <c r="B408" s="88" t="s">
        <v>1318</v>
      </c>
      <c r="C408" s="88" t="s">
        <v>1318</v>
      </c>
      <c r="D408" s="88" t="s">
        <v>656</v>
      </c>
      <c r="E408" s="88" t="s">
        <v>907</v>
      </c>
      <c r="F408" s="89" t="s">
        <v>908</v>
      </c>
      <c r="G408" s="92" t="s">
        <v>1785</v>
      </c>
      <c r="H408" s="92"/>
      <c r="I408" s="167" t="s">
        <v>3421</v>
      </c>
      <c r="J408" s="167" t="str">
        <f>_xlfn.XLOOKUP(I408,[1]Sheet1!$A:$A,[1]Sheet1!$B:$B,"")</f>
        <v/>
      </c>
      <c r="K408" s="88" t="s">
        <v>1030</v>
      </c>
      <c r="L408" s="88" t="s">
        <v>1031</v>
      </c>
      <c r="M408" s="92"/>
      <c r="N408" s="89" t="s">
        <v>60</v>
      </c>
      <c r="O408" s="165"/>
      <c r="P408" s="89" t="s">
        <v>912</v>
      </c>
      <c r="Q408" s="92" t="s">
        <v>913</v>
      </c>
      <c r="R408" s="92">
        <v>1440</v>
      </c>
      <c r="S408" s="92" t="e">
        <v>#N/A</v>
      </c>
      <c r="T408" s="92">
        <v>8544700000</v>
      </c>
      <c r="U408" s="155">
        <v>0</v>
      </c>
      <c r="V408" s="207">
        <v>30</v>
      </c>
      <c r="W408" s="92">
        <v>45</v>
      </c>
      <c r="X408" s="92">
        <v>55</v>
      </c>
      <c r="Y408" s="92" t="s">
        <v>64</v>
      </c>
      <c r="Z408" s="133">
        <f t="shared" si="758"/>
        <v>4.2075702075702077</v>
      </c>
      <c r="AA408" s="133"/>
      <c r="AB408" s="161">
        <f t="shared" si="759"/>
        <v>3.2306701383193923</v>
      </c>
      <c r="AC408" s="161"/>
      <c r="AD408" s="213">
        <f t="shared" si="757"/>
        <v>0.1</v>
      </c>
      <c r="AE408" s="213">
        <v>0.1</v>
      </c>
      <c r="AF408" s="215">
        <v>0.33</v>
      </c>
      <c r="AG408" s="215" t="s">
        <v>9</v>
      </c>
      <c r="AH408" s="148">
        <f t="shared" si="685"/>
        <v>3.2306701383193923</v>
      </c>
      <c r="AI408" s="122">
        <f t="shared" si="760"/>
        <v>0.33000000000000007</v>
      </c>
      <c r="AJ408" s="444"/>
      <c r="AK408" s="150">
        <f t="shared" si="761"/>
        <v>2.7349206349206345</v>
      </c>
      <c r="AL408" s="153">
        <f t="shared" si="762"/>
        <v>2.4050544363044364</v>
      </c>
      <c r="AM408" s="125">
        <f t="shared" si="763"/>
        <v>0.35000000000000009</v>
      </c>
      <c r="AN408" s="125">
        <f t="shared" si="764"/>
        <v>0.25555555555555565</v>
      </c>
      <c r="AO408" s="140"/>
      <c r="AP408" s="17" t="s">
        <v>664</v>
      </c>
      <c r="AQ408" s="141"/>
      <c r="AR408" s="191"/>
      <c r="AS408" s="191"/>
      <c r="AT408" s="141">
        <f>5.04+0.05*5</f>
        <v>5.29</v>
      </c>
      <c r="AU408" s="141">
        <v>11.94</v>
      </c>
      <c r="AV408" s="141">
        <f t="shared" si="765"/>
        <v>17.23</v>
      </c>
      <c r="AW408" s="142">
        <f t="shared" si="766"/>
        <v>2.4614285714285713</v>
      </c>
      <c r="AX408" s="126">
        <f t="shared" si="767"/>
        <v>2.1645489926739927</v>
      </c>
      <c r="AY408" s="17"/>
      <c r="AZ408" s="128">
        <v>8544700000</v>
      </c>
      <c r="BB408" s="168">
        <f t="shared" si="669"/>
        <v>10.768900461064641</v>
      </c>
      <c r="BC408" s="168">
        <f t="shared" si="670"/>
        <v>6.4613402766387846</v>
      </c>
      <c r="BD408" s="168">
        <f t="shared" si="671"/>
        <v>5.3844502305323205</v>
      </c>
      <c r="BE408" s="168">
        <f t="shared" si="672"/>
        <v>4.3075601844258564</v>
      </c>
      <c r="BF408" s="32" t="e">
        <f>VLOOKUP(I408,[4]Sheet1!$A$2:$C$689,3,FALSE)</f>
        <v>#N/A</v>
      </c>
    </row>
    <row r="409" spans="1:58" s="129" customFormat="1" hidden="1">
      <c r="A409" s="88" t="s">
        <v>1276</v>
      </c>
      <c r="B409" s="88" t="s">
        <v>1318</v>
      </c>
      <c r="C409" s="88" t="s">
        <v>1318</v>
      </c>
      <c r="D409" s="88" t="s">
        <v>656</v>
      </c>
      <c r="E409" s="88" t="s">
        <v>907</v>
      </c>
      <c r="F409" s="89" t="s">
        <v>908</v>
      </c>
      <c r="G409" s="92" t="s">
        <v>1785</v>
      </c>
      <c r="H409" s="92"/>
      <c r="I409" s="167" t="s">
        <v>3422</v>
      </c>
      <c r="J409" s="167" t="str">
        <f>_xlfn.XLOOKUP(I409,[1]Sheet1!$A:$A,[1]Sheet1!$B:$B,"")</f>
        <v/>
      </c>
      <c r="K409" s="88" t="s">
        <v>1787</v>
      </c>
      <c r="L409" s="88" t="s">
        <v>1788</v>
      </c>
      <c r="M409" s="92"/>
      <c r="N409" s="89" t="s">
        <v>60</v>
      </c>
      <c r="O409" s="165"/>
      <c r="P409" s="89" t="s">
        <v>912</v>
      </c>
      <c r="Q409" s="92" t="s">
        <v>913</v>
      </c>
      <c r="R409" s="92">
        <v>720</v>
      </c>
      <c r="S409" s="92" t="e">
        <v>#N/A</v>
      </c>
      <c r="T409" s="92">
        <v>8544700000</v>
      </c>
      <c r="U409" s="155">
        <v>0</v>
      </c>
      <c r="V409" s="207">
        <v>30</v>
      </c>
      <c r="W409" s="92">
        <v>45</v>
      </c>
      <c r="X409" s="92">
        <v>55</v>
      </c>
      <c r="Y409" s="92" t="s">
        <v>64</v>
      </c>
      <c r="Z409" s="133">
        <f t="shared" si="758"/>
        <v>4.8156288156288163</v>
      </c>
      <c r="AA409" s="133"/>
      <c r="AB409" s="161">
        <f t="shared" si="759"/>
        <v>3.7751375904360986</v>
      </c>
      <c r="AC409" s="161"/>
      <c r="AD409" s="213">
        <f t="shared" si="757"/>
        <v>0.1</v>
      </c>
      <c r="AE409" s="213">
        <v>0.1</v>
      </c>
      <c r="AF409" s="215">
        <v>0.33</v>
      </c>
      <c r="AG409" s="215" t="s">
        <v>9</v>
      </c>
      <c r="AH409" s="148">
        <f t="shared" si="685"/>
        <v>3.7751375904360986</v>
      </c>
      <c r="AI409" s="122">
        <f t="shared" si="760"/>
        <v>0.33000000000000007</v>
      </c>
      <c r="AJ409" s="444"/>
      <c r="AK409" s="150">
        <f t="shared" si="761"/>
        <v>3.1301587301587301</v>
      </c>
      <c r="AL409" s="153">
        <f t="shared" si="762"/>
        <v>2.8103802062135399</v>
      </c>
      <c r="AM409" s="125">
        <f t="shared" si="763"/>
        <v>0.35000000000000009</v>
      </c>
      <c r="AN409" s="125">
        <f t="shared" si="764"/>
        <v>0.25555555555555565</v>
      </c>
      <c r="AO409" s="140"/>
      <c r="AP409" s="17" t="s">
        <v>664</v>
      </c>
      <c r="AQ409" s="141"/>
      <c r="AR409" s="191"/>
      <c r="AS409" s="191"/>
      <c r="AT409" s="141">
        <f>5.04+0.05*10</f>
        <v>5.54</v>
      </c>
      <c r="AU409" s="141">
        <v>14.18</v>
      </c>
      <c r="AV409" s="141">
        <f t="shared" si="765"/>
        <v>19.72</v>
      </c>
      <c r="AW409" s="142">
        <f t="shared" si="766"/>
        <v>2.8171428571428572</v>
      </c>
      <c r="AX409" s="126">
        <f t="shared" si="767"/>
        <v>2.5293421855921858</v>
      </c>
      <c r="AY409" s="17"/>
      <c r="AZ409" s="128">
        <v>8544700000</v>
      </c>
      <c r="BB409" s="168">
        <f t="shared" si="669"/>
        <v>12.583791968120329</v>
      </c>
      <c r="BC409" s="168">
        <f t="shared" si="670"/>
        <v>7.5502751808721964</v>
      </c>
      <c r="BD409" s="168">
        <f t="shared" si="671"/>
        <v>6.2918959840601643</v>
      </c>
      <c r="BE409" s="168">
        <f t="shared" si="672"/>
        <v>5.0335167872481321</v>
      </c>
      <c r="BF409" s="32" t="e">
        <f>VLOOKUP(I409,[4]Sheet1!$A$2:$C$689,3,FALSE)</f>
        <v>#N/A</v>
      </c>
    </row>
    <row r="410" spans="1:58" s="129" customFormat="1" hidden="1">
      <c r="A410" s="88" t="s">
        <v>1276</v>
      </c>
      <c r="B410" s="88" t="s">
        <v>1318</v>
      </c>
      <c r="C410" s="88" t="s">
        <v>1318</v>
      </c>
      <c r="D410" s="88" t="s">
        <v>656</v>
      </c>
      <c r="E410" s="88" t="s">
        <v>907</v>
      </c>
      <c r="F410" s="89" t="s">
        <v>908</v>
      </c>
      <c r="G410" s="92" t="s">
        <v>1785</v>
      </c>
      <c r="H410" s="92"/>
      <c r="I410" s="167" t="s">
        <v>3423</v>
      </c>
      <c r="J410" s="167" t="str">
        <f>_xlfn.XLOOKUP(I410,[1]Sheet1!$A:$A,[1]Sheet1!$B:$B,"")</f>
        <v/>
      </c>
      <c r="K410" s="88" t="s">
        <v>1789</v>
      </c>
      <c r="L410" s="88" t="s">
        <v>1790</v>
      </c>
      <c r="M410" s="92"/>
      <c r="N410" s="89" t="s">
        <v>60</v>
      </c>
      <c r="O410" s="165"/>
      <c r="P410" s="89" t="s">
        <v>912</v>
      </c>
      <c r="Q410" s="92" t="s">
        <v>913</v>
      </c>
      <c r="R410" s="92">
        <v>480</v>
      </c>
      <c r="S410" s="92" t="e">
        <v>#N/A</v>
      </c>
      <c r="T410" s="92">
        <v>8544700000</v>
      </c>
      <c r="U410" s="155">
        <v>0</v>
      </c>
      <c r="V410" s="207">
        <v>30</v>
      </c>
      <c r="W410" s="92">
        <v>45</v>
      </c>
      <c r="X410" s="92">
        <v>55</v>
      </c>
      <c r="Y410" s="92" t="s">
        <v>64</v>
      </c>
      <c r="Z410" s="133">
        <f t="shared" si="758"/>
        <v>5.5726495726495733</v>
      </c>
      <c r="AA410" s="133"/>
      <c r="AB410" s="161">
        <f t="shared" si="759"/>
        <v>4.4307708253603781</v>
      </c>
      <c r="AC410" s="161"/>
      <c r="AD410" s="213">
        <f t="shared" si="757"/>
        <v>0.1</v>
      </c>
      <c r="AE410" s="213">
        <v>0.1</v>
      </c>
      <c r="AF410" s="215">
        <v>0.33</v>
      </c>
      <c r="AG410" s="215" t="s">
        <v>9</v>
      </c>
      <c r="AH410" s="148">
        <f t="shared" si="685"/>
        <v>4.4307708253603781</v>
      </c>
      <c r="AI410" s="122">
        <f t="shared" si="760"/>
        <v>0.33000000000000007</v>
      </c>
      <c r="AJ410" s="444"/>
      <c r="AK410" s="150">
        <f t="shared" si="761"/>
        <v>3.6222222222222222</v>
      </c>
      <c r="AL410" s="153">
        <f t="shared" si="762"/>
        <v>3.298462725546059</v>
      </c>
      <c r="AM410" s="125">
        <f t="shared" si="763"/>
        <v>0.35000000000000009</v>
      </c>
      <c r="AN410" s="125">
        <f t="shared" si="764"/>
        <v>0.25555555555555565</v>
      </c>
      <c r="AO410" s="140"/>
      <c r="AP410" s="17" t="s">
        <v>664</v>
      </c>
      <c r="AQ410" s="141"/>
      <c r="AR410" s="191"/>
      <c r="AS410" s="191"/>
      <c r="AT410" s="141">
        <f>5.04+0.05*15</f>
        <v>5.79</v>
      </c>
      <c r="AU410" s="141">
        <v>17.03</v>
      </c>
      <c r="AV410" s="141">
        <f t="shared" si="765"/>
        <v>22.82</v>
      </c>
      <c r="AW410" s="142">
        <f t="shared" si="766"/>
        <v>3.2600000000000002</v>
      </c>
      <c r="AX410" s="126">
        <f t="shared" si="767"/>
        <v>2.9686164529914532</v>
      </c>
      <c r="AY410" s="17"/>
      <c r="AZ410" s="128">
        <v>8544700000</v>
      </c>
      <c r="BB410" s="168">
        <f t="shared" si="669"/>
        <v>14.769236084534594</v>
      </c>
      <c r="BC410" s="168">
        <f t="shared" si="670"/>
        <v>8.8615416507207563</v>
      </c>
      <c r="BD410" s="168">
        <f t="shared" si="671"/>
        <v>7.3846180422672969</v>
      </c>
      <c r="BE410" s="168">
        <f t="shared" si="672"/>
        <v>5.9076944338138375</v>
      </c>
      <c r="BF410" s="32" t="e">
        <f>VLOOKUP(I410,[4]Sheet1!$A$2:$C$689,3,FALSE)</f>
        <v>#N/A</v>
      </c>
    </row>
    <row r="411" spans="1:58" s="129" customFormat="1" hidden="1">
      <c r="A411" s="88" t="s">
        <v>1276</v>
      </c>
      <c r="B411" s="88" t="s">
        <v>1318</v>
      </c>
      <c r="C411" s="88" t="s">
        <v>1318</v>
      </c>
      <c r="D411" s="88" t="s">
        <v>656</v>
      </c>
      <c r="E411" s="88" t="s">
        <v>907</v>
      </c>
      <c r="F411" s="89" t="s">
        <v>923</v>
      </c>
      <c r="G411" s="92" t="s">
        <v>1785</v>
      </c>
      <c r="H411" s="92"/>
      <c r="I411" s="167" t="s">
        <v>3424</v>
      </c>
      <c r="J411" s="167" t="str">
        <f>_xlfn.XLOOKUP(I411,[1]Sheet1!$A:$A,[1]Sheet1!$B:$B,"")</f>
        <v/>
      </c>
      <c r="K411" s="88" t="s">
        <v>1033</v>
      </c>
      <c r="L411" s="88" t="s">
        <v>1034</v>
      </c>
      <c r="M411" s="92"/>
      <c r="N411" s="89" t="s">
        <v>60</v>
      </c>
      <c r="O411" s="165"/>
      <c r="P411" s="89" t="s">
        <v>912</v>
      </c>
      <c r="Q411" s="92" t="s">
        <v>913</v>
      </c>
      <c r="R411" s="92">
        <v>2160</v>
      </c>
      <c r="S411" s="92" t="s">
        <v>2504</v>
      </c>
      <c r="T411" s="92">
        <v>8544700000</v>
      </c>
      <c r="U411" s="155">
        <v>0</v>
      </c>
      <c r="V411" s="207">
        <v>30</v>
      </c>
      <c r="W411" s="92">
        <v>45</v>
      </c>
      <c r="X411" s="92">
        <v>55</v>
      </c>
      <c r="Y411" s="92" t="s">
        <v>64</v>
      </c>
      <c r="Z411" s="133">
        <f t="shared" si="758"/>
        <v>3.6361416361416365</v>
      </c>
      <c r="AA411" s="133"/>
      <c r="AB411" s="161">
        <f t="shared" si="759"/>
        <v>2.7740001154180267</v>
      </c>
      <c r="AC411" s="161"/>
      <c r="AD411" s="213">
        <f t="shared" si="757"/>
        <v>0.1</v>
      </c>
      <c r="AE411" s="213">
        <v>0.1</v>
      </c>
      <c r="AF411" s="215">
        <v>0.33</v>
      </c>
      <c r="AG411" s="215" t="s">
        <v>9</v>
      </c>
      <c r="AH411" s="148">
        <f t="shared" si="685"/>
        <v>2.7740001154180267</v>
      </c>
      <c r="AI411" s="122">
        <f t="shared" si="760"/>
        <v>0.33000000000000007</v>
      </c>
      <c r="AJ411" s="444"/>
      <c r="AK411" s="150">
        <f t="shared" si="761"/>
        <v>2.3634920634920635</v>
      </c>
      <c r="AL411" s="153">
        <f t="shared" si="762"/>
        <v>2.0650889748111974</v>
      </c>
      <c r="AM411" s="125">
        <f t="shared" si="763"/>
        <v>0.35000000000000009</v>
      </c>
      <c r="AN411" s="125">
        <f t="shared" si="764"/>
        <v>0.25555555555555565</v>
      </c>
      <c r="AO411" s="140"/>
      <c r="AP411" s="17" t="s">
        <v>664</v>
      </c>
      <c r="AQ411" s="141"/>
      <c r="AR411" s="191"/>
      <c r="AS411" s="191"/>
      <c r="AT411" s="141">
        <f>5.04+0.05</f>
        <v>5.09</v>
      </c>
      <c r="AU411" s="141">
        <v>9.8000000000000007</v>
      </c>
      <c r="AV411" s="141">
        <f t="shared" si="765"/>
        <v>14.89</v>
      </c>
      <c r="AW411" s="142">
        <f t="shared" si="766"/>
        <v>2.1271428571428572</v>
      </c>
      <c r="AX411" s="126">
        <f t="shared" si="767"/>
        <v>1.8585800773300776</v>
      </c>
      <c r="AY411" s="17"/>
      <c r="AZ411" s="128">
        <v>8544700000</v>
      </c>
      <c r="BB411" s="168">
        <f t="shared" si="669"/>
        <v>9.2466670513934233</v>
      </c>
      <c r="BC411" s="168">
        <f t="shared" si="670"/>
        <v>5.5480002308360534</v>
      </c>
      <c r="BD411" s="168">
        <f t="shared" si="671"/>
        <v>4.6233335256967116</v>
      </c>
      <c r="BE411" s="168">
        <f t="shared" si="672"/>
        <v>3.6986668205573694</v>
      </c>
      <c r="BF411" s="32" t="e">
        <f>VLOOKUP(I411,[4]Sheet1!$A$2:$C$689,3,FALSE)</f>
        <v>#N/A</v>
      </c>
    </row>
    <row r="412" spans="1:58" s="129" customFormat="1" hidden="1">
      <c r="A412" s="88" t="s">
        <v>1276</v>
      </c>
      <c r="B412" s="88" t="s">
        <v>1318</v>
      </c>
      <c r="C412" s="88" t="s">
        <v>1318</v>
      </c>
      <c r="D412" s="88" t="s">
        <v>656</v>
      </c>
      <c r="E412" s="88" t="s">
        <v>907</v>
      </c>
      <c r="F412" s="89" t="s">
        <v>923</v>
      </c>
      <c r="G412" s="92" t="s">
        <v>1785</v>
      </c>
      <c r="H412" s="92"/>
      <c r="I412" s="167" t="s">
        <v>3425</v>
      </c>
      <c r="J412" s="167" t="str">
        <f>_xlfn.XLOOKUP(I412,[1]Sheet1!$A:$A,[1]Sheet1!$B:$B,"")</f>
        <v/>
      </c>
      <c r="K412" s="88" t="s">
        <v>1036</v>
      </c>
      <c r="L412" s="88" t="s">
        <v>1037</v>
      </c>
      <c r="M412" s="92"/>
      <c r="N412" s="89" t="s">
        <v>60</v>
      </c>
      <c r="O412" s="165"/>
      <c r="P412" s="89" t="s">
        <v>912</v>
      </c>
      <c r="Q412" s="92" t="s">
        <v>913</v>
      </c>
      <c r="R412" s="92">
        <v>1920</v>
      </c>
      <c r="S412" s="92" t="e">
        <v>#N/A</v>
      </c>
      <c r="T412" s="92">
        <v>8544700000</v>
      </c>
      <c r="U412" s="155">
        <v>0</v>
      </c>
      <c r="V412" s="207">
        <v>30</v>
      </c>
      <c r="W412" s="92">
        <v>45</v>
      </c>
      <c r="X412" s="92">
        <v>55</v>
      </c>
      <c r="Y412" s="92" t="s">
        <v>64</v>
      </c>
      <c r="Z412" s="133">
        <f t="shared" si="758"/>
        <v>3.7826617826617825</v>
      </c>
      <c r="AA412" s="133"/>
      <c r="AB412" s="161">
        <f t="shared" si="759"/>
        <v>2.8909012059665047</v>
      </c>
      <c r="AC412" s="161"/>
      <c r="AD412" s="213">
        <f t="shared" si="757"/>
        <v>0.1</v>
      </c>
      <c r="AE412" s="213">
        <v>0.1</v>
      </c>
      <c r="AF412" s="215">
        <v>0.33</v>
      </c>
      <c r="AG412" s="215" t="s">
        <v>9</v>
      </c>
      <c r="AH412" s="148">
        <f t="shared" si="685"/>
        <v>2.8909012059665047</v>
      </c>
      <c r="AI412" s="122">
        <f t="shared" si="760"/>
        <v>0.33000000000000007</v>
      </c>
      <c r="AJ412" s="444"/>
      <c r="AK412" s="150">
        <f t="shared" si="761"/>
        <v>2.4587301587301584</v>
      </c>
      <c r="AL412" s="153">
        <f t="shared" si="762"/>
        <v>2.152115342219509</v>
      </c>
      <c r="AM412" s="125">
        <f t="shared" si="763"/>
        <v>0.35000000000000009</v>
      </c>
      <c r="AN412" s="125">
        <f t="shared" si="764"/>
        <v>0.25555555555555554</v>
      </c>
      <c r="AO412" s="140"/>
      <c r="AP412" s="17" t="s">
        <v>664</v>
      </c>
      <c r="AQ412" s="141"/>
      <c r="AR412" s="191"/>
      <c r="AS412" s="191"/>
      <c r="AT412" s="141">
        <f>5.04+0.05*2</f>
        <v>5.14</v>
      </c>
      <c r="AU412" s="141">
        <v>10.35</v>
      </c>
      <c r="AV412" s="141">
        <f t="shared" si="765"/>
        <v>15.489999999999998</v>
      </c>
      <c r="AW412" s="142">
        <f t="shared" si="766"/>
        <v>2.2128571428571426</v>
      </c>
      <c r="AX412" s="126">
        <f t="shared" si="767"/>
        <v>1.936903807997558</v>
      </c>
      <c r="AY412" s="17"/>
      <c r="AZ412" s="128">
        <v>8544700000</v>
      </c>
      <c r="BB412" s="168">
        <f t="shared" si="669"/>
        <v>9.6363373532216823</v>
      </c>
      <c r="BC412" s="168">
        <f t="shared" si="670"/>
        <v>5.7818024119330094</v>
      </c>
      <c r="BD412" s="168">
        <f t="shared" si="671"/>
        <v>4.8181686766108411</v>
      </c>
      <c r="BE412" s="168">
        <f t="shared" si="672"/>
        <v>3.8545349412886729</v>
      </c>
      <c r="BF412" s="32" t="e">
        <f>VLOOKUP(I412,[4]Sheet1!$A$2:$C$689,3,FALSE)</f>
        <v>#N/A</v>
      </c>
    </row>
    <row r="413" spans="1:58" s="129" customFormat="1" hidden="1">
      <c r="A413" s="88" t="s">
        <v>1276</v>
      </c>
      <c r="B413" s="88" t="s">
        <v>1318</v>
      </c>
      <c r="C413" s="88" t="s">
        <v>1318</v>
      </c>
      <c r="D413" s="88" t="s">
        <v>656</v>
      </c>
      <c r="E413" s="88" t="s">
        <v>907</v>
      </c>
      <c r="F413" s="89" t="s">
        <v>923</v>
      </c>
      <c r="G413" s="92" t="s">
        <v>1785</v>
      </c>
      <c r="H413" s="92"/>
      <c r="I413" s="167" t="s">
        <v>3426</v>
      </c>
      <c r="J413" s="167" t="str">
        <f>_xlfn.XLOOKUP(I413,[1]Sheet1!$A:$A,[1]Sheet1!$B:$B,"")</f>
        <v/>
      </c>
      <c r="K413" s="88" t="s">
        <v>1039</v>
      </c>
      <c r="L413" s="88" t="s">
        <v>1040</v>
      </c>
      <c r="M413" s="92"/>
      <c r="N413" s="89" t="s">
        <v>60</v>
      </c>
      <c r="O413" s="165"/>
      <c r="P413" s="89" t="s">
        <v>912</v>
      </c>
      <c r="Q413" s="92" t="s">
        <v>913</v>
      </c>
      <c r="R413" s="92">
        <v>1920</v>
      </c>
      <c r="S413" s="92" t="e">
        <v>#N/A</v>
      </c>
      <c r="T413" s="92">
        <v>8544700000</v>
      </c>
      <c r="U413" s="155">
        <v>0</v>
      </c>
      <c r="V413" s="207">
        <v>30</v>
      </c>
      <c r="W413" s="92">
        <v>45</v>
      </c>
      <c r="X413" s="92">
        <v>55</v>
      </c>
      <c r="Y413" s="92" t="s">
        <v>64</v>
      </c>
      <c r="Z413" s="133">
        <f t="shared" si="758"/>
        <v>3.9291819291819294</v>
      </c>
      <c r="AA413" s="133"/>
      <c r="AB413" s="161">
        <f t="shared" si="759"/>
        <v>3.000244598891987</v>
      </c>
      <c r="AC413" s="161"/>
      <c r="AD413" s="213">
        <f t="shared" si="757"/>
        <v>0.1</v>
      </c>
      <c r="AE413" s="213">
        <v>0.1</v>
      </c>
      <c r="AF413" s="215">
        <v>0.33</v>
      </c>
      <c r="AG413" s="215" t="s">
        <v>9</v>
      </c>
      <c r="AH413" s="148">
        <f t="shared" si="685"/>
        <v>3.000244598891987</v>
      </c>
      <c r="AI413" s="122">
        <f t="shared" si="760"/>
        <v>0.33000000000000007</v>
      </c>
      <c r="AJ413" s="444"/>
      <c r="AK413" s="150">
        <f t="shared" si="761"/>
        <v>2.5539682539682538</v>
      </c>
      <c r="AL413" s="153">
        <f t="shared" si="762"/>
        <v>2.2335154236195902</v>
      </c>
      <c r="AM413" s="125">
        <f t="shared" si="763"/>
        <v>0.35000000000000009</v>
      </c>
      <c r="AN413" s="125">
        <f t="shared" si="764"/>
        <v>0.25555555555555565</v>
      </c>
      <c r="AO413" s="140"/>
      <c r="AP413" s="17" t="s">
        <v>664</v>
      </c>
      <c r="AQ413" s="141"/>
      <c r="AR413" s="191"/>
      <c r="AS413" s="191"/>
      <c r="AT413" s="141">
        <f>5.04+0.05*3</f>
        <v>5.19</v>
      </c>
      <c r="AU413" s="141">
        <v>10.9</v>
      </c>
      <c r="AV413" s="141">
        <f t="shared" si="765"/>
        <v>16.09</v>
      </c>
      <c r="AW413" s="142">
        <f t="shared" si="766"/>
        <v>2.2985714285714285</v>
      </c>
      <c r="AX413" s="126">
        <f t="shared" si="767"/>
        <v>2.0101638812576312</v>
      </c>
      <c r="AY413" s="17"/>
      <c r="AZ413" s="128">
        <v>8544700000</v>
      </c>
      <c r="BB413" s="168">
        <f t="shared" si="669"/>
        <v>10.000815329639957</v>
      </c>
      <c r="BC413" s="168">
        <f t="shared" si="670"/>
        <v>6.000489197783974</v>
      </c>
      <c r="BD413" s="168">
        <f t="shared" si="671"/>
        <v>5.0004076648199787</v>
      </c>
      <c r="BE413" s="168">
        <f t="shared" si="672"/>
        <v>4.0003261318559833</v>
      </c>
      <c r="BF413" s="32" t="e">
        <f>VLOOKUP(I413,[4]Sheet1!$A$2:$C$689,3,FALSE)</f>
        <v>#N/A</v>
      </c>
    </row>
    <row r="414" spans="1:58" s="129" customFormat="1" hidden="1">
      <c r="A414" s="88" t="s">
        <v>1276</v>
      </c>
      <c r="B414" s="88" t="s">
        <v>1318</v>
      </c>
      <c r="C414" s="88" t="s">
        <v>1318</v>
      </c>
      <c r="D414" s="88" t="s">
        <v>656</v>
      </c>
      <c r="E414" s="88" t="s">
        <v>907</v>
      </c>
      <c r="F414" s="89" t="s">
        <v>923</v>
      </c>
      <c r="G414" s="92" t="s">
        <v>1785</v>
      </c>
      <c r="H414" s="92"/>
      <c r="I414" s="167" t="s">
        <v>3427</v>
      </c>
      <c r="J414" s="167" t="str">
        <f>_xlfn.XLOOKUP(I414,[1]Sheet1!$A:$A,[1]Sheet1!$B:$B,"")</f>
        <v/>
      </c>
      <c r="K414" s="88" t="s">
        <v>1042</v>
      </c>
      <c r="L414" s="88" t="s">
        <v>1043</v>
      </c>
      <c r="M414" s="92"/>
      <c r="N414" s="89" t="s">
        <v>60</v>
      </c>
      <c r="O414" s="165"/>
      <c r="P414" s="89" t="s">
        <v>912</v>
      </c>
      <c r="Q414" s="92" t="s">
        <v>913</v>
      </c>
      <c r="R414" s="92">
        <v>1440</v>
      </c>
      <c r="S414" s="92" t="e">
        <v>#N/A</v>
      </c>
      <c r="T414" s="92">
        <v>8544700000</v>
      </c>
      <c r="U414" s="155">
        <v>0</v>
      </c>
      <c r="V414" s="207">
        <v>30</v>
      </c>
      <c r="W414" s="92">
        <v>45</v>
      </c>
      <c r="X414" s="92">
        <v>55</v>
      </c>
      <c r="Y414" s="92" t="s">
        <v>64</v>
      </c>
      <c r="Z414" s="133">
        <f t="shared" si="758"/>
        <v>4.2075702075702077</v>
      </c>
      <c r="AA414" s="133"/>
      <c r="AB414" s="161">
        <f t="shared" si="759"/>
        <v>3.2306701383193923</v>
      </c>
      <c r="AC414" s="161"/>
      <c r="AD414" s="213">
        <f t="shared" si="757"/>
        <v>0.1</v>
      </c>
      <c r="AE414" s="213">
        <v>0.1</v>
      </c>
      <c r="AF414" s="215">
        <v>0.33</v>
      </c>
      <c r="AG414" s="215" t="s">
        <v>9</v>
      </c>
      <c r="AH414" s="148">
        <f t="shared" si="685"/>
        <v>3.2306701383193923</v>
      </c>
      <c r="AI414" s="122">
        <f t="shared" si="760"/>
        <v>0.33000000000000007</v>
      </c>
      <c r="AJ414" s="444"/>
      <c r="AK414" s="150">
        <f t="shared" si="761"/>
        <v>2.7349206349206345</v>
      </c>
      <c r="AL414" s="153">
        <f t="shared" si="762"/>
        <v>2.4050544363044364</v>
      </c>
      <c r="AM414" s="125">
        <f t="shared" si="763"/>
        <v>0.35000000000000009</v>
      </c>
      <c r="AN414" s="125">
        <f t="shared" si="764"/>
        <v>0.25555555555555565</v>
      </c>
      <c r="AO414" s="140"/>
      <c r="AP414" s="17" t="s">
        <v>664</v>
      </c>
      <c r="AQ414" s="141"/>
      <c r="AR414" s="191"/>
      <c r="AS414" s="191"/>
      <c r="AT414" s="141">
        <f>5.04+0.05*5</f>
        <v>5.29</v>
      </c>
      <c r="AU414" s="141">
        <v>11.94</v>
      </c>
      <c r="AV414" s="141">
        <f t="shared" si="765"/>
        <v>17.23</v>
      </c>
      <c r="AW414" s="142">
        <f t="shared" si="766"/>
        <v>2.4614285714285713</v>
      </c>
      <c r="AX414" s="126">
        <f t="shared" si="767"/>
        <v>2.1645489926739927</v>
      </c>
      <c r="AY414" s="17"/>
      <c r="AZ414" s="128">
        <v>8544700000</v>
      </c>
      <c r="BB414" s="168">
        <f t="shared" si="669"/>
        <v>10.768900461064641</v>
      </c>
      <c r="BC414" s="168">
        <f t="shared" si="670"/>
        <v>6.4613402766387846</v>
      </c>
      <c r="BD414" s="168">
        <f t="shared" si="671"/>
        <v>5.3844502305323205</v>
      </c>
      <c r="BE414" s="168">
        <f t="shared" si="672"/>
        <v>4.3075601844258564</v>
      </c>
      <c r="BF414" s="32" t="e">
        <f>VLOOKUP(I414,[4]Sheet1!$A$2:$C$689,3,FALSE)</f>
        <v>#N/A</v>
      </c>
    </row>
    <row r="415" spans="1:58" s="129" customFormat="1" hidden="1">
      <c r="A415" s="88" t="s">
        <v>1276</v>
      </c>
      <c r="B415" s="88" t="s">
        <v>1318</v>
      </c>
      <c r="C415" s="88" t="s">
        <v>1318</v>
      </c>
      <c r="D415" s="88" t="s">
        <v>656</v>
      </c>
      <c r="E415" s="88" t="s">
        <v>907</v>
      </c>
      <c r="F415" s="89" t="s">
        <v>923</v>
      </c>
      <c r="G415" s="92" t="s">
        <v>1785</v>
      </c>
      <c r="H415" s="92"/>
      <c r="I415" s="167" t="s">
        <v>3428</v>
      </c>
      <c r="J415" s="167" t="str">
        <f>_xlfn.XLOOKUP(I415,[1]Sheet1!$A:$A,[1]Sheet1!$B:$B,"")</f>
        <v/>
      </c>
      <c r="K415" s="88" t="s">
        <v>1791</v>
      </c>
      <c r="L415" s="88" t="s">
        <v>1792</v>
      </c>
      <c r="M415" s="92"/>
      <c r="N415" s="89" t="s">
        <v>60</v>
      </c>
      <c r="O415" s="165"/>
      <c r="P415" s="89" t="s">
        <v>912</v>
      </c>
      <c r="Q415" s="92" t="s">
        <v>913</v>
      </c>
      <c r="R415" s="92">
        <v>720</v>
      </c>
      <c r="S415" s="92" t="e">
        <v>#N/A</v>
      </c>
      <c r="T415" s="92">
        <v>8544700000</v>
      </c>
      <c r="U415" s="155">
        <v>0</v>
      </c>
      <c r="V415" s="207">
        <v>30</v>
      </c>
      <c r="W415" s="92">
        <v>45</v>
      </c>
      <c r="X415" s="92">
        <v>55</v>
      </c>
      <c r="Y415" s="92" t="s">
        <v>64</v>
      </c>
      <c r="Z415" s="133">
        <f t="shared" si="758"/>
        <v>4.8156288156288163</v>
      </c>
      <c r="AA415" s="133"/>
      <c r="AB415" s="161">
        <f t="shared" si="759"/>
        <v>3.7751375904360986</v>
      </c>
      <c r="AC415" s="161"/>
      <c r="AD415" s="213">
        <f t="shared" si="757"/>
        <v>0.1</v>
      </c>
      <c r="AE415" s="213">
        <v>0.1</v>
      </c>
      <c r="AF415" s="215">
        <v>0.33</v>
      </c>
      <c r="AG415" s="215" t="s">
        <v>9</v>
      </c>
      <c r="AH415" s="148">
        <f t="shared" si="685"/>
        <v>3.7751375904360986</v>
      </c>
      <c r="AI415" s="122">
        <f t="shared" si="760"/>
        <v>0.33000000000000007</v>
      </c>
      <c r="AJ415" s="444"/>
      <c r="AK415" s="150">
        <f t="shared" si="761"/>
        <v>3.1301587301587301</v>
      </c>
      <c r="AL415" s="153">
        <f t="shared" si="762"/>
        <v>2.8103802062135399</v>
      </c>
      <c r="AM415" s="125">
        <f t="shared" si="763"/>
        <v>0.35000000000000009</v>
      </c>
      <c r="AN415" s="125">
        <f t="shared" si="764"/>
        <v>0.25555555555555565</v>
      </c>
      <c r="AO415" s="140"/>
      <c r="AP415" s="17" t="s">
        <v>664</v>
      </c>
      <c r="AQ415" s="141"/>
      <c r="AR415" s="191"/>
      <c r="AS415" s="191"/>
      <c r="AT415" s="141">
        <f>5.04+0.05*10</f>
        <v>5.54</v>
      </c>
      <c r="AU415" s="141">
        <v>14.18</v>
      </c>
      <c r="AV415" s="141">
        <f t="shared" si="765"/>
        <v>19.72</v>
      </c>
      <c r="AW415" s="142">
        <f t="shared" si="766"/>
        <v>2.8171428571428572</v>
      </c>
      <c r="AX415" s="126">
        <f t="shared" si="767"/>
        <v>2.5293421855921858</v>
      </c>
      <c r="AY415" s="17"/>
      <c r="AZ415" s="128">
        <v>8544700000</v>
      </c>
      <c r="BB415" s="168">
        <f t="shared" si="669"/>
        <v>12.583791968120329</v>
      </c>
      <c r="BC415" s="168">
        <f t="shared" si="670"/>
        <v>7.5502751808721964</v>
      </c>
      <c r="BD415" s="168">
        <f t="shared" si="671"/>
        <v>6.2918959840601643</v>
      </c>
      <c r="BE415" s="168">
        <f t="shared" si="672"/>
        <v>5.0335167872481321</v>
      </c>
      <c r="BF415" s="32" t="e">
        <f>VLOOKUP(I415,[4]Sheet1!$A$2:$C$689,3,FALSE)</f>
        <v>#N/A</v>
      </c>
    </row>
    <row r="416" spans="1:58" s="129" customFormat="1" hidden="1">
      <c r="A416" s="88" t="s">
        <v>1276</v>
      </c>
      <c r="B416" s="88" t="s">
        <v>1318</v>
      </c>
      <c r="C416" s="88" t="s">
        <v>1318</v>
      </c>
      <c r="D416" s="88" t="s">
        <v>656</v>
      </c>
      <c r="E416" s="88" t="s">
        <v>907</v>
      </c>
      <c r="F416" s="89" t="s">
        <v>923</v>
      </c>
      <c r="G416" s="92" t="s">
        <v>1785</v>
      </c>
      <c r="H416" s="92"/>
      <c r="I416" s="167" t="s">
        <v>3429</v>
      </c>
      <c r="J416" s="167" t="str">
        <f>_xlfn.XLOOKUP(I416,[1]Sheet1!$A:$A,[1]Sheet1!$B:$B,"")</f>
        <v/>
      </c>
      <c r="K416" s="88" t="s">
        <v>1793</v>
      </c>
      <c r="L416" s="88" t="s">
        <v>1794</v>
      </c>
      <c r="M416" s="92"/>
      <c r="N416" s="89" t="s">
        <v>60</v>
      </c>
      <c r="O416" s="165"/>
      <c r="P416" s="89" t="s">
        <v>912</v>
      </c>
      <c r="Q416" s="92" t="s">
        <v>913</v>
      </c>
      <c r="R416" s="92">
        <v>480</v>
      </c>
      <c r="S416" s="92" t="e">
        <v>#N/A</v>
      </c>
      <c r="T416" s="92">
        <v>8544700000</v>
      </c>
      <c r="U416" s="155">
        <v>0</v>
      </c>
      <c r="V416" s="207">
        <v>30</v>
      </c>
      <c r="W416" s="92">
        <v>45</v>
      </c>
      <c r="X416" s="92">
        <v>55</v>
      </c>
      <c r="Y416" s="92" t="s">
        <v>64</v>
      </c>
      <c r="Z416" s="133">
        <f t="shared" si="758"/>
        <v>5.5726495726495733</v>
      </c>
      <c r="AA416" s="133"/>
      <c r="AB416" s="161">
        <f t="shared" si="759"/>
        <v>4.4307708253603781</v>
      </c>
      <c r="AC416" s="161"/>
      <c r="AD416" s="213">
        <f t="shared" si="757"/>
        <v>0.1</v>
      </c>
      <c r="AE416" s="213">
        <v>0.1</v>
      </c>
      <c r="AF416" s="215">
        <v>0.33</v>
      </c>
      <c r="AG416" s="215" t="s">
        <v>9</v>
      </c>
      <c r="AH416" s="148">
        <f t="shared" si="685"/>
        <v>4.4307708253603781</v>
      </c>
      <c r="AI416" s="122">
        <f t="shared" si="760"/>
        <v>0.33000000000000007</v>
      </c>
      <c r="AJ416" s="444"/>
      <c r="AK416" s="150">
        <f t="shared" si="761"/>
        <v>3.6222222222222222</v>
      </c>
      <c r="AL416" s="153">
        <f t="shared" si="762"/>
        <v>3.298462725546059</v>
      </c>
      <c r="AM416" s="125">
        <f t="shared" si="763"/>
        <v>0.35000000000000009</v>
      </c>
      <c r="AN416" s="125">
        <f t="shared" si="764"/>
        <v>0.25555555555555565</v>
      </c>
      <c r="AO416" s="140"/>
      <c r="AP416" s="17" t="s">
        <v>664</v>
      </c>
      <c r="AQ416" s="141"/>
      <c r="AR416" s="191"/>
      <c r="AS416" s="191"/>
      <c r="AT416" s="141">
        <f>5.04+0.05*15</f>
        <v>5.79</v>
      </c>
      <c r="AU416" s="141">
        <v>17.03</v>
      </c>
      <c r="AV416" s="141">
        <f t="shared" si="765"/>
        <v>22.82</v>
      </c>
      <c r="AW416" s="142">
        <f t="shared" si="766"/>
        <v>3.2600000000000002</v>
      </c>
      <c r="AX416" s="126">
        <f t="shared" si="767"/>
        <v>2.9686164529914532</v>
      </c>
      <c r="AY416" s="17"/>
      <c r="AZ416" s="128">
        <v>8544700000</v>
      </c>
      <c r="BB416" s="168">
        <f t="shared" si="669"/>
        <v>14.769236084534594</v>
      </c>
      <c r="BC416" s="168">
        <f t="shared" si="670"/>
        <v>8.8615416507207563</v>
      </c>
      <c r="BD416" s="168">
        <f t="shared" si="671"/>
        <v>7.3846180422672969</v>
      </c>
      <c r="BE416" s="168">
        <f t="shared" si="672"/>
        <v>5.9076944338138375</v>
      </c>
      <c r="BF416" s="32" t="e">
        <f>VLOOKUP(I416,[4]Sheet1!$A$2:$C$689,3,FALSE)</f>
        <v>#N/A</v>
      </c>
    </row>
    <row r="417" spans="1:58" s="129" customFormat="1" hidden="1">
      <c r="A417" s="88" t="s">
        <v>1276</v>
      </c>
      <c r="B417" s="88" t="s">
        <v>1318</v>
      </c>
      <c r="C417" s="88" t="s">
        <v>1318</v>
      </c>
      <c r="D417" s="88" t="s">
        <v>656</v>
      </c>
      <c r="E417" s="88" t="s">
        <v>907</v>
      </c>
      <c r="F417" s="89" t="s">
        <v>936</v>
      </c>
      <c r="G417" s="92" t="s">
        <v>1785</v>
      </c>
      <c r="H417" s="92"/>
      <c r="I417" s="167" t="s">
        <v>3430</v>
      </c>
      <c r="J417" s="167" t="str">
        <f>_xlfn.XLOOKUP(I417,[1]Sheet1!$A:$A,[1]Sheet1!$B:$B,"")</f>
        <v/>
      </c>
      <c r="K417" s="88" t="s">
        <v>1045</v>
      </c>
      <c r="L417" s="88" t="s">
        <v>1046</v>
      </c>
      <c r="M417" s="92"/>
      <c r="N417" s="89" t="s">
        <v>60</v>
      </c>
      <c r="O417" s="165"/>
      <c r="P417" s="89" t="s">
        <v>912</v>
      </c>
      <c r="Q417" s="92" t="s">
        <v>913</v>
      </c>
      <c r="R417" s="92">
        <v>2160</v>
      </c>
      <c r="S417" s="92" t="s">
        <v>2505</v>
      </c>
      <c r="T417" s="92">
        <v>8544700000</v>
      </c>
      <c r="U417" s="155">
        <v>0</v>
      </c>
      <c r="V417" s="207">
        <v>30</v>
      </c>
      <c r="W417" s="92">
        <v>45</v>
      </c>
      <c r="X417" s="92">
        <v>55</v>
      </c>
      <c r="Y417" s="92" t="s">
        <v>64</v>
      </c>
      <c r="Z417" s="133">
        <f t="shared" si="758"/>
        <v>3.6361416361416365</v>
      </c>
      <c r="AA417" s="133"/>
      <c r="AB417" s="168">
        <f t="shared" si="759"/>
        <v>2.7740001154180267</v>
      </c>
      <c r="AC417" s="168"/>
      <c r="AD417" s="122">
        <f t="shared" si="757"/>
        <v>0.1</v>
      </c>
      <c r="AE417" s="122">
        <v>0.1</v>
      </c>
      <c r="AF417" s="122">
        <v>0.33</v>
      </c>
      <c r="AG417" s="122" t="s">
        <v>9</v>
      </c>
      <c r="AH417" s="148">
        <f t="shared" si="685"/>
        <v>2.7740001154180267</v>
      </c>
      <c r="AI417" s="122">
        <f t="shared" si="760"/>
        <v>0.33000000000000007</v>
      </c>
      <c r="AJ417" s="444"/>
      <c r="AK417" s="150">
        <f t="shared" si="761"/>
        <v>2.3634920634920635</v>
      </c>
      <c r="AL417" s="153">
        <f t="shared" si="762"/>
        <v>2.0650889748111974</v>
      </c>
      <c r="AM417" s="125">
        <f t="shared" si="763"/>
        <v>0.35000000000000009</v>
      </c>
      <c r="AN417" s="125">
        <f t="shared" si="764"/>
        <v>0.25555555555555565</v>
      </c>
      <c r="AO417" s="140"/>
      <c r="AP417" s="17" t="s">
        <v>664</v>
      </c>
      <c r="AQ417" s="141"/>
      <c r="AR417" s="191"/>
      <c r="AS417" s="191"/>
      <c r="AT417" s="141">
        <f>5.04+0.05</f>
        <v>5.09</v>
      </c>
      <c r="AU417" s="141">
        <v>9.8000000000000007</v>
      </c>
      <c r="AV417" s="141">
        <f t="shared" si="765"/>
        <v>14.89</v>
      </c>
      <c r="AW417" s="142">
        <f t="shared" si="766"/>
        <v>2.1271428571428572</v>
      </c>
      <c r="AX417" s="126">
        <f t="shared" si="767"/>
        <v>1.8585800773300776</v>
      </c>
      <c r="AY417" s="17"/>
      <c r="AZ417" s="128">
        <v>8544700000</v>
      </c>
      <c r="BB417" s="168">
        <f t="shared" si="669"/>
        <v>9.2466670513934233</v>
      </c>
      <c r="BC417" s="168">
        <f t="shared" si="670"/>
        <v>5.5480002308360534</v>
      </c>
      <c r="BD417" s="168">
        <f t="shared" si="671"/>
        <v>4.6233335256967116</v>
      </c>
      <c r="BE417" s="168">
        <f t="shared" si="672"/>
        <v>3.6986668205573694</v>
      </c>
      <c r="BF417" s="32" t="e">
        <f>VLOOKUP(I417,[4]Sheet1!$A$2:$C$689,3,FALSE)</f>
        <v>#N/A</v>
      </c>
    </row>
    <row r="418" spans="1:58" s="129" customFormat="1" hidden="1">
      <c r="A418" s="88" t="s">
        <v>1276</v>
      </c>
      <c r="B418" s="88" t="s">
        <v>1318</v>
      </c>
      <c r="C418" s="88" t="s">
        <v>1318</v>
      </c>
      <c r="D418" s="88" t="s">
        <v>656</v>
      </c>
      <c r="E418" s="88" t="s">
        <v>907</v>
      </c>
      <c r="F418" s="89" t="s">
        <v>936</v>
      </c>
      <c r="G418" s="92" t="s">
        <v>1785</v>
      </c>
      <c r="H418" s="92"/>
      <c r="I418" s="167" t="s">
        <v>3431</v>
      </c>
      <c r="J418" s="167" t="str">
        <f>_xlfn.XLOOKUP(I418,[1]Sheet1!$A:$A,[1]Sheet1!$B:$B,"")</f>
        <v/>
      </c>
      <c r="K418" s="88" t="s">
        <v>1048</v>
      </c>
      <c r="L418" s="88" t="s">
        <v>1049</v>
      </c>
      <c r="M418" s="92"/>
      <c r="N418" s="89" t="s">
        <v>60</v>
      </c>
      <c r="O418" s="165"/>
      <c r="P418" s="89" t="s">
        <v>912</v>
      </c>
      <c r="Q418" s="92" t="s">
        <v>913</v>
      </c>
      <c r="R418" s="92">
        <v>1920</v>
      </c>
      <c r="S418" s="92" t="e">
        <v>#N/A</v>
      </c>
      <c r="T418" s="92">
        <v>8544700000</v>
      </c>
      <c r="U418" s="155">
        <v>0</v>
      </c>
      <c r="V418" s="207">
        <v>30</v>
      </c>
      <c r="W418" s="92">
        <v>45</v>
      </c>
      <c r="X418" s="92">
        <v>55</v>
      </c>
      <c r="Y418" s="92" t="s">
        <v>64</v>
      </c>
      <c r="Z418" s="133">
        <f t="shared" si="758"/>
        <v>3.7826617826617825</v>
      </c>
      <c r="AA418" s="133"/>
      <c r="AB418" s="168">
        <f t="shared" si="759"/>
        <v>2.8909012059665047</v>
      </c>
      <c r="AC418" s="168"/>
      <c r="AD418" s="122">
        <f t="shared" si="757"/>
        <v>0.1</v>
      </c>
      <c r="AE418" s="122">
        <v>0.1</v>
      </c>
      <c r="AF418" s="122">
        <v>0.33</v>
      </c>
      <c r="AG418" s="122" t="s">
        <v>9</v>
      </c>
      <c r="AH418" s="148">
        <f t="shared" si="685"/>
        <v>2.8909012059665047</v>
      </c>
      <c r="AI418" s="122">
        <f t="shared" si="760"/>
        <v>0.33000000000000007</v>
      </c>
      <c r="AJ418" s="444"/>
      <c r="AK418" s="150">
        <f t="shared" si="761"/>
        <v>2.4587301587301584</v>
      </c>
      <c r="AL418" s="153">
        <f t="shared" si="762"/>
        <v>2.152115342219509</v>
      </c>
      <c r="AM418" s="125">
        <f t="shared" si="763"/>
        <v>0.35000000000000009</v>
      </c>
      <c r="AN418" s="125">
        <f t="shared" si="764"/>
        <v>0.25555555555555554</v>
      </c>
      <c r="AO418" s="140"/>
      <c r="AP418" s="17" t="s">
        <v>664</v>
      </c>
      <c r="AQ418" s="141"/>
      <c r="AR418" s="191"/>
      <c r="AS418" s="191"/>
      <c r="AT418" s="141">
        <f>5.04+0.05*2</f>
        <v>5.14</v>
      </c>
      <c r="AU418" s="141">
        <v>10.35</v>
      </c>
      <c r="AV418" s="141">
        <f t="shared" si="765"/>
        <v>15.489999999999998</v>
      </c>
      <c r="AW418" s="142">
        <f t="shared" si="766"/>
        <v>2.2128571428571426</v>
      </c>
      <c r="AX418" s="126">
        <f t="shared" si="767"/>
        <v>1.936903807997558</v>
      </c>
      <c r="AY418" s="17"/>
      <c r="AZ418" s="128">
        <v>8544700000</v>
      </c>
      <c r="BB418" s="168">
        <f t="shared" si="669"/>
        <v>9.6363373532216823</v>
      </c>
      <c r="BC418" s="168">
        <f t="shared" si="670"/>
        <v>5.7818024119330094</v>
      </c>
      <c r="BD418" s="168">
        <f t="shared" si="671"/>
        <v>4.8181686766108411</v>
      </c>
      <c r="BE418" s="168">
        <f t="shared" si="672"/>
        <v>3.8545349412886729</v>
      </c>
      <c r="BF418" s="32" t="e">
        <f>VLOOKUP(I418,[4]Sheet1!$A$2:$C$689,3,FALSE)</f>
        <v>#N/A</v>
      </c>
    </row>
    <row r="419" spans="1:58" s="129" customFormat="1" hidden="1">
      <c r="A419" s="88" t="s">
        <v>1276</v>
      </c>
      <c r="B419" s="88" t="s">
        <v>1318</v>
      </c>
      <c r="C419" s="88" t="s">
        <v>1318</v>
      </c>
      <c r="D419" s="88" t="s">
        <v>656</v>
      </c>
      <c r="E419" s="88" t="s">
        <v>907</v>
      </c>
      <c r="F419" s="89" t="s">
        <v>936</v>
      </c>
      <c r="G419" s="92" t="s">
        <v>1785</v>
      </c>
      <c r="H419" s="92"/>
      <c r="I419" s="167" t="s">
        <v>3432</v>
      </c>
      <c r="J419" s="167" t="str">
        <f>_xlfn.XLOOKUP(I419,[1]Sheet1!$A:$A,[1]Sheet1!$B:$B,"")</f>
        <v/>
      </c>
      <c r="K419" s="88" t="s">
        <v>1051</v>
      </c>
      <c r="L419" s="88" t="s">
        <v>1052</v>
      </c>
      <c r="M419" s="92"/>
      <c r="N419" s="89" t="s">
        <v>60</v>
      </c>
      <c r="O419" s="165"/>
      <c r="P419" s="89" t="s">
        <v>912</v>
      </c>
      <c r="Q419" s="92" t="s">
        <v>913</v>
      </c>
      <c r="R419" s="92">
        <v>1920</v>
      </c>
      <c r="S419" s="92" t="s">
        <v>2506</v>
      </c>
      <c r="T419" s="92">
        <v>8544700000</v>
      </c>
      <c r="U419" s="155">
        <v>0</v>
      </c>
      <c r="V419" s="207">
        <v>30</v>
      </c>
      <c r="W419" s="92">
        <v>45</v>
      </c>
      <c r="X419" s="92">
        <v>55</v>
      </c>
      <c r="Y419" s="92" t="s">
        <v>64</v>
      </c>
      <c r="Z419" s="133">
        <f t="shared" si="758"/>
        <v>3.9291819291819294</v>
      </c>
      <c r="AA419" s="133"/>
      <c r="AB419" s="168">
        <f t="shared" si="759"/>
        <v>3.000244598891987</v>
      </c>
      <c r="AC419" s="168"/>
      <c r="AD419" s="122">
        <f t="shared" si="757"/>
        <v>0.1</v>
      </c>
      <c r="AE419" s="122">
        <v>0.1</v>
      </c>
      <c r="AF419" s="122">
        <v>0.33</v>
      </c>
      <c r="AG419" s="122" t="s">
        <v>9</v>
      </c>
      <c r="AH419" s="148">
        <f t="shared" si="685"/>
        <v>3.000244598891987</v>
      </c>
      <c r="AI419" s="122">
        <f t="shared" si="760"/>
        <v>0.33000000000000007</v>
      </c>
      <c r="AJ419" s="444"/>
      <c r="AK419" s="150">
        <f t="shared" si="761"/>
        <v>2.5539682539682538</v>
      </c>
      <c r="AL419" s="153">
        <f t="shared" si="762"/>
        <v>2.2335154236195902</v>
      </c>
      <c r="AM419" s="125">
        <f t="shared" si="763"/>
        <v>0.35000000000000009</v>
      </c>
      <c r="AN419" s="125">
        <f t="shared" si="764"/>
        <v>0.25555555555555565</v>
      </c>
      <c r="AO419" s="140"/>
      <c r="AP419" s="17" t="s">
        <v>664</v>
      </c>
      <c r="AQ419" s="141"/>
      <c r="AR419" s="191"/>
      <c r="AS419" s="191"/>
      <c r="AT419" s="141">
        <f>5.04+0.05*3</f>
        <v>5.19</v>
      </c>
      <c r="AU419" s="141">
        <v>10.9</v>
      </c>
      <c r="AV419" s="141">
        <f t="shared" si="765"/>
        <v>16.09</v>
      </c>
      <c r="AW419" s="142">
        <f t="shared" si="766"/>
        <v>2.2985714285714285</v>
      </c>
      <c r="AX419" s="126">
        <f t="shared" si="767"/>
        <v>2.0101638812576312</v>
      </c>
      <c r="AY419" s="17"/>
      <c r="AZ419" s="128">
        <v>8544700000</v>
      </c>
      <c r="BB419" s="168">
        <f t="shared" si="669"/>
        <v>10.000815329639957</v>
      </c>
      <c r="BC419" s="168">
        <f t="shared" si="670"/>
        <v>6.000489197783974</v>
      </c>
      <c r="BD419" s="168">
        <f t="shared" si="671"/>
        <v>5.0004076648199787</v>
      </c>
      <c r="BE419" s="168">
        <f t="shared" si="672"/>
        <v>4.0003261318559833</v>
      </c>
      <c r="BF419" s="32" t="e">
        <f>VLOOKUP(I419,[4]Sheet1!$A$2:$C$689,3,FALSE)</f>
        <v>#N/A</v>
      </c>
    </row>
    <row r="420" spans="1:58" s="129" customFormat="1" hidden="1">
      <c r="A420" s="88" t="s">
        <v>1276</v>
      </c>
      <c r="B420" s="88" t="s">
        <v>1318</v>
      </c>
      <c r="C420" s="88" t="s">
        <v>1318</v>
      </c>
      <c r="D420" s="88" t="s">
        <v>656</v>
      </c>
      <c r="E420" s="88" t="s">
        <v>907</v>
      </c>
      <c r="F420" s="89" t="s">
        <v>936</v>
      </c>
      <c r="G420" s="92" t="s">
        <v>1785</v>
      </c>
      <c r="H420" s="92"/>
      <c r="I420" s="167" t="s">
        <v>3433</v>
      </c>
      <c r="J420" s="167" t="str">
        <f>_xlfn.XLOOKUP(I420,[1]Sheet1!$A:$A,[1]Sheet1!$B:$B,"")</f>
        <v/>
      </c>
      <c r="K420" s="88" t="s">
        <v>1054</v>
      </c>
      <c r="L420" s="88" t="s">
        <v>1055</v>
      </c>
      <c r="M420" s="92"/>
      <c r="N420" s="89" t="s">
        <v>60</v>
      </c>
      <c r="O420" s="165"/>
      <c r="P420" s="89" t="s">
        <v>912</v>
      </c>
      <c r="Q420" s="92" t="s">
        <v>913</v>
      </c>
      <c r="R420" s="92">
        <v>1440</v>
      </c>
      <c r="S420" s="92" t="s">
        <v>2507</v>
      </c>
      <c r="T420" s="92">
        <v>8544700000</v>
      </c>
      <c r="U420" s="155">
        <v>0</v>
      </c>
      <c r="V420" s="207">
        <v>30</v>
      </c>
      <c r="W420" s="92">
        <v>45</v>
      </c>
      <c r="X420" s="92">
        <v>55</v>
      </c>
      <c r="Y420" s="92" t="s">
        <v>64</v>
      </c>
      <c r="Z420" s="133">
        <f t="shared" si="758"/>
        <v>4.2075702075702077</v>
      </c>
      <c r="AA420" s="133"/>
      <c r="AB420" s="168">
        <f t="shared" si="759"/>
        <v>3.2306701383193923</v>
      </c>
      <c r="AC420" s="168"/>
      <c r="AD420" s="122">
        <f t="shared" si="757"/>
        <v>0.1</v>
      </c>
      <c r="AE420" s="122">
        <v>0.1</v>
      </c>
      <c r="AF420" s="122">
        <v>0.33</v>
      </c>
      <c r="AG420" s="122" t="s">
        <v>9</v>
      </c>
      <c r="AH420" s="148">
        <f t="shared" si="685"/>
        <v>3.2306701383193923</v>
      </c>
      <c r="AI420" s="122">
        <f t="shared" si="760"/>
        <v>0.33000000000000007</v>
      </c>
      <c r="AJ420" s="444"/>
      <c r="AK420" s="150">
        <f t="shared" si="761"/>
        <v>2.7349206349206345</v>
      </c>
      <c r="AL420" s="153">
        <f t="shared" si="762"/>
        <v>2.4050544363044364</v>
      </c>
      <c r="AM420" s="125">
        <f t="shared" si="763"/>
        <v>0.35000000000000009</v>
      </c>
      <c r="AN420" s="125">
        <f t="shared" si="764"/>
        <v>0.25555555555555565</v>
      </c>
      <c r="AO420" s="140"/>
      <c r="AP420" s="17" t="s">
        <v>664</v>
      </c>
      <c r="AQ420" s="141"/>
      <c r="AR420" s="191"/>
      <c r="AS420" s="191"/>
      <c r="AT420" s="141">
        <f>5.04+0.05*5</f>
        <v>5.29</v>
      </c>
      <c r="AU420" s="141">
        <v>11.94</v>
      </c>
      <c r="AV420" s="141">
        <f t="shared" si="765"/>
        <v>17.23</v>
      </c>
      <c r="AW420" s="142">
        <f t="shared" si="766"/>
        <v>2.4614285714285713</v>
      </c>
      <c r="AX420" s="126">
        <f t="shared" si="767"/>
        <v>2.1645489926739927</v>
      </c>
      <c r="AY420" s="17"/>
      <c r="AZ420" s="128">
        <v>8544700000</v>
      </c>
      <c r="BB420" s="168">
        <f t="shared" si="669"/>
        <v>10.768900461064641</v>
      </c>
      <c r="BC420" s="168">
        <f t="shared" si="670"/>
        <v>6.4613402766387846</v>
      </c>
      <c r="BD420" s="168">
        <f t="shared" si="671"/>
        <v>5.3844502305323205</v>
      </c>
      <c r="BE420" s="168">
        <f t="shared" si="672"/>
        <v>4.3075601844258564</v>
      </c>
      <c r="BF420" s="32" t="e">
        <f>VLOOKUP(I420,[4]Sheet1!$A$2:$C$689,3,FALSE)</f>
        <v>#N/A</v>
      </c>
    </row>
    <row r="421" spans="1:58" s="129" customFormat="1" hidden="1">
      <c r="A421" s="88" t="s">
        <v>1276</v>
      </c>
      <c r="B421" s="88" t="s">
        <v>1318</v>
      </c>
      <c r="C421" s="88" t="s">
        <v>1318</v>
      </c>
      <c r="D421" s="88" t="s">
        <v>656</v>
      </c>
      <c r="E421" s="88" t="s">
        <v>907</v>
      </c>
      <c r="F421" s="89" t="s">
        <v>936</v>
      </c>
      <c r="G421" s="92" t="s">
        <v>1785</v>
      </c>
      <c r="H421" s="92"/>
      <c r="I421" s="167" t="s">
        <v>3434</v>
      </c>
      <c r="J421" s="167" t="str">
        <f>_xlfn.XLOOKUP(I421,[1]Sheet1!$A:$A,[1]Sheet1!$B:$B,"")</f>
        <v/>
      </c>
      <c r="K421" s="88" t="s">
        <v>1795</v>
      </c>
      <c r="L421" s="88" t="s">
        <v>1796</v>
      </c>
      <c r="M421" s="92"/>
      <c r="N421" s="89" t="s">
        <v>60</v>
      </c>
      <c r="O421" s="165"/>
      <c r="P421" s="89" t="s">
        <v>912</v>
      </c>
      <c r="Q421" s="92" t="s">
        <v>913</v>
      </c>
      <c r="R421" s="92">
        <v>720</v>
      </c>
      <c r="S421" s="92" t="e">
        <v>#N/A</v>
      </c>
      <c r="T421" s="92">
        <v>8544700000</v>
      </c>
      <c r="U421" s="155">
        <v>0</v>
      </c>
      <c r="V421" s="207">
        <v>30</v>
      </c>
      <c r="W421" s="92">
        <v>45</v>
      </c>
      <c r="X421" s="92">
        <v>55</v>
      </c>
      <c r="Y421" s="92" t="s">
        <v>64</v>
      </c>
      <c r="Z421" s="133">
        <f t="shared" si="758"/>
        <v>4.8156288156288163</v>
      </c>
      <c r="AA421" s="133"/>
      <c r="AB421" s="168">
        <f t="shared" si="759"/>
        <v>3.7751375904360986</v>
      </c>
      <c r="AC421" s="168"/>
      <c r="AD421" s="122">
        <f t="shared" si="757"/>
        <v>0.1</v>
      </c>
      <c r="AE421" s="122">
        <v>0.1</v>
      </c>
      <c r="AF421" s="122">
        <v>0.33</v>
      </c>
      <c r="AG421" s="122" t="s">
        <v>9</v>
      </c>
      <c r="AH421" s="148">
        <f t="shared" si="685"/>
        <v>3.7751375904360986</v>
      </c>
      <c r="AI421" s="122">
        <f t="shared" si="760"/>
        <v>0.33000000000000007</v>
      </c>
      <c r="AJ421" s="444"/>
      <c r="AK421" s="150">
        <f t="shared" si="761"/>
        <v>3.1301587301587301</v>
      </c>
      <c r="AL421" s="153">
        <f t="shared" si="762"/>
        <v>2.8103802062135399</v>
      </c>
      <c r="AM421" s="125">
        <f t="shared" si="763"/>
        <v>0.35000000000000009</v>
      </c>
      <c r="AN421" s="125">
        <f t="shared" si="764"/>
        <v>0.25555555555555565</v>
      </c>
      <c r="AO421" s="140"/>
      <c r="AP421" s="17" t="s">
        <v>664</v>
      </c>
      <c r="AQ421" s="141"/>
      <c r="AR421" s="191"/>
      <c r="AS421" s="191"/>
      <c r="AT421" s="141">
        <f>5.04+0.05*10</f>
        <v>5.54</v>
      </c>
      <c r="AU421" s="141">
        <v>14.18</v>
      </c>
      <c r="AV421" s="141">
        <f t="shared" si="765"/>
        <v>19.72</v>
      </c>
      <c r="AW421" s="142">
        <f t="shared" si="766"/>
        <v>2.8171428571428572</v>
      </c>
      <c r="AX421" s="126">
        <f t="shared" si="767"/>
        <v>2.5293421855921858</v>
      </c>
      <c r="AY421" s="17"/>
      <c r="AZ421" s="128">
        <v>8544700000</v>
      </c>
      <c r="BB421" s="168">
        <f t="shared" si="669"/>
        <v>12.583791968120329</v>
      </c>
      <c r="BC421" s="168">
        <f t="shared" si="670"/>
        <v>7.5502751808721964</v>
      </c>
      <c r="BD421" s="168">
        <f t="shared" si="671"/>
        <v>6.2918959840601643</v>
      </c>
      <c r="BE421" s="168">
        <f t="shared" si="672"/>
        <v>5.0335167872481321</v>
      </c>
      <c r="BF421" s="32" t="e">
        <f>VLOOKUP(I421,[4]Sheet1!$A$2:$C$689,3,FALSE)</f>
        <v>#N/A</v>
      </c>
    </row>
    <row r="422" spans="1:58" s="129" customFormat="1" hidden="1">
      <c r="A422" s="88" t="s">
        <v>1276</v>
      </c>
      <c r="B422" s="88" t="s">
        <v>1318</v>
      </c>
      <c r="C422" s="88" t="s">
        <v>1318</v>
      </c>
      <c r="D422" s="88" t="s">
        <v>656</v>
      </c>
      <c r="E422" s="88" t="s">
        <v>907</v>
      </c>
      <c r="F422" s="89" t="s">
        <v>936</v>
      </c>
      <c r="G422" s="92" t="s">
        <v>1785</v>
      </c>
      <c r="H422" s="92"/>
      <c r="I422" s="167" t="s">
        <v>3435</v>
      </c>
      <c r="J422" s="167" t="str">
        <f>_xlfn.XLOOKUP(I422,[1]Sheet1!$A:$A,[1]Sheet1!$B:$B,"")</f>
        <v/>
      </c>
      <c r="K422" s="88" t="s">
        <v>1797</v>
      </c>
      <c r="L422" s="88" t="s">
        <v>1798</v>
      </c>
      <c r="M422" s="92"/>
      <c r="N422" s="89" t="s">
        <v>60</v>
      </c>
      <c r="O422" s="165"/>
      <c r="P422" s="89" t="s">
        <v>912</v>
      </c>
      <c r="Q422" s="92" t="s">
        <v>913</v>
      </c>
      <c r="R422" s="92">
        <v>480</v>
      </c>
      <c r="S422" s="92" t="e">
        <v>#N/A</v>
      </c>
      <c r="T422" s="92">
        <v>8544700000</v>
      </c>
      <c r="U422" s="155">
        <v>0</v>
      </c>
      <c r="V422" s="207">
        <v>30</v>
      </c>
      <c r="W422" s="92">
        <v>45</v>
      </c>
      <c r="X422" s="92">
        <v>55</v>
      </c>
      <c r="Y422" s="92" t="s">
        <v>64</v>
      </c>
      <c r="Z422" s="133">
        <f t="shared" si="758"/>
        <v>5.5726495726495733</v>
      </c>
      <c r="AA422" s="133"/>
      <c r="AB422" s="168">
        <f t="shared" si="759"/>
        <v>4.4307708253603781</v>
      </c>
      <c r="AC422" s="168"/>
      <c r="AD422" s="122">
        <f t="shared" si="757"/>
        <v>0.1</v>
      </c>
      <c r="AE422" s="122">
        <v>0.1</v>
      </c>
      <c r="AF422" s="122">
        <v>0.33</v>
      </c>
      <c r="AG422" s="122" t="s">
        <v>9</v>
      </c>
      <c r="AH422" s="148">
        <f t="shared" si="685"/>
        <v>4.4307708253603781</v>
      </c>
      <c r="AI422" s="122">
        <f t="shared" si="760"/>
        <v>0.33000000000000007</v>
      </c>
      <c r="AJ422" s="444"/>
      <c r="AK422" s="150">
        <f t="shared" si="761"/>
        <v>3.6222222222222222</v>
      </c>
      <c r="AL422" s="153">
        <f t="shared" si="762"/>
        <v>3.298462725546059</v>
      </c>
      <c r="AM422" s="125">
        <f t="shared" si="763"/>
        <v>0.35000000000000009</v>
      </c>
      <c r="AN422" s="125">
        <f t="shared" si="764"/>
        <v>0.25555555555555565</v>
      </c>
      <c r="AO422" s="140"/>
      <c r="AP422" s="17" t="s">
        <v>664</v>
      </c>
      <c r="AQ422" s="141"/>
      <c r="AR422" s="191"/>
      <c r="AS422" s="191"/>
      <c r="AT422" s="141">
        <f>5.04+0.05*15</f>
        <v>5.79</v>
      </c>
      <c r="AU422" s="141">
        <v>17.03</v>
      </c>
      <c r="AV422" s="141">
        <f t="shared" si="765"/>
        <v>22.82</v>
      </c>
      <c r="AW422" s="142">
        <f t="shared" si="766"/>
        <v>3.2600000000000002</v>
      </c>
      <c r="AX422" s="126">
        <f t="shared" si="767"/>
        <v>2.9686164529914532</v>
      </c>
      <c r="AY422" s="17"/>
      <c r="AZ422" s="128">
        <v>8544700000</v>
      </c>
      <c r="BB422" s="168">
        <f t="shared" si="669"/>
        <v>14.769236084534594</v>
      </c>
      <c r="BC422" s="168">
        <f t="shared" si="670"/>
        <v>8.8615416507207563</v>
      </c>
      <c r="BD422" s="168">
        <f t="shared" si="671"/>
        <v>7.3846180422672969</v>
      </c>
      <c r="BE422" s="168">
        <f t="shared" si="672"/>
        <v>5.9076944338138375</v>
      </c>
      <c r="BF422" s="32" t="e">
        <f>VLOOKUP(I422,[4]Sheet1!$A$2:$C$689,3,FALSE)</f>
        <v>#N/A</v>
      </c>
    </row>
    <row r="423" spans="1:58" s="129" customFormat="1" hidden="1">
      <c r="A423" s="88" t="s">
        <v>1276</v>
      </c>
      <c r="B423" s="88" t="s">
        <v>1318</v>
      </c>
      <c r="C423" s="88" t="s">
        <v>1318</v>
      </c>
      <c r="D423" s="88" t="s">
        <v>656</v>
      </c>
      <c r="E423" s="88" t="s">
        <v>907</v>
      </c>
      <c r="F423" s="89" t="s">
        <v>936</v>
      </c>
      <c r="G423" s="92" t="s">
        <v>1785</v>
      </c>
      <c r="H423" s="92"/>
      <c r="I423" s="167" t="s">
        <v>3774</v>
      </c>
      <c r="J423" s="167" t="str">
        <f>_xlfn.XLOOKUP(I423,[1]Sheet1!$A:$A,[1]Sheet1!$B:$B,"")</f>
        <v/>
      </c>
      <c r="K423" s="88" t="s">
        <v>3758</v>
      </c>
      <c r="L423" s="88" t="s">
        <v>3763</v>
      </c>
      <c r="M423" s="92"/>
      <c r="N423" s="89" t="s">
        <v>60</v>
      </c>
      <c r="O423" s="165"/>
      <c r="P423" s="89" t="s">
        <v>912</v>
      </c>
      <c r="Q423" s="92" t="s">
        <v>913</v>
      </c>
      <c r="R423" s="92">
        <v>2160</v>
      </c>
      <c r="S423" s="92" t="s">
        <v>3769</v>
      </c>
      <c r="T423" s="92">
        <v>8544700000</v>
      </c>
      <c r="U423" s="155">
        <v>0</v>
      </c>
      <c r="V423" s="207">
        <v>30</v>
      </c>
      <c r="W423" s="92">
        <v>45</v>
      </c>
      <c r="X423" s="92">
        <v>55</v>
      </c>
      <c r="Y423" s="92" t="s">
        <v>64</v>
      </c>
      <c r="Z423" s="133">
        <f t="shared" ref="Z423:Z428" si="768">AK423/(1-(AF423+2%))</f>
        <v>4.8669108669108674</v>
      </c>
      <c r="AA423" s="133"/>
      <c r="AB423" s="168">
        <f t="shared" ref="AB423:AB428" si="769">AX423/(1-AF423)</f>
        <v>3.6924846159920786</v>
      </c>
      <c r="AC423" s="168"/>
      <c r="AD423" s="122">
        <f t="shared" ref="AD423:AD428" si="770">AE423</f>
        <v>0.1</v>
      </c>
      <c r="AE423" s="122">
        <v>0.1</v>
      </c>
      <c r="AF423" s="122">
        <v>0.33</v>
      </c>
      <c r="AG423" s="122" t="s">
        <v>9</v>
      </c>
      <c r="AH423" s="148">
        <f t="shared" ref="AH423:AH428" si="771">AB423</f>
        <v>3.6924846159920786</v>
      </c>
      <c r="AI423" s="122">
        <f t="shared" ref="AI423:AI428" si="772">1-(AX423/AH423)</f>
        <v>0.33000000000000007</v>
      </c>
      <c r="AJ423" s="444"/>
      <c r="AK423" s="150">
        <f t="shared" ref="AK423:AK428" si="773">AW423/(1-AD423)</f>
        <v>3.1634920634920634</v>
      </c>
      <c r="AL423" s="153">
        <f t="shared" ref="AL423:AL428" si="774">AX423/(1-AE423)</f>
        <v>2.7488496585718805</v>
      </c>
      <c r="AM423" s="125">
        <f t="shared" ref="AM423:AM428" si="775">1-(AK423/Z423)</f>
        <v>0.35000000000000009</v>
      </c>
      <c r="AN423" s="125">
        <f t="shared" ref="AN423:AN428" si="776">1-(AL423/AB423)</f>
        <v>0.25555555555555565</v>
      </c>
      <c r="AO423" s="140"/>
      <c r="AP423" s="17" t="s">
        <v>664</v>
      </c>
      <c r="AQ423" s="141"/>
      <c r="AR423" s="191"/>
      <c r="AS423" s="191"/>
      <c r="AT423" s="141">
        <f>5.04+0.05</f>
        <v>5.09</v>
      </c>
      <c r="AU423" s="141">
        <f>9.8+5.04</f>
        <v>14.84</v>
      </c>
      <c r="AV423" s="141">
        <f t="shared" ref="AV423:AV428" si="777">AT423+AU423</f>
        <v>19.93</v>
      </c>
      <c r="AW423" s="142">
        <f t="shared" ref="AW423:AW428" si="778">(AT423+AU423)/$F$5</f>
        <v>2.847142857142857</v>
      </c>
      <c r="AX423" s="126">
        <f t="shared" ref="AX423:AX428" si="779">(AW423/$F$6)+(($F$9+$G$9)/40/R423)+AW423*U423</f>
        <v>2.4739646927146923</v>
      </c>
      <c r="AY423" s="17"/>
      <c r="AZ423" s="128">
        <v>8544700000</v>
      </c>
      <c r="BB423" s="168">
        <f t="shared" ref="BB423:BB428" si="780">AB423/0.3</f>
        <v>12.308282053306929</v>
      </c>
      <c r="BC423" s="168">
        <f t="shared" ref="BC423:BC428" si="781">BB423*0.6</f>
        <v>7.3849692319841571</v>
      </c>
      <c r="BD423" s="168">
        <f t="shared" ref="BD423:BD428" si="782">BB423*0.5</f>
        <v>6.1541410266534644</v>
      </c>
      <c r="BE423" s="168">
        <f t="shared" ref="BE423:BE428" si="783">BB423*0.4</f>
        <v>4.9233128213227717</v>
      </c>
      <c r="BF423" s="32" t="str">
        <f>VLOOKUP(I423,[4]Sheet1!$A$2:$C$689,3,FALSE)</f>
        <v>8544700099</v>
      </c>
    </row>
    <row r="424" spans="1:58" s="129" customFormat="1" hidden="1">
      <c r="A424" s="88" t="s">
        <v>1276</v>
      </c>
      <c r="B424" s="88" t="s">
        <v>1318</v>
      </c>
      <c r="C424" s="88" t="s">
        <v>1318</v>
      </c>
      <c r="D424" s="88" t="s">
        <v>656</v>
      </c>
      <c r="E424" s="88" t="s">
        <v>907</v>
      </c>
      <c r="F424" s="89" t="s">
        <v>936</v>
      </c>
      <c r="G424" s="92" t="s">
        <v>1785</v>
      </c>
      <c r="H424" s="92"/>
      <c r="I424" s="167" t="s">
        <v>3775</v>
      </c>
      <c r="J424" s="167" t="str">
        <f>_xlfn.XLOOKUP(I424,[1]Sheet1!$A:$A,[1]Sheet1!$B:$B,"")</f>
        <v/>
      </c>
      <c r="K424" s="88" t="s">
        <v>3759</v>
      </c>
      <c r="L424" s="88" t="s">
        <v>3764</v>
      </c>
      <c r="M424" s="92"/>
      <c r="N424" s="89" t="s">
        <v>60</v>
      </c>
      <c r="O424" s="165"/>
      <c r="P424" s="89" t="s">
        <v>912</v>
      </c>
      <c r="Q424" s="92" t="s">
        <v>913</v>
      </c>
      <c r="R424" s="92">
        <v>1920</v>
      </c>
      <c r="S424" s="92" t="s">
        <v>3770</v>
      </c>
      <c r="T424" s="92">
        <v>8544700000</v>
      </c>
      <c r="U424" s="155">
        <v>0</v>
      </c>
      <c r="V424" s="207">
        <v>30</v>
      </c>
      <c r="W424" s="92">
        <v>45</v>
      </c>
      <c r="X424" s="92">
        <v>55</v>
      </c>
      <c r="Y424" s="92" t="s">
        <v>64</v>
      </c>
      <c r="Z424" s="133">
        <f t="shared" si="768"/>
        <v>5.0134310134310143</v>
      </c>
      <c r="AA424" s="133"/>
      <c r="AB424" s="168">
        <f t="shared" si="769"/>
        <v>3.8093857065405574</v>
      </c>
      <c r="AC424" s="168"/>
      <c r="AD424" s="122">
        <f t="shared" si="770"/>
        <v>0.1</v>
      </c>
      <c r="AE424" s="122">
        <v>0.1</v>
      </c>
      <c r="AF424" s="122">
        <v>0.33</v>
      </c>
      <c r="AG424" s="122" t="s">
        <v>9</v>
      </c>
      <c r="AH424" s="148">
        <f t="shared" si="771"/>
        <v>3.8093857065405574</v>
      </c>
      <c r="AI424" s="122">
        <f t="shared" si="772"/>
        <v>0.33000000000000007</v>
      </c>
      <c r="AJ424" s="444"/>
      <c r="AK424" s="150">
        <f t="shared" si="773"/>
        <v>3.2587301587301587</v>
      </c>
      <c r="AL424" s="153">
        <f t="shared" si="774"/>
        <v>2.8358760259801925</v>
      </c>
      <c r="AM424" s="125">
        <f t="shared" si="775"/>
        <v>0.35000000000000009</v>
      </c>
      <c r="AN424" s="125">
        <f t="shared" si="776"/>
        <v>0.25555555555555565</v>
      </c>
      <c r="AO424" s="140"/>
      <c r="AP424" s="17" t="s">
        <v>664</v>
      </c>
      <c r="AQ424" s="141"/>
      <c r="AR424" s="191"/>
      <c r="AS424" s="191"/>
      <c r="AT424" s="141">
        <f>5.04+0.05*2</f>
        <v>5.14</v>
      </c>
      <c r="AU424" s="141">
        <f>10.35+5.04</f>
        <v>15.39</v>
      </c>
      <c r="AV424" s="141">
        <f t="shared" si="777"/>
        <v>20.53</v>
      </c>
      <c r="AW424" s="142">
        <f t="shared" si="778"/>
        <v>2.9328571428571428</v>
      </c>
      <c r="AX424" s="126">
        <f t="shared" si="779"/>
        <v>2.5522884233821732</v>
      </c>
      <c r="AY424" s="17"/>
      <c r="AZ424" s="128">
        <v>8544700000</v>
      </c>
      <c r="BB424" s="168">
        <f t="shared" si="780"/>
        <v>12.697952355135191</v>
      </c>
      <c r="BC424" s="168">
        <f t="shared" si="781"/>
        <v>7.6187714130811148</v>
      </c>
      <c r="BD424" s="168">
        <f t="shared" si="782"/>
        <v>6.3489761775675957</v>
      </c>
      <c r="BE424" s="168">
        <f t="shared" si="783"/>
        <v>5.0791809420540766</v>
      </c>
      <c r="BF424" s="32" t="str">
        <f>VLOOKUP(I424,[4]Sheet1!$A$2:$C$689,3,FALSE)</f>
        <v>8544700099</v>
      </c>
    </row>
    <row r="425" spans="1:58" s="129" customFormat="1" hidden="1">
      <c r="A425" s="88" t="s">
        <v>1276</v>
      </c>
      <c r="B425" s="88" t="s">
        <v>1318</v>
      </c>
      <c r="C425" s="88" t="s">
        <v>1318</v>
      </c>
      <c r="D425" s="88" t="s">
        <v>656</v>
      </c>
      <c r="E425" s="88" t="s">
        <v>907</v>
      </c>
      <c r="F425" s="89" t="s">
        <v>936</v>
      </c>
      <c r="G425" s="92" t="s">
        <v>1785</v>
      </c>
      <c r="H425" s="92"/>
      <c r="I425" s="167" t="s">
        <v>3776</v>
      </c>
      <c r="J425" s="167" t="str">
        <f>_xlfn.XLOOKUP(I425,[1]Sheet1!$A:$A,[1]Sheet1!$B:$B,"")</f>
        <v/>
      </c>
      <c r="K425" s="88" t="s">
        <v>3760</v>
      </c>
      <c r="L425" s="88" t="s">
        <v>3765</v>
      </c>
      <c r="M425" s="92"/>
      <c r="N425" s="89" t="s">
        <v>60</v>
      </c>
      <c r="O425" s="165"/>
      <c r="P425" s="89" t="s">
        <v>912</v>
      </c>
      <c r="Q425" s="92" t="s">
        <v>913</v>
      </c>
      <c r="R425" s="92">
        <v>1920</v>
      </c>
      <c r="S425" s="92" t="s">
        <v>3771</v>
      </c>
      <c r="T425" s="92">
        <v>8544700000</v>
      </c>
      <c r="U425" s="155">
        <v>0</v>
      </c>
      <c r="V425" s="207">
        <v>30</v>
      </c>
      <c r="W425" s="92">
        <v>45</v>
      </c>
      <c r="X425" s="92">
        <v>55</v>
      </c>
      <c r="Y425" s="92" t="s">
        <v>64</v>
      </c>
      <c r="Z425" s="133">
        <f t="shared" si="768"/>
        <v>5.1599511599511612</v>
      </c>
      <c r="AA425" s="133"/>
      <c r="AB425" s="168">
        <f t="shared" si="769"/>
        <v>3.9187290994660406</v>
      </c>
      <c r="AC425" s="168"/>
      <c r="AD425" s="122">
        <f t="shared" si="770"/>
        <v>0.1</v>
      </c>
      <c r="AE425" s="122">
        <v>0.1</v>
      </c>
      <c r="AF425" s="122">
        <v>0.33</v>
      </c>
      <c r="AG425" s="122" t="s">
        <v>9</v>
      </c>
      <c r="AH425" s="148">
        <f t="shared" si="771"/>
        <v>3.9187290994660406</v>
      </c>
      <c r="AI425" s="122">
        <f t="shared" si="772"/>
        <v>0.33000000000000007</v>
      </c>
      <c r="AJ425" s="444"/>
      <c r="AK425" s="150">
        <f t="shared" si="773"/>
        <v>3.3539682539682545</v>
      </c>
      <c r="AL425" s="153">
        <f t="shared" si="774"/>
        <v>2.9172761073802747</v>
      </c>
      <c r="AM425" s="125">
        <f t="shared" si="775"/>
        <v>0.35000000000000009</v>
      </c>
      <c r="AN425" s="125">
        <f t="shared" si="776"/>
        <v>0.25555555555555554</v>
      </c>
      <c r="AO425" s="140"/>
      <c r="AP425" s="17" t="s">
        <v>664</v>
      </c>
      <c r="AQ425" s="141"/>
      <c r="AR425" s="191"/>
      <c r="AS425" s="191"/>
      <c r="AT425" s="141">
        <f>5.04+0.05*3</f>
        <v>5.19</v>
      </c>
      <c r="AU425" s="141">
        <f>10.9+5.04</f>
        <v>15.940000000000001</v>
      </c>
      <c r="AV425" s="141">
        <f t="shared" si="777"/>
        <v>21.130000000000003</v>
      </c>
      <c r="AW425" s="142">
        <f t="shared" si="778"/>
        <v>3.0185714285714291</v>
      </c>
      <c r="AX425" s="126">
        <f t="shared" si="779"/>
        <v>2.6255484966422471</v>
      </c>
      <c r="AY425" s="17"/>
      <c r="AZ425" s="128">
        <v>8544700000</v>
      </c>
      <c r="BB425" s="168">
        <f t="shared" si="780"/>
        <v>13.06243033155347</v>
      </c>
      <c r="BC425" s="168">
        <f t="shared" si="781"/>
        <v>7.8374581989320813</v>
      </c>
      <c r="BD425" s="168">
        <f t="shared" si="782"/>
        <v>6.531215165776735</v>
      </c>
      <c r="BE425" s="168">
        <f t="shared" si="783"/>
        <v>5.2249721326213887</v>
      </c>
      <c r="BF425" s="32" t="str">
        <f>VLOOKUP(I425,[4]Sheet1!$A$2:$C$689,3,FALSE)</f>
        <v>8544700099</v>
      </c>
    </row>
    <row r="426" spans="1:58" s="129" customFormat="1" hidden="1">
      <c r="A426" s="88" t="s">
        <v>1276</v>
      </c>
      <c r="B426" s="88" t="s">
        <v>1318</v>
      </c>
      <c r="C426" s="88" t="s">
        <v>1318</v>
      </c>
      <c r="D426" s="88" t="s">
        <v>656</v>
      </c>
      <c r="E426" s="88" t="s">
        <v>907</v>
      </c>
      <c r="F426" s="89" t="s">
        <v>936</v>
      </c>
      <c r="G426" s="92" t="s">
        <v>1785</v>
      </c>
      <c r="H426" s="92"/>
      <c r="I426" s="167" t="s">
        <v>3777</v>
      </c>
      <c r="J426" s="167" t="str">
        <f>_xlfn.XLOOKUP(I426,[1]Sheet1!$A:$A,[1]Sheet1!$B:$B,"")</f>
        <v/>
      </c>
      <c r="K426" s="88" t="s">
        <v>3761</v>
      </c>
      <c r="L426" s="88" t="s">
        <v>3766</v>
      </c>
      <c r="M426" s="92"/>
      <c r="N426" s="89" t="s">
        <v>60</v>
      </c>
      <c r="O426" s="165"/>
      <c r="P426" s="89" t="s">
        <v>912</v>
      </c>
      <c r="Q426" s="92" t="s">
        <v>913</v>
      </c>
      <c r="R426" s="92">
        <v>1440</v>
      </c>
      <c r="S426" s="92" t="s">
        <v>3772</v>
      </c>
      <c r="T426" s="92">
        <v>8544700000</v>
      </c>
      <c r="U426" s="155">
        <v>0</v>
      </c>
      <c r="V426" s="207">
        <v>30</v>
      </c>
      <c r="W426" s="92">
        <v>45</v>
      </c>
      <c r="X426" s="92">
        <v>55</v>
      </c>
      <c r="Y426" s="92" t="s">
        <v>64</v>
      </c>
      <c r="Z426" s="133">
        <f t="shared" si="768"/>
        <v>5.4383394383394386</v>
      </c>
      <c r="AA426" s="133"/>
      <c r="AB426" s="168">
        <f t="shared" si="769"/>
        <v>4.149154638893445</v>
      </c>
      <c r="AC426" s="168"/>
      <c r="AD426" s="122">
        <f t="shared" si="770"/>
        <v>0.1</v>
      </c>
      <c r="AE426" s="122">
        <v>0.1</v>
      </c>
      <c r="AF426" s="122">
        <v>0.33</v>
      </c>
      <c r="AG426" s="122" t="s">
        <v>9</v>
      </c>
      <c r="AH426" s="148">
        <f t="shared" si="771"/>
        <v>4.149154638893445</v>
      </c>
      <c r="AI426" s="122">
        <f t="shared" si="772"/>
        <v>0.32999999999999996</v>
      </c>
      <c r="AJ426" s="444"/>
      <c r="AK426" s="150">
        <f t="shared" si="773"/>
        <v>3.5349206349206348</v>
      </c>
      <c r="AL426" s="153">
        <f t="shared" si="774"/>
        <v>3.0888151200651199</v>
      </c>
      <c r="AM426" s="125">
        <f t="shared" si="775"/>
        <v>0.35000000000000009</v>
      </c>
      <c r="AN426" s="125">
        <f t="shared" si="776"/>
        <v>0.25555555555555565</v>
      </c>
      <c r="AO426" s="140"/>
      <c r="AP426" s="17" t="s">
        <v>664</v>
      </c>
      <c r="AQ426" s="141"/>
      <c r="AR426" s="191"/>
      <c r="AS426" s="191"/>
      <c r="AT426" s="141">
        <f>5.04+0.05*5</f>
        <v>5.29</v>
      </c>
      <c r="AU426" s="141">
        <f>11.94+5.04</f>
        <v>16.98</v>
      </c>
      <c r="AV426" s="141">
        <f t="shared" si="777"/>
        <v>22.27</v>
      </c>
      <c r="AW426" s="142">
        <f t="shared" si="778"/>
        <v>3.1814285714285715</v>
      </c>
      <c r="AX426" s="126">
        <f t="shared" si="779"/>
        <v>2.7799336080586081</v>
      </c>
      <c r="AY426" s="17"/>
      <c r="AZ426" s="128">
        <v>8544700000</v>
      </c>
      <c r="BB426" s="168">
        <f t="shared" si="780"/>
        <v>13.83051546297815</v>
      </c>
      <c r="BC426" s="168">
        <f t="shared" si="781"/>
        <v>8.2983092777868901</v>
      </c>
      <c r="BD426" s="168">
        <f t="shared" si="782"/>
        <v>6.9152577314890751</v>
      </c>
      <c r="BE426" s="168">
        <f t="shared" si="783"/>
        <v>5.5322061851912601</v>
      </c>
      <c r="BF426" s="32" t="str">
        <f>VLOOKUP(I426,[4]Sheet1!$A$2:$C$689,3,FALSE)</f>
        <v>8544700099</v>
      </c>
    </row>
    <row r="427" spans="1:58" s="129" customFormat="1" hidden="1">
      <c r="A427" s="88" t="s">
        <v>1276</v>
      </c>
      <c r="B427" s="88" t="s">
        <v>1318</v>
      </c>
      <c r="C427" s="88" t="s">
        <v>1318</v>
      </c>
      <c r="D427" s="88" t="s">
        <v>656</v>
      </c>
      <c r="E427" s="88" t="s">
        <v>907</v>
      </c>
      <c r="F427" s="89" t="s">
        <v>936</v>
      </c>
      <c r="G427" s="92" t="s">
        <v>1785</v>
      </c>
      <c r="H427" s="92"/>
      <c r="I427" s="167" t="s">
        <v>3778</v>
      </c>
      <c r="J427" s="167" t="str">
        <f>_xlfn.XLOOKUP(I427,[1]Sheet1!$A:$A,[1]Sheet1!$B:$B,"")</f>
        <v/>
      </c>
      <c r="K427" s="88" t="s">
        <v>3757</v>
      </c>
      <c r="L427" s="88" t="s">
        <v>3767</v>
      </c>
      <c r="M427" s="92"/>
      <c r="N427" s="89" t="s">
        <v>60</v>
      </c>
      <c r="O427" s="165"/>
      <c r="P427" s="89" t="s">
        <v>912</v>
      </c>
      <c r="Q427" s="92" t="s">
        <v>913</v>
      </c>
      <c r="R427" s="92">
        <v>720</v>
      </c>
      <c r="S427" s="92" t="s">
        <v>3773</v>
      </c>
      <c r="T427" s="92">
        <v>8544700000</v>
      </c>
      <c r="U427" s="155">
        <v>0</v>
      </c>
      <c r="V427" s="207">
        <v>30</v>
      </c>
      <c r="W427" s="92">
        <v>45</v>
      </c>
      <c r="X427" s="92">
        <v>55</v>
      </c>
      <c r="Y427" s="92" t="s">
        <v>64</v>
      </c>
      <c r="Z427" s="133">
        <f t="shared" si="768"/>
        <v>6.0463980463980471</v>
      </c>
      <c r="AA427" s="133"/>
      <c r="AB427" s="168">
        <f t="shared" si="769"/>
        <v>4.6936220910101509</v>
      </c>
      <c r="AC427" s="168"/>
      <c r="AD427" s="122">
        <f t="shared" si="770"/>
        <v>0.1</v>
      </c>
      <c r="AE427" s="122">
        <v>0.1</v>
      </c>
      <c r="AF427" s="122">
        <v>0.33</v>
      </c>
      <c r="AG427" s="122" t="s">
        <v>9</v>
      </c>
      <c r="AH427" s="148">
        <f t="shared" si="771"/>
        <v>4.6936220910101509</v>
      </c>
      <c r="AI427" s="122">
        <f t="shared" si="772"/>
        <v>0.33000000000000007</v>
      </c>
      <c r="AJ427" s="444"/>
      <c r="AK427" s="150">
        <f t="shared" si="773"/>
        <v>3.93015873015873</v>
      </c>
      <c r="AL427" s="153">
        <f t="shared" si="774"/>
        <v>3.494140889974223</v>
      </c>
      <c r="AM427" s="125">
        <f t="shared" si="775"/>
        <v>0.35000000000000009</v>
      </c>
      <c r="AN427" s="125">
        <f t="shared" si="776"/>
        <v>0.25555555555555565</v>
      </c>
      <c r="AO427" s="140"/>
      <c r="AP427" s="17" t="s">
        <v>664</v>
      </c>
      <c r="AQ427" s="141"/>
      <c r="AR427" s="191"/>
      <c r="AS427" s="191"/>
      <c r="AT427" s="141">
        <f>5.04+0.05*10</f>
        <v>5.54</v>
      </c>
      <c r="AU427" s="141">
        <f>14.18+5.04</f>
        <v>19.22</v>
      </c>
      <c r="AV427" s="141">
        <f t="shared" si="777"/>
        <v>24.759999999999998</v>
      </c>
      <c r="AW427" s="142">
        <f t="shared" si="778"/>
        <v>3.5371428571428569</v>
      </c>
      <c r="AX427" s="126">
        <f t="shared" si="779"/>
        <v>3.1447268009768008</v>
      </c>
      <c r="AY427" s="17"/>
      <c r="AZ427" s="128">
        <v>8544700000</v>
      </c>
      <c r="BB427" s="168">
        <f t="shared" si="780"/>
        <v>15.645406970033838</v>
      </c>
      <c r="BC427" s="168">
        <f t="shared" si="781"/>
        <v>9.3872441820203019</v>
      </c>
      <c r="BD427" s="168">
        <f t="shared" si="782"/>
        <v>7.8227034850169188</v>
      </c>
      <c r="BE427" s="168">
        <f t="shared" si="783"/>
        <v>6.2581627880135358</v>
      </c>
      <c r="BF427" s="32" t="str">
        <f>VLOOKUP(I427,[4]Sheet1!$A$2:$C$689,3,FALSE)</f>
        <v>8544700099</v>
      </c>
    </row>
    <row r="428" spans="1:58" s="129" customFormat="1" hidden="1">
      <c r="A428" s="88" t="s">
        <v>1276</v>
      </c>
      <c r="B428" s="88" t="s">
        <v>1318</v>
      </c>
      <c r="C428" s="88" t="s">
        <v>1318</v>
      </c>
      <c r="D428" s="88" t="s">
        <v>656</v>
      </c>
      <c r="E428" s="88" t="s">
        <v>907</v>
      </c>
      <c r="F428" s="89" t="s">
        <v>936</v>
      </c>
      <c r="G428" s="92" t="s">
        <v>1785</v>
      </c>
      <c r="H428" s="92"/>
      <c r="I428" s="167" t="s">
        <v>3779</v>
      </c>
      <c r="J428" s="167" t="str">
        <f>_xlfn.XLOOKUP(I428,[1]Sheet1!$A:$A,[1]Sheet1!$B:$B,"")</f>
        <v/>
      </c>
      <c r="K428" s="88" t="s">
        <v>3762</v>
      </c>
      <c r="L428" s="88" t="s">
        <v>3768</v>
      </c>
      <c r="M428" s="92"/>
      <c r="N428" s="89" t="s">
        <v>60</v>
      </c>
      <c r="O428" s="165"/>
      <c r="P428" s="89" t="s">
        <v>912</v>
      </c>
      <c r="Q428" s="92" t="s">
        <v>913</v>
      </c>
      <c r="R428" s="92">
        <v>480</v>
      </c>
      <c r="S428" s="92"/>
      <c r="T428" s="92">
        <v>8544700000</v>
      </c>
      <c r="U428" s="155">
        <v>0</v>
      </c>
      <c r="V428" s="207">
        <v>30</v>
      </c>
      <c r="W428" s="92">
        <v>45</v>
      </c>
      <c r="X428" s="92">
        <v>55</v>
      </c>
      <c r="Y428" s="92" t="s">
        <v>64</v>
      </c>
      <c r="Z428" s="133">
        <f t="shared" si="768"/>
        <v>6.803418803418805</v>
      </c>
      <c r="AA428" s="133"/>
      <c r="AB428" s="168">
        <f t="shared" si="769"/>
        <v>5.3492553259344309</v>
      </c>
      <c r="AC428" s="168"/>
      <c r="AD428" s="122">
        <f t="shared" si="770"/>
        <v>0.1</v>
      </c>
      <c r="AE428" s="122">
        <v>0.1</v>
      </c>
      <c r="AF428" s="122">
        <v>0.33</v>
      </c>
      <c r="AG428" s="122" t="s">
        <v>9</v>
      </c>
      <c r="AH428" s="148">
        <f t="shared" si="771"/>
        <v>5.3492553259344309</v>
      </c>
      <c r="AI428" s="122">
        <f t="shared" si="772"/>
        <v>0.33000000000000007</v>
      </c>
      <c r="AJ428" s="444"/>
      <c r="AK428" s="150">
        <f t="shared" si="773"/>
        <v>4.4222222222222225</v>
      </c>
      <c r="AL428" s="153">
        <f t="shared" si="774"/>
        <v>3.9822234093067426</v>
      </c>
      <c r="AM428" s="125">
        <f t="shared" si="775"/>
        <v>0.35000000000000009</v>
      </c>
      <c r="AN428" s="125">
        <f t="shared" si="776"/>
        <v>0.25555555555555565</v>
      </c>
      <c r="AO428" s="140"/>
      <c r="AP428" s="17" t="s">
        <v>664</v>
      </c>
      <c r="AQ428" s="141"/>
      <c r="AR428" s="191"/>
      <c r="AS428" s="191"/>
      <c r="AT428" s="141">
        <f>5.04+0.05*15</f>
        <v>5.79</v>
      </c>
      <c r="AU428" s="141">
        <f>17.03+5.04</f>
        <v>22.07</v>
      </c>
      <c r="AV428" s="141">
        <f t="shared" si="777"/>
        <v>27.86</v>
      </c>
      <c r="AW428" s="142">
        <f t="shared" si="778"/>
        <v>3.98</v>
      </c>
      <c r="AX428" s="126">
        <f t="shared" si="779"/>
        <v>3.5840010683760686</v>
      </c>
      <c r="AY428" s="17"/>
      <c r="AZ428" s="128">
        <v>8544700000</v>
      </c>
      <c r="BB428" s="168">
        <f t="shared" si="780"/>
        <v>17.830851086448103</v>
      </c>
      <c r="BC428" s="168">
        <f t="shared" si="781"/>
        <v>10.698510651868862</v>
      </c>
      <c r="BD428" s="168">
        <f t="shared" si="782"/>
        <v>8.9154255432240515</v>
      </c>
      <c r="BE428" s="168">
        <f t="shared" si="783"/>
        <v>7.1323404345792412</v>
      </c>
      <c r="BF428" s="32" t="e">
        <f>VLOOKUP(I428,[4]Sheet1!$A$2:$C$689,3,FALSE)</f>
        <v>#N/A</v>
      </c>
    </row>
    <row r="429" spans="1:58" s="129" customFormat="1" hidden="1">
      <c r="A429" s="88" t="s">
        <v>1302</v>
      </c>
      <c r="B429" s="88" t="s">
        <v>1318</v>
      </c>
      <c r="C429" s="88" t="s">
        <v>1318</v>
      </c>
      <c r="D429" s="88" t="s">
        <v>656</v>
      </c>
      <c r="E429" s="88" t="s">
        <v>1056</v>
      </c>
      <c r="F429" s="89" t="s">
        <v>1056</v>
      </c>
      <c r="G429" s="92"/>
      <c r="H429" s="92"/>
      <c r="I429" s="167" t="s">
        <v>3795</v>
      </c>
      <c r="J429" s="167" t="str">
        <f>_xlfn.XLOOKUP(I429,[1]Sheet1!$A:$A,[1]Sheet1!$B:$B,"")</f>
        <v>U1001002</v>
      </c>
      <c r="K429" s="88" t="s">
        <v>3589</v>
      </c>
      <c r="L429" s="88" t="s">
        <v>3586</v>
      </c>
      <c r="M429" s="92"/>
      <c r="N429" s="89" t="s">
        <v>60</v>
      </c>
      <c r="O429" s="165"/>
      <c r="P429" s="89" t="s">
        <v>241</v>
      </c>
      <c r="Q429" s="92" t="s">
        <v>1059</v>
      </c>
      <c r="R429" s="92">
        <v>90</v>
      </c>
      <c r="S429" s="92" t="s">
        <v>2508</v>
      </c>
      <c r="T429" s="92" t="s">
        <v>3863</v>
      </c>
      <c r="U429" s="155">
        <v>1.7000000000000001E-2</v>
      </c>
      <c r="V429" s="207">
        <v>30</v>
      </c>
      <c r="W429" s="92">
        <v>45</v>
      </c>
      <c r="X429" s="92">
        <v>55</v>
      </c>
      <c r="Y429" s="92" t="s">
        <v>64</v>
      </c>
      <c r="Z429" s="133">
        <f t="shared" si="562"/>
        <v>16.702203269367448</v>
      </c>
      <c r="AA429" s="133"/>
      <c r="AB429" s="161">
        <f t="shared" si="563"/>
        <v>14.132601617384225</v>
      </c>
      <c r="AC429" s="161"/>
      <c r="AD429" s="213">
        <f t="shared" si="564"/>
        <v>0.1</v>
      </c>
      <c r="AE429" s="213">
        <v>0.1</v>
      </c>
      <c r="AF429" s="215">
        <v>0.31</v>
      </c>
      <c r="AG429" s="215" t="s">
        <v>5</v>
      </c>
      <c r="AH429" s="123">
        <f>AB429*(1-$AH$3)</f>
        <v>12.719341455645802</v>
      </c>
      <c r="AI429" s="122">
        <f t="shared" ref="AI429:AI510" si="784">1-(AX429/AH429)</f>
        <v>0.23333333333333339</v>
      </c>
      <c r="AJ429" s="444"/>
      <c r="AK429" s="150">
        <f t="shared" si="566"/>
        <v>11.19047619047619</v>
      </c>
      <c r="AL429" s="153">
        <f t="shared" si="567"/>
        <v>10.834994573327904</v>
      </c>
      <c r="AM429" s="125">
        <f t="shared" si="568"/>
        <v>0.33000000000000007</v>
      </c>
      <c r="AN429" s="125">
        <f t="shared" si="640"/>
        <v>0.23333333333333339</v>
      </c>
      <c r="AO429" s="140"/>
      <c r="AP429" s="17" t="s">
        <v>664</v>
      </c>
      <c r="AQ429" s="141"/>
      <c r="AR429" s="191"/>
      <c r="AS429" s="191"/>
      <c r="AT429" s="141">
        <f>4</f>
        <v>4</v>
      </c>
      <c r="AU429" s="141">
        <v>66.5</v>
      </c>
      <c r="AV429" s="141">
        <f t="shared" si="570"/>
        <v>70.5</v>
      </c>
      <c r="AW429" s="142">
        <f t="shared" si="571"/>
        <v>10.071428571428571</v>
      </c>
      <c r="AX429" s="126">
        <f t="shared" si="673"/>
        <v>9.7514951159951142</v>
      </c>
      <c r="AY429" s="193"/>
      <c r="AZ429" s="128">
        <v>8517622990</v>
      </c>
      <c r="BB429" s="161">
        <f t="shared" si="669"/>
        <v>47.108672057947416</v>
      </c>
      <c r="BC429" s="161">
        <f t="shared" si="670"/>
        <v>28.26520323476845</v>
      </c>
      <c r="BD429" s="161">
        <f t="shared" si="671"/>
        <v>23.554336028973708</v>
      </c>
      <c r="BE429" s="161">
        <f t="shared" si="672"/>
        <v>18.843468823178966</v>
      </c>
    </row>
    <row r="430" spans="1:58" s="129" customFormat="1" hidden="1">
      <c r="A430" s="88" t="s">
        <v>1302</v>
      </c>
      <c r="B430" s="88" t="s">
        <v>1318</v>
      </c>
      <c r="C430" s="88" t="s">
        <v>1318</v>
      </c>
      <c r="D430" s="88" t="s">
        <v>656</v>
      </c>
      <c r="E430" s="88" t="s">
        <v>1056</v>
      </c>
      <c r="F430" s="89" t="s">
        <v>1056</v>
      </c>
      <c r="G430" s="92"/>
      <c r="H430" s="92"/>
      <c r="I430" s="167" t="s">
        <v>1455</v>
      </c>
      <c r="J430" s="167" t="str">
        <f>_xlfn.XLOOKUP(I430,[1]Sheet1!$A:$A,[1]Sheet1!$B:$B,"")</f>
        <v>U1001001</v>
      </c>
      <c r="K430" s="88" t="s">
        <v>3590</v>
      </c>
      <c r="L430" s="88" t="s">
        <v>3587</v>
      </c>
      <c r="M430" s="92"/>
      <c r="N430" s="89" t="s">
        <v>60</v>
      </c>
      <c r="O430" s="165"/>
      <c r="P430" s="89" t="s">
        <v>241</v>
      </c>
      <c r="Q430" s="92" t="s">
        <v>1059</v>
      </c>
      <c r="R430" s="92">
        <v>90</v>
      </c>
      <c r="S430" s="92" t="s">
        <v>1062</v>
      </c>
      <c r="T430" s="92" t="s">
        <v>3863</v>
      </c>
      <c r="U430" s="155">
        <v>1.7000000000000001E-2</v>
      </c>
      <c r="V430" s="207">
        <v>30</v>
      </c>
      <c r="W430" s="92">
        <v>45</v>
      </c>
      <c r="X430" s="92">
        <v>55</v>
      </c>
      <c r="Y430" s="92" t="s">
        <v>64</v>
      </c>
      <c r="Z430" s="133">
        <f t="shared" si="562"/>
        <v>15.043828476664299</v>
      </c>
      <c r="AA430" s="133"/>
      <c r="AB430" s="161">
        <f t="shared" si="563"/>
        <v>12.869267045354002</v>
      </c>
      <c r="AC430" s="161"/>
      <c r="AD430" s="213">
        <f t="shared" si="564"/>
        <v>0.1</v>
      </c>
      <c r="AE430" s="213">
        <v>0.1</v>
      </c>
      <c r="AF430" s="215">
        <v>0.31</v>
      </c>
      <c r="AG430" s="215" t="s">
        <v>5</v>
      </c>
      <c r="AH430" s="123">
        <f t="shared" ref="AH430:AH478" si="785">AB430*(1-$AH$3)</f>
        <v>11.582340340818602</v>
      </c>
      <c r="AI430" s="122">
        <f t="shared" si="784"/>
        <v>0.23333333333333339</v>
      </c>
      <c r="AJ430" s="444"/>
      <c r="AK430" s="150">
        <f t="shared" si="566"/>
        <v>10.079365079365079</v>
      </c>
      <c r="AL430" s="153">
        <f t="shared" si="567"/>
        <v>9.8664380681047348</v>
      </c>
      <c r="AM430" s="125">
        <f t="shared" si="568"/>
        <v>0.33000000000000007</v>
      </c>
      <c r="AN430" s="125">
        <f t="shared" si="640"/>
        <v>0.23333333333333339</v>
      </c>
      <c r="AO430" s="140"/>
      <c r="AP430" s="17" t="s">
        <v>664</v>
      </c>
      <c r="AQ430" s="141"/>
      <c r="AR430" s="191"/>
      <c r="AS430" s="191"/>
      <c r="AT430" s="141">
        <f>4</f>
        <v>4</v>
      </c>
      <c r="AU430" s="141">
        <v>59.5</v>
      </c>
      <c r="AV430" s="141">
        <f t="shared" si="570"/>
        <v>63.5</v>
      </c>
      <c r="AW430" s="142">
        <f t="shared" si="571"/>
        <v>9.0714285714285712</v>
      </c>
      <c r="AX430" s="126">
        <f t="shared" si="673"/>
        <v>8.8797942612942613</v>
      </c>
      <c r="AY430" s="193"/>
      <c r="AZ430" s="128">
        <v>8517622990</v>
      </c>
      <c r="BB430" s="161">
        <f t="shared" si="669"/>
        <v>42.897556817846677</v>
      </c>
      <c r="BC430" s="161">
        <f t="shared" si="670"/>
        <v>25.738534090708004</v>
      </c>
      <c r="BD430" s="161">
        <f t="shared" si="671"/>
        <v>21.448778408923339</v>
      </c>
      <c r="BE430" s="161">
        <f t="shared" si="672"/>
        <v>17.159022727138673</v>
      </c>
    </row>
    <row r="431" spans="1:58" s="129" customFormat="1" hidden="1">
      <c r="A431" s="88" t="s">
        <v>1302</v>
      </c>
      <c r="B431" s="88" t="s">
        <v>1317</v>
      </c>
      <c r="C431" s="88" t="s">
        <v>1318</v>
      </c>
      <c r="D431" s="88" t="s">
        <v>656</v>
      </c>
      <c r="E431" s="88" t="s">
        <v>1056</v>
      </c>
      <c r="F431" s="89" t="s">
        <v>1056</v>
      </c>
      <c r="G431" s="92"/>
      <c r="H431" s="92"/>
      <c r="I431" s="167" t="s">
        <v>1273</v>
      </c>
      <c r="J431" s="167" t="str">
        <f>_xlfn.XLOOKUP(I431,[1]Sheet1!$A:$A,[1]Sheet1!$B:$B,"")</f>
        <v>U1001003</v>
      </c>
      <c r="K431" s="229" t="s">
        <v>3591</v>
      </c>
      <c r="L431" s="88" t="s">
        <v>3588</v>
      </c>
      <c r="M431" s="92"/>
      <c r="N431" s="89" t="s">
        <v>60</v>
      </c>
      <c r="O431" s="165"/>
      <c r="P431" s="89" t="s">
        <v>241</v>
      </c>
      <c r="Q431" s="92" t="s">
        <v>1059</v>
      </c>
      <c r="R431" s="92">
        <v>90</v>
      </c>
      <c r="S431" s="92" t="s">
        <v>2509</v>
      </c>
      <c r="T431" s="92" t="s">
        <v>3863</v>
      </c>
      <c r="U431" s="155">
        <v>1.7000000000000001E-2</v>
      </c>
      <c r="V431" s="207">
        <v>30</v>
      </c>
      <c r="W431" s="92">
        <v>45</v>
      </c>
      <c r="X431" s="92">
        <v>55</v>
      </c>
      <c r="Y431" s="92" t="s">
        <v>64</v>
      </c>
      <c r="Z431" s="133">
        <f>AK431/(1-(AF431+2%))</f>
        <v>16.702203269367448</v>
      </c>
      <c r="AA431" s="133"/>
      <c r="AB431" s="161">
        <f>AX431/(1-AF431)</f>
        <v>14.132601617384225</v>
      </c>
      <c r="AC431" s="161"/>
      <c r="AD431" s="213">
        <f>AE431</f>
        <v>0.1</v>
      </c>
      <c r="AE431" s="213">
        <v>0.1</v>
      </c>
      <c r="AF431" s="215">
        <v>0.31</v>
      </c>
      <c r="AG431" s="215" t="s">
        <v>5</v>
      </c>
      <c r="AH431" s="123">
        <f>AB431*(1-$AH$3)</f>
        <v>12.719341455645802</v>
      </c>
      <c r="AI431" s="122">
        <f>1-(AX431/AH431)</f>
        <v>0.23333333333333339</v>
      </c>
      <c r="AJ431" s="444"/>
      <c r="AK431" s="150">
        <f>AW431/(1-AD431)</f>
        <v>11.19047619047619</v>
      </c>
      <c r="AL431" s="153">
        <f>AX431/(1-AE431)</f>
        <v>10.834994573327904</v>
      </c>
      <c r="AM431" s="125">
        <f>1-(AK431/Z431)</f>
        <v>0.33000000000000007</v>
      </c>
      <c r="AN431" s="125">
        <f>1-(AL431/AB431)</f>
        <v>0.23333333333333339</v>
      </c>
      <c r="AO431" s="140"/>
      <c r="AP431" s="17" t="s">
        <v>664</v>
      </c>
      <c r="AQ431" s="141"/>
      <c r="AR431" s="191"/>
      <c r="AS431" s="191"/>
      <c r="AT431" s="141">
        <f>4</f>
        <v>4</v>
      </c>
      <c r="AU431" s="141">
        <v>66.5</v>
      </c>
      <c r="AV431" s="141">
        <f>AT431+AU431</f>
        <v>70.5</v>
      </c>
      <c r="AW431" s="142">
        <f>(AT431+AU431)/$F$5</f>
        <v>10.071428571428571</v>
      </c>
      <c r="AX431" s="126">
        <f>(AW431/$F$6)+(($F$9+$G$9)/40/R431)+AW431*U431</f>
        <v>9.7514951159951142</v>
      </c>
      <c r="AY431" s="193"/>
      <c r="AZ431" s="128">
        <v>8517622990</v>
      </c>
      <c r="BB431" s="161">
        <f>AB431/0.3</f>
        <v>47.108672057947416</v>
      </c>
      <c r="BC431" s="161">
        <f>BB431*0.6</f>
        <v>28.26520323476845</v>
      </c>
      <c r="BD431" s="161">
        <f>BB431*0.5</f>
        <v>23.554336028973708</v>
      </c>
      <c r="BE431" s="161">
        <f>BB431*0.4</f>
        <v>18.843468823178966</v>
      </c>
    </row>
    <row r="432" spans="1:58" s="129" customFormat="1" hidden="1">
      <c r="A432" s="89" t="s">
        <v>1276</v>
      </c>
      <c r="B432" s="89" t="s">
        <v>1318</v>
      </c>
      <c r="C432" s="88" t="s">
        <v>1318</v>
      </c>
      <c r="D432" s="89" t="s">
        <v>656</v>
      </c>
      <c r="E432" s="89" t="s">
        <v>1056</v>
      </c>
      <c r="F432" s="89" t="s">
        <v>1056</v>
      </c>
      <c r="G432" s="92" t="s">
        <v>923</v>
      </c>
      <c r="H432" s="92"/>
      <c r="I432" s="167" t="s">
        <v>3476</v>
      </c>
      <c r="J432" s="167"/>
      <c r="K432" s="333" t="s">
        <v>3477</v>
      </c>
      <c r="L432" s="333" t="s">
        <v>3499</v>
      </c>
      <c r="M432" s="92"/>
      <c r="N432" s="89" t="s">
        <v>60</v>
      </c>
      <c r="O432" s="165"/>
      <c r="P432" s="89" t="s">
        <v>241</v>
      </c>
      <c r="Q432" s="92" t="s">
        <v>1059</v>
      </c>
      <c r="R432" s="92">
        <v>90</v>
      </c>
      <c r="S432" s="335"/>
      <c r="T432" s="459" t="s">
        <v>630</v>
      </c>
      <c r="U432" s="460">
        <v>1.7000000000000001E-2</v>
      </c>
      <c r="V432" s="461">
        <v>30</v>
      </c>
      <c r="W432" s="459">
        <v>45</v>
      </c>
      <c r="X432" s="459">
        <v>55</v>
      </c>
      <c r="Y432" s="459" t="s">
        <v>64</v>
      </c>
      <c r="Z432" s="462">
        <f t="shared" ref="Z432:Z437" si="786">AK432/(1-(AF432+2%))</f>
        <v>21.85592185592186</v>
      </c>
      <c r="AA432" s="462"/>
      <c r="AB432" s="463">
        <f t="shared" ref="AB432:AB449" si="787">AX432/(1-AF432)</f>
        <v>18.0858810343885</v>
      </c>
      <c r="AC432" s="463"/>
      <c r="AD432" s="464">
        <f t="shared" ref="AD432:AD460" si="788">AE432</f>
        <v>0.1</v>
      </c>
      <c r="AE432" s="464">
        <v>0.1</v>
      </c>
      <c r="AF432" s="464">
        <v>0.33</v>
      </c>
      <c r="AG432" s="465" t="s">
        <v>5</v>
      </c>
      <c r="AH432" s="465">
        <f t="shared" ref="AH432:AH437" si="789">AB432*(1-$AH$3)</f>
        <v>16.277292930949649</v>
      </c>
      <c r="AI432" s="464">
        <f t="shared" ref="AI432:AI437" si="790">1-(AX432/AH432)</f>
        <v>0.25555555555555554</v>
      </c>
      <c r="AJ432" s="466"/>
      <c r="AK432" s="467">
        <f t="shared" ref="AK432:AK437" si="791">AW432/(1-AD432)</f>
        <v>14.206349206349207</v>
      </c>
      <c r="AL432" s="468">
        <f t="shared" ref="AL432:AL449" si="792">AX432/(1-AE432)</f>
        <v>13.46393365893366</v>
      </c>
      <c r="AM432" s="469">
        <f t="shared" ref="AM432:AM437" si="793">1-(AK432/Z432)</f>
        <v>0.35000000000000009</v>
      </c>
      <c r="AN432" s="469">
        <f t="shared" ref="AN432:AN437" si="794">1-(AL432/AB432)</f>
        <v>0.25555555555555554</v>
      </c>
      <c r="AO432" s="470"/>
      <c r="AP432" s="471" t="s">
        <v>664</v>
      </c>
      <c r="AQ432" s="472"/>
      <c r="AR432" s="473"/>
      <c r="AS432" s="473"/>
      <c r="AT432" s="472">
        <v>4</v>
      </c>
      <c r="AU432" s="472">
        <f>AU429+AU462</f>
        <v>85.5</v>
      </c>
      <c r="AV432" s="472">
        <f t="shared" ref="AV432:AV437" si="795">AT432+AU432</f>
        <v>89.5</v>
      </c>
      <c r="AW432" s="474">
        <f t="shared" ref="AW432:AW437" si="796">(AT432+AU432)/$F$5</f>
        <v>12.785714285714286</v>
      </c>
      <c r="AX432" s="475">
        <f>(AW432/$F$6)+(($F$9+$G$9)/40/R432)+AW432*U432</f>
        <v>12.117540293040294</v>
      </c>
      <c r="AY432" s="476"/>
      <c r="AZ432" s="477"/>
      <c r="BA432" s="32"/>
      <c r="BB432" s="478"/>
      <c r="BC432" s="478"/>
      <c r="BD432" s="478"/>
      <c r="BE432" s="478"/>
      <c r="BF432" s="32" t="e">
        <f>VLOOKUP(I432,[4]Sheet1!$A$2:$C$689,3,FALSE)</f>
        <v>#N/A</v>
      </c>
    </row>
    <row r="433" spans="1:58" s="129" customFormat="1" hidden="1">
      <c r="A433" s="89" t="s">
        <v>1276</v>
      </c>
      <c r="B433" s="89" t="s">
        <v>1318</v>
      </c>
      <c r="C433" s="88" t="s">
        <v>1318</v>
      </c>
      <c r="D433" s="89" t="s">
        <v>656</v>
      </c>
      <c r="E433" s="89" t="s">
        <v>1056</v>
      </c>
      <c r="F433" s="89" t="s">
        <v>1056</v>
      </c>
      <c r="G433" s="92" t="s">
        <v>923</v>
      </c>
      <c r="H433" s="92"/>
      <c r="I433" s="167" t="s">
        <v>3478</v>
      </c>
      <c r="J433" s="167"/>
      <c r="K433" s="333" t="s">
        <v>3479</v>
      </c>
      <c r="L433" s="333" t="s">
        <v>3498</v>
      </c>
      <c r="M433" s="92"/>
      <c r="N433" s="89" t="s">
        <v>60</v>
      </c>
      <c r="O433" s="165"/>
      <c r="P433" s="89" t="s">
        <v>241</v>
      </c>
      <c r="Q433" s="92" t="s">
        <v>1059</v>
      </c>
      <c r="R433" s="92">
        <v>90</v>
      </c>
      <c r="S433" s="335"/>
      <c r="T433" s="459" t="s">
        <v>630</v>
      </c>
      <c r="U433" s="460">
        <v>1.7000000000000001E-2</v>
      </c>
      <c r="V433" s="461">
        <v>30</v>
      </c>
      <c r="W433" s="459">
        <v>45</v>
      </c>
      <c r="X433" s="459">
        <v>55</v>
      </c>
      <c r="Y433" s="459" t="s">
        <v>64</v>
      </c>
      <c r="Z433" s="462">
        <f t="shared" si="786"/>
        <v>20.390720390720393</v>
      </c>
      <c r="AA433" s="462"/>
      <c r="AB433" s="463">
        <f t="shared" si="787"/>
        <v>16.970698704280796</v>
      </c>
      <c r="AC433" s="463"/>
      <c r="AD433" s="464">
        <f t="shared" si="788"/>
        <v>0.1</v>
      </c>
      <c r="AE433" s="464">
        <v>0.1</v>
      </c>
      <c r="AF433" s="464">
        <v>0.33</v>
      </c>
      <c r="AG433" s="465" t="s">
        <v>5</v>
      </c>
      <c r="AH433" s="465">
        <f t="shared" si="789"/>
        <v>15.273628833852717</v>
      </c>
      <c r="AI433" s="464">
        <f t="shared" si="790"/>
        <v>0.25555555555555576</v>
      </c>
      <c r="AJ433" s="466"/>
      <c r="AK433" s="467">
        <f t="shared" si="791"/>
        <v>13.253968253968253</v>
      </c>
      <c r="AL433" s="468">
        <f t="shared" si="792"/>
        <v>12.633742368742368</v>
      </c>
      <c r="AM433" s="469">
        <f t="shared" si="793"/>
        <v>0.35000000000000009</v>
      </c>
      <c r="AN433" s="469">
        <f t="shared" si="794"/>
        <v>0.25555555555555565</v>
      </c>
      <c r="AO433" s="470"/>
      <c r="AP433" s="471" t="s">
        <v>664</v>
      </c>
      <c r="AQ433" s="472"/>
      <c r="AR433" s="473"/>
      <c r="AS433" s="473"/>
      <c r="AT433" s="472">
        <v>4</v>
      </c>
      <c r="AU433" s="472">
        <f>AU429+AU463</f>
        <v>79.5</v>
      </c>
      <c r="AV433" s="472">
        <f t="shared" si="795"/>
        <v>83.5</v>
      </c>
      <c r="AW433" s="474">
        <f t="shared" si="796"/>
        <v>11.928571428571429</v>
      </c>
      <c r="AX433" s="475">
        <f t="shared" ref="AX433:AX449" si="797">(AW433/$F$6)+(($F$9+$G$9)/40/R433)+AW433*U433</f>
        <v>11.370368131868132</v>
      </c>
      <c r="AY433" s="476"/>
      <c r="AZ433" s="477"/>
      <c r="BA433" s="32"/>
      <c r="BB433" s="478"/>
      <c r="BC433" s="478"/>
      <c r="BD433" s="478"/>
      <c r="BE433" s="478"/>
      <c r="BF433" s="32" t="e">
        <f>VLOOKUP(I433,[4]Sheet1!$A$2:$C$689,3,FALSE)</f>
        <v>#N/A</v>
      </c>
    </row>
    <row r="434" spans="1:58" s="129" customFormat="1" hidden="1">
      <c r="A434" s="89" t="s">
        <v>1276</v>
      </c>
      <c r="B434" s="89" t="s">
        <v>1318</v>
      </c>
      <c r="C434" s="88" t="s">
        <v>1318</v>
      </c>
      <c r="D434" s="89" t="s">
        <v>656</v>
      </c>
      <c r="E434" s="89" t="s">
        <v>1056</v>
      </c>
      <c r="F434" s="89" t="s">
        <v>1056</v>
      </c>
      <c r="G434" s="92" t="s">
        <v>923</v>
      </c>
      <c r="H434" s="92"/>
      <c r="I434" s="167" t="s">
        <v>3480</v>
      </c>
      <c r="J434" s="167"/>
      <c r="K434" s="333" t="s">
        <v>3481</v>
      </c>
      <c r="L434" s="333" t="s">
        <v>3497</v>
      </c>
      <c r="M434" s="92"/>
      <c r="N434" s="89" t="s">
        <v>60</v>
      </c>
      <c r="O434" s="165"/>
      <c r="P434" s="89" t="s">
        <v>241</v>
      </c>
      <c r="Q434" s="92" t="s">
        <v>1059</v>
      </c>
      <c r="R434" s="92">
        <v>90</v>
      </c>
      <c r="S434" s="335"/>
      <c r="T434" s="459" t="s">
        <v>630</v>
      </c>
      <c r="U434" s="460">
        <v>1.7000000000000001E-2</v>
      </c>
      <c r="V434" s="461">
        <v>30</v>
      </c>
      <c r="W434" s="459">
        <v>45</v>
      </c>
      <c r="X434" s="459">
        <v>55</v>
      </c>
      <c r="Y434" s="459" t="s">
        <v>64</v>
      </c>
      <c r="Z434" s="462">
        <f t="shared" si="786"/>
        <v>20.537240537240539</v>
      </c>
      <c r="AA434" s="462"/>
      <c r="AB434" s="463">
        <f t="shared" si="787"/>
        <v>17.082216937291566</v>
      </c>
      <c r="AC434" s="463"/>
      <c r="AD434" s="464">
        <f t="shared" si="788"/>
        <v>0.1</v>
      </c>
      <c r="AE434" s="464">
        <v>0.1</v>
      </c>
      <c r="AF434" s="464">
        <v>0.33</v>
      </c>
      <c r="AG434" s="465" t="s">
        <v>5</v>
      </c>
      <c r="AH434" s="465">
        <f t="shared" si="789"/>
        <v>15.37399524356241</v>
      </c>
      <c r="AI434" s="464">
        <f t="shared" si="790"/>
        <v>0.25555555555555565</v>
      </c>
      <c r="AJ434" s="466"/>
      <c r="AK434" s="467">
        <f t="shared" si="791"/>
        <v>13.349206349206348</v>
      </c>
      <c r="AL434" s="468">
        <f t="shared" si="792"/>
        <v>12.716761497761498</v>
      </c>
      <c r="AM434" s="469">
        <f t="shared" si="793"/>
        <v>0.35000000000000009</v>
      </c>
      <c r="AN434" s="469">
        <f t="shared" si="794"/>
        <v>0.25555555555555565</v>
      </c>
      <c r="AO434" s="470"/>
      <c r="AP434" s="471" t="s">
        <v>664</v>
      </c>
      <c r="AQ434" s="472"/>
      <c r="AR434" s="473"/>
      <c r="AS434" s="473"/>
      <c r="AT434" s="472">
        <v>4</v>
      </c>
      <c r="AU434" s="472">
        <f>AU429+AU465+0.6</f>
        <v>80.099999999999994</v>
      </c>
      <c r="AV434" s="472">
        <f>AT434+AU434</f>
        <v>84.1</v>
      </c>
      <c r="AW434" s="474">
        <f t="shared" si="796"/>
        <v>12.014285714285714</v>
      </c>
      <c r="AX434" s="475">
        <f t="shared" si="797"/>
        <v>11.445085347985348</v>
      </c>
      <c r="AY434" s="476"/>
      <c r="AZ434" s="477"/>
      <c r="BA434" s="32"/>
      <c r="BB434" s="478"/>
      <c r="BC434" s="478"/>
      <c r="BD434" s="478"/>
      <c r="BE434" s="478"/>
      <c r="BF434" s="32" t="e">
        <f>VLOOKUP(I434,[4]Sheet1!$A$2:$C$689,3,FALSE)</f>
        <v>#N/A</v>
      </c>
    </row>
    <row r="435" spans="1:58" s="129" customFormat="1" hidden="1">
      <c r="A435" s="89" t="s">
        <v>1276</v>
      </c>
      <c r="B435" s="89" t="s">
        <v>1318</v>
      </c>
      <c r="C435" s="88" t="s">
        <v>1318</v>
      </c>
      <c r="D435" s="89" t="s">
        <v>656</v>
      </c>
      <c r="E435" s="89" t="s">
        <v>1056</v>
      </c>
      <c r="F435" s="89" t="s">
        <v>1056</v>
      </c>
      <c r="G435" s="92" t="s">
        <v>923</v>
      </c>
      <c r="H435" s="92"/>
      <c r="I435" s="167" t="s">
        <v>3482</v>
      </c>
      <c r="J435" s="167"/>
      <c r="K435" s="333" t="s">
        <v>3484</v>
      </c>
      <c r="L435" s="333" t="s">
        <v>3496</v>
      </c>
      <c r="M435" s="92"/>
      <c r="N435" s="89" t="s">
        <v>60</v>
      </c>
      <c r="O435" s="165"/>
      <c r="P435" s="89" t="s">
        <v>241</v>
      </c>
      <c r="Q435" s="92" t="s">
        <v>1059</v>
      </c>
      <c r="R435" s="92">
        <v>90</v>
      </c>
      <c r="S435" s="335"/>
      <c r="T435" s="459" t="s">
        <v>630</v>
      </c>
      <c r="U435" s="460">
        <v>1.7000000000000001E-2</v>
      </c>
      <c r="V435" s="461">
        <v>30</v>
      </c>
      <c r="W435" s="459">
        <v>45</v>
      </c>
      <c r="X435" s="459">
        <v>55</v>
      </c>
      <c r="Y435" s="459" t="s">
        <v>64</v>
      </c>
      <c r="Z435" s="462">
        <f t="shared" si="786"/>
        <v>20.390720390720393</v>
      </c>
      <c r="AA435" s="462"/>
      <c r="AB435" s="463">
        <f t="shared" si="787"/>
        <v>16.970698704280796</v>
      </c>
      <c r="AC435" s="463"/>
      <c r="AD435" s="464">
        <f t="shared" si="788"/>
        <v>0.1</v>
      </c>
      <c r="AE435" s="464">
        <v>0.1</v>
      </c>
      <c r="AF435" s="464">
        <v>0.33</v>
      </c>
      <c r="AG435" s="465" t="s">
        <v>5</v>
      </c>
      <c r="AH435" s="465">
        <f t="shared" si="789"/>
        <v>15.273628833852717</v>
      </c>
      <c r="AI435" s="464">
        <f t="shared" si="790"/>
        <v>0.25555555555555576</v>
      </c>
      <c r="AJ435" s="466"/>
      <c r="AK435" s="467">
        <f t="shared" si="791"/>
        <v>13.253968253968253</v>
      </c>
      <c r="AL435" s="468">
        <f t="shared" si="792"/>
        <v>12.633742368742368</v>
      </c>
      <c r="AM435" s="469">
        <f t="shared" si="793"/>
        <v>0.35000000000000009</v>
      </c>
      <c r="AN435" s="469">
        <f t="shared" si="794"/>
        <v>0.25555555555555565</v>
      </c>
      <c r="AO435" s="470"/>
      <c r="AP435" s="471" t="s">
        <v>664</v>
      </c>
      <c r="AQ435" s="472"/>
      <c r="AR435" s="473"/>
      <c r="AS435" s="473"/>
      <c r="AT435" s="472">
        <v>4</v>
      </c>
      <c r="AU435" s="472">
        <f>AU429+AU465</f>
        <v>79.5</v>
      </c>
      <c r="AV435" s="472">
        <f t="shared" si="795"/>
        <v>83.5</v>
      </c>
      <c r="AW435" s="474">
        <f t="shared" si="796"/>
        <v>11.928571428571429</v>
      </c>
      <c r="AX435" s="475">
        <f t="shared" si="797"/>
        <v>11.370368131868132</v>
      </c>
      <c r="AY435" s="476"/>
      <c r="AZ435" s="477"/>
      <c r="BA435" s="32"/>
      <c r="BB435" s="478"/>
      <c r="BC435" s="478"/>
      <c r="BD435" s="478"/>
      <c r="BE435" s="478"/>
      <c r="BF435" s="32" t="e">
        <f>VLOOKUP(I435,[4]Sheet1!$A$2:$C$689,3,FALSE)</f>
        <v>#N/A</v>
      </c>
    </row>
    <row r="436" spans="1:58" s="129" customFormat="1" hidden="1">
      <c r="A436" s="89" t="s">
        <v>1276</v>
      </c>
      <c r="B436" s="89" t="s">
        <v>1318</v>
      </c>
      <c r="C436" s="88" t="s">
        <v>1318</v>
      </c>
      <c r="D436" s="89" t="s">
        <v>656</v>
      </c>
      <c r="E436" s="89" t="s">
        <v>1056</v>
      </c>
      <c r="F436" s="89" t="s">
        <v>1056</v>
      </c>
      <c r="G436" s="92" t="s">
        <v>923</v>
      </c>
      <c r="H436" s="92"/>
      <c r="I436" s="167" t="s">
        <v>3483</v>
      </c>
      <c r="J436" s="167"/>
      <c r="K436" s="333" t="s">
        <v>3485</v>
      </c>
      <c r="L436" s="333" t="s">
        <v>3495</v>
      </c>
      <c r="M436" s="92"/>
      <c r="N436" s="89" t="s">
        <v>60</v>
      </c>
      <c r="O436" s="165"/>
      <c r="P436" s="89" t="s">
        <v>241</v>
      </c>
      <c r="Q436" s="92" t="s">
        <v>1059</v>
      </c>
      <c r="R436" s="92">
        <v>90</v>
      </c>
      <c r="S436" s="335"/>
      <c r="T436" s="459" t="s">
        <v>630</v>
      </c>
      <c r="U436" s="460">
        <v>1.7000000000000001E-2</v>
      </c>
      <c r="V436" s="461">
        <v>30</v>
      </c>
      <c r="W436" s="459">
        <v>45</v>
      </c>
      <c r="X436" s="459">
        <v>55</v>
      </c>
      <c r="Y436" s="459" t="s">
        <v>64</v>
      </c>
      <c r="Z436" s="462">
        <f t="shared" si="786"/>
        <v>19.658119658119659</v>
      </c>
      <c r="AA436" s="462"/>
      <c r="AB436" s="463">
        <f t="shared" si="787"/>
        <v>16.413107539226942</v>
      </c>
      <c r="AC436" s="463"/>
      <c r="AD436" s="464">
        <f t="shared" si="788"/>
        <v>0.1</v>
      </c>
      <c r="AE436" s="464">
        <v>0.1</v>
      </c>
      <c r="AF436" s="464">
        <v>0.33</v>
      </c>
      <c r="AG436" s="465" t="s">
        <v>5</v>
      </c>
      <c r="AH436" s="465">
        <f t="shared" si="789"/>
        <v>14.771796785304248</v>
      </c>
      <c r="AI436" s="464">
        <f t="shared" si="790"/>
        <v>0.25555555555555565</v>
      </c>
      <c r="AJ436" s="466"/>
      <c r="AK436" s="467">
        <f t="shared" si="791"/>
        <v>12.777777777777777</v>
      </c>
      <c r="AL436" s="468">
        <f t="shared" si="792"/>
        <v>12.218646723646723</v>
      </c>
      <c r="AM436" s="469">
        <f t="shared" si="793"/>
        <v>0.35000000000000009</v>
      </c>
      <c r="AN436" s="469">
        <f t="shared" si="794"/>
        <v>0.25555555555555565</v>
      </c>
      <c r="AO436" s="470"/>
      <c r="AP436" s="471" t="s">
        <v>664</v>
      </c>
      <c r="AQ436" s="472"/>
      <c r="AR436" s="473"/>
      <c r="AS436" s="473"/>
      <c r="AT436" s="472">
        <v>4</v>
      </c>
      <c r="AU436" s="472">
        <f>AU429+AU466</f>
        <v>76.5</v>
      </c>
      <c r="AV436" s="472">
        <f t="shared" si="795"/>
        <v>80.5</v>
      </c>
      <c r="AW436" s="474">
        <f t="shared" si="796"/>
        <v>11.5</v>
      </c>
      <c r="AX436" s="475">
        <f t="shared" si="797"/>
        <v>10.99678205128205</v>
      </c>
      <c r="AY436" s="476"/>
      <c r="AZ436" s="477"/>
      <c r="BA436" s="32"/>
      <c r="BB436" s="478"/>
      <c r="BC436" s="478"/>
      <c r="BD436" s="478"/>
      <c r="BE436" s="478"/>
      <c r="BF436" s="32" t="e">
        <f>VLOOKUP(I436,[4]Sheet1!$A$2:$C$689,3,FALSE)</f>
        <v>#N/A</v>
      </c>
    </row>
    <row r="437" spans="1:58" s="129" customFormat="1" hidden="1">
      <c r="A437" s="89" t="s">
        <v>1276</v>
      </c>
      <c r="B437" s="89" t="s">
        <v>1318</v>
      </c>
      <c r="C437" s="88" t="s">
        <v>1318</v>
      </c>
      <c r="D437" s="89" t="s">
        <v>656</v>
      </c>
      <c r="E437" s="89" t="s">
        <v>1056</v>
      </c>
      <c r="F437" s="89" t="s">
        <v>1056</v>
      </c>
      <c r="G437" s="92" t="s">
        <v>1071</v>
      </c>
      <c r="H437" s="92"/>
      <c r="I437" s="167" t="s">
        <v>3492</v>
      </c>
      <c r="J437" s="167"/>
      <c r="K437" s="333" t="s">
        <v>3493</v>
      </c>
      <c r="L437" s="333" t="s">
        <v>3494</v>
      </c>
      <c r="M437" s="92"/>
      <c r="N437" s="89" t="s">
        <v>60</v>
      </c>
      <c r="O437" s="165"/>
      <c r="P437" s="89" t="s">
        <v>241</v>
      </c>
      <c r="Q437" s="92" t="s">
        <v>1059</v>
      </c>
      <c r="R437" s="92">
        <v>90</v>
      </c>
      <c r="S437" s="335"/>
      <c r="T437" s="459" t="s">
        <v>630</v>
      </c>
      <c r="U437" s="460">
        <v>1.7000000000000001E-2</v>
      </c>
      <c r="V437" s="461">
        <v>30</v>
      </c>
      <c r="W437" s="459">
        <v>45</v>
      </c>
      <c r="X437" s="459">
        <v>55</v>
      </c>
      <c r="Y437" s="459" t="s">
        <v>64</v>
      </c>
      <c r="Z437" s="462">
        <f t="shared" si="786"/>
        <v>20.390720390720393</v>
      </c>
      <c r="AA437" s="462"/>
      <c r="AB437" s="463">
        <f t="shared" si="787"/>
        <v>16.970698704280796</v>
      </c>
      <c r="AC437" s="463"/>
      <c r="AD437" s="464">
        <f t="shared" si="788"/>
        <v>0.1</v>
      </c>
      <c r="AE437" s="464">
        <v>0.1</v>
      </c>
      <c r="AF437" s="464">
        <v>0.33</v>
      </c>
      <c r="AG437" s="465" t="s">
        <v>5</v>
      </c>
      <c r="AH437" s="465">
        <f t="shared" si="789"/>
        <v>15.273628833852717</v>
      </c>
      <c r="AI437" s="464">
        <f t="shared" si="790"/>
        <v>0.25555555555555576</v>
      </c>
      <c r="AJ437" s="466"/>
      <c r="AK437" s="467">
        <f t="shared" si="791"/>
        <v>13.253968253968253</v>
      </c>
      <c r="AL437" s="468">
        <f t="shared" si="792"/>
        <v>12.633742368742368</v>
      </c>
      <c r="AM437" s="469">
        <f t="shared" si="793"/>
        <v>0.35000000000000009</v>
      </c>
      <c r="AN437" s="469">
        <f t="shared" si="794"/>
        <v>0.25555555555555565</v>
      </c>
      <c r="AO437" s="470"/>
      <c r="AP437" s="471" t="s">
        <v>664</v>
      </c>
      <c r="AQ437" s="472"/>
      <c r="AR437" s="473"/>
      <c r="AS437" s="473"/>
      <c r="AT437" s="472">
        <v>4</v>
      </c>
      <c r="AU437" s="472">
        <f>AU429+AU467</f>
        <v>79.5</v>
      </c>
      <c r="AV437" s="472">
        <f t="shared" si="795"/>
        <v>83.5</v>
      </c>
      <c r="AW437" s="474">
        <f t="shared" si="796"/>
        <v>11.928571428571429</v>
      </c>
      <c r="AX437" s="475">
        <f t="shared" si="797"/>
        <v>11.370368131868132</v>
      </c>
      <c r="AY437" s="476"/>
      <c r="AZ437" s="477"/>
      <c r="BA437" s="32"/>
      <c r="BB437" s="478"/>
      <c r="BC437" s="478"/>
      <c r="BD437" s="478"/>
      <c r="BE437" s="478"/>
      <c r="BF437" s="32" t="e">
        <f>VLOOKUP(I437,[4]Sheet1!$A$2:$C$689,3,FALSE)</f>
        <v>#N/A</v>
      </c>
    </row>
    <row r="438" spans="1:58" s="129" customFormat="1" hidden="1">
      <c r="A438" s="89" t="s">
        <v>1276</v>
      </c>
      <c r="B438" s="89" t="s">
        <v>1318</v>
      </c>
      <c r="C438" s="88" t="s">
        <v>1318</v>
      </c>
      <c r="D438" s="89" t="s">
        <v>656</v>
      </c>
      <c r="E438" s="89" t="s">
        <v>1056</v>
      </c>
      <c r="F438" s="89" t="s">
        <v>3491</v>
      </c>
      <c r="G438" s="92" t="s">
        <v>668</v>
      </c>
      <c r="H438" s="92"/>
      <c r="I438" s="167" t="s">
        <v>3572</v>
      </c>
      <c r="J438" s="167"/>
      <c r="K438" s="435" t="s">
        <v>3675</v>
      </c>
      <c r="L438" s="349" t="s">
        <v>3578</v>
      </c>
      <c r="M438" s="92"/>
      <c r="N438" s="89" t="s">
        <v>60</v>
      </c>
      <c r="O438" s="165"/>
      <c r="P438" s="89" t="s">
        <v>241</v>
      </c>
      <c r="Q438" s="92" t="s">
        <v>1059</v>
      </c>
      <c r="R438" s="92">
        <v>90</v>
      </c>
      <c r="S438" s="335"/>
      <c r="T438" s="92" t="s">
        <v>3866</v>
      </c>
      <c r="U438" s="336">
        <v>1.7000000000000001E-2</v>
      </c>
      <c r="V438" s="337">
        <v>30</v>
      </c>
      <c r="W438" s="335">
        <v>45</v>
      </c>
      <c r="X438" s="335">
        <v>55</v>
      </c>
      <c r="Y438" s="335" t="s">
        <v>64</v>
      </c>
      <c r="Z438" s="338">
        <f t="shared" ref="Z438:Z447" si="798">AK438/(1-(AF438+2%))</f>
        <v>27.716727716727721</v>
      </c>
      <c r="AA438" s="338"/>
      <c r="AB438" s="339">
        <f t="shared" si="787"/>
        <v>22.546610354819315</v>
      </c>
      <c r="AC438" s="339"/>
      <c r="AD438" s="340">
        <f t="shared" ref="AD438:AD447" si="799">AE438</f>
        <v>0.1</v>
      </c>
      <c r="AE438" s="340">
        <v>0.1</v>
      </c>
      <c r="AF438" s="340">
        <v>0.33</v>
      </c>
      <c r="AG438" s="341" t="s">
        <v>5</v>
      </c>
      <c r="AH438" s="341">
        <f t="shared" ref="AH438:AH447" si="800">AB438*(1-$AH$3)</f>
        <v>20.291949319337384</v>
      </c>
      <c r="AI438" s="340">
        <f t="shared" ref="AI438:AI447" si="801">1-(AX438/AH438)</f>
        <v>0.25555555555555565</v>
      </c>
      <c r="AJ438" s="444"/>
      <c r="AK438" s="342">
        <f t="shared" ref="AK438:AK447" si="802">AW438/(1-AD438)</f>
        <v>18.015873015873016</v>
      </c>
      <c r="AL438" s="343">
        <f t="shared" si="792"/>
        <v>16.784698819698821</v>
      </c>
      <c r="AM438" s="344">
        <f t="shared" ref="AM438:AM447" si="803">1-(AK438/Z438)</f>
        <v>0.35000000000000009</v>
      </c>
      <c r="AN438" s="344">
        <f t="shared" ref="AN438:AN447" si="804">1-(AL438/AB438)</f>
        <v>0.25555555555555565</v>
      </c>
      <c r="AO438" s="345"/>
      <c r="AP438" s="17" t="s">
        <v>664</v>
      </c>
      <c r="AQ438" s="141"/>
      <c r="AR438" s="191"/>
      <c r="AS438" s="191"/>
      <c r="AT438" s="141">
        <v>4</v>
      </c>
      <c r="AU438" s="141">
        <f>$AU$429+AU471</f>
        <v>109.5</v>
      </c>
      <c r="AV438" s="141">
        <f>AT438+AU438</f>
        <v>113.5</v>
      </c>
      <c r="AW438" s="142">
        <f t="shared" ref="AW438:AW447" si="805">(AT438+AU438)/$F$5</f>
        <v>16.214285714285715</v>
      </c>
      <c r="AX438" s="126">
        <f t="shared" si="797"/>
        <v>15.10622893772894</v>
      </c>
      <c r="AY438" s="193"/>
      <c r="AZ438" s="128"/>
      <c r="BB438" s="168"/>
      <c r="BC438" s="168"/>
      <c r="BD438" s="168"/>
      <c r="BE438" s="168"/>
    </row>
    <row r="439" spans="1:58" s="129" customFormat="1" hidden="1">
      <c r="A439" s="89" t="s">
        <v>1276</v>
      </c>
      <c r="B439" s="89" t="s">
        <v>1318</v>
      </c>
      <c r="C439" s="88" t="s">
        <v>1318</v>
      </c>
      <c r="D439" s="89" t="s">
        <v>656</v>
      </c>
      <c r="E439" s="89" t="s">
        <v>1056</v>
      </c>
      <c r="F439" s="89" t="s">
        <v>3491</v>
      </c>
      <c r="G439" s="92" t="s">
        <v>668</v>
      </c>
      <c r="H439" s="92"/>
      <c r="I439" s="167" t="s">
        <v>3573</v>
      </c>
      <c r="J439" s="167"/>
      <c r="K439" s="435" t="s">
        <v>3676</v>
      </c>
      <c r="L439" s="349" t="s">
        <v>3579</v>
      </c>
      <c r="M439" s="92"/>
      <c r="N439" s="89" t="s">
        <v>60</v>
      </c>
      <c r="O439" s="165"/>
      <c r="P439" s="89" t="s">
        <v>241</v>
      </c>
      <c r="Q439" s="92" t="s">
        <v>1059</v>
      </c>
      <c r="R439" s="92">
        <v>90</v>
      </c>
      <c r="S439" s="335"/>
      <c r="T439" s="92" t="s">
        <v>3866</v>
      </c>
      <c r="U439" s="336">
        <v>1.7000000000000001E-2</v>
      </c>
      <c r="V439" s="337">
        <v>30</v>
      </c>
      <c r="W439" s="335">
        <v>45</v>
      </c>
      <c r="X439" s="335">
        <v>55</v>
      </c>
      <c r="Y439" s="335" t="s">
        <v>64</v>
      </c>
      <c r="Z439" s="338">
        <f t="shared" si="798"/>
        <v>24.786324786324791</v>
      </c>
      <c r="AA439" s="338"/>
      <c r="AB439" s="339">
        <f t="shared" si="787"/>
        <v>20.316245694603904</v>
      </c>
      <c r="AC439" s="339"/>
      <c r="AD439" s="340">
        <f t="shared" si="799"/>
        <v>0.1</v>
      </c>
      <c r="AE439" s="340">
        <v>0.1</v>
      </c>
      <c r="AF439" s="340">
        <v>0.33</v>
      </c>
      <c r="AG439" s="341" t="s">
        <v>5</v>
      </c>
      <c r="AH439" s="341">
        <f t="shared" si="800"/>
        <v>18.284621125143513</v>
      </c>
      <c r="AI439" s="340">
        <f t="shared" si="801"/>
        <v>0.25555555555555565</v>
      </c>
      <c r="AJ439" s="444"/>
      <c r="AK439" s="342">
        <f t="shared" si="802"/>
        <v>16.111111111111111</v>
      </c>
      <c r="AL439" s="343">
        <f t="shared" si="792"/>
        <v>15.124316239316238</v>
      </c>
      <c r="AM439" s="344">
        <f t="shared" si="803"/>
        <v>0.35000000000000009</v>
      </c>
      <c r="AN439" s="344">
        <f t="shared" si="804"/>
        <v>0.25555555555555565</v>
      </c>
      <c r="AO439" s="345"/>
      <c r="AP439" s="17" t="s">
        <v>664</v>
      </c>
      <c r="AQ439" s="141"/>
      <c r="AR439" s="191"/>
      <c r="AS439" s="191"/>
      <c r="AT439" s="141">
        <v>4</v>
      </c>
      <c r="AU439" s="141">
        <f>$AU$429+AU472</f>
        <v>97.5</v>
      </c>
      <c r="AV439" s="141">
        <f t="shared" ref="AV439:AV447" si="806">AT439+AU439</f>
        <v>101.5</v>
      </c>
      <c r="AW439" s="142">
        <f t="shared" si="805"/>
        <v>14.5</v>
      </c>
      <c r="AX439" s="126">
        <f t="shared" si="797"/>
        <v>13.611884615384614</v>
      </c>
      <c r="AY439" s="193"/>
      <c r="AZ439" s="128"/>
      <c r="BB439" s="168"/>
      <c r="BC439" s="168"/>
      <c r="BD439" s="168"/>
      <c r="BE439" s="168"/>
    </row>
    <row r="440" spans="1:58" s="129" customFormat="1" hidden="1">
      <c r="A440" s="89" t="s">
        <v>1276</v>
      </c>
      <c r="B440" s="89" t="s">
        <v>1318</v>
      </c>
      <c r="C440" s="88" t="s">
        <v>1318</v>
      </c>
      <c r="D440" s="89" t="s">
        <v>656</v>
      </c>
      <c r="E440" s="89" t="s">
        <v>1056</v>
      </c>
      <c r="F440" s="89" t="s">
        <v>3491</v>
      </c>
      <c r="G440" s="92" t="s">
        <v>658</v>
      </c>
      <c r="H440" s="92"/>
      <c r="I440" s="167" t="s">
        <v>3794</v>
      </c>
      <c r="J440" s="167" t="s">
        <v>3803</v>
      </c>
      <c r="K440" s="435" t="s">
        <v>3677</v>
      </c>
      <c r="L440" s="349" t="s">
        <v>3580</v>
      </c>
      <c r="M440" s="92"/>
      <c r="N440" s="89" t="s">
        <v>60</v>
      </c>
      <c r="O440" s="165"/>
      <c r="P440" s="89" t="s">
        <v>241</v>
      </c>
      <c r="Q440" s="92" t="s">
        <v>1059</v>
      </c>
      <c r="R440" s="92">
        <v>90</v>
      </c>
      <c r="S440" s="335"/>
      <c r="T440" s="92" t="s">
        <v>3866</v>
      </c>
      <c r="U440" s="336">
        <v>1.7000000000000001E-2</v>
      </c>
      <c r="V440" s="337">
        <v>30</v>
      </c>
      <c r="W440" s="335">
        <v>45</v>
      </c>
      <c r="X440" s="335">
        <v>55</v>
      </c>
      <c r="Y440" s="335" t="s">
        <v>64</v>
      </c>
      <c r="Z440" s="338">
        <f t="shared" si="798"/>
        <v>30.647130647130645</v>
      </c>
      <c r="AA440" s="338"/>
      <c r="AB440" s="339">
        <f t="shared" si="787"/>
        <v>24.776975015034715</v>
      </c>
      <c r="AC440" s="339"/>
      <c r="AD440" s="340">
        <f t="shared" si="799"/>
        <v>0.1</v>
      </c>
      <c r="AE440" s="340">
        <v>0.1</v>
      </c>
      <c r="AF440" s="340">
        <v>0.33</v>
      </c>
      <c r="AG440" s="341" t="s">
        <v>5</v>
      </c>
      <c r="AH440" s="341">
        <f t="shared" si="800"/>
        <v>22.299277513531244</v>
      </c>
      <c r="AI440" s="340">
        <f t="shared" si="801"/>
        <v>0.25555555555555565</v>
      </c>
      <c r="AJ440" s="444"/>
      <c r="AK440" s="342">
        <f t="shared" si="802"/>
        <v>19.920634920634917</v>
      </c>
      <c r="AL440" s="343">
        <f t="shared" si="792"/>
        <v>18.445081400081396</v>
      </c>
      <c r="AM440" s="344">
        <f t="shared" si="803"/>
        <v>0.35000000000000009</v>
      </c>
      <c r="AN440" s="344">
        <f t="shared" si="804"/>
        <v>0.25555555555555565</v>
      </c>
      <c r="AO440" s="345"/>
      <c r="AP440" s="17" t="s">
        <v>664</v>
      </c>
      <c r="AQ440" s="141"/>
      <c r="AR440" s="191"/>
      <c r="AS440" s="191"/>
      <c r="AT440" s="141">
        <v>4</v>
      </c>
      <c r="AU440" s="141">
        <f>$AU$429+AU473</f>
        <v>121.5</v>
      </c>
      <c r="AV440" s="141">
        <f t="shared" si="806"/>
        <v>125.5</v>
      </c>
      <c r="AW440" s="142">
        <f t="shared" si="805"/>
        <v>17.928571428571427</v>
      </c>
      <c r="AX440" s="126">
        <f t="shared" si="797"/>
        <v>16.600573260073258</v>
      </c>
      <c r="AY440" s="193"/>
      <c r="AZ440" s="128"/>
      <c r="BB440" s="168"/>
      <c r="BC440" s="168"/>
      <c r="BD440" s="168"/>
      <c r="BE440" s="168"/>
    </row>
    <row r="441" spans="1:58" s="129" customFormat="1" hidden="1">
      <c r="A441" s="89" t="s">
        <v>1276</v>
      </c>
      <c r="B441" s="89" t="s">
        <v>1318</v>
      </c>
      <c r="C441" s="88" t="s">
        <v>1318</v>
      </c>
      <c r="D441" s="89" t="s">
        <v>656</v>
      </c>
      <c r="E441" s="89" t="s">
        <v>1056</v>
      </c>
      <c r="F441" s="89" t="s">
        <v>3491</v>
      </c>
      <c r="G441" s="92" t="s">
        <v>658</v>
      </c>
      <c r="H441" s="92"/>
      <c r="I441" s="167" t="s">
        <v>3574</v>
      </c>
      <c r="J441" s="167" t="s">
        <v>3804</v>
      </c>
      <c r="K441" s="435" t="s">
        <v>3678</v>
      </c>
      <c r="L441" s="349" t="s">
        <v>3581</v>
      </c>
      <c r="M441" s="92"/>
      <c r="N441" s="89" t="s">
        <v>60</v>
      </c>
      <c r="O441" s="165"/>
      <c r="P441" s="89" t="s">
        <v>241</v>
      </c>
      <c r="Q441" s="92" t="s">
        <v>1059</v>
      </c>
      <c r="R441" s="92">
        <v>90</v>
      </c>
      <c r="S441" s="335"/>
      <c r="T441" s="92" t="s">
        <v>3866</v>
      </c>
      <c r="U441" s="336">
        <v>1.7000000000000001E-2</v>
      </c>
      <c r="V441" s="337">
        <v>30</v>
      </c>
      <c r="W441" s="335">
        <v>45</v>
      </c>
      <c r="X441" s="335">
        <v>55</v>
      </c>
      <c r="Y441" s="335" t="s">
        <v>64</v>
      </c>
      <c r="Z441" s="338">
        <f t="shared" si="798"/>
        <v>25.518925518925524</v>
      </c>
      <c r="AA441" s="338"/>
      <c r="AB441" s="339">
        <f t="shared" si="787"/>
        <v>20.873836859657757</v>
      </c>
      <c r="AC441" s="339"/>
      <c r="AD441" s="340">
        <f t="shared" si="799"/>
        <v>0.1</v>
      </c>
      <c r="AE441" s="340">
        <v>0.1</v>
      </c>
      <c r="AF441" s="340">
        <v>0.33</v>
      </c>
      <c r="AG441" s="341" t="s">
        <v>5</v>
      </c>
      <c r="AH441" s="341">
        <f t="shared" si="800"/>
        <v>18.786453173691982</v>
      </c>
      <c r="AI441" s="340">
        <f t="shared" si="801"/>
        <v>0.25555555555555565</v>
      </c>
      <c r="AJ441" s="444"/>
      <c r="AK441" s="342">
        <f t="shared" si="802"/>
        <v>16.587301587301589</v>
      </c>
      <c r="AL441" s="343">
        <f t="shared" si="792"/>
        <v>15.539411884411884</v>
      </c>
      <c r="AM441" s="344">
        <f t="shared" si="803"/>
        <v>0.35000000000000009</v>
      </c>
      <c r="AN441" s="344">
        <f t="shared" si="804"/>
        <v>0.25555555555555565</v>
      </c>
      <c r="AO441" s="345"/>
      <c r="AP441" s="17" t="s">
        <v>664</v>
      </c>
      <c r="AQ441" s="141"/>
      <c r="AR441" s="191"/>
      <c r="AS441" s="191"/>
      <c r="AT441" s="141">
        <v>4</v>
      </c>
      <c r="AU441" s="141">
        <f>$AU$429+AU474</f>
        <v>100.5</v>
      </c>
      <c r="AV441" s="141">
        <f t="shared" si="806"/>
        <v>104.5</v>
      </c>
      <c r="AW441" s="142">
        <f t="shared" si="805"/>
        <v>14.928571428571429</v>
      </c>
      <c r="AX441" s="126">
        <f t="shared" si="797"/>
        <v>13.985470695970696</v>
      </c>
      <c r="AY441" s="193"/>
      <c r="AZ441" s="128"/>
      <c r="BB441" s="168"/>
      <c r="BC441" s="168"/>
      <c r="BD441" s="168"/>
      <c r="BE441" s="168"/>
    </row>
    <row r="442" spans="1:58" s="129" customFormat="1" hidden="1">
      <c r="A442" s="89" t="s">
        <v>1276</v>
      </c>
      <c r="B442" s="89" t="s">
        <v>1318</v>
      </c>
      <c r="C442" s="88" t="s">
        <v>1318</v>
      </c>
      <c r="D442" s="89" t="s">
        <v>656</v>
      </c>
      <c r="E442" s="89" t="s">
        <v>1056</v>
      </c>
      <c r="F442" s="89" t="s">
        <v>3491</v>
      </c>
      <c r="G442" s="92" t="s">
        <v>658</v>
      </c>
      <c r="H442" s="92"/>
      <c r="I442" s="167" t="s">
        <v>3592</v>
      </c>
      <c r="J442" s="167" t="s">
        <v>3726</v>
      </c>
      <c r="K442" s="435" t="s">
        <v>3679</v>
      </c>
      <c r="L442" s="349" t="s">
        <v>3594</v>
      </c>
      <c r="M442" s="92"/>
      <c r="N442" s="89" t="s">
        <v>60</v>
      </c>
      <c r="O442" s="165"/>
      <c r="P442" s="89" t="s">
        <v>241</v>
      </c>
      <c r="Q442" s="92" t="s">
        <v>1059</v>
      </c>
      <c r="R442" s="92">
        <v>90</v>
      </c>
      <c r="S442" s="335"/>
      <c r="T442" s="92" t="s">
        <v>3866</v>
      </c>
      <c r="U442" s="336">
        <v>1.7000000000000001E-2</v>
      </c>
      <c r="V442" s="337">
        <v>30</v>
      </c>
      <c r="W442" s="335">
        <v>45</v>
      </c>
      <c r="X442" s="335">
        <v>55</v>
      </c>
      <c r="Y442" s="335" t="s">
        <v>64</v>
      </c>
      <c r="Z442" s="338">
        <f t="shared" ref="Z442:Z443" si="807">AK442/(1-(AF442+2%))</f>
        <v>30.793650793650791</v>
      </c>
      <c r="AA442" s="338"/>
      <c r="AB442" s="339">
        <f t="shared" si="787"/>
        <v>24.888493248045485</v>
      </c>
      <c r="AC442" s="339"/>
      <c r="AD442" s="340">
        <f t="shared" ref="AD442:AD443" si="808">AE442</f>
        <v>0.1</v>
      </c>
      <c r="AE442" s="340">
        <v>0.1</v>
      </c>
      <c r="AF442" s="340">
        <v>0.33</v>
      </c>
      <c r="AG442" s="341" t="s">
        <v>5</v>
      </c>
      <c r="AH442" s="341">
        <f t="shared" ref="AH442:AH443" si="809">AB442*(1-$AH$3)</f>
        <v>22.399643923240937</v>
      </c>
      <c r="AI442" s="340">
        <f t="shared" ref="AI442:AI443" si="810">1-(AX442/AH442)</f>
        <v>0.25555555555555565</v>
      </c>
      <c r="AJ442" s="444"/>
      <c r="AK442" s="342">
        <f t="shared" ref="AK442:AK443" si="811">AW442/(1-AD442)</f>
        <v>20.015873015873012</v>
      </c>
      <c r="AL442" s="343">
        <f t="shared" si="792"/>
        <v>18.528100529100524</v>
      </c>
      <c r="AM442" s="344">
        <f t="shared" ref="AM442:AM443" si="812">1-(AK442/Z442)</f>
        <v>0.35000000000000009</v>
      </c>
      <c r="AN442" s="344">
        <f t="shared" ref="AN442:AN443" si="813">1-(AL442/AB442)</f>
        <v>0.25555555555555576</v>
      </c>
      <c r="AO442" s="345"/>
      <c r="AP442" s="17" t="s">
        <v>664</v>
      </c>
      <c r="AQ442" s="141"/>
      <c r="AR442" s="191"/>
      <c r="AS442" s="191"/>
      <c r="AT442" s="141">
        <v>4</v>
      </c>
      <c r="AU442" s="141">
        <f>AU440+0.6</f>
        <v>122.1</v>
      </c>
      <c r="AV442" s="141">
        <f t="shared" si="806"/>
        <v>126.1</v>
      </c>
      <c r="AW442" s="142">
        <f t="shared" si="805"/>
        <v>18.014285714285712</v>
      </c>
      <c r="AX442" s="126">
        <f t="shared" si="797"/>
        <v>16.675290476190472</v>
      </c>
      <c r="AY442" s="193"/>
      <c r="AZ442" s="128"/>
      <c r="BB442" s="168"/>
      <c r="BC442" s="168"/>
      <c r="BD442" s="168"/>
      <c r="BE442" s="168"/>
    </row>
    <row r="443" spans="1:58" s="129" customFormat="1" hidden="1">
      <c r="A443" s="89" t="s">
        <v>1276</v>
      </c>
      <c r="B443" s="89" t="s">
        <v>1318</v>
      </c>
      <c r="C443" s="88" t="s">
        <v>1318</v>
      </c>
      <c r="D443" s="89" t="s">
        <v>656</v>
      </c>
      <c r="E443" s="89" t="s">
        <v>1056</v>
      </c>
      <c r="F443" s="89" t="s">
        <v>3491</v>
      </c>
      <c r="G443" s="92" t="s">
        <v>658</v>
      </c>
      <c r="H443" s="92"/>
      <c r="I443" s="167" t="s">
        <v>3593</v>
      </c>
      <c r="J443" s="167" t="s">
        <v>3727</v>
      </c>
      <c r="K443" s="435" t="s">
        <v>3680</v>
      </c>
      <c r="L443" s="349" t="s">
        <v>3595</v>
      </c>
      <c r="M443" s="92"/>
      <c r="N443" s="89" t="s">
        <v>60</v>
      </c>
      <c r="O443" s="165"/>
      <c r="P443" s="89" t="s">
        <v>241</v>
      </c>
      <c r="Q443" s="92" t="s">
        <v>1059</v>
      </c>
      <c r="R443" s="92">
        <v>90</v>
      </c>
      <c r="S443" s="335"/>
      <c r="T443" s="92" t="s">
        <v>3866</v>
      </c>
      <c r="U443" s="336">
        <v>1.7000000000000001E-2</v>
      </c>
      <c r="V443" s="337">
        <v>30</v>
      </c>
      <c r="W443" s="335">
        <v>45</v>
      </c>
      <c r="X443" s="335">
        <v>55</v>
      </c>
      <c r="Y443" s="335" t="s">
        <v>64</v>
      </c>
      <c r="Z443" s="338">
        <f t="shared" si="807"/>
        <v>25.66544566544567</v>
      </c>
      <c r="AA443" s="338"/>
      <c r="AB443" s="339">
        <f t="shared" si="787"/>
        <v>20.985355092668527</v>
      </c>
      <c r="AC443" s="339"/>
      <c r="AD443" s="340">
        <f t="shared" si="808"/>
        <v>0.1</v>
      </c>
      <c r="AE443" s="340">
        <v>0.1</v>
      </c>
      <c r="AF443" s="340">
        <v>0.33</v>
      </c>
      <c r="AG443" s="341" t="s">
        <v>5</v>
      </c>
      <c r="AH443" s="341">
        <f t="shared" si="809"/>
        <v>18.886819583401675</v>
      </c>
      <c r="AI443" s="340">
        <f t="shared" si="810"/>
        <v>0.25555555555555565</v>
      </c>
      <c r="AJ443" s="444"/>
      <c r="AK443" s="342">
        <f t="shared" si="811"/>
        <v>16.682539682539684</v>
      </c>
      <c r="AL443" s="343">
        <f t="shared" si="792"/>
        <v>15.622431013431013</v>
      </c>
      <c r="AM443" s="344">
        <f t="shared" si="812"/>
        <v>0.35000000000000009</v>
      </c>
      <c r="AN443" s="344">
        <f t="shared" si="813"/>
        <v>0.25555555555555565</v>
      </c>
      <c r="AO443" s="345"/>
      <c r="AP443" s="17" t="s">
        <v>664</v>
      </c>
      <c r="AQ443" s="141"/>
      <c r="AR443" s="191"/>
      <c r="AS443" s="191"/>
      <c r="AT443" s="141">
        <v>4</v>
      </c>
      <c r="AU443" s="141">
        <f>AU441+0.6</f>
        <v>101.1</v>
      </c>
      <c r="AV443" s="141">
        <f t="shared" si="806"/>
        <v>105.1</v>
      </c>
      <c r="AW443" s="142">
        <f t="shared" si="805"/>
        <v>15.014285714285714</v>
      </c>
      <c r="AX443" s="126">
        <f t="shared" si="797"/>
        <v>14.060187912087912</v>
      </c>
      <c r="AY443" s="193"/>
      <c r="AZ443" s="128"/>
      <c r="BB443" s="168"/>
      <c r="BC443" s="168"/>
      <c r="BD443" s="168"/>
      <c r="BE443" s="168"/>
    </row>
    <row r="444" spans="1:58" s="129" customFormat="1" hidden="1">
      <c r="A444" s="89" t="s">
        <v>1276</v>
      </c>
      <c r="B444" s="89" t="s">
        <v>1318</v>
      </c>
      <c r="C444" s="88" t="s">
        <v>1318</v>
      </c>
      <c r="D444" s="89" t="s">
        <v>656</v>
      </c>
      <c r="E444" s="89" t="s">
        <v>1056</v>
      </c>
      <c r="F444" s="89" t="s">
        <v>3491</v>
      </c>
      <c r="G444" s="92" t="s">
        <v>668</v>
      </c>
      <c r="H444" s="92"/>
      <c r="I444" s="167" t="s">
        <v>3792</v>
      </c>
      <c r="J444" s="167"/>
      <c r="K444" s="435" t="s">
        <v>3681</v>
      </c>
      <c r="L444" s="349" t="s">
        <v>3582</v>
      </c>
      <c r="M444" s="92"/>
      <c r="N444" s="89" t="s">
        <v>60</v>
      </c>
      <c r="O444" s="165"/>
      <c r="P444" s="89" t="s">
        <v>241</v>
      </c>
      <c r="Q444" s="92" t="s">
        <v>1059</v>
      </c>
      <c r="R444" s="92">
        <v>90</v>
      </c>
      <c r="S444" s="335"/>
      <c r="T444" s="335" t="s">
        <v>3866</v>
      </c>
      <c r="U444" s="336">
        <v>1.7000000000000001E-2</v>
      </c>
      <c r="V444" s="337">
        <v>30</v>
      </c>
      <c r="W444" s="335">
        <v>45</v>
      </c>
      <c r="X444" s="335">
        <v>55</v>
      </c>
      <c r="Y444" s="335" t="s">
        <v>64</v>
      </c>
      <c r="Z444" s="338">
        <f t="shared" si="798"/>
        <v>27.716727716727721</v>
      </c>
      <c r="AA444" s="338"/>
      <c r="AB444" s="339">
        <f t="shared" si="787"/>
        <v>22.546610354819315</v>
      </c>
      <c r="AC444" s="339"/>
      <c r="AD444" s="340">
        <f t="shared" si="799"/>
        <v>0.1</v>
      </c>
      <c r="AE444" s="340">
        <v>0.1</v>
      </c>
      <c r="AF444" s="340">
        <v>0.33</v>
      </c>
      <c r="AG444" s="341" t="s">
        <v>5</v>
      </c>
      <c r="AH444" s="341">
        <f t="shared" si="800"/>
        <v>20.291949319337384</v>
      </c>
      <c r="AI444" s="340">
        <f t="shared" si="801"/>
        <v>0.25555555555555565</v>
      </c>
      <c r="AJ444" s="444"/>
      <c r="AK444" s="342">
        <f t="shared" si="802"/>
        <v>18.015873015873016</v>
      </c>
      <c r="AL444" s="343">
        <f t="shared" si="792"/>
        <v>16.784698819698821</v>
      </c>
      <c r="AM444" s="344">
        <f t="shared" si="803"/>
        <v>0.35000000000000009</v>
      </c>
      <c r="AN444" s="344">
        <f t="shared" si="804"/>
        <v>0.25555555555555565</v>
      </c>
      <c r="AO444" s="345"/>
      <c r="AP444" s="17" t="s">
        <v>664</v>
      </c>
      <c r="AQ444" s="141"/>
      <c r="AR444" s="191"/>
      <c r="AS444" s="191"/>
      <c r="AT444" s="141">
        <v>4</v>
      </c>
      <c r="AU444" s="141">
        <f>$AU$429+AU475</f>
        <v>109.5</v>
      </c>
      <c r="AV444" s="141">
        <f t="shared" si="806"/>
        <v>113.5</v>
      </c>
      <c r="AW444" s="142">
        <f t="shared" si="805"/>
        <v>16.214285714285715</v>
      </c>
      <c r="AX444" s="126">
        <f t="shared" si="797"/>
        <v>15.10622893772894</v>
      </c>
      <c r="AY444" s="193"/>
      <c r="AZ444" s="128"/>
      <c r="BB444" s="168"/>
      <c r="BC444" s="168"/>
      <c r="BD444" s="168"/>
      <c r="BE444" s="168"/>
    </row>
    <row r="445" spans="1:58" s="129" customFormat="1" hidden="1">
      <c r="A445" s="89" t="s">
        <v>1276</v>
      </c>
      <c r="B445" s="89" t="s">
        <v>1318</v>
      </c>
      <c r="C445" s="88" t="s">
        <v>1318</v>
      </c>
      <c r="D445" s="89" t="s">
        <v>656</v>
      </c>
      <c r="E445" s="89" t="s">
        <v>1056</v>
      </c>
      <c r="F445" s="89" t="s">
        <v>3491</v>
      </c>
      <c r="G445" s="92" t="s">
        <v>668</v>
      </c>
      <c r="H445" s="92"/>
      <c r="I445" s="167" t="s">
        <v>3575</v>
      </c>
      <c r="J445" s="167"/>
      <c r="K445" s="435" t="s">
        <v>3682</v>
      </c>
      <c r="L445" s="349" t="s">
        <v>3583</v>
      </c>
      <c r="M445" s="92"/>
      <c r="N445" s="89" t="s">
        <v>60</v>
      </c>
      <c r="O445" s="165"/>
      <c r="P445" s="89" t="s">
        <v>241</v>
      </c>
      <c r="Q445" s="92" t="s">
        <v>1059</v>
      </c>
      <c r="R445" s="92">
        <v>90</v>
      </c>
      <c r="S445" s="335"/>
      <c r="T445" s="335" t="s">
        <v>3866</v>
      </c>
      <c r="U445" s="336">
        <v>1.7000000000000001E-2</v>
      </c>
      <c r="V445" s="337">
        <v>30</v>
      </c>
      <c r="W445" s="335">
        <v>45</v>
      </c>
      <c r="X445" s="335">
        <v>55</v>
      </c>
      <c r="Y445" s="335" t="s">
        <v>64</v>
      </c>
      <c r="Z445" s="338">
        <f t="shared" si="798"/>
        <v>24.786324786324791</v>
      </c>
      <c r="AA445" s="338"/>
      <c r="AB445" s="339">
        <f t="shared" si="787"/>
        <v>20.316245694603904</v>
      </c>
      <c r="AC445" s="339"/>
      <c r="AD445" s="340">
        <f t="shared" si="799"/>
        <v>0.1</v>
      </c>
      <c r="AE445" s="340">
        <v>0.1</v>
      </c>
      <c r="AF445" s="340">
        <v>0.33</v>
      </c>
      <c r="AG445" s="341" t="s">
        <v>5</v>
      </c>
      <c r="AH445" s="341">
        <f t="shared" si="800"/>
        <v>18.284621125143513</v>
      </c>
      <c r="AI445" s="340">
        <f t="shared" si="801"/>
        <v>0.25555555555555565</v>
      </c>
      <c r="AJ445" s="444"/>
      <c r="AK445" s="342">
        <f t="shared" si="802"/>
        <v>16.111111111111111</v>
      </c>
      <c r="AL445" s="343">
        <f t="shared" si="792"/>
        <v>15.124316239316238</v>
      </c>
      <c r="AM445" s="344">
        <f t="shared" si="803"/>
        <v>0.35000000000000009</v>
      </c>
      <c r="AN445" s="344">
        <f t="shared" si="804"/>
        <v>0.25555555555555565</v>
      </c>
      <c r="AO445" s="345"/>
      <c r="AP445" s="17" t="s">
        <v>664</v>
      </c>
      <c r="AQ445" s="141"/>
      <c r="AR445" s="191"/>
      <c r="AS445" s="191"/>
      <c r="AT445" s="141">
        <v>4</v>
      </c>
      <c r="AU445" s="141">
        <f>$AU$429+AU476</f>
        <v>97.5</v>
      </c>
      <c r="AV445" s="141">
        <f t="shared" si="806"/>
        <v>101.5</v>
      </c>
      <c r="AW445" s="142">
        <f t="shared" si="805"/>
        <v>14.5</v>
      </c>
      <c r="AX445" s="126">
        <f t="shared" si="797"/>
        <v>13.611884615384614</v>
      </c>
      <c r="AY445" s="193"/>
      <c r="AZ445" s="128"/>
      <c r="BB445" s="168"/>
      <c r="BC445" s="168"/>
      <c r="BD445" s="168"/>
      <c r="BE445" s="168"/>
    </row>
    <row r="446" spans="1:58" s="129" customFormat="1" hidden="1">
      <c r="A446" s="89" t="s">
        <v>1276</v>
      </c>
      <c r="B446" s="89" t="s">
        <v>1318</v>
      </c>
      <c r="C446" s="88" t="s">
        <v>1318</v>
      </c>
      <c r="D446" s="89" t="s">
        <v>656</v>
      </c>
      <c r="E446" s="89" t="s">
        <v>1056</v>
      </c>
      <c r="F446" s="89" t="s">
        <v>3491</v>
      </c>
      <c r="G446" s="92" t="s">
        <v>658</v>
      </c>
      <c r="H446" s="92"/>
      <c r="I446" s="167" t="s">
        <v>3576</v>
      </c>
      <c r="J446" s="167" t="s">
        <v>3805</v>
      </c>
      <c r="K446" s="435" t="s">
        <v>3683</v>
      </c>
      <c r="L446" s="349" t="s">
        <v>3584</v>
      </c>
      <c r="M446" s="92"/>
      <c r="N446" s="89" t="s">
        <v>60</v>
      </c>
      <c r="O446" s="165"/>
      <c r="P446" s="89" t="s">
        <v>241</v>
      </c>
      <c r="Q446" s="92" t="s">
        <v>1059</v>
      </c>
      <c r="R446" s="92">
        <v>90</v>
      </c>
      <c r="S446" s="335"/>
      <c r="T446" s="335" t="s">
        <v>3866</v>
      </c>
      <c r="U446" s="336">
        <v>1.7000000000000001E-2</v>
      </c>
      <c r="V446" s="337">
        <v>30</v>
      </c>
      <c r="W446" s="335">
        <v>45</v>
      </c>
      <c r="X446" s="335">
        <v>55</v>
      </c>
      <c r="Y446" s="335" t="s">
        <v>64</v>
      </c>
      <c r="Z446" s="338">
        <f t="shared" si="798"/>
        <v>30.647130647130645</v>
      </c>
      <c r="AA446" s="338"/>
      <c r="AB446" s="339">
        <f t="shared" si="787"/>
        <v>24.776975015034715</v>
      </c>
      <c r="AC446" s="339"/>
      <c r="AD446" s="340">
        <f t="shared" si="799"/>
        <v>0.1</v>
      </c>
      <c r="AE446" s="340">
        <v>0.1</v>
      </c>
      <c r="AF446" s="340">
        <v>0.33</v>
      </c>
      <c r="AG446" s="341" t="s">
        <v>5</v>
      </c>
      <c r="AH446" s="341">
        <f t="shared" si="800"/>
        <v>22.299277513531244</v>
      </c>
      <c r="AI446" s="340">
        <f t="shared" si="801"/>
        <v>0.25555555555555565</v>
      </c>
      <c r="AJ446" s="444"/>
      <c r="AK446" s="342">
        <f t="shared" si="802"/>
        <v>19.920634920634917</v>
      </c>
      <c r="AL446" s="343">
        <f t="shared" si="792"/>
        <v>18.445081400081396</v>
      </c>
      <c r="AM446" s="344">
        <f t="shared" si="803"/>
        <v>0.35000000000000009</v>
      </c>
      <c r="AN446" s="344">
        <f t="shared" si="804"/>
        <v>0.25555555555555565</v>
      </c>
      <c r="AO446" s="345"/>
      <c r="AP446" s="17" t="s">
        <v>664</v>
      </c>
      <c r="AQ446" s="141"/>
      <c r="AR446" s="191"/>
      <c r="AS446" s="191"/>
      <c r="AT446" s="141">
        <v>4</v>
      </c>
      <c r="AU446" s="141">
        <f>$AU$429+AU477</f>
        <v>121.5</v>
      </c>
      <c r="AV446" s="141">
        <f t="shared" si="806"/>
        <v>125.5</v>
      </c>
      <c r="AW446" s="142">
        <f t="shared" si="805"/>
        <v>17.928571428571427</v>
      </c>
      <c r="AX446" s="126">
        <f t="shared" si="797"/>
        <v>16.600573260073258</v>
      </c>
      <c r="AY446" s="193"/>
      <c r="AZ446" s="128"/>
      <c r="BB446" s="168"/>
      <c r="BC446" s="168"/>
      <c r="BD446" s="168"/>
      <c r="BE446" s="168"/>
    </row>
    <row r="447" spans="1:58" s="129" customFormat="1" hidden="1">
      <c r="A447" s="89" t="s">
        <v>1276</v>
      </c>
      <c r="B447" s="89" t="s">
        <v>1318</v>
      </c>
      <c r="C447" s="88" t="s">
        <v>1318</v>
      </c>
      <c r="D447" s="89" t="s">
        <v>656</v>
      </c>
      <c r="E447" s="89" t="s">
        <v>1056</v>
      </c>
      <c r="F447" s="89" t="s">
        <v>3491</v>
      </c>
      <c r="G447" s="92" t="s">
        <v>658</v>
      </c>
      <c r="H447" s="92"/>
      <c r="I447" s="167" t="s">
        <v>3577</v>
      </c>
      <c r="J447" s="167" t="s">
        <v>3806</v>
      </c>
      <c r="K447" s="435" t="s">
        <v>3684</v>
      </c>
      <c r="L447" s="349" t="s">
        <v>3585</v>
      </c>
      <c r="M447" s="92"/>
      <c r="N447" s="89" t="s">
        <v>60</v>
      </c>
      <c r="O447" s="165"/>
      <c r="P447" s="89" t="s">
        <v>241</v>
      </c>
      <c r="Q447" s="92" t="s">
        <v>1059</v>
      </c>
      <c r="R447" s="92">
        <v>90</v>
      </c>
      <c r="S447" s="335"/>
      <c r="T447" s="335" t="s">
        <v>3866</v>
      </c>
      <c r="U447" s="336">
        <v>1.7000000000000001E-2</v>
      </c>
      <c r="V447" s="337">
        <v>30</v>
      </c>
      <c r="W447" s="335">
        <v>45</v>
      </c>
      <c r="X447" s="335">
        <v>55</v>
      </c>
      <c r="Y447" s="335" t="s">
        <v>64</v>
      </c>
      <c r="Z447" s="338">
        <f t="shared" si="798"/>
        <v>25.518925518925524</v>
      </c>
      <c r="AA447" s="338"/>
      <c r="AB447" s="339">
        <f t="shared" si="787"/>
        <v>20.873836859657757</v>
      </c>
      <c r="AC447" s="339"/>
      <c r="AD447" s="340">
        <f t="shared" si="799"/>
        <v>0.1</v>
      </c>
      <c r="AE447" s="340">
        <v>0.1</v>
      </c>
      <c r="AF447" s="340">
        <v>0.33</v>
      </c>
      <c r="AG447" s="341" t="s">
        <v>5</v>
      </c>
      <c r="AH447" s="341">
        <f t="shared" si="800"/>
        <v>18.786453173691982</v>
      </c>
      <c r="AI447" s="340">
        <f t="shared" si="801"/>
        <v>0.25555555555555565</v>
      </c>
      <c r="AJ447" s="444"/>
      <c r="AK447" s="342">
        <f t="shared" si="802"/>
        <v>16.587301587301589</v>
      </c>
      <c r="AL447" s="343">
        <f t="shared" si="792"/>
        <v>15.539411884411884</v>
      </c>
      <c r="AM447" s="344">
        <f t="shared" si="803"/>
        <v>0.35000000000000009</v>
      </c>
      <c r="AN447" s="344">
        <f t="shared" si="804"/>
        <v>0.25555555555555565</v>
      </c>
      <c r="AO447" s="345"/>
      <c r="AP447" s="17" t="s">
        <v>664</v>
      </c>
      <c r="AQ447" s="141"/>
      <c r="AR447" s="191"/>
      <c r="AS447" s="191"/>
      <c r="AT447" s="141">
        <v>4</v>
      </c>
      <c r="AU447" s="141">
        <f>$AU$429+AU478</f>
        <v>100.5</v>
      </c>
      <c r="AV447" s="141">
        <f t="shared" si="806"/>
        <v>104.5</v>
      </c>
      <c r="AW447" s="142">
        <f t="shared" si="805"/>
        <v>14.928571428571429</v>
      </c>
      <c r="AX447" s="126">
        <f t="shared" si="797"/>
        <v>13.985470695970696</v>
      </c>
      <c r="AY447" s="193"/>
      <c r="AZ447" s="128"/>
      <c r="BB447" s="168"/>
      <c r="BC447" s="168"/>
      <c r="BD447" s="168"/>
      <c r="BE447" s="168"/>
    </row>
    <row r="448" spans="1:58" s="129" customFormat="1" hidden="1">
      <c r="A448" s="89" t="s">
        <v>1276</v>
      </c>
      <c r="B448" s="89" t="s">
        <v>1318</v>
      </c>
      <c r="C448" s="88" t="s">
        <v>1318</v>
      </c>
      <c r="D448" s="89" t="s">
        <v>656</v>
      </c>
      <c r="E448" s="89" t="s">
        <v>1056</v>
      </c>
      <c r="F448" s="89" t="s">
        <v>3491</v>
      </c>
      <c r="G448" s="92" t="s">
        <v>658</v>
      </c>
      <c r="H448" s="92"/>
      <c r="I448" s="167" t="s">
        <v>3734</v>
      </c>
      <c r="J448" s="167" t="s">
        <v>3728</v>
      </c>
      <c r="K448" s="435" t="s">
        <v>3802</v>
      </c>
      <c r="L448" s="349" t="s">
        <v>3735</v>
      </c>
      <c r="M448" s="92"/>
      <c r="N448" s="89" t="s">
        <v>60</v>
      </c>
      <c r="O448" s="165"/>
      <c r="P448" s="89" t="s">
        <v>241</v>
      </c>
      <c r="Q448" s="92" t="s">
        <v>1059</v>
      </c>
      <c r="R448" s="92">
        <v>90</v>
      </c>
      <c r="S448" s="335"/>
      <c r="T448" s="335" t="s">
        <v>3866</v>
      </c>
      <c r="U448" s="336">
        <v>1.7000000000000001E-2</v>
      </c>
      <c r="V448" s="337">
        <v>30</v>
      </c>
      <c r="W448" s="335">
        <v>45</v>
      </c>
      <c r="X448" s="335">
        <v>55</v>
      </c>
      <c r="Y448" s="335" t="s">
        <v>64</v>
      </c>
      <c r="Z448" s="338">
        <f t="shared" ref="Z448:Z449" si="814">AK448/(1-(AF448+2%))</f>
        <v>30.793650793650791</v>
      </c>
      <c r="AA448" s="338"/>
      <c r="AB448" s="339">
        <f>AX448/(1-AF448)</f>
        <v>24.888493248045485</v>
      </c>
      <c r="AC448" s="339"/>
      <c r="AD448" s="340">
        <f t="shared" ref="AD448:AD449" si="815">AE448</f>
        <v>0.1</v>
      </c>
      <c r="AE448" s="340">
        <v>0.1</v>
      </c>
      <c r="AF448" s="340">
        <v>0.33</v>
      </c>
      <c r="AG448" s="341" t="s">
        <v>5</v>
      </c>
      <c r="AH448" s="341">
        <f t="shared" ref="AH448:AH449" si="816">AB448*(1-$AH$3)</f>
        <v>22.399643923240937</v>
      </c>
      <c r="AI448" s="340">
        <f t="shared" ref="AI448:AI449" si="817">1-(AX448/AH448)</f>
        <v>0.25555555555555565</v>
      </c>
      <c r="AJ448" s="444"/>
      <c r="AK448" s="342">
        <f t="shared" ref="AK448:AK449" si="818">AW448/(1-AD448)</f>
        <v>20.015873015873012</v>
      </c>
      <c r="AL448" s="343">
        <f t="shared" si="792"/>
        <v>18.528100529100524</v>
      </c>
      <c r="AM448" s="344">
        <f t="shared" ref="AM448:AM449" si="819">1-(AK448/Z448)</f>
        <v>0.35000000000000009</v>
      </c>
      <c r="AN448" s="344">
        <f t="shared" ref="AN448:AN449" si="820">1-(AL448/AB448)</f>
        <v>0.25555555555555576</v>
      </c>
      <c r="AO448" s="345"/>
      <c r="AP448" s="17" t="s">
        <v>664</v>
      </c>
      <c r="AQ448" s="141"/>
      <c r="AR448" s="191"/>
      <c r="AS448" s="191"/>
      <c r="AT448" s="141">
        <f>AT447</f>
        <v>4</v>
      </c>
      <c r="AU448" s="141">
        <f>AU446+0.6</f>
        <v>122.1</v>
      </c>
      <c r="AV448" s="141">
        <f>AT448+AU448</f>
        <v>126.1</v>
      </c>
      <c r="AW448" s="142">
        <f t="shared" ref="AW448:AW449" si="821">(AT448+AU448)/$F$5</f>
        <v>18.014285714285712</v>
      </c>
      <c r="AX448" s="126">
        <f t="shared" si="797"/>
        <v>16.675290476190472</v>
      </c>
      <c r="AY448" s="193"/>
      <c r="AZ448" s="128"/>
      <c r="BB448" s="168"/>
      <c r="BC448" s="168"/>
      <c r="BD448" s="168"/>
      <c r="BE448" s="168"/>
    </row>
    <row r="449" spans="1:57" s="129" customFormat="1" hidden="1">
      <c r="A449" s="89" t="s">
        <v>1276</v>
      </c>
      <c r="B449" s="89" t="s">
        <v>1318</v>
      </c>
      <c r="C449" s="88" t="s">
        <v>1318</v>
      </c>
      <c r="D449" s="89" t="s">
        <v>656</v>
      </c>
      <c r="E449" s="89" t="s">
        <v>1056</v>
      </c>
      <c r="F449" s="89" t="s">
        <v>3491</v>
      </c>
      <c r="G449" s="92" t="s">
        <v>658</v>
      </c>
      <c r="H449" s="92"/>
      <c r="I449" s="167" t="s">
        <v>3596</v>
      </c>
      <c r="J449" s="172" t="s">
        <v>3729</v>
      </c>
      <c r="K449" s="435" t="s">
        <v>3717</v>
      </c>
      <c r="L449" s="349" t="s">
        <v>3597</v>
      </c>
      <c r="M449" s="92"/>
      <c r="N449" s="89" t="s">
        <v>60</v>
      </c>
      <c r="O449" s="165"/>
      <c r="P449" s="89" t="s">
        <v>241</v>
      </c>
      <c r="Q449" s="92" t="s">
        <v>1059</v>
      </c>
      <c r="R449" s="92">
        <v>90</v>
      </c>
      <c r="S449" s="335"/>
      <c r="T449" s="335" t="s">
        <v>3866</v>
      </c>
      <c r="U449" s="336">
        <v>1.7000000000000001E-2</v>
      </c>
      <c r="V449" s="337">
        <v>30</v>
      </c>
      <c r="W449" s="335">
        <v>45</v>
      </c>
      <c r="X449" s="335">
        <v>55</v>
      </c>
      <c r="Y449" s="335" t="s">
        <v>64</v>
      </c>
      <c r="Z449" s="338">
        <f t="shared" si="814"/>
        <v>25.66544566544567</v>
      </c>
      <c r="AA449" s="338"/>
      <c r="AB449" s="339">
        <f t="shared" si="787"/>
        <v>20.985355092668527</v>
      </c>
      <c r="AC449" s="339"/>
      <c r="AD449" s="340">
        <f t="shared" si="815"/>
        <v>0.1</v>
      </c>
      <c r="AE449" s="340">
        <v>0.1</v>
      </c>
      <c r="AF449" s="340">
        <v>0.33</v>
      </c>
      <c r="AG449" s="341" t="s">
        <v>5</v>
      </c>
      <c r="AH449" s="341">
        <f t="shared" si="816"/>
        <v>18.886819583401675</v>
      </c>
      <c r="AI449" s="340">
        <f t="shared" si="817"/>
        <v>0.25555555555555565</v>
      </c>
      <c r="AJ449" s="444"/>
      <c r="AK449" s="342">
        <f t="shared" si="818"/>
        <v>16.682539682539684</v>
      </c>
      <c r="AL449" s="343">
        <f t="shared" si="792"/>
        <v>15.622431013431013</v>
      </c>
      <c r="AM449" s="344">
        <f t="shared" si="819"/>
        <v>0.35000000000000009</v>
      </c>
      <c r="AN449" s="344">
        <f t="shared" si="820"/>
        <v>0.25555555555555565</v>
      </c>
      <c r="AO449" s="345"/>
      <c r="AP449" s="17" t="s">
        <v>664</v>
      </c>
      <c r="AQ449" s="141"/>
      <c r="AR449" s="191"/>
      <c r="AS449" s="191"/>
      <c r="AT449" s="141">
        <f>AT448</f>
        <v>4</v>
      </c>
      <c r="AU449" s="141">
        <f>AU447+0.6</f>
        <v>101.1</v>
      </c>
      <c r="AV449" s="141">
        <f t="shared" ref="AV449" si="822">AT449+AU449</f>
        <v>105.1</v>
      </c>
      <c r="AW449" s="142">
        <f t="shared" si="821"/>
        <v>15.014285714285714</v>
      </c>
      <c r="AX449" s="126">
        <f t="shared" si="797"/>
        <v>14.060187912087912</v>
      </c>
      <c r="AY449" s="193"/>
      <c r="AZ449" s="128"/>
      <c r="BB449" s="168"/>
      <c r="BC449" s="168"/>
      <c r="BD449" s="168"/>
      <c r="BE449" s="168"/>
    </row>
    <row r="450" spans="1:57" s="129" customFormat="1" hidden="1">
      <c r="A450" s="88" t="s">
        <v>1276</v>
      </c>
      <c r="B450" s="88" t="s">
        <v>1318</v>
      </c>
      <c r="C450" s="88" t="s">
        <v>1318</v>
      </c>
      <c r="D450" s="88" t="s">
        <v>656</v>
      </c>
      <c r="E450" s="88" t="s">
        <v>1056</v>
      </c>
      <c r="F450" s="89" t="s">
        <v>3491</v>
      </c>
      <c r="G450" s="92" t="s">
        <v>1785</v>
      </c>
      <c r="H450" s="92"/>
      <c r="I450" s="167" t="s">
        <v>1708</v>
      </c>
      <c r="J450" s="167" t="s">
        <v>3725</v>
      </c>
      <c r="K450" s="88" t="s">
        <v>3558</v>
      </c>
      <c r="L450" s="88" t="s">
        <v>3560</v>
      </c>
      <c r="M450" s="92"/>
      <c r="N450" s="89" t="s">
        <v>60</v>
      </c>
      <c r="O450" s="165"/>
      <c r="P450" s="89" t="s">
        <v>241</v>
      </c>
      <c r="Q450" s="92" t="s">
        <v>1059</v>
      </c>
      <c r="R450" s="92">
        <v>90</v>
      </c>
      <c r="S450" s="92"/>
      <c r="T450" s="92" t="s">
        <v>3866</v>
      </c>
      <c r="U450" s="155">
        <v>1.7000000000000001E-2</v>
      </c>
      <c r="V450" s="207">
        <v>30</v>
      </c>
      <c r="W450" s="92">
        <v>45</v>
      </c>
      <c r="X450" s="92">
        <v>55</v>
      </c>
      <c r="Y450" s="92" t="s">
        <v>64</v>
      </c>
      <c r="Z450" s="133">
        <f t="shared" ref="Z450:Z451" si="823">AK450/(1-(AF450+2%))</f>
        <v>30.312421264802218</v>
      </c>
      <c r="AA450" s="133"/>
      <c r="AB450" s="161">
        <f t="shared" ref="AB450:AB451" si="824">AX450/(1-AF450)</f>
        <v>24.545029754860526</v>
      </c>
      <c r="AC450" s="161"/>
      <c r="AD450" s="213">
        <f t="shared" si="788"/>
        <v>0.1</v>
      </c>
      <c r="AE450" s="213">
        <v>0.1</v>
      </c>
      <c r="AF450" s="215">
        <v>0.35000000000000003</v>
      </c>
      <c r="AG450" s="215" t="s">
        <v>5</v>
      </c>
      <c r="AH450" s="123">
        <f t="shared" si="785"/>
        <v>22.090526779374475</v>
      </c>
      <c r="AI450" s="122">
        <f t="shared" ref="AI450:AI457" si="825">1-(AX450/AH450)</f>
        <v>0.2777777777777779</v>
      </c>
      <c r="AJ450" s="444"/>
      <c r="AK450" s="150">
        <f t="shared" ref="AK450:AK451" si="826">AW450/(1-AD450)</f>
        <v>19.096825396825395</v>
      </c>
      <c r="AL450" s="153">
        <f t="shared" ref="AL450:AL451" si="827">AX450/(1-AE450)</f>
        <v>17.72696593406593</v>
      </c>
      <c r="AM450" s="125">
        <f t="shared" ref="AM450:AM451" si="828">1-(AK450/Z450)</f>
        <v>0.37000000000000011</v>
      </c>
      <c r="AN450" s="125">
        <f t="shared" ref="AN450:AN451" si="829">1-(AL450/AB450)</f>
        <v>0.27777777777777801</v>
      </c>
      <c r="AO450" s="140"/>
      <c r="AP450" s="17" t="s">
        <v>664</v>
      </c>
      <c r="AQ450" s="141"/>
      <c r="AR450" s="191"/>
      <c r="AS450" s="191"/>
      <c r="AT450" s="141">
        <v>4</v>
      </c>
      <c r="AU450" s="141">
        <v>116.30999999999999</v>
      </c>
      <c r="AV450" s="141">
        <f t="shared" ref="AV450:AV451" si="830">AT450+AU450</f>
        <v>120.30999999999999</v>
      </c>
      <c r="AW450" s="142">
        <f t="shared" ref="AW450:AW451" si="831">(AT450+AU450)/$F$5</f>
        <v>17.187142857142856</v>
      </c>
      <c r="AX450" s="126">
        <f t="shared" ref="AX450:AX451" si="832">(AW450/$F$6)+(($F$9+$G$9)/40/R450)+AW450*U450</f>
        <v>15.954269340659339</v>
      </c>
      <c r="AY450" s="192" t="s">
        <v>3547</v>
      </c>
      <c r="AZ450" s="128">
        <v>8517622990</v>
      </c>
      <c r="BB450" s="168">
        <f t="shared" ref="BB450:BB513" si="833">AB450/0.3</f>
        <v>81.816765849535088</v>
      </c>
      <c r="BC450" s="168">
        <f t="shared" ref="BC450:BC513" si="834">BB450*0.6</f>
        <v>49.090059509721051</v>
      </c>
      <c r="BD450" s="168">
        <f t="shared" ref="BD450:BD513" si="835">BB450*0.5</f>
        <v>40.908382924767544</v>
      </c>
      <c r="BE450" s="168">
        <f t="shared" ref="BE450:BE513" si="836">BB450*0.4</f>
        <v>32.726706339814037</v>
      </c>
    </row>
    <row r="451" spans="1:57" s="129" customFormat="1" hidden="1">
      <c r="A451" s="88" t="s">
        <v>1276</v>
      </c>
      <c r="B451" s="88" t="s">
        <v>1318</v>
      </c>
      <c r="C451" s="88" t="s">
        <v>1318</v>
      </c>
      <c r="D451" s="88" t="s">
        <v>656</v>
      </c>
      <c r="E451" s="88" t="s">
        <v>1056</v>
      </c>
      <c r="F451" s="89" t="s">
        <v>3491</v>
      </c>
      <c r="G451" s="92" t="s">
        <v>1785</v>
      </c>
      <c r="H451" s="92"/>
      <c r="I451" s="167" t="s">
        <v>1709</v>
      </c>
      <c r="J451" s="167" t="s">
        <v>3724</v>
      </c>
      <c r="K451" s="88" t="s">
        <v>3559</v>
      </c>
      <c r="L451" s="88" t="s">
        <v>3561</v>
      </c>
      <c r="M451" s="92"/>
      <c r="N451" s="89" t="s">
        <v>60</v>
      </c>
      <c r="O451" s="165"/>
      <c r="P451" s="89" t="s">
        <v>241</v>
      </c>
      <c r="Q451" s="92" t="s">
        <v>1059</v>
      </c>
      <c r="R451" s="92">
        <v>90</v>
      </c>
      <c r="S451" s="92"/>
      <c r="T451" s="92" t="s">
        <v>3866</v>
      </c>
      <c r="U451" s="155">
        <v>1.7000000000000001E-2</v>
      </c>
      <c r="V451" s="207">
        <v>30</v>
      </c>
      <c r="W451" s="92">
        <v>45</v>
      </c>
      <c r="X451" s="92">
        <v>55</v>
      </c>
      <c r="Y451" s="92" t="s">
        <v>64</v>
      </c>
      <c r="Z451" s="133">
        <f t="shared" si="823"/>
        <v>37.898715041572189</v>
      </c>
      <c r="AA451" s="133"/>
      <c r="AB451" s="161">
        <f t="shared" si="824"/>
        <v>30.313582004320466</v>
      </c>
      <c r="AC451" s="161"/>
      <c r="AD451" s="213">
        <f t="shared" si="788"/>
        <v>0.1</v>
      </c>
      <c r="AE451" s="213">
        <v>0.1</v>
      </c>
      <c r="AF451" s="215">
        <v>0.35000000000000003</v>
      </c>
      <c r="AG451" s="215" t="s">
        <v>5</v>
      </c>
      <c r="AH451" s="123">
        <f t="shared" si="785"/>
        <v>27.282223803888421</v>
      </c>
      <c r="AI451" s="122">
        <f t="shared" si="825"/>
        <v>0.2777777777777779</v>
      </c>
      <c r="AJ451" s="444"/>
      <c r="AK451" s="150">
        <f t="shared" si="826"/>
        <v>23.876190476190473</v>
      </c>
      <c r="AL451" s="153">
        <f t="shared" si="827"/>
        <v>21.893142558675891</v>
      </c>
      <c r="AM451" s="125">
        <f t="shared" si="828"/>
        <v>0.37000000000000011</v>
      </c>
      <c r="AN451" s="125">
        <f t="shared" si="829"/>
        <v>0.27777777777777779</v>
      </c>
      <c r="AO451" s="140"/>
      <c r="AP451" s="17" t="s">
        <v>664</v>
      </c>
      <c r="AQ451" s="141"/>
      <c r="AR451" s="191"/>
      <c r="AS451" s="191"/>
      <c r="AT451" s="141">
        <v>4</v>
      </c>
      <c r="AU451" s="141">
        <v>146.41999999999999</v>
      </c>
      <c r="AV451" s="141">
        <f t="shared" si="830"/>
        <v>150.41999999999999</v>
      </c>
      <c r="AW451" s="142">
        <f t="shared" si="831"/>
        <v>21.488571428571426</v>
      </c>
      <c r="AX451" s="126">
        <f t="shared" si="832"/>
        <v>19.703828302808301</v>
      </c>
      <c r="AY451" s="192" t="s">
        <v>3547</v>
      </c>
      <c r="AZ451" s="128">
        <v>8517622990</v>
      </c>
      <c r="BB451" s="168">
        <f t="shared" si="833"/>
        <v>101.04527334773489</v>
      </c>
      <c r="BC451" s="168">
        <f t="shared" si="834"/>
        <v>60.627164008640932</v>
      </c>
      <c r="BD451" s="168">
        <f t="shared" si="835"/>
        <v>50.522636673867446</v>
      </c>
      <c r="BE451" s="168">
        <f t="shared" si="836"/>
        <v>40.418109339093959</v>
      </c>
    </row>
    <row r="452" spans="1:57" s="129" customFormat="1" hidden="1">
      <c r="A452" s="88" t="s">
        <v>1276</v>
      </c>
      <c r="B452" s="88" t="s">
        <v>1318</v>
      </c>
      <c r="C452" s="88" t="s">
        <v>1318</v>
      </c>
      <c r="D452" s="88" t="s">
        <v>656</v>
      </c>
      <c r="E452" s="88" t="s">
        <v>1056</v>
      </c>
      <c r="F452" s="89" t="s">
        <v>3491</v>
      </c>
      <c r="G452" s="92" t="s">
        <v>1785</v>
      </c>
      <c r="H452" s="92"/>
      <c r="I452" s="167" t="s">
        <v>3275</v>
      </c>
      <c r="J452" s="167" t="s">
        <v>3720</v>
      </c>
      <c r="K452" s="88" t="s">
        <v>3548</v>
      </c>
      <c r="L452" s="88" t="s">
        <v>3562</v>
      </c>
      <c r="M452" s="92"/>
      <c r="N452" s="89" t="s">
        <v>60</v>
      </c>
      <c r="O452" s="165"/>
      <c r="P452" s="89" t="s">
        <v>241</v>
      </c>
      <c r="Q452" s="92" t="s">
        <v>1059</v>
      </c>
      <c r="R452" s="92">
        <v>90</v>
      </c>
      <c r="S452" s="92"/>
      <c r="T452" s="92" t="s">
        <v>3866</v>
      </c>
      <c r="U452" s="155">
        <v>1.7000000000000001E-2</v>
      </c>
      <c r="V452" s="207">
        <v>30</v>
      </c>
      <c r="W452" s="92">
        <v>45</v>
      </c>
      <c r="X452" s="92">
        <v>55</v>
      </c>
      <c r="Y452" s="92" t="s">
        <v>64</v>
      </c>
      <c r="Z452" s="133">
        <f t="shared" ref="Z452:Z459" si="837">AK452/(1-(AF452+2%))</f>
        <v>51.682539682539684</v>
      </c>
      <c r="AA452" s="133"/>
      <c r="AB452" s="161">
        <f t="shared" ref="AB452:AB459" si="838">AX452/(1-AF452)</f>
        <v>40.787276000947649</v>
      </c>
      <c r="AC452" s="161"/>
      <c r="AD452" s="213">
        <f t="shared" si="788"/>
        <v>0.1</v>
      </c>
      <c r="AE452" s="213">
        <v>0.1</v>
      </c>
      <c r="AF452" s="215">
        <v>0.33</v>
      </c>
      <c r="AG452" s="215" t="s">
        <v>5</v>
      </c>
      <c r="AH452" s="123">
        <f t="shared" si="785"/>
        <v>36.708548400852884</v>
      </c>
      <c r="AI452" s="122">
        <f t="shared" si="825"/>
        <v>0.25555555555555565</v>
      </c>
      <c r="AJ452" s="444"/>
      <c r="AK452" s="150">
        <f t="shared" ref="AK452:AK459" si="839">AW452/(1-AD452)</f>
        <v>33.593650793650788</v>
      </c>
      <c r="AL452" s="153">
        <f t="shared" ref="AL452:AL459" si="840">AX452/(1-AE452)</f>
        <v>30.363861022927686</v>
      </c>
      <c r="AM452" s="125">
        <f t="shared" ref="AM452:AM459" si="841">1-(AK452/Z452)</f>
        <v>0.35000000000000009</v>
      </c>
      <c r="AN452" s="125">
        <f t="shared" ref="AN452:AN459" si="842">1-(AL452/AB452)</f>
        <v>0.25555555555555576</v>
      </c>
      <c r="AO452" s="140"/>
      <c r="AP452" s="17" t="s">
        <v>664</v>
      </c>
      <c r="AQ452" s="141"/>
      <c r="AR452" s="191"/>
      <c r="AS452" s="191"/>
      <c r="AT452" s="141">
        <v>4</v>
      </c>
      <c r="AU452" s="141">
        <v>207.64</v>
      </c>
      <c r="AV452" s="141">
        <f t="shared" ref="AV452:AV459" si="843">AT452+AU452</f>
        <v>211.64</v>
      </c>
      <c r="AW452" s="142">
        <f t="shared" ref="AW452:AW459" si="844">(AT452+AU452)/$F$5</f>
        <v>30.234285714285711</v>
      </c>
      <c r="AX452" s="126">
        <f t="shared" ref="AX452:AX459" si="845">(AW452/$F$6)+(($F$9+$G$9)/40/R452)+AW452*U452</f>
        <v>27.32747492063492</v>
      </c>
      <c r="AY452" s="192" t="s">
        <v>3547</v>
      </c>
      <c r="AZ452" s="128">
        <v>8517622990</v>
      </c>
      <c r="BB452" s="168">
        <f t="shared" si="833"/>
        <v>135.9575866698255</v>
      </c>
      <c r="BC452" s="168">
        <f t="shared" si="834"/>
        <v>81.574552001895299</v>
      </c>
      <c r="BD452" s="168">
        <f t="shared" si="835"/>
        <v>67.978793334912751</v>
      </c>
      <c r="BE452" s="168">
        <f t="shared" si="836"/>
        <v>54.383034667930204</v>
      </c>
    </row>
    <row r="453" spans="1:57" s="129" customFormat="1" hidden="1">
      <c r="A453" s="88" t="s">
        <v>1276</v>
      </c>
      <c r="B453" s="88" t="s">
        <v>1318</v>
      </c>
      <c r="C453" s="88" t="s">
        <v>1318</v>
      </c>
      <c r="D453" s="88" t="s">
        <v>656</v>
      </c>
      <c r="E453" s="88" t="s">
        <v>1056</v>
      </c>
      <c r="F453" s="89" t="s">
        <v>3491</v>
      </c>
      <c r="G453" s="92" t="s">
        <v>1785</v>
      </c>
      <c r="H453" s="92"/>
      <c r="I453" s="167" t="s">
        <v>1711</v>
      </c>
      <c r="J453" s="167" t="s">
        <v>3719</v>
      </c>
      <c r="K453" s="88" t="s">
        <v>3549</v>
      </c>
      <c r="L453" s="88" t="s">
        <v>3563</v>
      </c>
      <c r="M453" s="92"/>
      <c r="N453" s="89" t="s">
        <v>60</v>
      </c>
      <c r="O453" s="165"/>
      <c r="P453" s="89" t="s">
        <v>241</v>
      </c>
      <c r="Q453" s="92" t="s">
        <v>1059</v>
      </c>
      <c r="R453" s="92">
        <v>90</v>
      </c>
      <c r="S453" s="92"/>
      <c r="T453" s="92" t="s">
        <v>3866</v>
      </c>
      <c r="U453" s="155">
        <v>1.7000000000000001E-2</v>
      </c>
      <c r="V453" s="207">
        <v>30</v>
      </c>
      <c r="W453" s="92">
        <v>45</v>
      </c>
      <c r="X453" s="92">
        <v>55</v>
      </c>
      <c r="Y453" s="92" t="s">
        <v>64</v>
      </c>
      <c r="Z453" s="133">
        <f t="shared" si="837"/>
        <v>81.606837606837615</v>
      </c>
      <c r="AA453" s="133"/>
      <c r="AB453" s="161">
        <f t="shared" si="838"/>
        <v>63.563016456180648</v>
      </c>
      <c r="AC453" s="161"/>
      <c r="AD453" s="213">
        <f t="shared" si="788"/>
        <v>0.1</v>
      </c>
      <c r="AE453" s="213">
        <v>0.1</v>
      </c>
      <c r="AF453" s="215">
        <v>0.33</v>
      </c>
      <c r="AG453" s="215" t="s">
        <v>5</v>
      </c>
      <c r="AH453" s="123">
        <f t="shared" si="785"/>
        <v>57.206714810562588</v>
      </c>
      <c r="AI453" s="122">
        <f t="shared" si="825"/>
        <v>0.25555555555555576</v>
      </c>
      <c r="AJ453" s="444"/>
      <c r="AK453" s="150">
        <f t="shared" si="839"/>
        <v>53.044444444444444</v>
      </c>
      <c r="AL453" s="153">
        <f t="shared" si="840"/>
        <v>47.319134472934472</v>
      </c>
      <c r="AM453" s="125">
        <f t="shared" si="841"/>
        <v>0.35000000000000009</v>
      </c>
      <c r="AN453" s="125">
        <f t="shared" si="842"/>
        <v>0.25555555555555576</v>
      </c>
      <c r="AO453" s="140"/>
      <c r="AP453" s="17" t="s">
        <v>664</v>
      </c>
      <c r="AQ453" s="141"/>
      <c r="AR453" s="191"/>
      <c r="AS453" s="191"/>
      <c r="AT453" s="141">
        <v>4</v>
      </c>
      <c r="AU453" s="141">
        <v>330.18</v>
      </c>
      <c r="AV453" s="141">
        <f t="shared" si="843"/>
        <v>334.18</v>
      </c>
      <c r="AW453" s="142">
        <f t="shared" si="844"/>
        <v>47.74</v>
      </c>
      <c r="AX453" s="126">
        <f t="shared" si="845"/>
        <v>42.587221025641028</v>
      </c>
      <c r="AY453" s="192" t="s">
        <v>3547</v>
      </c>
      <c r="AZ453" s="128">
        <v>8517622990</v>
      </c>
      <c r="BB453" s="168">
        <f t="shared" si="833"/>
        <v>211.87672152060216</v>
      </c>
      <c r="BC453" s="168">
        <f t="shared" si="834"/>
        <v>127.1260329123613</v>
      </c>
      <c r="BD453" s="168">
        <f t="shared" si="835"/>
        <v>105.93836076030108</v>
      </c>
      <c r="BE453" s="168">
        <f t="shared" si="836"/>
        <v>84.750688608240864</v>
      </c>
    </row>
    <row r="454" spans="1:57" s="129" customFormat="1" hidden="1">
      <c r="A454" s="88" t="s">
        <v>1276</v>
      </c>
      <c r="B454" s="88" t="s">
        <v>1318</v>
      </c>
      <c r="C454" s="88" t="s">
        <v>1318</v>
      </c>
      <c r="D454" s="88" t="s">
        <v>656</v>
      </c>
      <c r="E454" s="88" t="s">
        <v>1056</v>
      </c>
      <c r="F454" s="89" t="s">
        <v>3491</v>
      </c>
      <c r="G454" s="92" t="s">
        <v>685</v>
      </c>
      <c r="H454" s="92"/>
      <c r="I454" s="167" t="s">
        <v>3487</v>
      </c>
      <c r="J454" s="167"/>
      <c r="K454" s="333" t="s">
        <v>3550</v>
      </c>
      <c r="L454" s="333" t="s">
        <v>3564</v>
      </c>
      <c r="M454" s="92"/>
      <c r="N454" s="89" t="s">
        <v>60</v>
      </c>
      <c r="O454" s="165"/>
      <c r="P454" s="89" t="s">
        <v>241</v>
      </c>
      <c r="Q454" s="92" t="s">
        <v>1059</v>
      </c>
      <c r="R454" s="92">
        <v>90</v>
      </c>
      <c r="S454" s="335"/>
      <c r="T454" s="335" t="s">
        <v>3866</v>
      </c>
      <c r="U454" s="336">
        <v>1.7000000000000001E-2</v>
      </c>
      <c r="V454" s="337">
        <v>30</v>
      </c>
      <c r="W454" s="335">
        <v>45</v>
      </c>
      <c r="X454" s="335">
        <v>55</v>
      </c>
      <c r="Y454" s="335" t="s">
        <v>64</v>
      </c>
      <c r="Z454" s="338">
        <f t="shared" si="837"/>
        <v>30.478835978835981</v>
      </c>
      <c r="AA454" s="338"/>
      <c r="AB454" s="339">
        <f t="shared" si="838"/>
        <v>24.708343554295165</v>
      </c>
      <c r="AC454" s="339"/>
      <c r="AD454" s="340">
        <f t="shared" si="788"/>
        <v>0.1</v>
      </c>
      <c r="AE454" s="340">
        <v>0.1</v>
      </c>
      <c r="AF454" s="340">
        <v>0.38</v>
      </c>
      <c r="AG454" s="341" t="s">
        <v>5</v>
      </c>
      <c r="AH454" s="341">
        <f t="shared" si="785"/>
        <v>22.237509198865649</v>
      </c>
      <c r="AI454" s="340">
        <f t="shared" si="825"/>
        <v>0.31111111111111112</v>
      </c>
      <c r="AJ454" s="444"/>
      <c r="AK454" s="342">
        <f t="shared" ref="AK454:AK457" si="846">AW454/(1-AD454)</f>
        <v>18.287301587301588</v>
      </c>
      <c r="AL454" s="343">
        <f t="shared" ref="AL454:AL457" si="847">AX454/(1-AE454)</f>
        <v>17.021303337403335</v>
      </c>
      <c r="AM454" s="344">
        <f t="shared" si="841"/>
        <v>0.4</v>
      </c>
      <c r="AN454" s="344">
        <f t="shared" si="842"/>
        <v>0.31111111111111112</v>
      </c>
      <c r="AO454" s="345"/>
      <c r="AP454" s="17" t="s">
        <v>664</v>
      </c>
      <c r="AQ454" s="141"/>
      <c r="AR454" s="191"/>
      <c r="AS454" s="191"/>
      <c r="AT454" s="141">
        <v>4</v>
      </c>
      <c r="AU454" s="439">
        <v>111.21</v>
      </c>
      <c r="AV454" s="141">
        <f t="shared" si="843"/>
        <v>115.21</v>
      </c>
      <c r="AW454" s="142">
        <f t="shared" si="844"/>
        <v>16.458571428571428</v>
      </c>
      <c r="AX454" s="126">
        <f t="shared" si="845"/>
        <v>15.319173003663003</v>
      </c>
      <c r="AY454" s="192" t="s">
        <v>3547</v>
      </c>
      <c r="AZ454" s="128"/>
      <c r="BB454" s="168"/>
      <c r="BC454" s="168"/>
      <c r="BD454" s="168"/>
      <c r="BE454" s="168"/>
    </row>
    <row r="455" spans="1:57" s="129" customFormat="1" hidden="1">
      <c r="A455" s="88" t="s">
        <v>1276</v>
      </c>
      <c r="B455" s="88" t="s">
        <v>1318</v>
      </c>
      <c r="C455" s="88" t="s">
        <v>1318</v>
      </c>
      <c r="D455" s="88" t="s">
        <v>656</v>
      </c>
      <c r="E455" s="88" t="s">
        <v>1056</v>
      </c>
      <c r="F455" s="89" t="s">
        <v>3491</v>
      </c>
      <c r="G455" s="92" t="s">
        <v>685</v>
      </c>
      <c r="H455" s="92"/>
      <c r="I455" s="167" t="s">
        <v>3488</v>
      </c>
      <c r="J455" s="167"/>
      <c r="K455" s="333" t="s">
        <v>3551</v>
      </c>
      <c r="L455" s="333" t="s">
        <v>3565</v>
      </c>
      <c r="M455" s="92"/>
      <c r="N455" s="89" t="s">
        <v>60</v>
      </c>
      <c r="O455" s="165"/>
      <c r="P455" s="89" t="s">
        <v>241</v>
      </c>
      <c r="Q455" s="92" t="s">
        <v>1059</v>
      </c>
      <c r="R455" s="92">
        <v>90</v>
      </c>
      <c r="S455" s="335"/>
      <c r="T455" s="335" t="s">
        <v>3866</v>
      </c>
      <c r="U455" s="336">
        <v>1.7000000000000001E-2</v>
      </c>
      <c r="V455" s="337">
        <v>30</v>
      </c>
      <c r="W455" s="335">
        <v>45</v>
      </c>
      <c r="X455" s="335">
        <v>55</v>
      </c>
      <c r="Y455" s="335" t="s">
        <v>64</v>
      </c>
      <c r="Z455" s="338">
        <f t="shared" si="837"/>
        <v>37.095238095238095</v>
      </c>
      <c r="AA455" s="338"/>
      <c r="AB455" s="339">
        <f t="shared" si="838"/>
        <v>29.731670369057461</v>
      </c>
      <c r="AC455" s="339"/>
      <c r="AD455" s="340">
        <f t="shared" si="788"/>
        <v>0.1</v>
      </c>
      <c r="AE455" s="340">
        <v>0.1</v>
      </c>
      <c r="AF455" s="340">
        <v>0.38</v>
      </c>
      <c r="AG455" s="341" t="s">
        <v>5</v>
      </c>
      <c r="AH455" s="341">
        <f t="shared" si="785"/>
        <v>26.758503332151715</v>
      </c>
      <c r="AI455" s="340">
        <f t="shared" si="825"/>
        <v>0.31111111111111112</v>
      </c>
      <c r="AJ455" s="444"/>
      <c r="AK455" s="342">
        <f t="shared" si="846"/>
        <v>22.257142857142856</v>
      </c>
      <c r="AL455" s="343">
        <f t="shared" si="847"/>
        <v>20.481817365350697</v>
      </c>
      <c r="AM455" s="344">
        <f t="shared" si="841"/>
        <v>0.4</v>
      </c>
      <c r="AN455" s="344">
        <f t="shared" si="842"/>
        <v>0.31111111111111112</v>
      </c>
      <c r="AO455" s="345"/>
      <c r="AP455" s="17" t="s">
        <v>664</v>
      </c>
      <c r="AQ455" s="141"/>
      <c r="AR455" s="191"/>
      <c r="AS455" s="191"/>
      <c r="AT455" s="141">
        <v>4</v>
      </c>
      <c r="AU455" s="439">
        <v>136.22</v>
      </c>
      <c r="AV455" s="141">
        <f t="shared" si="843"/>
        <v>140.22</v>
      </c>
      <c r="AW455" s="142">
        <f t="shared" si="844"/>
        <v>20.03142857142857</v>
      </c>
      <c r="AX455" s="126">
        <f t="shared" si="845"/>
        <v>18.433635628815626</v>
      </c>
      <c r="AY455" s="192" t="s">
        <v>3547</v>
      </c>
      <c r="AZ455" s="128"/>
      <c r="BB455" s="168"/>
      <c r="BC455" s="168"/>
      <c r="BD455" s="168"/>
      <c r="BE455" s="168"/>
    </row>
    <row r="456" spans="1:57" s="129" customFormat="1" hidden="1">
      <c r="A456" s="88" t="s">
        <v>1276</v>
      </c>
      <c r="B456" s="88" t="s">
        <v>1318</v>
      </c>
      <c r="C456" s="88" t="s">
        <v>1318</v>
      </c>
      <c r="D456" s="88" t="s">
        <v>656</v>
      </c>
      <c r="E456" s="88" t="s">
        <v>1056</v>
      </c>
      <c r="F456" s="89" t="s">
        <v>3491</v>
      </c>
      <c r="G456" s="92" t="s">
        <v>685</v>
      </c>
      <c r="H456" s="92"/>
      <c r="I456" s="167" t="s">
        <v>3489</v>
      </c>
      <c r="J456" s="167"/>
      <c r="K456" s="333" t="s">
        <v>3552</v>
      </c>
      <c r="L456" s="333" t="s">
        <v>3566</v>
      </c>
      <c r="M456" s="92"/>
      <c r="N456" s="89" t="s">
        <v>60</v>
      </c>
      <c r="O456" s="165"/>
      <c r="P456" s="89" t="s">
        <v>241</v>
      </c>
      <c r="Q456" s="92" t="s">
        <v>1059</v>
      </c>
      <c r="R456" s="92">
        <v>90</v>
      </c>
      <c r="S456" s="335"/>
      <c r="T456" s="335" t="s">
        <v>3866</v>
      </c>
      <c r="U456" s="336">
        <v>1.7000000000000001E-2</v>
      </c>
      <c r="V456" s="337">
        <v>30</v>
      </c>
      <c r="W456" s="335">
        <v>45</v>
      </c>
      <c r="X456" s="335">
        <v>55</v>
      </c>
      <c r="Y456" s="335" t="s">
        <v>64</v>
      </c>
      <c r="Z456" s="338">
        <f t="shared" si="837"/>
        <v>50.592592592592595</v>
      </c>
      <c r="AA456" s="338"/>
      <c r="AB456" s="339">
        <f t="shared" si="838"/>
        <v>39.979176730079956</v>
      </c>
      <c r="AC456" s="339"/>
      <c r="AD456" s="340">
        <f t="shared" si="788"/>
        <v>0.1</v>
      </c>
      <c r="AE456" s="340">
        <v>0.1</v>
      </c>
      <c r="AF456" s="340">
        <v>0.38</v>
      </c>
      <c r="AG456" s="341" t="s">
        <v>5</v>
      </c>
      <c r="AH456" s="341">
        <f t="shared" si="785"/>
        <v>35.981259057071959</v>
      </c>
      <c r="AI456" s="340">
        <f t="shared" si="825"/>
        <v>0.31111111111111101</v>
      </c>
      <c r="AJ456" s="444"/>
      <c r="AK456" s="342">
        <f t="shared" si="846"/>
        <v>30.355555555555554</v>
      </c>
      <c r="AL456" s="343">
        <f t="shared" si="847"/>
        <v>27.541210636277302</v>
      </c>
      <c r="AM456" s="344">
        <f t="shared" si="841"/>
        <v>0.4</v>
      </c>
      <c r="AN456" s="344">
        <f t="shared" si="842"/>
        <v>0.31111111111111112</v>
      </c>
      <c r="AO456" s="345"/>
      <c r="AP456" s="17" t="s">
        <v>664</v>
      </c>
      <c r="AQ456" s="141"/>
      <c r="AR456" s="191"/>
      <c r="AS456" s="191"/>
      <c r="AT456" s="141">
        <v>4</v>
      </c>
      <c r="AU456" s="439">
        <v>187.24</v>
      </c>
      <c r="AV456" s="141">
        <f t="shared" si="843"/>
        <v>191.24</v>
      </c>
      <c r="AW456" s="142">
        <f t="shared" si="844"/>
        <v>27.32</v>
      </c>
      <c r="AX456" s="126">
        <f t="shared" si="845"/>
        <v>24.787089572649574</v>
      </c>
      <c r="AY456" s="192" t="s">
        <v>3547</v>
      </c>
      <c r="AZ456" s="128"/>
      <c r="BB456" s="168"/>
      <c r="BC456" s="168"/>
      <c r="BD456" s="168"/>
      <c r="BE456" s="168"/>
    </row>
    <row r="457" spans="1:57" s="129" customFormat="1" hidden="1">
      <c r="A457" s="88" t="s">
        <v>1276</v>
      </c>
      <c r="B457" s="88" t="s">
        <v>1318</v>
      </c>
      <c r="C457" s="88" t="s">
        <v>1318</v>
      </c>
      <c r="D457" s="88" t="s">
        <v>656</v>
      </c>
      <c r="E457" s="88" t="s">
        <v>1056</v>
      </c>
      <c r="F457" s="89" t="s">
        <v>3491</v>
      </c>
      <c r="G457" s="92" t="s">
        <v>685</v>
      </c>
      <c r="H457" s="92"/>
      <c r="I457" s="167" t="s">
        <v>3490</v>
      </c>
      <c r="J457" s="167"/>
      <c r="K457" s="333" t="s">
        <v>3553</v>
      </c>
      <c r="L457" s="333" t="s">
        <v>3567</v>
      </c>
      <c r="M457" s="92"/>
      <c r="N457" s="89" t="s">
        <v>60</v>
      </c>
      <c r="O457" s="165"/>
      <c r="P457" s="89" t="s">
        <v>241</v>
      </c>
      <c r="Q457" s="92" t="s">
        <v>1059</v>
      </c>
      <c r="R457" s="92">
        <v>90</v>
      </c>
      <c r="S457" s="335"/>
      <c r="T457" s="335" t="s">
        <v>3866</v>
      </c>
      <c r="U457" s="336">
        <v>1.7000000000000001E-2</v>
      </c>
      <c r="V457" s="337">
        <v>30</v>
      </c>
      <c r="W457" s="335">
        <v>45</v>
      </c>
      <c r="X457" s="335">
        <v>55</v>
      </c>
      <c r="Y457" s="335" t="s">
        <v>64</v>
      </c>
      <c r="Z457" s="338">
        <f t="shared" si="837"/>
        <v>77.613756613756635</v>
      </c>
      <c r="AA457" s="338"/>
      <c r="AB457" s="339">
        <f t="shared" si="838"/>
        <v>60.494274725274735</v>
      </c>
      <c r="AC457" s="339"/>
      <c r="AD457" s="340">
        <f t="shared" si="788"/>
        <v>0.1</v>
      </c>
      <c r="AE457" s="340">
        <v>0.1</v>
      </c>
      <c r="AF457" s="340">
        <v>0.38</v>
      </c>
      <c r="AG457" s="341" t="s">
        <v>5</v>
      </c>
      <c r="AH457" s="341">
        <f t="shared" si="785"/>
        <v>54.444847252747266</v>
      </c>
      <c r="AI457" s="340">
        <f t="shared" si="825"/>
        <v>0.31111111111111112</v>
      </c>
      <c r="AJ457" s="444"/>
      <c r="AK457" s="342">
        <f t="shared" si="846"/>
        <v>46.568253968253977</v>
      </c>
      <c r="AL457" s="343">
        <f t="shared" si="847"/>
        <v>41.673833699633704</v>
      </c>
      <c r="AM457" s="344">
        <f t="shared" si="841"/>
        <v>0.4</v>
      </c>
      <c r="AN457" s="344">
        <f t="shared" si="842"/>
        <v>0.31111111111111112</v>
      </c>
      <c r="AO457" s="345"/>
      <c r="AP457" s="17" t="s">
        <v>664</v>
      </c>
      <c r="AQ457" s="141"/>
      <c r="AR457" s="191"/>
      <c r="AS457" s="191"/>
      <c r="AT457" s="141">
        <v>4</v>
      </c>
      <c r="AU457" s="439">
        <v>289.38000000000005</v>
      </c>
      <c r="AV457" s="141">
        <f t="shared" si="843"/>
        <v>293.38000000000005</v>
      </c>
      <c r="AW457" s="142">
        <f t="shared" si="844"/>
        <v>41.91142857142858</v>
      </c>
      <c r="AX457" s="126">
        <f t="shared" si="845"/>
        <v>37.506450329670336</v>
      </c>
      <c r="AY457" s="192" t="s">
        <v>3547</v>
      </c>
      <c r="AZ457" s="128"/>
      <c r="BB457" s="168"/>
      <c r="BC457" s="168"/>
      <c r="BD457" s="168"/>
      <c r="BE457" s="168"/>
    </row>
    <row r="458" spans="1:57" s="129" customFormat="1" hidden="1">
      <c r="A458" s="88" t="s">
        <v>1276</v>
      </c>
      <c r="B458" s="88" t="s">
        <v>1318</v>
      </c>
      <c r="C458" s="88" t="s">
        <v>1318</v>
      </c>
      <c r="D458" s="88" t="s">
        <v>656</v>
      </c>
      <c r="E458" s="88" t="s">
        <v>1056</v>
      </c>
      <c r="F458" s="89" t="s">
        <v>3491</v>
      </c>
      <c r="G458" s="92" t="s">
        <v>1686</v>
      </c>
      <c r="H458" s="92"/>
      <c r="I458" s="167" t="s">
        <v>1712</v>
      </c>
      <c r="J458" s="167" t="str">
        <f>_xlfn.XLOOKUP(I458,[1]Sheet1!$A:$A,[1]Sheet1!$B:$B,"")</f>
        <v/>
      </c>
      <c r="K458" s="88" t="s">
        <v>3554</v>
      </c>
      <c r="L458" s="88" t="s">
        <v>3568</v>
      </c>
      <c r="M458" s="92"/>
      <c r="N458" s="89" t="s">
        <v>60</v>
      </c>
      <c r="O458" s="165"/>
      <c r="P458" s="89" t="s">
        <v>241</v>
      </c>
      <c r="Q458" s="92" t="s">
        <v>1059</v>
      </c>
      <c r="R458" s="92">
        <v>90</v>
      </c>
      <c r="S458" s="92"/>
      <c r="T458" s="92" t="s">
        <v>3866</v>
      </c>
      <c r="U458" s="155">
        <v>1.7000000000000001E-2</v>
      </c>
      <c r="V458" s="207">
        <v>30</v>
      </c>
      <c r="W458" s="92">
        <v>45</v>
      </c>
      <c r="X458" s="92">
        <v>55</v>
      </c>
      <c r="Y458" s="92" t="s">
        <v>64</v>
      </c>
      <c r="Z458" s="133">
        <f t="shared" si="837"/>
        <v>32.777777777777779</v>
      </c>
      <c r="AA458" s="133"/>
      <c r="AB458" s="161">
        <f t="shared" si="838"/>
        <v>26.478373076923077</v>
      </c>
      <c r="AC458" s="161"/>
      <c r="AD458" s="213">
        <f t="shared" si="788"/>
        <v>0.1</v>
      </c>
      <c r="AE458" s="213">
        <v>0.1</v>
      </c>
      <c r="AF458" s="215">
        <v>0.4</v>
      </c>
      <c r="AG458" s="215" t="s">
        <v>5</v>
      </c>
      <c r="AH458" s="123">
        <f t="shared" si="785"/>
        <v>23.830535769230771</v>
      </c>
      <c r="AI458" s="122">
        <f t="shared" ref="AI458:AI459" si="848">1-(AX458/AH458)</f>
        <v>0.33333333333333348</v>
      </c>
      <c r="AJ458" s="444"/>
      <c r="AK458" s="150">
        <f t="shared" si="839"/>
        <v>19.011111111111109</v>
      </c>
      <c r="AL458" s="153">
        <f t="shared" si="840"/>
        <v>17.652248717948716</v>
      </c>
      <c r="AM458" s="125">
        <f t="shared" si="841"/>
        <v>0.42000000000000004</v>
      </c>
      <c r="AN458" s="125">
        <f t="shared" si="842"/>
        <v>0.33333333333333337</v>
      </c>
      <c r="AO458" s="140"/>
      <c r="AP458" s="17" t="s">
        <v>664</v>
      </c>
      <c r="AQ458" s="141"/>
      <c r="AR458" s="191"/>
      <c r="AS458" s="191"/>
      <c r="AT458" s="141">
        <v>4</v>
      </c>
      <c r="AU458" s="365">
        <v>115.77</v>
      </c>
      <c r="AV458" s="141">
        <f t="shared" si="843"/>
        <v>119.77</v>
      </c>
      <c r="AW458" s="142">
        <f t="shared" si="844"/>
        <v>17.11</v>
      </c>
      <c r="AX458" s="126">
        <f t="shared" si="845"/>
        <v>15.887023846153845</v>
      </c>
      <c r="AY458" s="192" t="s">
        <v>3547</v>
      </c>
      <c r="AZ458" s="128">
        <v>8517622990</v>
      </c>
      <c r="BB458" s="168">
        <f t="shared" si="833"/>
        <v>88.2612435897436</v>
      </c>
      <c r="BC458" s="168">
        <f t="shared" si="834"/>
        <v>52.956746153846161</v>
      </c>
      <c r="BD458" s="168">
        <f t="shared" si="835"/>
        <v>44.1306217948718</v>
      </c>
      <c r="BE458" s="168">
        <f t="shared" si="836"/>
        <v>35.304497435897439</v>
      </c>
    </row>
    <row r="459" spans="1:57" s="129" customFormat="1" hidden="1">
      <c r="A459" s="88" t="s">
        <v>1276</v>
      </c>
      <c r="B459" s="88" t="s">
        <v>1318</v>
      </c>
      <c r="C459" s="88" t="s">
        <v>1318</v>
      </c>
      <c r="D459" s="88" t="s">
        <v>656</v>
      </c>
      <c r="E459" s="88" t="s">
        <v>1056</v>
      </c>
      <c r="F459" s="89" t="s">
        <v>3491</v>
      </c>
      <c r="G459" s="92" t="s">
        <v>1686</v>
      </c>
      <c r="H459" s="92"/>
      <c r="I459" s="167" t="s">
        <v>1713</v>
      </c>
      <c r="J459" s="167" t="s">
        <v>3723</v>
      </c>
      <c r="K459" s="88" t="s">
        <v>3555</v>
      </c>
      <c r="L459" s="88" t="s">
        <v>3569</v>
      </c>
      <c r="M459" s="92"/>
      <c r="N459" s="89" t="s">
        <v>60</v>
      </c>
      <c r="O459" s="165"/>
      <c r="P459" s="89" t="s">
        <v>241</v>
      </c>
      <c r="Q459" s="92" t="s">
        <v>1059</v>
      </c>
      <c r="R459" s="92">
        <v>90</v>
      </c>
      <c r="S459" s="92"/>
      <c r="T459" s="92" t="s">
        <v>3866</v>
      </c>
      <c r="U459" s="155">
        <v>1.7000000000000001E-2</v>
      </c>
      <c r="V459" s="207">
        <v>30</v>
      </c>
      <c r="W459" s="92">
        <v>45</v>
      </c>
      <c r="X459" s="92">
        <v>55</v>
      </c>
      <c r="Y459" s="92" t="s">
        <v>64</v>
      </c>
      <c r="Z459" s="133">
        <f t="shared" si="837"/>
        <v>40.870279146141222</v>
      </c>
      <c r="AA459" s="133"/>
      <c r="AB459" s="161">
        <f t="shared" si="838"/>
        <v>32.615562189662192</v>
      </c>
      <c r="AC459" s="161"/>
      <c r="AD459" s="213">
        <f t="shared" si="788"/>
        <v>0.1</v>
      </c>
      <c r="AE459" s="213">
        <v>0.1</v>
      </c>
      <c r="AF459" s="215">
        <v>0.4</v>
      </c>
      <c r="AG459" s="215" t="s">
        <v>5</v>
      </c>
      <c r="AH459" s="123">
        <f t="shared" si="785"/>
        <v>29.354005970695972</v>
      </c>
      <c r="AI459" s="122">
        <f t="shared" si="848"/>
        <v>0.33333333333333326</v>
      </c>
      <c r="AJ459" s="444"/>
      <c r="AK459" s="150">
        <f t="shared" si="839"/>
        <v>23.704761904761906</v>
      </c>
      <c r="AL459" s="153">
        <f t="shared" si="840"/>
        <v>21.743708126441462</v>
      </c>
      <c r="AM459" s="125">
        <f t="shared" si="841"/>
        <v>0.42000000000000004</v>
      </c>
      <c r="AN459" s="125">
        <f t="shared" si="842"/>
        <v>0.33333333333333337</v>
      </c>
      <c r="AO459" s="140"/>
      <c r="AP459" s="17" t="s">
        <v>664</v>
      </c>
      <c r="AQ459" s="141"/>
      <c r="AR459" s="191"/>
      <c r="AS459" s="191"/>
      <c r="AT459" s="141">
        <v>4</v>
      </c>
      <c r="AU459" s="365">
        <v>145.34</v>
      </c>
      <c r="AV459" s="141">
        <f t="shared" si="843"/>
        <v>149.34</v>
      </c>
      <c r="AW459" s="142">
        <f t="shared" si="844"/>
        <v>21.334285714285716</v>
      </c>
      <c r="AX459" s="126">
        <f t="shared" si="845"/>
        <v>19.569337313797316</v>
      </c>
      <c r="AY459" s="192" t="s">
        <v>3547</v>
      </c>
      <c r="AZ459" s="128">
        <v>8517622990</v>
      </c>
      <c r="BB459" s="168">
        <f t="shared" si="833"/>
        <v>108.71854063220731</v>
      </c>
      <c r="BC459" s="168">
        <f t="shared" si="834"/>
        <v>65.231124379324385</v>
      </c>
      <c r="BD459" s="168">
        <f t="shared" si="835"/>
        <v>54.359270316103654</v>
      </c>
      <c r="BE459" s="168">
        <f t="shared" si="836"/>
        <v>43.487416252882923</v>
      </c>
    </row>
    <row r="460" spans="1:57" s="129" customFormat="1" hidden="1">
      <c r="A460" s="88" t="s">
        <v>1276</v>
      </c>
      <c r="B460" s="88" t="s">
        <v>1318</v>
      </c>
      <c r="C460" s="88" t="s">
        <v>1318</v>
      </c>
      <c r="D460" s="88" t="s">
        <v>656</v>
      </c>
      <c r="E460" s="88" t="s">
        <v>1056</v>
      </c>
      <c r="F460" s="89" t="s">
        <v>3491</v>
      </c>
      <c r="G460" s="92" t="s">
        <v>1686</v>
      </c>
      <c r="H460" s="92"/>
      <c r="I460" s="167" t="s">
        <v>3721</v>
      </c>
      <c r="J460" s="167" t="s">
        <v>3722</v>
      </c>
      <c r="K460" s="88" t="s">
        <v>3556</v>
      </c>
      <c r="L460" s="88" t="s">
        <v>3570</v>
      </c>
      <c r="M460" s="92"/>
      <c r="N460" s="89" t="s">
        <v>60</v>
      </c>
      <c r="O460" s="165"/>
      <c r="P460" s="89" t="s">
        <v>241</v>
      </c>
      <c r="Q460" s="92" t="s">
        <v>1059</v>
      </c>
      <c r="R460" s="92">
        <v>90</v>
      </c>
      <c r="S460" s="92"/>
      <c r="T460" s="92" t="s">
        <v>3866</v>
      </c>
      <c r="U460" s="155">
        <v>1.7000000000000001E-2</v>
      </c>
      <c r="V460" s="207">
        <v>30</v>
      </c>
      <c r="W460" s="92">
        <v>45</v>
      </c>
      <c r="X460" s="92">
        <v>55</v>
      </c>
      <c r="Y460" s="92" t="s">
        <v>64</v>
      </c>
      <c r="Z460" s="133">
        <f t="shared" ref="Z460:Z461" si="849">AK460/(1-(AF460+2%))</f>
        <v>58.334725703146766</v>
      </c>
      <c r="AA460" s="133"/>
      <c r="AB460" s="161">
        <f t="shared" ref="AB460:AB461" si="850">AX460/(1-AF460)</f>
        <v>45.861852445106692</v>
      </c>
      <c r="AC460" s="161"/>
      <c r="AD460" s="213">
        <f t="shared" si="788"/>
        <v>0.1</v>
      </c>
      <c r="AE460" s="213">
        <v>0.1</v>
      </c>
      <c r="AF460" s="215">
        <v>0.41000000000000003</v>
      </c>
      <c r="AG460" s="215" t="s">
        <v>5</v>
      </c>
      <c r="AH460" s="123">
        <f t="shared" si="785"/>
        <v>41.275667200596025</v>
      </c>
      <c r="AI460" s="122">
        <f t="shared" ref="AI460:AI461" si="851">1-(AX460/AH460)</f>
        <v>0.34444444444444455</v>
      </c>
      <c r="AJ460" s="444"/>
      <c r="AK460" s="150">
        <f t="shared" ref="AK460:AK461" si="852">AW460/(1-AD460)</f>
        <v>33.250793650793653</v>
      </c>
      <c r="AL460" s="153">
        <f t="shared" ref="AL460:AL461" si="853">AX460/(1-AE460)</f>
        <v>30.064992158458828</v>
      </c>
      <c r="AM460" s="125">
        <f t="shared" ref="AM460:AM461" si="854">1-(AK460/Z460)</f>
        <v>0.43000000000000005</v>
      </c>
      <c r="AN460" s="125">
        <f t="shared" ref="AN460:AN461" si="855">1-(AL460/AB460)</f>
        <v>0.34444444444444455</v>
      </c>
      <c r="AO460" s="140"/>
      <c r="AP460" s="17" t="s">
        <v>664</v>
      </c>
      <c r="AQ460" s="141"/>
      <c r="AR460" s="191"/>
      <c r="AS460" s="191"/>
      <c r="AT460" s="141">
        <v>4</v>
      </c>
      <c r="AU460" s="365">
        <v>205.48000000000002</v>
      </c>
      <c r="AV460" s="141">
        <f t="shared" ref="AV460:AV461" si="856">AT460+AU460</f>
        <v>209.48000000000002</v>
      </c>
      <c r="AW460" s="142">
        <f t="shared" ref="AW460:AW461" si="857">(AT460+AU460)/$F$5</f>
        <v>29.925714285714289</v>
      </c>
      <c r="AX460" s="126">
        <f t="shared" ref="AX460:AX461" si="858">(AW460/$F$6)+(($F$9+$G$9)/40/R460)+AW460*U460</f>
        <v>27.058492942612947</v>
      </c>
      <c r="AY460" s="192" t="s">
        <v>3547</v>
      </c>
      <c r="AZ460" s="128">
        <v>8517622990</v>
      </c>
      <c r="BB460" s="168">
        <f t="shared" si="833"/>
        <v>152.87284148368897</v>
      </c>
      <c r="BC460" s="168">
        <f t="shared" si="834"/>
        <v>91.723704890213384</v>
      </c>
      <c r="BD460" s="168">
        <f t="shared" si="835"/>
        <v>76.436420741844486</v>
      </c>
      <c r="BE460" s="168">
        <f t="shared" si="836"/>
        <v>61.149136593475589</v>
      </c>
    </row>
    <row r="461" spans="1:57" s="129" customFormat="1" hidden="1">
      <c r="A461" s="88" t="s">
        <v>1276</v>
      </c>
      <c r="B461" s="88" t="s">
        <v>1318</v>
      </c>
      <c r="C461" s="88" t="s">
        <v>1318</v>
      </c>
      <c r="D461" s="88" t="s">
        <v>656</v>
      </c>
      <c r="E461" s="88" t="s">
        <v>1056</v>
      </c>
      <c r="F461" s="89" t="s">
        <v>3491</v>
      </c>
      <c r="G461" s="92" t="s">
        <v>1686</v>
      </c>
      <c r="H461" s="92"/>
      <c r="I461" s="167" t="s">
        <v>2212</v>
      </c>
      <c r="J461" s="167" t="s">
        <v>3718</v>
      </c>
      <c r="K461" s="88" t="s">
        <v>3557</v>
      </c>
      <c r="L461" s="88" t="s">
        <v>3571</v>
      </c>
      <c r="M461" s="92"/>
      <c r="N461" s="89" t="s">
        <v>60</v>
      </c>
      <c r="O461" s="165"/>
      <c r="P461" s="89" t="s">
        <v>241</v>
      </c>
      <c r="Q461" s="92" t="s">
        <v>1059</v>
      </c>
      <c r="R461" s="92">
        <v>90</v>
      </c>
      <c r="S461" s="92"/>
      <c r="T461" s="92" t="s">
        <v>3866</v>
      </c>
      <c r="U461" s="155">
        <v>1.7000000000000001E-2</v>
      </c>
      <c r="V461" s="207">
        <v>30</v>
      </c>
      <c r="W461" s="92">
        <v>45</v>
      </c>
      <c r="X461" s="92">
        <v>55</v>
      </c>
      <c r="Y461" s="92" t="s">
        <v>64</v>
      </c>
      <c r="Z461" s="133">
        <f t="shared" si="849"/>
        <v>91.85742133110557</v>
      </c>
      <c r="AA461" s="133"/>
      <c r="AB461" s="161">
        <f t="shared" si="850"/>
        <v>71.269927236605213</v>
      </c>
      <c r="AC461" s="161"/>
      <c r="AD461" s="213">
        <f t="shared" ref="AD461" si="859">AE461</f>
        <v>0.1</v>
      </c>
      <c r="AE461" s="213">
        <v>0.1</v>
      </c>
      <c r="AF461" s="215">
        <v>0.41000000000000003</v>
      </c>
      <c r="AG461" s="215" t="s">
        <v>5</v>
      </c>
      <c r="AH461" s="123">
        <f t="shared" si="785"/>
        <v>64.142934512944692</v>
      </c>
      <c r="AI461" s="122">
        <f t="shared" si="851"/>
        <v>0.34444444444444444</v>
      </c>
      <c r="AJ461" s="444"/>
      <c r="AK461" s="150">
        <f t="shared" si="852"/>
        <v>52.358730158730168</v>
      </c>
      <c r="AL461" s="153">
        <f t="shared" si="853"/>
        <v>46.721396743996749</v>
      </c>
      <c r="AM461" s="125">
        <f t="shared" si="854"/>
        <v>0.43000000000000005</v>
      </c>
      <c r="AN461" s="125">
        <f t="shared" si="855"/>
        <v>0.34444444444444444</v>
      </c>
      <c r="AO461" s="140"/>
      <c r="AP461" s="17" t="s">
        <v>664</v>
      </c>
      <c r="AQ461" s="141"/>
      <c r="AR461" s="191"/>
      <c r="AS461" s="191"/>
      <c r="AT461" s="141">
        <v>4</v>
      </c>
      <c r="AU461" s="365">
        <v>325.86000000000007</v>
      </c>
      <c r="AV461" s="141">
        <f t="shared" si="856"/>
        <v>329.86000000000007</v>
      </c>
      <c r="AW461" s="142">
        <f t="shared" si="857"/>
        <v>47.12285714285715</v>
      </c>
      <c r="AX461" s="126">
        <f t="shared" si="858"/>
        <v>42.049257069597076</v>
      </c>
      <c r="AY461" s="192" t="s">
        <v>3547</v>
      </c>
      <c r="AZ461" s="128">
        <v>8517622990</v>
      </c>
      <c r="BB461" s="168">
        <f t="shared" si="833"/>
        <v>237.56642412201739</v>
      </c>
      <c r="BC461" s="168">
        <f t="shared" si="834"/>
        <v>142.53985447321043</v>
      </c>
      <c r="BD461" s="168">
        <f t="shared" si="835"/>
        <v>118.7832120610087</v>
      </c>
      <c r="BE461" s="168">
        <f t="shared" si="836"/>
        <v>95.026569648806969</v>
      </c>
    </row>
    <row r="462" spans="1:57" s="129" customFormat="1" hidden="1">
      <c r="A462" s="88" t="s">
        <v>1302</v>
      </c>
      <c r="B462" s="88" t="s">
        <v>1318</v>
      </c>
      <c r="C462" s="88" t="s">
        <v>1318</v>
      </c>
      <c r="D462" s="88" t="s">
        <v>656</v>
      </c>
      <c r="E462" s="88" t="s">
        <v>1056</v>
      </c>
      <c r="F462" s="89" t="s">
        <v>3486</v>
      </c>
      <c r="G462" s="92" t="s">
        <v>923</v>
      </c>
      <c r="H462" s="92"/>
      <c r="I462" s="167" t="s">
        <v>2438</v>
      </c>
      <c r="J462" s="167" t="str">
        <f>_xlfn.XLOOKUP(I462,[1]Sheet1!$A:$A,[1]Sheet1!$B:$B,"")</f>
        <v>U1001015</v>
      </c>
      <c r="K462" s="89" t="s">
        <v>2806</v>
      </c>
      <c r="L462" s="88" t="s">
        <v>1322</v>
      </c>
      <c r="M462" s="92"/>
      <c r="N462" s="89" t="s">
        <v>60</v>
      </c>
      <c r="O462" s="165"/>
      <c r="P462" s="89" t="s">
        <v>241</v>
      </c>
      <c r="Q462" s="92" t="s">
        <v>635</v>
      </c>
      <c r="R462" s="92">
        <v>540</v>
      </c>
      <c r="S462" s="92" t="s">
        <v>1064</v>
      </c>
      <c r="T462" s="92" t="s">
        <v>3863</v>
      </c>
      <c r="U462" s="155">
        <v>1.7000000000000001E-2</v>
      </c>
      <c r="V462" s="207">
        <v>30</v>
      </c>
      <c r="W462" s="92">
        <v>45</v>
      </c>
      <c r="X462" s="92">
        <v>55</v>
      </c>
      <c r="Y462" s="92" t="s">
        <v>64</v>
      </c>
      <c r="Z462" s="133">
        <f t="shared" si="562"/>
        <v>5.0979029081218856</v>
      </c>
      <c r="AA462" s="133"/>
      <c r="AB462" s="161">
        <f t="shared" si="563"/>
        <v>4.1158415527209851</v>
      </c>
      <c r="AC462" s="161"/>
      <c r="AD462" s="213">
        <f t="shared" si="564"/>
        <v>0.1</v>
      </c>
      <c r="AE462" s="213">
        <v>0.1</v>
      </c>
      <c r="AF462" s="215">
        <v>0.29499999999999998</v>
      </c>
      <c r="AG462" s="215" t="s">
        <v>5</v>
      </c>
      <c r="AH462" s="123">
        <f t="shared" si="785"/>
        <v>3.7042573974488868</v>
      </c>
      <c r="AI462" s="122">
        <f t="shared" si="784"/>
        <v>0.21666666666666656</v>
      </c>
      <c r="AJ462" s="444"/>
      <c r="AK462" s="150">
        <f t="shared" si="566"/>
        <v>3.4920634920634921</v>
      </c>
      <c r="AL462" s="153">
        <f t="shared" si="567"/>
        <v>3.224075882964772</v>
      </c>
      <c r="AM462" s="125">
        <f t="shared" si="568"/>
        <v>0.31499999999999995</v>
      </c>
      <c r="AN462" s="125">
        <f t="shared" si="640"/>
        <v>0.21666666666666656</v>
      </c>
      <c r="AO462" s="140"/>
      <c r="AP462" s="17" t="s">
        <v>664</v>
      </c>
      <c r="AQ462" s="141"/>
      <c r="AR462" s="191"/>
      <c r="AS462" s="191"/>
      <c r="AT462" s="141">
        <v>3</v>
      </c>
      <c r="AU462" s="141">
        <f>7+0.5*24</f>
        <v>19</v>
      </c>
      <c r="AV462" s="141">
        <f t="shared" si="570"/>
        <v>22</v>
      </c>
      <c r="AW462" s="142">
        <f t="shared" si="571"/>
        <v>3.1428571428571428</v>
      </c>
      <c r="AX462" s="126">
        <f t="shared" si="673"/>
        <v>2.901668294668295</v>
      </c>
      <c r="AY462" s="193"/>
      <c r="AZ462" s="128">
        <v>8517799000</v>
      </c>
      <c r="BB462" s="161">
        <f t="shared" si="833"/>
        <v>13.719471842403284</v>
      </c>
      <c r="BC462" s="161">
        <f t="shared" si="834"/>
        <v>8.2316831054419701</v>
      </c>
      <c r="BD462" s="161">
        <f t="shared" si="835"/>
        <v>6.8597359212016418</v>
      </c>
      <c r="BE462" s="161">
        <f t="shared" si="836"/>
        <v>5.4877887369613134</v>
      </c>
    </row>
    <row r="463" spans="1:57" s="129" customFormat="1" hidden="1">
      <c r="A463" s="88" t="s">
        <v>1302</v>
      </c>
      <c r="B463" s="88" t="s">
        <v>1318</v>
      </c>
      <c r="C463" s="88" t="s">
        <v>1318</v>
      </c>
      <c r="D463" s="88" t="s">
        <v>656</v>
      </c>
      <c r="E463" s="88" t="s">
        <v>1056</v>
      </c>
      <c r="F463" s="89" t="s">
        <v>3486</v>
      </c>
      <c r="G463" s="92" t="s">
        <v>923</v>
      </c>
      <c r="H463" s="92"/>
      <c r="I463" s="167" t="s">
        <v>1694</v>
      </c>
      <c r="J463" s="167" t="str">
        <f>_xlfn.XLOOKUP(I463,[1]Sheet1!$A:$A,[1]Sheet1!$B:$B,"")</f>
        <v>U1001016</v>
      </c>
      <c r="K463" s="88" t="s">
        <v>2807</v>
      </c>
      <c r="L463" s="88" t="s">
        <v>1324</v>
      </c>
      <c r="M463" s="92"/>
      <c r="N463" s="89" t="s">
        <v>60</v>
      </c>
      <c r="O463" s="165"/>
      <c r="P463" s="89" t="s">
        <v>241</v>
      </c>
      <c r="Q463" s="92" t="s">
        <v>635</v>
      </c>
      <c r="R463" s="92">
        <v>540</v>
      </c>
      <c r="S463" s="92" t="s">
        <v>1066</v>
      </c>
      <c r="T463" s="92" t="s">
        <v>3863</v>
      </c>
      <c r="U463" s="155">
        <v>1.7000000000000001E-2</v>
      </c>
      <c r="V463" s="207">
        <v>30</v>
      </c>
      <c r="W463" s="92">
        <v>45</v>
      </c>
      <c r="X463" s="92">
        <v>55</v>
      </c>
      <c r="Y463" s="92" t="s">
        <v>64</v>
      </c>
      <c r="Z463" s="133">
        <f t="shared" si="562"/>
        <v>3.7075657513613711</v>
      </c>
      <c r="AA463" s="133"/>
      <c r="AB463" s="161">
        <f t="shared" si="563"/>
        <v>3.0560228843916781</v>
      </c>
      <c r="AC463" s="161"/>
      <c r="AD463" s="213">
        <f t="shared" si="564"/>
        <v>0.1</v>
      </c>
      <c r="AE463" s="213">
        <v>0.1</v>
      </c>
      <c r="AF463" s="215">
        <v>0.29499999999999998</v>
      </c>
      <c r="AG463" s="215" t="s">
        <v>5</v>
      </c>
      <c r="AH463" s="123">
        <f t="shared" si="785"/>
        <v>2.7504205959525105</v>
      </c>
      <c r="AI463" s="122">
        <f t="shared" si="784"/>
        <v>0.21666666666666667</v>
      </c>
      <c r="AJ463" s="444"/>
      <c r="AK463" s="150">
        <f t="shared" si="566"/>
        <v>2.5396825396825395</v>
      </c>
      <c r="AL463" s="153">
        <f t="shared" si="567"/>
        <v>2.3938845927734813</v>
      </c>
      <c r="AM463" s="125">
        <f t="shared" si="568"/>
        <v>0.31499999999999995</v>
      </c>
      <c r="AN463" s="125">
        <f t="shared" si="640"/>
        <v>0.21666666666666667</v>
      </c>
      <c r="AO463" s="140"/>
      <c r="AP463" s="17" t="s">
        <v>664</v>
      </c>
      <c r="AQ463" s="141"/>
      <c r="AR463" s="191"/>
      <c r="AS463" s="191"/>
      <c r="AT463" s="141">
        <v>3</v>
      </c>
      <c r="AU463" s="141">
        <f>7+0.25*24</f>
        <v>13</v>
      </c>
      <c r="AV463" s="141">
        <f t="shared" si="570"/>
        <v>16</v>
      </c>
      <c r="AW463" s="142">
        <f t="shared" si="571"/>
        <v>2.2857142857142856</v>
      </c>
      <c r="AX463" s="126">
        <f t="shared" si="673"/>
        <v>2.1544961334961332</v>
      </c>
      <c r="AY463" s="193"/>
      <c r="AZ463" s="128">
        <v>8517799000</v>
      </c>
      <c r="BB463" s="161">
        <f t="shared" si="833"/>
        <v>10.186742947972261</v>
      </c>
      <c r="BC463" s="161">
        <f t="shared" si="834"/>
        <v>6.1120457687833563</v>
      </c>
      <c r="BD463" s="161">
        <f t="shared" si="835"/>
        <v>5.0933714739861307</v>
      </c>
      <c r="BE463" s="161">
        <f t="shared" si="836"/>
        <v>4.0746971791889051</v>
      </c>
    </row>
    <row r="464" spans="1:57" s="129" customFormat="1" hidden="1">
      <c r="A464" s="88" t="s">
        <v>1276</v>
      </c>
      <c r="B464" s="88" t="s">
        <v>1318</v>
      </c>
      <c r="C464" s="88" t="s">
        <v>1318</v>
      </c>
      <c r="D464" s="88" t="s">
        <v>656</v>
      </c>
      <c r="E464" s="88" t="s">
        <v>1056</v>
      </c>
      <c r="F464" s="89" t="s">
        <v>3486</v>
      </c>
      <c r="G464" s="92" t="s">
        <v>923</v>
      </c>
      <c r="H464" s="92"/>
      <c r="I464" s="167" t="s">
        <v>4012</v>
      </c>
      <c r="J464" s="167" t="s">
        <v>4015</v>
      </c>
      <c r="K464" s="88" t="s">
        <v>4013</v>
      </c>
      <c r="L464" s="88" t="s">
        <v>4014</v>
      </c>
      <c r="M464" s="92"/>
      <c r="N464" s="89" t="s">
        <v>60</v>
      </c>
      <c r="O464" s="165"/>
      <c r="P464" s="89" t="s">
        <v>241</v>
      </c>
      <c r="Q464" s="92"/>
      <c r="R464" s="92"/>
      <c r="S464" s="92"/>
      <c r="T464" s="92" t="s">
        <v>3863</v>
      </c>
      <c r="U464" s="324">
        <v>1.7000000000000001E-2</v>
      </c>
      <c r="V464" s="207">
        <v>30</v>
      </c>
      <c r="W464" s="92">
        <v>45</v>
      </c>
      <c r="X464" s="92">
        <v>55</v>
      </c>
      <c r="Y464" s="92" t="s">
        <v>64</v>
      </c>
      <c r="Z464" s="133"/>
      <c r="AA464" s="133"/>
      <c r="AB464" s="161"/>
      <c r="AC464" s="161"/>
      <c r="AD464" s="213">
        <f>AE464</f>
        <v>0.1</v>
      </c>
      <c r="AE464" s="213">
        <v>0.1</v>
      </c>
      <c r="AF464" s="215">
        <v>0.29499999999999998</v>
      </c>
      <c r="AG464" s="215" t="s">
        <v>5</v>
      </c>
      <c r="AH464" s="123"/>
      <c r="AI464" s="122"/>
      <c r="AJ464" s="444"/>
      <c r="AK464" s="150"/>
      <c r="AL464" s="153"/>
      <c r="AM464" s="325"/>
      <c r="AN464" s="325"/>
      <c r="AO464" s="140"/>
      <c r="AP464" s="17" t="s">
        <v>664</v>
      </c>
      <c r="AQ464" s="141"/>
      <c r="AR464" s="191"/>
      <c r="AS464" s="191"/>
      <c r="AT464" s="141"/>
      <c r="AU464" s="141"/>
      <c r="AV464" s="141"/>
      <c r="AW464" s="142"/>
      <c r="AX464" s="126"/>
      <c r="AY464" s="193"/>
      <c r="AZ464" s="128">
        <v>8517799000</v>
      </c>
      <c r="BB464" s="161">
        <f>AB464/0.3</f>
        <v>0</v>
      </c>
      <c r="BC464" s="161">
        <f>BB464*0.6</f>
        <v>0</v>
      </c>
      <c r="BD464" s="161">
        <f>BB464*0.5</f>
        <v>0</v>
      </c>
      <c r="BE464" s="161">
        <f>BB464*0.4</f>
        <v>0</v>
      </c>
    </row>
    <row r="465" spans="1:57" s="129" customFormat="1" hidden="1">
      <c r="A465" s="88" t="s">
        <v>1302</v>
      </c>
      <c r="B465" s="88" t="s">
        <v>1318</v>
      </c>
      <c r="C465" s="88" t="s">
        <v>1318</v>
      </c>
      <c r="D465" s="88" t="s">
        <v>656</v>
      </c>
      <c r="E465" s="88" t="s">
        <v>1056</v>
      </c>
      <c r="F465" s="89" t="s">
        <v>3486</v>
      </c>
      <c r="G465" s="92" t="s">
        <v>923</v>
      </c>
      <c r="H465" s="92"/>
      <c r="I465" s="167" t="s">
        <v>1067</v>
      </c>
      <c r="J465" s="167" t="str">
        <f>_xlfn.XLOOKUP(I465,[1]Sheet1!$A:$A,[1]Sheet1!$B:$B,"")</f>
        <v>U1001004</v>
      </c>
      <c r="K465" s="88" t="s">
        <v>2808</v>
      </c>
      <c r="L465" s="88" t="s">
        <v>1323</v>
      </c>
      <c r="M465" s="92"/>
      <c r="N465" s="89" t="s">
        <v>60</v>
      </c>
      <c r="O465" s="165"/>
      <c r="P465" s="89" t="s">
        <v>241</v>
      </c>
      <c r="Q465" s="92" t="s">
        <v>635</v>
      </c>
      <c r="R465" s="92">
        <v>540</v>
      </c>
      <c r="S465" s="92" t="s">
        <v>1068</v>
      </c>
      <c r="T465" s="92" t="s">
        <v>3863</v>
      </c>
      <c r="U465" s="155">
        <v>1.7000000000000001E-2</v>
      </c>
      <c r="V465" s="207">
        <v>30</v>
      </c>
      <c r="W465" s="92">
        <v>45</v>
      </c>
      <c r="X465" s="92">
        <v>55</v>
      </c>
      <c r="Y465" s="92" t="s">
        <v>64</v>
      </c>
      <c r="Z465" s="133">
        <f t="shared" si="562"/>
        <v>3.7075657513613711</v>
      </c>
      <c r="AA465" s="133"/>
      <c r="AB465" s="161">
        <f t="shared" si="563"/>
        <v>3.0560228843916781</v>
      </c>
      <c r="AC465" s="161"/>
      <c r="AD465" s="213">
        <f t="shared" si="564"/>
        <v>0.1</v>
      </c>
      <c r="AE465" s="213">
        <v>0.1</v>
      </c>
      <c r="AF465" s="215">
        <v>0.29499999999999998</v>
      </c>
      <c r="AG465" s="215" t="s">
        <v>5</v>
      </c>
      <c r="AH465" s="123">
        <f t="shared" si="785"/>
        <v>2.7504205959525105</v>
      </c>
      <c r="AI465" s="122">
        <f t="shared" si="784"/>
        <v>0.21666666666666667</v>
      </c>
      <c r="AJ465" s="444"/>
      <c r="AK465" s="150">
        <f t="shared" si="566"/>
        <v>2.5396825396825395</v>
      </c>
      <c r="AL465" s="153">
        <f t="shared" si="567"/>
        <v>2.3938845927734813</v>
      </c>
      <c r="AM465" s="125">
        <f t="shared" si="568"/>
        <v>0.31499999999999995</v>
      </c>
      <c r="AN465" s="125">
        <f t="shared" si="640"/>
        <v>0.21666666666666667</v>
      </c>
      <c r="AO465" s="140"/>
      <c r="AP465" s="17" t="s">
        <v>664</v>
      </c>
      <c r="AQ465" s="141"/>
      <c r="AR465" s="191"/>
      <c r="AS465" s="191"/>
      <c r="AT465" s="141">
        <v>3</v>
      </c>
      <c r="AU465" s="141">
        <f>7+0.5*12</f>
        <v>13</v>
      </c>
      <c r="AV465" s="141">
        <f t="shared" si="570"/>
        <v>16</v>
      </c>
      <c r="AW465" s="142">
        <f t="shared" si="571"/>
        <v>2.2857142857142856</v>
      </c>
      <c r="AX465" s="126">
        <f t="shared" si="673"/>
        <v>2.1544961334961332</v>
      </c>
      <c r="AY465" s="193"/>
      <c r="AZ465" s="128">
        <v>8517799000</v>
      </c>
      <c r="BB465" s="161">
        <f t="shared" si="833"/>
        <v>10.186742947972261</v>
      </c>
      <c r="BC465" s="161">
        <f t="shared" si="834"/>
        <v>6.1120457687833563</v>
      </c>
      <c r="BD465" s="161">
        <f t="shared" si="835"/>
        <v>5.0933714739861307</v>
      </c>
      <c r="BE465" s="161">
        <f t="shared" si="836"/>
        <v>4.0746971791889051</v>
      </c>
    </row>
    <row r="466" spans="1:57" s="129" customFormat="1" hidden="1">
      <c r="A466" s="88" t="s">
        <v>1302</v>
      </c>
      <c r="B466" s="88" t="s">
        <v>1318</v>
      </c>
      <c r="C466" s="88" t="s">
        <v>1318</v>
      </c>
      <c r="D466" s="88" t="s">
        <v>656</v>
      </c>
      <c r="E466" s="88" t="s">
        <v>1056</v>
      </c>
      <c r="F466" s="89" t="s">
        <v>3486</v>
      </c>
      <c r="G466" s="92" t="s">
        <v>923</v>
      </c>
      <c r="H466" s="92"/>
      <c r="I466" s="167" t="s">
        <v>1069</v>
      </c>
      <c r="J466" s="167" t="str">
        <f>_xlfn.XLOOKUP(I466,[1]Sheet1!$A:$A,[1]Sheet1!$B:$B,"")</f>
        <v>U1001005</v>
      </c>
      <c r="K466" s="88" t="s">
        <v>2809</v>
      </c>
      <c r="L466" s="88" t="s">
        <v>1325</v>
      </c>
      <c r="M466" s="92"/>
      <c r="N466" s="89" t="s">
        <v>60</v>
      </c>
      <c r="O466" s="165"/>
      <c r="P466" s="89" t="s">
        <v>241</v>
      </c>
      <c r="Q466" s="92" t="s">
        <v>635</v>
      </c>
      <c r="R466" s="92">
        <v>540</v>
      </c>
      <c r="S466" s="92" t="s">
        <v>1070</v>
      </c>
      <c r="T466" s="92" t="s">
        <v>3863</v>
      </c>
      <c r="U466" s="155">
        <v>1.7000000000000001E-2</v>
      </c>
      <c r="V466" s="207">
        <v>30</v>
      </c>
      <c r="W466" s="92">
        <v>45</v>
      </c>
      <c r="X466" s="92">
        <v>55</v>
      </c>
      <c r="Y466" s="92" t="s">
        <v>64</v>
      </c>
      <c r="Z466" s="133">
        <f t="shared" si="562"/>
        <v>3.0123971729811148</v>
      </c>
      <c r="AA466" s="133"/>
      <c r="AB466" s="161">
        <f t="shared" si="563"/>
        <v>2.5261135502270253</v>
      </c>
      <c r="AC466" s="161"/>
      <c r="AD466" s="213">
        <f t="shared" si="564"/>
        <v>0.1</v>
      </c>
      <c r="AE466" s="213">
        <v>0.1</v>
      </c>
      <c r="AF466" s="215">
        <v>0.29499999999999998</v>
      </c>
      <c r="AG466" s="215" t="s">
        <v>5</v>
      </c>
      <c r="AH466" s="123">
        <f t="shared" si="785"/>
        <v>2.2735021952043231</v>
      </c>
      <c r="AI466" s="122">
        <f t="shared" si="784"/>
        <v>0.21666666666666667</v>
      </c>
      <c r="AJ466" s="444"/>
      <c r="AK466" s="150">
        <f t="shared" si="566"/>
        <v>2.0634920634920637</v>
      </c>
      <c r="AL466" s="153">
        <f t="shared" si="567"/>
        <v>1.9787889476778366</v>
      </c>
      <c r="AM466" s="125">
        <f t="shared" si="568"/>
        <v>0.31499999999999995</v>
      </c>
      <c r="AN466" s="125">
        <f t="shared" si="640"/>
        <v>0.21666666666666656</v>
      </c>
      <c r="AO466" s="140"/>
      <c r="AP466" s="17" t="s">
        <v>664</v>
      </c>
      <c r="AQ466" s="141"/>
      <c r="AR466" s="191"/>
      <c r="AS466" s="191"/>
      <c r="AT466" s="141">
        <v>3</v>
      </c>
      <c r="AU466" s="141">
        <f>7+0.25*12</f>
        <v>10</v>
      </c>
      <c r="AV466" s="141">
        <f t="shared" si="570"/>
        <v>13</v>
      </c>
      <c r="AW466" s="142">
        <f t="shared" si="571"/>
        <v>1.8571428571428572</v>
      </c>
      <c r="AX466" s="126">
        <f t="shared" si="673"/>
        <v>1.780910052910053</v>
      </c>
      <c r="AY466" s="193"/>
      <c r="AZ466" s="128">
        <v>8517799000</v>
      </c>
      <c r="BB466" s="161">
        <f t="shared" si="833"/>
        <v>8.4203785007567511</v>
      </c>
      <c r="BC466" s="161">
        <f t="shared" si="834"/>
        <v>5.0522271004540507</v>
      </c>
      <c r="BD466" s="161">
        <f t="shared" si="835"/>
        <v>4.2101892503783755</v>
      </c>
      <c r="BE466" s="161">
        <f t="shared" si="836"/>
        <v>3.3681514003027004</v>
      </c>
    </row>
    <row r="467" spans="1:57" s="129" customFormat="1" hidden="1">
      <c r="A467" s="88" t="s">
        <v>1302</v>
      </c>
      <c r="B467" s="88" t="s">
        <v>1318</v>
      </c>
      <c r="C467" s="88" t="s">
        <v>1318</v>
      </c>
      <c r="D467" s="88" t="s">
        <v>656</v>
      </c>
      <c r="E467" s="88" t="s">
        <v>1056</v>
      </c>
      <c r="F467" s="89" t="s">
        <v>3486</v>
      </c>
      <c r="G467" s="92" t="s">
        <v>1071</v>
      </c>
      <c r="H467" s="92"/>
      <c r="I467" s="167" t="s">
        <v>1072</v>
      </c>
      <c r="J467" s="167" t="str">
        <f>_xlfn.XLOOKUP(I467,[1]Sheet1!$A:$A,[1]Sheet1!$B:$B,"")</f>
        <v>U1001018</v>
      </c>
      <c r="K467" s="88" t="s">
        <v>1073</v>
      </c>
      <c r="L467" s="88" t="s">
        <v>1074</v>
      </c>
      <c r="M467" s="92"/>
      <c r="N467" s="89" t="s">
        <v>60</v>
      </c>
      <c r="O467" s="165"/>
      <c r="P467" s="89" t="s">
        <v>241</v>
      </c>
      <c r="Q467" s="92" t="s">
        <v>635</v>
      </c>
      <c r="R467" s="92">
        <v>540</v>
      </c>
      <c r="S467" s="92"/>
      <c r="T467" s="92" t="s">
        <v>3863</v>
      </c>
      <c r="U467" s="155">
        <v>1.7000000000000001E-2</v>
      </c>
      <c r="V467" s="207">
        <v>30</v>
      </c>
      <c r="W467" s="92">
        <v>45</v>
      </c>
      <c r="X467" s="92">
        <v>55</v>
      </c>
      <c r="Y467" s="92" t="s">
        <v>64</v>
      </c>
      <c r="Z467" s="133">
        <f t="shared" si="562"/>
        <v>3.7075657513613711</v>
      </c>
      <c r="AA467" s="133"/>
      <c r="AB467" s="161">
        <f t="shared" si="563"/>
        <v>3.0560228843916781</v>
      </c>
      <c r="AC467" s="161"/>
      <c r="AD467" s="213">
        <f t="shared" si="564"/>
        <v>0.1</v>
      </c>
      <c r="AE467" s="213">
        <v>0.1</v>
      </c>
      <c r="AF467" s="215">
        <v>0.29499999999999998</v>
      </c>
      <c r="AG467" s="215" t="s">
        <v>5</v>
      </c>
      <c r="AH467" s="123">
        <f t="shared" si="785"/>
        <v>2.7504205959525105</v>
      </c>
      <c r="AI467" s="122">
        <f t="shared" si="784"/>
        <v>0.21666666666666667</v>
      </c>
      <c r="AJ467" s="444"/>
      <c r="AK467" s="150">
        <f t="shared" si="566"/>
        <v>2.5396825396825395</v>
      </c>
      <c r="AL467" s="153">
        <f t="shared" si="567"/>
        <v>2.3938845927734813</v>
      </c>
      <c r="AM467" s="125">
        <f t="shared" si="568"/>
        <v>0.31499999999999995</v>
      </c>
      <c r="AN467" s="125">
        <f t="shared" si="640"/>
        <v>0.21666666666666667</v>
      </c>
      <c r="AO467" s="140"/>
      <c r="AP467" s="17" t="s">
        <v>664</v>
      </c>
      <c r="AQ467" s="141"/>
      <c r="AR467" s="191"/>
      <c r="AS467" s="191"/>
      <c r="AT467" s="141">
        <v>3</v>
      </c>
      <c r="AU467" s="141">
        <f>7+0.25*24</f>
        <v>13</v>
      </c>
      <c r="AV467" s="141">
        <f t="shared" si="570"/>
        <v>16</v>
      </c>
      <c r="AW467" s="142">
        <f t="shared" si="571"/>
        <v>2.2857142857142856</v>
      </c>
      <c r="AX467" s="126">
        <f t="shared" si="673"/>
        <v>2.1544961334961332</v>
      </c>
      <c r="AY467" s="193"/>
      <c r="AZ467" s="128">
        <v>8517799000</v>
      </c>
      <c r="BB467" s="161">
        <f t="shared" si="833"/>
        <v>10.186742947972261</v>
      </c>
      <c r="BC467" s="161">
        <f t="shared" si="834"/>
        <v>6.1120457687833563</v>
      </c>
      <c r="BD467" s="161">
        <f t="shared" si="835"/>
        <v>5.0933714739861307</v>
      </c>
      <c r="BE467" s="161">
        <f t="shared" si="836"/>
        <v>4.0746971791889051</v>
      </c>
    </row>
    <row r="468" spans="1:57" s="129" customFormat="1" hidden="1">
      <c r="A468" s="88" t="s">
        <v>1302</v>
      </c>
      <c r="B468" s="88" t="s">
        <v>1317</v>
      </c>
      <c r="C468" s="88" t="s">
        <v>1318</v>
      </c>
      <c r="D468" s="88" t="s">
        <v>656</v>
      </c>
      <c r="E468" s="88" t="s">
        <v>1056</v>
      </c>
      <c r="F468" s="89" t="s">
        <v>3486</v>
      </c>
      <c r="G468" s="92" t="s">
        <v>923</v>
      </c>
      <c r="H468" s="92"/>
      <c r="I468" s="167" t="s">
        <v>1271</v>
      </c>
      <c r="J468" s="167" t="str">
        <f>_xlfn.XLOOKUP(I468,[1]Sheet1!$A:$A,[1]Sheet1!$B:$B,"")</f>
        <v>U1001006</v>
      </c>
      <c r="K468" s="229" t="s">
        <v>2810</v>
      </c>
      <c r="L468" s="88" t="s">
        <v>1326</v>
      </c>
      <c r="M468" s="92"/>
      <c r="N468" s="89" t="s">
        <v>60</v>
      </c>
      <c r="O468" s="165"/>
      <c r="P468" s="89" t="s">
        <v>241</v>
      </c>
      <c r="Q468" s="92" t="s">
        <v>635</v>
      </c>
      <c r="R468" s="92">
        <v>540</v>
      </c>
      <c r="S468" s="92" t="s">
        <v>2510</v>
      </c>
      <c r="T468" s="92" t="s">
        <v>3863</v>
      </c>
      <c r="U468" s="155">
        <v>1.7000000000000001E-2</v>
      </c>
      <c r="V468" s="207">
        <v>30</v>
      </c>
      <c r="W468" s="92">
        <v>45</v>
      </c>
      <c r="X468" s="92">
        <v>55</v>
      </c>
      <c r="Y468" s="92" t="s">
        <v>64</v>
      </c>
      <c r="Z468" s="133">
        <f t="shared" ref="Z468:Z469" si="860">AK468/(1-(AF468+2%))</f>
        <v>3.0123971729811148</v>
      </c>
      <c r="AA468" s="133"/>
      <c r="AB468" s="161">
        <f t="shared" ref="AB468:AB469" si="861">AX468/(1-AF468)</f>
        <v>2.5261135502270253</v>
      </c>
      <c r="AC468" s="161"/>
      <c r="AD468" s="213">
        <f t="shared" ref="AD468:AD469" si="862">AE468</f>
        <v>0.1</v>
      </c>
      <c r="AE468" s="213">
        <v>0.1</v>
      </c>
      <c r="AF468" s="215">
        <v>0.29499999999999998</v>
      </c>
      <c r="AG468" s="215" t="s">
        <v>5</v>
      </c>
      <c r="AH468" s="123">
        <f t="shared" si="785"/>
        <v>2.2735021952043231</v>
      </c>
      <c r="AI468" s="122">
        <f t="shared" ref="AI468:AI469" si="863">1-(AX468/AH468)</f>
        <v>0.21666666666666667</v>
      </c>
      <c r="AJ468" s="444"/>
      <c r="AK468" s="150">
        <f t="shared" ref="AK468:AK469" si="864">AW468/(1-AD468)</f>
        <v>2.0634920634920637</v>
      </c>
      <c r="AL468" s="153">
        <f t="shared" ref="AL468:AL469" si="865">AX468/(1-AE468)</f>
        <v>1.9787889476778366</v>
      </c>
      <c r="AM468" s="125">
        <f t="shared" ref="AM468:AM469" si="866">1-(AK468/Z468)</f>
        <v>0.31499999999999995</v>
      </c>
      <c r="AN468" s="125">
        <f t="shared" ref="AN468:AN469" si="867">1-(AL468/AB468)</f>
        <v>0.21666666666666656</v>
      </c>
      <c r="AO468" s="140"/>
      <c r="AP468" s="17" t="s">
        <v>664</v>
      </c>
      <c r="AQ468" s="141"/>
      <c r="AR468" s="191"/>
      <c r="AS468" s="191"/>
      <c r="AT468" s="141">
        <v>2.2000000000000002</v>
      </c>
      <c r="AU468" s="141">
        <f>7.8+0.25*12</f>
        <v>10.8</v>
      </c>
      <c r="AV468" s="141">
        <f t="shared" ref="AV468:AV469" si="868">AT468+AU468</f>
        <v>13</v>
      </c>
      <c r="AW468" s="142">
        <f t="shared" ref="AW468:AW469" si="869">(AT468+AU468)/$F$5</f>
        <v>1.8571428571428572</v>
      </c>
      <c r="AX468" s="126">
        <f t="shared" ref="AX468:AX469" si="870">(AW468/$F$6)+(($F$9+$G$9)/40/R468)+AW468*U468</f>
        <v>1.780910052910053</v>
      </c>
      <c r="AY468" s="193"/>
      <c r="AZ468" s="128">
        <v>8517799000</v>
      </c>
      <c r="BB468" s="161">
        <f t="shared" si="833"/>
        <v>8.4203785007567511</v>
      </c>
      <c r="BC468" s="161">
        <f t="shared" si="834"/>
        <v>5.0522271004540507</v>
      </c>
      <c r="BD468" s="161">
        <f t="shared" si="835"/>
        <v>4.2101892503783755</v>
      </c>
      <c r="BE468" s="161">
        <f t="shared" si="836"/>
        <v>3.3681514003027004</v>
      </c>
    </row>
    <row r="469" spans="1:57" s="129" customFormat="1" hidden="1">
      <c r="A469" s="88" t="s">
        <v>1302</v>
      </c>
      <c r="B469" s="88" t="s">
        <v>1317</v>
      </c>
      <c r="C469" s="88" t="s">
        <v>1318</v>
      </c>
      <c r="D469" s="88" t="s">
        <v>656</v>
      </c>
      <c r="E469" s="88" t="s">
        <v>1056</v>
      </c>
      <c r="F469" s="89" t="s">
        <v>3486</v>
      </c>
      <c r="G469" s="92" t="s">
        <v>923</v>
      </c>
      <c r="H469" s="92"/>
      <c r="I469" s="167" t="s">
        <v>1272</v>
      </c>
      <c r="J469" s="167" t="str">
        <f>_xlfn.XLOOKUP(I469,[1]Sheet1!$A:$A,[1]Sheet1!$B:$B,"")</f>
        <v>U1001017</v>
      </c>
      <c r="K469" s="229" t="s">
        <v>2811</v>
      </c>
      <c r="L469" s="88" t="s">
        <v>1327</v>
      </c>
      <c r="M469" s="92"/>
      <c r="N469" s="89" t="s">
        <v>60</v>
      </c>
      <c r="O469" s="165"/>
      <c r="P469" s="89" t="s">
        <v>241</v>
      </c>
      <c r="Q469" s="92" t="s">
        <v>635</v>
      </c>
      <c r="R469" s="92">
        <v>540</v>
      </c>
      <c r="S469" s="92" t="s">
        <v>2511</v>
      </c>
      <c r="T469" s="92" t="s">
        <v>3863</v>
      </c>
      <c r="U469" s="155">
        <v>1.7000000000000001E-2</v>
      </c>
      <c r="V469" s="207">
        <v>30</v>
      </c>
      <c r="W469" s="92">
        <v>45</v>
      </c>
      <c r="X469" s="92">
        <v>55</v>
      </c>
      <c r="Y469" s="92" t="s">
        <v>64</v>
      </c>
      <c r="Z469" s="133">
        <f t="shared" si="860"/>
        <v>3.7075657513613711</v>
      </c>
      <c r="AA469" s="133"/>
      <c r="AB469" s="161">
        <f t="shared" si="861"/>
        <v>3.0560228843916781</v>
      </c>
      <c r="AC469" s="161"/>
      <c r="AD469" s="213">
        <f t="shared" si="862"/>
        <v>0.1</v>
      </c>
      <c r="AE469" s="213">
        <v>0.1</v>
      </c>
      <c r="AF469" s="215">
        <v>0.29499999999999998</v>
      </c>
      <c r="AG469" s="215" t="s">
        <v>5</v>
      </c>
      <c r="AH469" s="123">
        <f t="shared" si="785"/>
        <v>2.7504205959525105</v>
      </c>
      <c r="AI469" s="122">
        <f t="shared" si="863"/>
        <v>0.21666666666666667</v>
      </c>
      <c r="AJ469" s="444"/>
      <c r="AK469" s="150">
        <f t="shared" si="864"/>
        <v>2.5396825396825395</v>
      </c>
      <c r="AL469" s="153">
        <f t="shared" si="865"/>
        <v>2.3938845927734813</v>
      </c>
      <c r="AM469" s="125">
        <f t="shared" si="866"/>
        <v>0.31499999999999995</v>
      </c>
      <c r="AN469" s="125">
        <f t="shared" si="867"/>
        <v>0.21666666666666667</v>
      </c>
      <c r="AO469" s="140"/>
      <c r="AP469" s="17" t="s">
        <v>664</v>
      </c>
      <c r="AQ469" s="141"/>
      <c r="AR469" s="191"/>
      <c r="AS469" s="191"/>
      <c r="AT469" s="141">
        <v>2.2000000000000002</v>
      </c>
      <c r="AU469" s="141">
        <f>7.8+0.25*24</f>
        <v>13.8</v>
      </c>
      <c r="AV469" s="141">
        <f t="shared" si="868"/>
        <v>16</v>
      </c>
      <c r="AW469" s="142">
        <f t="shared" si="869"/>
        <v>2.2857142857142856</v>
      </c>
      <c r="AX469" s="126">
        <f t="shared" si="870"/>
        <v>2.1544961334961332</v>
      </c>
      <c r="AY469" s="193"/>
      <c r="AZ469" s="128">
        <v>8517799000</v>
      </c>
      <c r="BB469" s="161">
        <f t="shared" si="833"/>
        <v>10.186742947972261</v>
      </c>
      <c r="BC469" s="161">
        <f t="shared" si="834"/>
        <v>6.1120457687833563</v>
      </c>
      <c r="BD469" s="161">
        <f t="shared" si="835"/>
        <v>5.0933714739861307</v>
      </c>
      <c r="BE469" s="161">
        <f t="shared" si="836"/>
        <v>4.0746971791889051</v>
      </c>
    </row>
    <row r="470" spans="1:57" s="129" customFormat="1" hidden="1">
      <c r="A470" s="88" t="s">
        <v>1302</v>
      </c>
      <c r="B470" s="88" t="s">
        <v>1317</v>
      </c>
      <c r="C470" s="88" t="s">
        <v>1318</v>
      </c>
      <c r="D470" s="88" t="s">
        <v>656</v>
      </c>
      <c r="E470" s="88" t="s">
        <v>1056</v>
      </c>
      <c r="F470" s="89" t="s">
        <v>3486</v>
      </c>
      <c r="G470" s="92" t="s">
        <v>1075</v>
      </c>
      <c r="H470" s="92"/>
      <c r="I470" s="167" t="s">
        <v>1076</v>
      </c>
      <c r="J470" s="167" t="str">
        <f>_xlfn.XLOOKUP(I470,[1]Sheet1!$A:$A,[1]Sheet1!$B:$B,"")</f>
        <v>U1001019</v>
      </c>
      <c r="K470" s="88" t="s">
        <v>1077</v>
      </c>
      <c r="L470" s="88" t="s">
        <v>1078</v>
      </c>
      <c r="M470" s="92"/>
      <c r="N470" s="89" t="s">
        <v>60</v>
      </c>
      <c r="O470" s="165"/>
      <c r="P470" s="89" t="s">
        <v>241</v>
      </c>
      <c r="Q470" s="92" t="s">
        <v>635</v>
      </c>
      <c r="R470" s="92">
        <v>540</v>
      </c>
      <c r="S470" s="92"/>
      <c r="T470" s="92" t="s">
        <v>3863</v>
      </c>
      <c r="U470" s="155">
        <v>1.7000000000000001E-2</v>
      </c>
      <c r="V470" s="207">
        <v>30</v>
      </c>
      <c r="W470" s="92">
        <v>45</v>
      </c>
      <c r="X470" s="92">
        <v>55</v>
      </c>
      <c r="Y470" s="92" t="s">
        <v>64</v>
      </c>
      <c r="Z470" s="133">
        <f t="shared" si="562"/>
        <v>14.714401575715442</v>
      </c>
      <c r="AA470" s="133"/>
      <c r="AB470" s="161">
        <f t="shared" si="563"/>
        <v>11.446254008665354</v>
      </c>
      <c r="AC470" s="161"/>
      <c r="AD470" s="213">
        <f t="shared" si="564"/>
        <v>0.1</v>
      </c>
      <c r="AE470" s="213">
        <v>0.1</v>
      </c>
      <c r="AF470" s="215">
        <v>0.29499999999999998</v>
      </c>
      <c r="AG470" s="215" t="s">
        <v>5</v>
      </c>
      <c r="AH470" s="123">
        <f t="shared" si="785"/>
        <v>10.301628607798818</v>
      </c>
      <c r="AI470" s="122">
        <f t="shared" si="784"/>
        <v>0.21666666666666645</v>
      </c>
      <c r="AJ470" s="444"/>
      <c r="AK470" s="144">
        <f t="shared" si="566"/>
        <v>10.079365079365079</v>
      </c>
      <c r="AL470" s="223">
        <f t="shared" si="567"/>
        <v>8.9662323067878624</v>
      </c>
      <c r="AM470" s="146">
        <f t="shared" si="568"/>
        <v>0.31499999999999995</v>
      </c>
      <c r="AN470" s="146">
        <f t="shared" si="640"/>
        <v>0.21666666666666656</v>
      </c>
      <c r="AO470" s="140"/>
      <c r="AP470" s="17" t="s">
        <v>664</v>
      </c>
      <c r="AQ470" s="141"/>
      <c r="AR470" s="191"/>
      <c r="AS470" s="191"/>
      <c r="AT470" s="141">
        <f>4</f>
        <v>4</v>
      </c>
      <c r="AU470" s="141">
        <v>59.5</v>
      </c>
      <c r="AV470" s="141">
        <f t="shared" si="570"/>
        <v>63.5</v>
      </c>
      <c r="AW470" s="142">
        <f t="shared" si="571"/>
        <v>9.0714285714285712</v>
      </c>
      <c r="AX470" s="126">
        <f t="shared" ref="AX470:AX521" si="871">(AW470/$F$6)+(($F$9+$G$9)/40/R470)+AW470*U470</f>
        <v>8.0696090761090762</v>
      </c>
      <c r="AY470" s="193"/>
      <c r="AZ470" s="128">
        <v>8517799000</v>
      </c>
      <c r="BB470" s="161">
        <f t="shared" si="833"/>
        <v>38.154180028884518</v>
      </c>
      <c r="BC470" s="161">
        <f t="shared" si="834"/>
        <v>22.892508017330709</v>
      </c>
      <c r="BD470" s="161">
        <f t="shared" si="835"/>
        <v>19.077090014442259</v>
      </c>
      <c r="BE470" s="161">
        <f t="shared" si="836"/>
        <v>15.261672011553808</v>
      </c>
    </row>
    <row r="471" spans="1:57" s="129" customFormat="1" hidden="1">
      <c r="A471" s="88" t="s">
        <v>1276</v>
      </c>
      <c r="B471" s="88" t="s">
        <v>1414</v>
      </c>
      <c r="C471" s="88" t="s">
        <v>1318</v>
      </c>
      <c r="D471" s="88" t="s">
        <v>656</v>
      </c>
      <c r="E471" s="88" t="s">
        <v>1056</v>
      </c>
      <c r="F471" s="89" t="s">
        <v>3486</v>
      </c>
      <c r="G471" s="92" t="s">
        <v>668</v>
      </c>
      <c r="H471" s="88"/>
      <c r="I471" s="132" t="s">
        <v>1335</v>
      </c>
      <c r="J471" s="132" t="str">
        <f>_xlfn.XLOOKUP(I471,[1]Sheet1!$A:$A,[1]Sheet1!$B:$B,"")</f>
        <v>U1001014</v>
      </c>
      <c r="K471" s="436" t="s">
        <v>1422</v>
      </c>
      <c r="L471" s="90" t="s">
        <v>1359</v>
      </c>
      <c r="M471" s="92" t="s">
        <v>3546</v>
      </c>
      <c r="N471" s="89" t="s">
        <v>60</v>
      </c>
      <c r="O471" s="89"/>
      <c r="P471" s="89" t="s">
        <v>241</v>
      </c>
      <c r="Q471" s="92" t="s">
        <v>635</v>
      </c>
      <c r="R471" s="92">
        <v>540</v>
      </c>
      <c r="S471" s="92" t="s">
        <v>2512</v>
      </c>
      <c r="T471" s="92" t="s">
        <v>3866</v>
      </c>
      <c r="U471" s="155">
        <v>1.7000000000000001E-2</v>
      </c>
      <c r="V471" s="207">
        <v>30</v>
      </c>
      <c r="W471" s="92">
        <v>45</v>
      </c>
      <c r="X471" s="92">
        <v>55</v>
      </c>
      <c r="Y471" s="92" t="s">
        <v>64</v>
      </c>
      <c r="Z471" s="133">
        <f t="shared" ref="Z471:Z478" si="872">AK471/(1-(AF471+2%))</f>
        <v>10.659251535163943</v>
      </c>
      <c r="AA471" s="133"/>
      <c r="AB471" s="161">
        <f t="shared" ref="AB471:AB478" si="873">AX471/(1-AF471)</f>
        <v>8.3551162260382128</v>
      </c>
      <c r="AC471" s="161"/>
      <c r="AD471" s="213">
        <f t="shared" ref="AD471:AD478" si="874">AE471</f>
        <v>0.1</v>
      </c>
      <c r="AE471" s="213">
        <v>0.1</v>
      </c>
      <c r="AF471" s="215">
        <v>0.29499999999999998</v>
      </c>
      <c r="AG471" s="215" t="s">
        <v>5</v>
      </c>
      <c r="AH471" s="123">
        <f t="shared" si="785"/>
        <v>7.5196046034343915</v>
      </c>
      <c r="AI471" s="122">
        <f t="shared" ref="AI471:AI478" si="875">1-(AX471/AH471)</f>
        <v>0.21666666666666667</v>
      </c>
      <c r="AJ471" s="444"/>
      <c r="AK471" s="144">
        <f t="shared" ref="AK471:AK478" si="876">AW471/(1-AD471)</f>
        <v>7.3015873015873014</v>
      </c>
      <c r="AL471" s="223">
        <f t="shared" ref="AL471:AL478" si="877">AX471/(1-AE471)</f>
        <v>6.5448410437299334</v>
      </c>
      <c r="AM471" s="146">
        <f t="shared" ref="AM471:AM478" si="878">1-(AK471/Z471)</f>
        <v>0.31499999999999995</v>
      </c>
      <c r="AN471" s="146">
        <f t="shared" ref="AN471:AN478" si="879">1-(AL471/AB471)</f>
        <v>0.21666666666666667</v>
      </c>
      <c r="AO471" s="194"/>
      <c r="AP471" s="17" t="s">
        <v>664</v>
      </c>
      <c r="AQ471" s="224"/>
      <c r="AR471" s="191"/>
      <c r="AS471" s="191"/>
      <c r="AT471" s="141">
        <v>3</v>
      </c>
      <c r="AU471" s="141">
        <f>7+1.5*24</f>
        <v>43</v>
      </c>
      <c r="AV471" s="141">
        <f>AT471+AU471</f>
        <v>46</v>
      </c>
      <c r="AW471" s="142">
        <f t="shared" si="571"/>
        <v>6.5714285714285712</v>
      </c>
      <c r="AX471" s="126">
        <f t="shared" si="871"/>
        <v>5.8903569393569404</v>
      </c>
      <c r="AY471" s="193"/>
      <c r="AZ471" s="128">
        <v>8517799000</v>
      </c>
      <c r="BB471" s="168">
        <f t="shared" si="833"/>
        <v>27.850387420127376</v>
      </c>
      <c r="BC471" s="168">
        <f t="shared" si="834"/>
        <v>16.710232452076426</v>
      </c>
      <c r="BD471" s="168">
        <f t="shared" si="835"/>
        <v>13.925193710063688</v>
      </c>
      <c r="BE471" s="168">
        <f t="shared" si="836"/>
        <v>11.14015496805095</v>
      </c>
    </row>
    <row r="472" spans="1:57" s="129" customFormat="1" hidden="1">
      <c r="A472" s="88" t="s">
        <v>1276</v>
      </c>
      <c r="B472" s="88" t="s">
        <v>1414</v>
      </c>
      <c r="C472" s="88" t="s">
        <v>1318</v>
      </c>
      <c r="D472" s="88" t="s">
        <v>656</v>
      </c>
      <c r="E472" s="88" t="s">
        <v>1056</v>
      </c>
      <c r="F472" s="89" t="s">
        <v>3486</v>
      </c>
      <c r="G472" s="92" t="s">
        <v>668</v>
      </c>
      <c r="H472" s="88"/>
      <c r="I472" s="132" t="s">
        <v>1337</v>
      </c>
      <c r="J472" s="132" t="str">
        <f>_xlfn.XLOOKUP(I472,[1]Sheet1!$A:$A,[1]Sheet1!$B:$B,"")</f>
        <v>U1001010</v>
      </c>
      <c r="K472" s="436" t="s">
        <v>1423</v>
      </c>
      <c r="L472" s="90" t="s">
        <v>1360</v>
      </c>
      <c r="M472" s="92" t="s">
        <v>3546</v>
      </c>
      <c r="N472" s="89" t="s">
        <v>60</v>
      </c>
      <c r="O472" s="89"/>
      <c r="P472" s="89" t="s">
        <v>241</v>
      </c>
      <c r="Q472" s="92" t="s">
        <v>635</v>
      </c>
      <c r="R472" s="92">
        <v>540</v>
      </c>
      <c r="S472" s="92" t="s">
        <v>2513</v>
      </c>
      <c r="T472" s="92" t="s">
        <v>3866</v>
      </c>
      <c r="U472" s="155">
        <v>1.7000000000000001E-2</v>
      </c>
      <c r="V472" s="207">
        <v>30</v>
      </c>
      <c r="W472" s="92">
        <v>45</v>
      </c>
      <c r="X472" s="92">
        <v>55</v>
      </c>
      <c r="Y472" s="92" t="s">
        <v>64</v>
      </c>
      <c r="Z472" s="133">
        <f t="shared" si="872"/>
        <v>7.8785772216429137</v>
      </c>
      <c r="AA472" s="133"/>
      <c r="AB472" s="161">
        <f t="shared" si="873"/>
        <v>6.2354788893795989</v>
      </c>
      <c r="AC472" s="161"/>
      <c r="AD472" s="213">
        <f t="shared" si="874"/>
        <v>0.1</v>
      </c>
      <c r="AE472" s="213">
        <v>0.1</v>
      </c>
      <c r="AF472" s="215">
        <v>0.29499999999999998</v>
      </c>
      <c r="AG472" s="215" t="s">
        <v>5</v>
      </c>
      <c r="AH472" s="123">
        <f t="shared" si="785"/>
        <v>5.611931000441639</v>
      </c>
      <c r="AI472" s="122">
        <f t="shared" si="875"/>
        <v>0.21666666666666656</v>
      </c>
      <c r="AJ472" s="444"/>
      <c r="AK472" s="144">
        <f t="shared" si="876"/>
        <v>5.3968253968253963</v>
      </c>
      <c r="AL472" s="223">
        <f t="shared" si="877"/>
        <v>4.8844584633473529</v>
      </c>
      <c r="AM472" s="146">
        <f t="shared" si="878"/>
        <v>0.31499999999999995</v>
      </c>
      <c r="AN472" s="146">
        <f t="shared" si="879"/>
        <v>0.21666666666666656</v>
      </c>
      <c r="AO472" s="194"/>
      <c r="AP472" s="17" t="s">
        <v>664</v>
      </c>
      <c r="AQ472" s="224"/>
      <c r="AR472" s="191"/>
      <c r="AS472" s="191"/>
      <c r="AT472" s="141">
        <v>3</v>
      </c>
      <c r="AU472" s="141">
        <f>7+1.5*12+0.5*12</f>
        <v>31</v>
      </c>
      <c r="AV472" s="141">
        <f t="shared" si="570"/>
        <v>34</v>
      </c>
      <c r="AW472" s="142">
        <f t="shared" si="571"/>
        <v>4.8571428571428568</v>
      </c>
      <c r="AX472" s="126">
        <f t="shared" si="871"/>
        <v>4.3960126170126177</v>
      </c>
      <c r="AY472" s="193"/>
      <c r="AZ472" s="128">
        <v>8517799000</v>
      </c>
      <c r="BB472" s="168">
        <f t="shared" si="833"/>
        <v>20.784929631265332</v>
      </c>
      <c r="BC472" s="168">
        <f t="shared" si="834"/>
        <v>12.470957778759198</v>
      </c>
      <c r="BD472" s="168">
        <f t="shared" si="835"/>
        <v>10.392464815632666</v>
      </c>
      <c r="BE472" s="168">
        <f t="shared" si="836"/>
        <v>8.3139718525061337</v>
      </c>
    </row>
    <row r="473" spans="1:57" s="129" customFormat="1" hidden="1">
      <c r="A473" s="88" t="s">
        <v>1276</v>
      </c>
      <c r="B473" s="88" t="s">
        <v>1414</v>
      </c>
      <c r="C473" s="88" t="s">
        <v>1318</v>
      </c>
      <c r="D473" s="88" t="s">
        <v>656</v>
      </c>
      <c r="E473" s="88" t="s">
        <v>1056</v>
      </c>
      <c r="F473" s="89" t="s">
        <v>3486</v>
      </c>
      <c r="G473" s="92" t="s">
        <v>658</v>
      </c>
      <c r="H473" s="88"/>
      <c r="I473" s="132" t="s">
        <v>3793</v>
      </c>
      <c r="J473" s="132" t="str">
        <f>_xlfn.XLOOKUP(I473,[1]Sheet1!$A:$A,[1]Sheet1!$B:$B,"")</f>
        <v>U1001012</v>
      </c>
      <c r="K473" s="436" t="s">
        <v>3730</v>
      </c>
      <c r="L473" s="90" t="s">
        <v>1362</v>
      </c>
      <c r="M473" s="92" t="s">
        <v>3546</v>
      </c>
      <c r="N473" s="89" t="s">
        <v>60</v>
      </c>
      <c r="O473" s="89"/>
      <c r="P473" s="89" t="s">
        <v>241</v>
      </c>
      <c r="Q473" s="92" t="s">
        <v>635</v>
      </c>
      <c r="R473" s="92">
        <v>540</v>
      </c>
      <c r="S473" s="92" t="s">
        <v>2514</v>
      </c>
      <c r="T473" s="92" t="s">
        <v>3866</v>
      </c>
      <c r="U473" s="155">
        <v>1.7000000000000001E-2</v>
      </c>
      <c r="V473" s="207">
        <v>30</v>
      </c>
      <c r="W473" s="92">
        <v>45</v>
      </c>
      <c r="X473" s="92">
        <v>55</v>
      </c>
      <c r="Y473" s="92" t="s">
        <v>64</v>
      </c>
      <c r="Z473" s="133">
        <f t="shared" si="872"/>
        <v>13.439925848684974</v>
      </c>
      <c r="AA473" s="133"/>
      <c r="AB473" s="161">
        <f t="shared" si="873"/>
        <v>10.474753562696826</v>
      </c>
      <c r="AC473" s="161"/>
      <c r="AD473" s="213">
        <f t="shared" si="874"/>
        <v>0.1</v>
      </c>
      <c r="AE473" s="213">
        <v>0.1</v>
      </c>
      <c r="AF473" s="215">
        <v>0.29499999999999998</v>
      </c>
      <c r="AG473" s="215" t="s">
        <v>5</v>
      </c>
      <c r="AH473" s="123">
        <f t="shared" si="785"/>
        <v>9.4272782064271432</v>
      </c>
      <c r="AI473" s="122">
        <f t="shared" si="875"/>
        <v>0.21666666666666656</v>
      </c>
      <c r="AJ473" s="444"/>
      <c r="AK473" s="144">
        <f t="shared" si="876"/>
        <v>9.2063492063492074</v>
      </c>
      <c r="AL473" s="223">
        <f t="shared" si="877"/>
        <v>8.2052236241125147</v>
      </c>
      <c r="AM473" s="146">
        <f t="shared" si="878"/>
        <v>0.31499999999999995</v>
      </c>
      <c r="AN473" s="146">
        <f t="shared" si="879"/>
        <v>0.21666666666666656</v>
      </c>
      <c r="AO473" s="194"/>
      <c r="AP473" s="17" t="s">
        <v>664</v>
      </c>
      <c r="AQ473" s="224"/>
      <c r="AR473" s="191"/>
      <c r="AS473" s="191"/>
      <c r="AT473" s="141">
        <v>3</v>
      </c>
      <c r="AU473" s="141">
        <f>7+24*2</f>
        <v>55</v>
      </c>
      <c r="AV473" s="141">
        <f t="shared" si="570"/>
        <v>58</v>
      </c>
      <c r="AW473" s="142">
        <f t="shared" si="571"/>
        <v>8.2857142857142865</v>
      </c>
      <c r="AX473" s="126">
        <f t="shared" si="871"/>
        <v>7.3847012617012631</v>
      </c>
      <c r="AY473" s="193"/>
      <c r="AZ473" s="128">
        <v>8517799000</v>
      </c>
      <c r="BB473" s="168">
        <f t="shared" si="833"/>
        <v>34.915845208989424</v>
      </c>
      <c r="BC473" s="168">
        <f t="shared" si="834"/>
        <v>20.949507125393655</v>
      </c>
      <c r="BD473" s="168">
        <f t="shared" si="835"/>
        <v>17.457922604494712</v>
      </c>
      <c r="BE473" s="168">
        <f t="shared" si="836"/>
        <v>13.966338083595771</v>
      </c>
    </row>
    <row r="474" spans="1:57" s="129" customFormat="1" hidden="1">
      <c r="A474" s="88" t="s">
        <v>1276</v>
      </c>
      <c r="B474" s="88" t="s">
        <v>1414</v>
      </c>
      <c r="C474" s="88" t="s">
        <v>1318</v>
      </c>
      <c r="D474" s="88" t="s">
        <v>656</v>
      </c>
      <c r="E474" s="88" t="s">
        <v>1056</v>
      </c>
      <c r="F474" s="89" t="s">
        <v>3486</v>
      </c>
      <c r="G474" s="92" t="s">
        <v>658</v>
      </c>
      <c r="H474" s="88"/>
      <c r="I474" s="132" t="s">
        <v>1339</v>
      </c>
      <c r="J474" s="132" t="str">
        <f>_xlfn.XLOOKUP(I474,[1]Sheet1!$A:$A,[1]Sheet1!$B:$B,"")</f>
        <v>U1001008</v>
      </c>
      <c r="K474" s="436" t="s">
        <v>3731</v>
      </c>
      <c r="L474" s="90" t="s">
        <v>1363</v>
      </c>
      <c r="M474" s="92" t="s">
        <v>3546</v>
      </c>
      <c r="N474" s="89" t="s">
        <v>60</v>
      </c>
      <c r="O474" s="89"/>
      <c r="P474" s="89" t="s">
        <v>241</v>
      </c>
      <c r="Q474" s="92" t="s">
        <v>635</v>
      </c>
      <c r="R474" s="92">
        <v>540</v>
      </c>
      <c r="S474" s="92" t="s">
        <v>2515</v>
      </c>
      <c r="T474" s="92" t="s">
        <v>3866</v>
      </c>
      <c r="U474" s="155">
        <v>1.7000000000000001E-2</v>
      </c>
      <c r="V474" s="207">
        <v>30</v>
      </c>
      <c r="W474" s="92">
        <v>45</v>
      </c>
      <c r="X474" s="92">
        <v>55</v>
      </c>
      <c r="Y474" s="92" t="s">
        <v>64</v>
      </c>
      <c r="Z474" s="133">
        <f t="shared" si="872"/>
        <v>8.5737458000231701</v>
      </c>
      <c r="AA474" s="133"/>
      <c r="AB474" s="161">
        <f t="shared" si="873"/>
        <v>6.7653882235442504</v>
      </c>
      <c r="AC474" s="161"/>
      <c r="AD474" s="213">
        <f t="shared" si="874"/>
        <v>0.1</v>
      </c>
      <c r="AE474" s="213">
        <v>0.1</v>
      </c>
      <c r="AF474" s="215">
        <v>0.29499999999999998</v>
      </c>
      <c r="AG474" s="215" t="s">
        <v>5</v>
      </c>
      <c r="AH474" s="123">
        <f t="shared" si="785"/>
        <v>6.0888494011898251</v>
      </c>
      <c r="AI474" s="122">
        <f t="shared" si="875"/>
        <v>0.21666666666666656</v>
      </c>
      <c r="AJ474" s="444"/>
      <c r="AK474" s="144">
        <f t="shared" si="876"/>
        <v>5.8730158730158726</v>
      </c>
      <c r="AL474" s="223">
        <f t="shared" si="877"/>
        <v>5.2995541084429965</v>
      </c>
      <c r="AM474" s="146">
        <f t="shared" si="878"/>
        <v>0.31499999999999984</v>
      </c>
      <c r="AN474" s="146">
        <f t="shared" si="879"/>
        <v>0.21666666666666667</v>
      </c>
      <c r="AO474" s="194"/>
      <c r="AP474" s="17" t="s">
        <v>664</v>
      </c>
      <c r="AQ474" s="224"/>
      <c r="AR474" s="191"/>
      <c r="AS474" s="191"/>
      <c r="AT474" s="141">
        <v>3</v>
      </c>
      <c r="AU474" s="141">
        <f>7+12*2+0.25*12</f>
        <v>34</v>
      </c>
      <c r="AV474" s="141">
        <f t="shared" si="570"/>
        <v>37</v>
      </c>
      <c r="AW474" s="142">
        <f t="shared" si="571"/>
        <v>5.2857142857142856</v>
      </c>
      <c r="AX474" s="126">
        <f t="shared" si="871"/>
        <v>4.7695986975986973</v>
      </c>
      <c r="AY474" s="193"/>
      <c r="AZ474" s="128">
        <v>8517799000</v>
      </c>
      <c r="BB474" s="168">
        <f t="shared" si="833"/>
        <v>22.551294078480836</v>
      </c>
      <c r="BC474" s="168">
        <f t="shared" si="834"/>
        <v>13.530776447088501</v>
      </c>
      <c r="BD474" s="168">
        <f t="shared" si="835"/>
        <v>11.275647039240418</v>
      </c>
      <c r="BE474" s="168">
        <f t="shared" si="836"/>
        <v>9.0205176313923356</v>
      </c>
    </row>
    <row r="475" spans="1:57" s="129" customFormat="1" hidden="1">
      <c r="A475" s="88" t="s">
        <v>1276</v>
      </c>
      <c r="B475" s="88" t="s">
        <v>1414</v>
      </c>
      <c r="C475" s="88" t="s">
        <v>1318</v>
      </c>
      <c r="D475" s="88" t="s">
        <v>656</v>
      </c>
      <c r="E475" s="88" t="s">
        <v>1056</v>
      </c>
      <c r="F475" s="89" t="s">
        <v>3486</v>
      </c>
      <c r="G475" s="92" t="s">
        <v>668</v>
      </c>
      <c r="H475" s="88"/>
      <c r="I475" s="132" t="s">
        <v>1340</v>
      </c>
      <c r="J475" s="132" t="str">
        <f>_xlfn.XLOOKUP(I475,[1]Sheet1!$A:$A,[1]Sheet1!$B:$B,"")</f>
        <v>U1001013</v>
      </c>
      <c r="K475" s="436" t="s">
        <v>1424</v>
      </c>
      <c r="L475" s="90" t="s">
        <v>1364</v>
      </c>
      <c r="M475" s="92" t="s">
        <v>3546</v>
      </c>
      <c r="N475" s="89" t="s">
        <v>60</v>
      </c>
      <c r="O475" s="89"/>
      <c r="P475" s="89" t="s">
        <v>241</v>
      </c>
      <c r="Q475" s="92" t="s">
        <v>635</v>
      </c>
      <c r="R475" s="92">
        <v>540</v>
      </c>
      <c r="S475" s="92" t="s">
        <v>2516</v>
      </c>
      <c r="T475" s="92" t="s">
        <v>3866</v>
      </c>
      <c r="U475" s="155">
        <v>1.7000000000000001E-2</v>
      </c>
      <c r="V475" s="207">
        <v>30</v>
      </c>
      <c r="W475" s="92">
        <v>45</v>
      </c>
      <c r="X475" s="92">
        <v>55</v>
      </c>
      <c r="Y475" s="92" t="s">
        <v>64</v>
      </c>
      <c r="Z475" s="133">
        <f t="shared" si="872"/>
        <v>10.659251535163943</v>
      </c>
      <c r="AA475" s="133"/>
      <c r="AB475" s="161">
        <f t="shared" si="873"/>
        <v>8.3551162260382128</v>
      </c>
      <c r="AC475" s="161"/>
      <c r="AD475" s="213">
        <f t="shared" si="874"/>
        <v>0.1</v>
      </c>
      <c r="AE475" s="213">
        <v>0.1</v>
      </c>
      <c r="AF475" s="215">
        <v>0.29499999999999998</v>
      </c>
      <c r="AG475" s="215" t="s">
        <v>5</v>
      </c>
      <c r="AH475" s="123">
        <f t="shared" si="785"/>
        <v>7.5196046034343915</v>
      </c>
      <c r="AI475" s="122">
        <f t="shared" si="875"/>
        <v>0.21666666666666667</v>
      </c>
      <c r="AJ475" s="444"/>
      <c r="AK475" s="144">
        <f t="shared" si="876"/>
        <v>7.3015873015873014</v>
      </c>
      <c r="AL475" s="223">
        <f t="shared" si="877"/>
        <v>6.5448410437299334</v>
      </c>
      <c r="AM475" s="146">
        <f t="shared" si="878"/>
        <v>0.31499999999999995</v>
      </c>
      <c r="AN475" s="146">
        <f t="shared" si="879"/>
        <v>0.21666666666666667</v>
      </c>
      <c r="AO475" s="194"/>
      <c r="AP475" s="17" t="s">
        <v>664</v>
      </c>
      <c r="AQ475" s="224"/>
      <c r="AR475" s="191"/>
      <c r="AS475" s="191"/>
      <c r="AT475" s="141">
        <v>3</v>
      </c>
      <c r="AU475" s="141">
        <f>7+1.5*24</f>
        <v>43</v>
      </c>
      <c r="AV475" s="141">
        <f t="shared" si="570"/>
        <v>46</v>
      </c>
      <c r="AW475" s="142">
        <f t="shared" si="571"/>
        <v>6.5714285714285712</v>
      </c>
      <c r="AX475" s="126">
        <f t="shared" si="871"/>
        <v>5.8903569393569404</v>
      </c>
      <c r="AY475" s="193"/>
      <c r="AZ475" s="128">
        <v>8517799000</v>
      </c>
      <c r="BB475" s="168">
        <f t="shared" si="833"/>
        <v>27.850387420127376</v>
      </c>
      <c r="BC475" s="168">
        <f t="shared" si="834"/>
        <v>16.710232452076426</v>
      </c>
      <c r="BD475" s="168">
        <f t="shared" si="835"/>
        <v>13.925193710063688</v>
      </c>
      <c r="BE475" s="168">
        <f t="shared" si="836"/>
        <v>11.14015496805095</v>
      </c>
    </row>
    <row r="476" spans="1:57" s="129" customFormat="1" hidden="1">
      <c r="A476" s="88" t="s">
        <v>1276</v>
      </c>
      <c r="B476" s="88" t="s">
        <v>1414</v>
      </c>
      <c r="C476" s="88" t="s">
        <v>1318</v>
      </c>
      <c r="D476" s="88" t="s">
        <v>656</v>
      </c>
      <c r="E476" s="88" t="s">
        <v>1056</v>
      </c>
      <c r="F476" s="89" t="s">
        <v>3486</v>
      </c>
      <c r="G476" s="92" t="s">
        <v>668</v>
      </c>
      <c r="H476" s="88"/>
      <c r="I476" s="132" t="s">
        <v>1341</v>
      </c>
      <c r="J476" s="132" t="str">
        <f>_xlfn.XLOOKUP(I476,[1]Sheet1!$A:$A,[1]Sheet1!$B:$B,"")</f>
        <v>U1001009</v>
      </c>
      <c r="K476" s="436" t="s">
        <v>1425</v>
      </c>
      <c r="L476" s="90" t="s">
        <v>1365</v>
      </c>
      <c r="M476" s="92" t="s">
        <v>3546</v>
      </c>
      <c r="N476" s="89" t="s">
        <v>60</v>
      </c>
      <c r="O476" s="89"/>
      <c r="P476" s="89" t="s">
        <v>241</v>
      </c>
      <c r="Q476" s="92" t="s">
        <v>635</v>
      </c>
      <c r="R476" s="92">
        <v>540</v>
      </c>
      <c r="S476" s="92" t="s">
        <v>2517</v>
      </c>
      <c r="T476" s="92" t="s">
        <v>3866</v>
      </c>
      <c r="U476" s="155">
        <v>1.7000000000000001E-2</v>
      </c>
      <c r="V476" s="207">
        <v>30</v>
      </c>
      <c r="W476" s="92">
        <v>45</v>
      </c>
      <c r="X476" s="92">
        <v>55</v>
      </c>
      <c r="Y476" s="92" t="s">
        <v>64</v>
      </c>
      <c r="Z476" s="133">
        <f t="shared" si="872"/>
        <v>7.8785772216429137</v>
      </c>
      <c r="AA476" s="133"/>
      <c r="AB476" s="161">
        <f t="shared" si="873"/>
        <v>6.2354788893795989</v>
      </c>
      <c r="AC476" s="161"/>
      <c r="AD476" s="213">
        <f t="shared" si="874"/>
        <v>0.1</v>
      </c>
      <c r="AE476" s="213">
        <v>0.1</v>
      </c>
      <c r="AF476" s="215">
        <v>0.29499999999999998</v>
      </c>
      <c r="AG476" s="215" t="s">
        <v>5</v>
      </c>
      <c r="AH476" s="123">
        <f t="shared" si="785"/>
        <v>5.611931000441639</v>
      </c>
      <c r="AI476" s="122">
        <f t="shared" si="875"/>
        <v>0.21666666666666656</v>
      </c>
      <c r="AJ476" s="444"/>
      <c r="AK476" s="144">
        <f t="shared" si="876"/>
        <v>5.3968253968253963</v>
      </c>
      <c r="AL476" s="223">
        <f t="shared" si="877"/>
        <v>4.8844584633473529</v>
      </c>
      <c r="AM476" s="146">
        <f t="shared" si="878"/>
        <v>0.31499999999999995</v>
      </c>
      <c r="AN476" s="146">
        <f t="shared" si="879"/>
        <v>0.21666666666666656</v>
      </c>
      <c r="AO476" s="194"/>
      <c r="AP476" s="17" t="s">
        <v>664</v>
      </c>
      <c r="AQ476" s="224"/>
      <c r="AR476" s="191"/>
      <c r="AS476" s="191"/>
      <c r="AT476" s="141">
        <v>3</v>
      </c>
      <c r="AU476" s="141">
        <f>7+1.5*12+0.5*12</f>
        <v>31</v>
      </c>
      <c r="AV476" s="141">
        <f t="shared" si="570"/>
        <v>34</v>
      </c>
      <c r="AW476" s="142">
        <f t="shared" si="571"/>
        <v>4.8571428571428568</v>
      </c>
      <c r="AX476" s="126">
        <f t="shared" si="871"/>
        <v>4.3960126170126177</v>
      </c>
      <c r="AY476" s="193"/>
      <c r="AZ476" s="128">
        <v>8517799000</v>
      </c>
      <c r="BB476" s="168">
        <f t="shared" si="833"/>
        <v>20.784929631265332</v>
      </c>
      <c r="BC476" s="168">
        <f t="shared" si="834"/>
        <v>12.470957778759198</v>
      </c>
      <c r="BD476" s="168">
        <f t="shared" si="835"/>
        <v>10.392464815632666</v>
      </c>
      <c r="BE476" s="168">
        <f>BB476*0.4</f>
        <v>8.3139718525061337</v>
      </c>
    </row>
    <row r="477" spans="1:57" s="129" customFormat="1" hidden="1">
      <c r="A477" s="88" t="s">
        <v>1276</v>
      </c>
      <c r="B477" s="88" t="s">
        <v>1414</v>
      </c>
      <c r="C477" s="88" t="s">
        <v>1318</v>
      </c>
      <c r="D477" s="88" t="s">
        <v>656</v>
      </c>
      <c r="E477" s="88" t="s">
        <v>1056</v>
      </c>
      <c r="F477" s="89" t="s">
        <v>3486</v>
      </c>
      <c r="G477" s="92" t="s">
        <v>658</v>
      </c>
      <c r="H477" s="88"/>
      <c r="I477" s="132" t="s">
        <v>1342</v>
      </c>
      <c r="J477" s="132" t="str">
        <f>_xlfn.XLOOKUP(I477,[1]Sheet1!$A:$A,[1]Sheet1!$B:$B,"")</f>
        <v>U1001011</v>
      </c>
      <c r="K477" s="436" t="s">
        <v>3732</v>
      </c>
      <c r="L477" s="90" t="s">
        <v>1366</v>
      </c>
      <c r="M477" s="92" t="s">
        <v>3546</v>
      </c>
      <c r="N477" s="89" t="s">
        <v>60</v>
      </c>
      <c r="O477" s="89"/>
      <c r="P477" s="89" t="s">
        <v>241</v>
      </c>
      <c r="Q477" s="92" t="s">
        <v>635</v>
      </c>
      <c r="R477" s="92">
        <v>540</v>
      </c>
      <c r="S477" s="92" t="s">
        <v>2518</v>
      </c>
      <c r="T477" s="92" t="s">
        <v>3866</v>
      </c>
      <c r="U477" s="155">
        <v>1.7000000000000001E-2</v>
      </c>
      <c r="V477" s="207">
        <v>30</v>
      </c>
      <c r="W477" s="92">
        <v>45</v>
      </c>
      <c r="X477" s="92">
        <v>55</v>
      </c>
      <c r="Y477" s="92" t="s">
        <v>64</v>
      </c>
      <c r="Z477" s="133">
        <f t="shared" si="872"/>
        <v>13.439925848684974</v>
      </c>
      <c r="AA477" s="133"/>
      <c r="AB477" s="161">
        <f t="shared" si="873"/>
        <v>10.474753562696826</v>
      </c>
      <c r="AC477" s="161"/>
      <c r="AD477" s="213">
        <f t="shared" si="874"/>
        <v>0.1</v>
      </c>
      <c r="AE477" s="213">
        <v>0.1</v>
      </c>
      <c r="AF477" s="215">
        <v>0.29499999999999998</v>
      </c>
      <c r="AG477" s="215" t="s">
        <v>5</v>
      </c>
      <c r="AH477" s="123">
        <f t="shared" si="785"/>
        <v>9.4272782064271432</v>
      </c>
      <c r="AI477" s="122">
        <f t="shared" si="875"/>
        <v>0.21666666666666656</v>
      </c>
      <c r="AJ477" s="444"/>
      <c r="AK477" s="144">
        <f t="shared" si="876"/>
        <v>9.2063492063492074</v>
      </c>
      <c r="AL477" s="223">
        <f t="shared" si="877"/>
        <v>8.2052236241125147</v>
      </c>
      <c r="AM477" s="146">
        <f t="shared" si="878"/>
        <v>0.31499999999999995</v>
      </c>
      <c r="AN477" s="146">
        <f t="shared" si="879"/>
        <v>0.21666666666666656</v>
      </c>
      <c r="AO477" s="194"/>
      <c r="AP477" s="17" t="s">
        <v>664</v>
      </c>
      <c r="AQ477" s="224"/>
      <c r="AR477" s="191"/>
      <c r="AS477" s="191"/>
      <c r="AT477" s="141">
        <v>3</v>
      </c>
      <c r="AU477" s="141">
        <f>7+24*2</f>
        <v>55</v>
      </c>
      <c r="AV477" s="141">
        <f t="shared" si="570"/>
        <v>58</v>
      </c>
      <c r="AW477" s="142">
        <f t="shared" si="571"/>
        <v>8.2857142857142865</v>
      </c>
      <c r="AX477" s="126">
        <f t="shared" si="871"/>
        <v>7.3847012617012631</v>
      </c>
      <c r="AY477" s="193"/>
      <c r="AZ477" s="128">
        <v>8517799000</v>
      </c>
      <c r="BB477" s="168">
        <f t="shared" si="833"/>
        <v>34.915845208989424</v>
      </c>
      <c r="BC477" s="168">
        <f t="shared" si="834"/>
        <v>20.949507125393655</v>
      </c>
      <c r="BD477" s="168">
        <f t="shared" si="835"/>
        <v>17.457922604494712</v>
      </c>
      <c r="BE477" s="168">
        <f t="shared" si="836"/>
        <v>13.966338083595771</v>
      </c>
    </row>
    <row r="478" spans="1:57" s="129" customFormat="1" hidden="1">
      <c r="A478" s="88" t="s">
        <v>1276</v>
      </c>
      <c r="B478" s="88" t="s">
        <v>1414</v>
      </c>
      <c r="C478" s="88" t="s">
        <v>1318</v>
      </c>
      <c r="D478" s="88" t="s">
        <v>656</v>
      </c>
      <c r="E478" s="88" t="s">
        <v>1056</v>
      </c>
      <c r="F478" s="89" t="s">
        <v>3486</v>
      </c>
      <c r="G478" s="92" t="s">
        <v>658</v>
      </c>
      <c r="H478" s="88"/>
      <c r="I478" s="132" t="s">
        <v>1343</v>
      </c>
      <c r="J478" s="132" t="str">
        <f>_xlfn.XLOOKUP(I478,[1]Sheet1!$A:$A,[1]Sheet1!$B:$B,"")</f>
        <v>U1001007</v>
      </c>
      <c r="K478" s="436" t="s">
        <v>3733</v>
      </c>
      <c r="L478" s="90" t="s">
        <v>1367</v>
      </c>
      <c r="M478" s="92"/>
      <c r="N478" s="89" t="s">
        <v>60</v>
      </c>
      <c r="O478" s="165"/>
      <c r="P478" s="89" t="s">
        <v>241</v>
      </c>
      <c r="Q478" s="92" t="s">
        <v>635</v>
      </c>
      <c r="R478" s="92">
        <v>540</v>
      </c>
      <c r="S478" s="92" t="s">
        <v>2519</v>
      </c>
      <c r="T478" s="92" t="s">
        <v>3866</v>
      </c>
      <c r="U478" s="155">
        <v>1.7000000000000001E-2</v>
      </c>
      <c r="V478" s="207">
        <v>30</v>
      </c>
      <c r="W478" s="92">
        <v>45</v>
      </c>
      <c r="X478" s="92">
        <v>55</v>
      </c>
      <c r="Y478" s="92" t="s">
        <v>64</v>
      </c>
      <c r="Z478" s="133">
        <f t="shared" si="872"/>
        <v>8.5737458000231701</v>
      </c>
      <c r="AA478" s="133"/>
      <c r="AB478" s="161">
        <f t="shared" si="873"/>
        <v>6.7653882235442504</v>
      </c>
      <c r="AC478" s="161"/>
      <c r="AD478" s="213">
        <f t="shared" si="874"/>
        <v>0.1</v>
      </c>
      <c r="AE478" s="213">
        <v>0.1</v>
      </c>
      <c r="AF478" s="215">
        <v>0.29499999999999998</v>
      </c>
      <c r="AG478" s="215" t="s">
        <v>5</v>
      </c>
      <c r="AH478" s="123">
        <f t="shared" si="785"/>
        <v>6.0888494011898251</v>
      </c>
      <c r="AI478" s="122">
        <f t="shared" si="875"/>
        <v>0.21666666666666656</v>
      </c>
      <c r="AJ478" s="444"/>
      <c r="AK478" s="144">
        <f t="shared" si="876"/>
        <v>5.8730158730158726</v>
      </c>
      <c r="AL478" s="223">
        <f t="shared" si="877"/>
        <v>5.2995541084429965</v>
      </c>
      <c r="AM478" s="146">
        <f t="shared" si="878"/>
        <v>0.31499999999999984</v>
      </c>
      <c r="AN478" s="146">
        <f t="shared" si="879"/>
        <v>0.21666666666666667</v>
      </c>
      <c r="AO478" s="140"/>
      <c r="AP478" s="17" t="s">
        <v>664</v>
      </c>
      <c r="AQ478" s="141"/>
      <c r="AR478" s="191"/>
      <c r="AS478" s="191"/>
      <c r="AT478" s="141">
        <v>3</v>
      </c>
      <c r="AU478" s="141">
        <f>7+12*2+0.25*12</f>
        <v>34</v>
      </c>
      <c r="AV478" s="141">
        <f t="shared" si="570"/>
        <v>37</v>
      </c>
      <c r="AW478" s="142">
        <f t="shared" si="571"/>
        <v>5.2857142857142856</v>
      </c>
      <c r="AX478" s="126">
        <f t="shared" si="871"/>
        <v>4.7695986975986973</v>
      </c>
      <c r="AY478" s="193"/>
      <c r="AZ478" s="128">
        <v>8517799000</v>
      </c>
      <c r="BB478" s="168">
        <f t="shared" si="833"/>
        <v>22.551294078480836</v>
      </c>
      <c r="BC478" s="168">
        <f t="shared" si="834"/>
        <v>13.530776447088501</v>
      </c>
      <c r="BD478" s="168">
        <f t="shared" si="835"/>
        <v>11.275647039240418</v>
      </c>
      <c r="BE478" s="168">
        <f t="shared" si="836"/>
        <v>9.0205176313923356</v>
      </c>
    </row>
    <row r="479" spans="1:57" s="129" customFormat="1" hidden="1">
      <c r="A479" s="88" t="s">
        <v>1302</v>
      </c>
      <c r="B479" s="88" t="s">
        <v>1318</v>
      </c>
      <c r="C479" s="88" t="s">
        <v>1318</v>
      </c>
      <c r="D479" s="88" t="s">
        <v>656</v>
      </c>
      <c r="E479" s="88" t="s">
        <v>1079</v>
      </c>
      <c r="F479" s="89" t="s">
        <v>668</v>
      </c>
      <c r="G479" s="92" t="s">
        <v>1679</v>
      </c>
      <c r="H479" s="92"/>
      <c r="I479" s="167" t="s">
        <v>1080</v>
      </c>
      <c r="J479" s="167" t="str">
        <f>_xlfn.XLOOKUP(I479,[1]Sheet1!$A:$A,[1]Sheet1!$B:$B,"")</f>
        <v>U1101002</v>
      </c>
      <c r="K479" s="88" t="s">
        <v>1081</v>
      </c>
      <c r="L479" s="88" t="s">
        <v>1082</v>
      </c>
      <c r="M479" s="92"/>
      <c r="N479" s="89" t="s">
        <v>60</v>
      </c>
      <c r="O479" s="165"/>
      <c r="P479" s="89" t="s">
        <v>912</v>
      </c>
      <c r="Q479" s="92" t="s">
        <v>635</v>
      </c>
      <c r="R479" s="92">
        <v>10800</v>
      </c>
      <c r="S479" s="92" t="e">
        <v>#N/A</v>
      </c>
      <c r="T479" s="92">
        <v>8544700000</v>
      </c>
      <c r="U479" s="155">
        <v>0</v>
      </c>
      <c r="V479" s="207">
        <v>30</v>
      </c>
      <c r="W479" s="92">
        <v>45</v>
      </c>
      <c r="X479" s="92">
        <v>55</v>
      </c>
      <c r="Y479" s="92" t="s">
        <v>64</v>
      </c>
      <c r="Z479" s="133">
        <f t="shared" si="562"/>
        <v>0.62585034013605434</v>
      </c>
      <c r="AA479" s="133"/>
      <c r="AB479" s="161">
        <f t="shared" si="563"/>
        <v>0.47930304006692892</v>
      </c>
      <c r="AC479" s="161"/>
      <c r="AD479" s="213">
        <f t="shared" si="564"/>
        <v>0.1</v>
      </c>
      <c r="AE479" s="213">
        <v>0.1</v>
      </c>
      <c r="AF479" s="215">
        <v>0.28000000000000003</v>
      </c>
      <c r="AG479" s="215" t="s">
        <v>9</v>
      </c>
      <c r="AH479" s="148">
        <f t="shared" ref="AH479:AH538" si="880">AB479</f>
        <v>0.47930304006692892</v>
      </c>
      <c r="AI479" s="122">
        <f t="shared" si="784"/>
        <v>0.28000000000000003</v>
      </c>
      <c r="AJ479" s="444"/>
      <c r="AK479" s="150">
        <f t="shared" si="566"/>
        <v>0.43809523809523804</v>
      </c>
      <c r="AL479" s="153">
        <f t="shared" si="567"/>
        <v>0.38344243205354311</v>
      </c>
      <c r="AM479" s="125">
        <f t="shared" si="568"/>
        <v>0.30000000000000004</v>
      </c>
      <c r="AN479" s="125">
        <f t="shared" si="640"/>
        <v>0.20000000000000007</v>
      </c>
      <c r="AO479" s="140"/>
      <c r="AP479" s="17" t="s">
        <v>664</v>
      </c>
      <c r="AQ479" s="141"/>
      <c r="AR479" s="191"/>
      <c r="AS479" s="191"/>
      <c r="AT479" s="141"/>
      <c r="AU479" s="141">
        <v>2.76</v>
      </c>
      <c r="AV479" s="141">
        <f t="shared" si="570"/>
        <v>2.76</v>
      </c>
      <c r="AW479" s="142">
        <f t="shared" si="571"/>
        <v>0.39428571428571424</v>
      </c>
      <c r="AX479" s="126">
        <f t="shared" si="871"/>
        <v>0.34509818884818882</v>
      </c>
      <c r="AY479" s="17"/>
      <c r="AZ479" s="128">
        <v>8544700000</v>
      </c>
      <c r="BB479" s="161">
        <f t="shared" si="833"/>
        <v>1.5976768002230965</v>
      </c>
      <c r="BC479" s="161">
        <f t="shared" si="834"/>
        <v>0.95860608013385784</v>
      </c>
      <c r="BD479" s="161">
        <f t="shared" si="835"/>
        <v>0.79883840011154827</v>
      </c>
      <c r="BE479" s="161">
        <f t="shared" si="836"/>
        <v>0.63907072008923871</v>
      </c>
    </row>
    <row r="480" spans="1:57" s="129" customFormat="1" hidden="1">
      <c r="A480" s="88" t="s">
        <v>1302</v>
      </c>
      <c r="B480" s="88" t="s">
        <v>1318</v>
      </c>
      <c r="C480" s="88" t="s">
        <v>1318</v>
      </c>
      <c r="D480" s="88" t="s">
        <v>656</v>
      </c>
      <c r="E480" s="88" t="s">
        <v>1079</v>
      </c>
      <c r="F480" s="89" t="s">
        <v>658</v>
      </c>
      <c r="G480" s="92" t="s">
        <v>1679</v>
      </c>
      <c r="H480" s="92"/>
      <c r="I480" s="167" t="s">
        <v>1083</v>
      </c>
      <c r="J480" s="167" t="str">
        <f>_xlfn.XLOOKUP(I480,[1]Sheet1!$A:$A,[1]Sheet1!$B:$B,"")</f>
        <v>U1101001</v>
      </c>
      <c r="K480" s="88" t="s">
        <v>1084</v>
      </c>
      <c r="L480" s="88" t="s">
        <v>1085</v>
      </c>
      <c r="M480" s="92"/>
      <c r="N480" s="89" t="s">
        <v>60</v>
      </c>
      <c r="O480" s="165"/>
      <c r="P480" s="89" t="s">
        <v>912</v>
      </c>
      <c r="Q480" s="92" t="s">
        <v>635</v>
      </c>
      <c r="R480" s="92">
        <v>10800</v>
      </c>
      <c r="S480" s="92" t="e">
        <v>#N/A</v>
      </c>
      <c r="T480" s="92">
        <v>8544700000</v>
      </c>
      <c r="U480" s="155">
        <v>0</v>
      </c>
      <c r="V480" s="207">
        <v>30</v>
      </c>
      <c r="W480" s="92">
        <v>45</v>
      </c>
      <c r="X480" s="92">
        <v>55</v>
      </c>
      <c r="Y480" s="92" t="s">
        <v>64</v>
      </c>
      <c r="Z480" s="133">
        <f t="shared" si="562"/>
        <v>0.62585034013605434</v>
      </c>
      <c r="AA480" s="133"/>
      <c r="AB480" s="161">
        <f t="shared" si="563"/>
        <v>0.47930304006692892</v>
      </c>
      <c r="AC480" s="161"/>
      <c r="AD480" s="213">
        <f t="shared" si="564"/>
        <v>0.1</v>
      </c>
      <c r="AE480" s="213">
        <v>0.1</v>
      </c>
      <c r="AF480" s="215">
        <v>0.28000000000000003</v>
      </c>
      <c r="AG480" s="215" t="s">
        <v>9</v>
      </c>
      <c r="AH480" s="148">
        <f t="shared" si="880"/>
        <v>0.47930304006692892</v>
      </c>
      <c r="AI480" s="122">
        <f t="shared" si="784"/>
        <v>0.28000000000000003</v>
      </c>
      <c r="AJ480" s="444"/>
      <c r="AK480" s="150">
        <f t="shared" si="566"/>
        <v>0.43809523809523804</v>
      </c>
      <c r="AL480" s="153">
        <f t="shared" si="567"/>
        <v>0.38344243205354311</v>
      </c>
      <c r="AM480" s="125">
        <f t="shared" si="568"/>
        <v>0.30000000000000004</v>
      </c>
      <c r="AN480" s="125">
        <f t="shared" si="640"/>
        <v>0.20000000000000007</v>
      </c>
      <c r="AO480" s="140"/>
      <c r="AP480" s="17" t="s">
        <v>664</v>
      </c>
      <c r="AQ480" s="141"/>
      <c r="AR480" s="191"/>
      <c r="AS480" s="191"/>
      <c r="AT480" s="141"/>
      <c r="AU480" s="141">
        <v>2.76</v>
      </c>
      <c r="AV480" s="141">
        <f t="shared" si="570"/>
        <v>2.76</v>
      </c>
      <c r="AW480" s="142">
        <f t="shared" si="571"/>
        <v>0.39428571428571424</v>
      </c>
      <c r="AX480" s="126">
        <f t="shared" si="871"/>
        <v>0.34509818884818882</v>
      </c>
      <c r="AY480" s="17"/>
      <c r="AZ480" s="128">
        <v>8544700000</v>
      </c>
      <c r="BB480" s="161">
        <f t="shared" si="833"/>
        <v>1.5976768002230965</v>
      </c>
      <c r="BC480" s="161">
        <f t="shared" si="834"/>
        <v>0.95860608013385784</v>
      </c>
      <c r="BD480" s="161">
        <f t="shared" si="835"/>
        <v>0.79883840011154827</v>
      </c>
      <c r="BE480" s="161">
        <f t="shared" si="836"/>
        <v>0.63907072008923871</v>
      </c>
    </row>
    <row r="481" spans="1:57" s="129" customFormat="1" hidden="1">
      <c r="A481" s="88" t="s">
        <v>1302</v>
      </c>
      <c r="B481" s="88" t="s">
        <v>1318</v>
      </c>
      <c r="C481" s="88" t="s">
        <v>1318</v>
      </c>
      <c r="D481" s="88" t="s">
        <v>656</v>
      </c>
      <c r="E481" s="88" t="s">
        <v>1079</v>
      </c>
      <c r="F481" s="89" t="s">
        <v>668</v>
      </c>
      <c r="G481" s="92" t="s">
        <v>1686</v>
      </c>
      <c r="H481" s="92"/>
      <c r="I481" s="167" t="s">
        <v>1086</v>
      </c>
      <c r="J481" s="167" t="str">
        <f>_xlfn.XLOOKUP(I481,[1]Sheet1!$A:$A,[1]Sheet1!$B:$B,"")</f>
        <v>U1102002</v>
      </c>
      <c r="K481" s="88" t="s">
        <v>1087</v>
      </c>
      <c r="L481" s="88" t="s">
        <v>1088</v>
      </c>
      <c r="M481" s="92"/>
      <c r="N481" s="89" t="s">
        <v>60</v>
      </c>
      <c r="O481" s="165"/>
      <c r="P481" s="89" t="s">
        <v>912</v>
      </c>
      <c r="Q481" s="92" t="s">
        <v>635</v>
      </c>
      <c r="R481" s="92">
        <v>10800</v>
      </c>
      <c r="S481" s="92" t="e">
        <v>#N/A</v>
      </c>
      <c r="T481" s="92">
        <v>8544700000</v>
      </c>
      <c r="U481" s="155">
        <v>0</v>
      </c>
      <c r="V481" s="207">
        <v>30</v>
      </c>
      <c r="W481" s="92">
        <v>45</v>
      </c>
      <c r="X481" s="92">
        <v>55</v>
      </c>
      <c r="Y481" s="92" t="s">
        <v>64</v>
      </c>
      <c r="Z481" s="133">
        <f t="shared" si="562"/>
        <v>0.79818594104308394</v>
      </c>
      <c r="AA481" s="133"/>
      <c r="AB481" s="161">
        <f t="shared" si="563"/>
        <v>0.60818650228372462</v>
      </c>
      <c r="AC481" s="161"/>
      <c r="AD481" s="213">
        <f t="shared" si="564"/>
        <v>0.1</v>
      </c>
      <c r="AE481" s="213">
        <v>0.1</v>
      </c>
      <c r="AF481" s="215">
        <v>0.28000000000000003</v>
      </c>
      <c r="AG481" s="215" t="s">
        <v>9</v>
      </c>
      <c r="AH481" s="148">
        <f t="shared" si="880"/>
        <v>0.60818650228372462</v>
      </c>
      <c r="AI481" s="122">
        <f t="shared" si="784"/>
        <v>0.28000000000000003</v>
      </c>
      <c r="AJ481" s="444"/>
      <c r="AK481" s="150">
        <f t="shared" si="566"/>
        <v>0.55873015873015874</v>
      </c>
      <c r="AL481" s="153">
        <f t="shared" si="567"/>
        <v>0.48654920182697969</v>
      </c>
      <c r="AM481" s="125">
        <f t="shared" si="568"/>
        <v>0.30000000000000004</v>
      </c>
      <c r="AN481" s="125">
        <f t="shared" si="640"/>
        <v>0.19999999999999996</v>
      </c>
      <c r="AO481" s="140"/>
      <c r="AP481" s="17" t="s">
        <v>664</v>
      </c>
      <c r="AQ481" s="141"/>
      <c r="AR481" s="191"/>
      <c r="AS481" s="191"/>
      <c r="AT481" s="141"/>
      <c r="AU481" s="141">
        <v>3.52</v>
      </c>
      <c r="AV481" s="141">
        <f t="shared" si="570"/>
        <v>3.52</v>
      </c>
      <c r="AW481" s="142">
        <f t="shared" si="571"/>
        <v>0.50285714285714289</v>
      </c>
      <c r="AX481" s="126">
        <f t="shared" si="871"/>
        <v>0.43789428164428174</v>
      </c>
      <c r="AY481" s="17"/>
      <c r="AZ481" s="128">
        <v>8544700000</v>
      </c>
      <c r="BB481" s="161">
        <f t="shared" si="833"/>
        <v>2.0272883409457489</v>
      </c>
      <c r="BC481" s="161">
        <f t="shared" si="834"/>
        <v>1.2163730045674492</v>
      </c>
      <c r="BD481" s="161">
        <f t="shared" si="835"/>
        <v>1.0136441704728745</v>
      </c>
      <c r="BE481" s="161">
        <f t="shared" si="836"/>
        <v>0.8109153363782996</v>
      </c>
    </row>
    <row r="482" spans="1:57" s="129" customFormat="1" hidden="1">
      <c r="A482" s="88" t="s">
        <v>1302</v>
      </c>
      <c r="B482" s="88" t="s">
        <v>1318</v>
      </c>
      <c r="C482" s="88" t="s">
        <v>1318</v>
      </c>
      <c r="D482" s="88" t="s">
        <v>656</v>
      </c>
      <c r="E482" s="88" t="s">
        <v>1079</v>
      </c>
      <c r="F482" s="89" t="s">
        <v>658</v>
      </c>
      <c r="G482" s="92" t="s">
        <v>765</v>
      </c>
      <c r="H482" s="92"/>
      <c r="I482" s="167" t="s">
        <v>1089</v>
      </c>
      <c r="J482" s="167" t="str">
        <f>_xlfn.XLOOKUP(I482,[1]Sheet1!$A:$A,[1]Sheet1!$B:$B,"")</f>
        <v>U1102001</v>
      </c>
      <c r="K482" s="88" t="s">
        <v>1697</v>
      </c>
      <c r="L482" s="88" t="s">
        <v>1090</v>
      </c>
      <c r="M482" s="92"/>
      <c r="N482" s="89" t="s">
        <v>60</v>
      </c>
      <c r="O482" s="165"/>
      <c r="P482" s="89" t="s">
        <v>912</v>
      </c>
      <c r="Q482" s="92" t="s">
        <v>635</v>
      </c>
      <c r="R482" s="92">
        <v>10800</v>
      </c>
      <c r="S482" s="92" t="e">
        <v>#N/A</v>
      </c>
      <c r="T482" s="92">
        <v>8544700000</v>
      </c>
      <c r="U482" s="155">
        <v>0</v>
      </c>
      <c r="V482" s="207">
        <v>30</v>
      </c>
      <c r="W482" s="92">
        <v>45</v>
      </c>
      <c r="X482" s="92">
        <v>55</v>
      </c>
      <c r="Y482" s="92" t="s">
        <v>64</v>
      </c>
      <c r="Z482" s="133">
        <f t="shared" si="562"/>
        <v>0.79818594104308394</v>
      </c>
      <c r="AA482" s="133"/>
      <c r="AB482" s="161">
        <f t="shared" si="563"/>
        <v>0.60818650228372462</v>
      </c>
      <c r="AC482" s="161"/>
      <c r="AD482" s="213">
        <f t="shared" si="564"/>
        <v>0.1</v>
      </c>
      <c r="AE482" s="213">
        <v>0.1</v>
      </c>
      <c r="AF482" s="215">
        <v>0.28000000000000003</v>
      </c>
      <c r="AG482" s="215" t="s">
        <v>9</v>
      </c>
      <c r="AH482" s="148">
        <f t="shared" si="880"/>
        <v>0.60818650228372462</v>
      </c>
      <c r="AI482" s="122">
        <f t="shared" si="784"/>
        <v>0.28000000000000003</v>
      </c>
      <c r="AJ482" s="444"/>
      <c r="AK482" s="150">
        <f t="shared" si="566"/>
        <v>0.55873015873015874</v>
      </c>
      <c r="AL482" s="153">
        <f t="shared" si="567"/>
        <v>0.48654920182697969</v>
      </c>
      <c r="AM482" s="125">
        <f t="shared" si="568"/>
        <v>0.30000000000000004</v>
      </c>
      <c r="AN482" s="125">
        <f t="shared" si="640"/>
        <v>0.19999999999999996</v>
      </c>
      <c r="AO482" s="140"/>
      <c r="AP482" s="17" t="s">
        <v>664</v>
      </c>
      <c r="AQ482" s="141"/>
      <c r="AR482" s="191"/>
      <c r="AS482" s="191"/>
      <c r="AT482" s="141"/>
      <c r="AU482" s="141">
        <v>3.52</v>
      </c>
      <c r="AV482" s="141">
        <f t="shared" si="570"/>
        <v>3.52</v>
      </c>
      <c r="AW482" s="142">
        <f t="shared" si="571"/>
        <v>0.50285714285714289</v>
      </c>
      <c r="AX482" s="126">
        <f t="shared" si="871"/>
        <v>0.43789428164428174</v>
      </c>
      <c r="AY482" s="17"/>
      <c r="AZ482" s="128">
        <v>8544700000</v>
      </c>
      <c r="BB482" s="161">
        <f t="shared" si="833"/>
        <v>2.0272883409457489</v>
      </c>
      <c r="BC482" s="161">
        <f t="shared" si="834"/>
        <v>1.2163730045674492</v>
      </c>
      <c r="BD482" s="161">
        <f t="shared" si="835"/>
        <v>1.0136441704728745</v>
      </c>
      <c r="BE482" s="161">
        <f t="shared" si="836"/>
        <v>0.8109153363782996</v>
      </c>
    </row>
    <row r="483" spans="1:57" s="129" customFormat="1" hidden="1">
      <c r="A483" s="88" t="s">
        <v>1302</v>
      </c>
      <c r="B483" s="88" t="s">
        <v>1317</v>
      </c>
      <c r="C483" s="88" t="s">
        <v>1317</v>
      </c>
      <c r="D483" s="88" t="s">
        <v>656</v>
      </c>
      <c r="E483" s="88" t="s">
        <v>1079</v>
      </c>
      <c r="F483" s="89" t="s">
        <v>668</v>
      </c>
      <c r="G483" s="92" t="s">
        <v>820</v>
      </c>
      <c r="H483" s="92"/>
      <c r="I483" s="167" t="s">
        <v>1091</v>
      </c>
      <c r="J483" s="167" t="str">
        <f>_xlfn.XLOOKUP(I483,[1]Sheet1!$A:$A,[1]Sheet1!$B:$B,"")</f>
        <v>U1103002</v>
      </c>
      <c r="K483" s="88" t="s">
        <v>1092</v>
      </c>
      <c r="L483" s="88" t="s">
        <v>1093</v>
      </c>
      <c r="M483" s="92"/>
      <c r="N483" s="89" t="s">
        <v>60</v>
      </c>
      <c r="O483" s="165"/>
      <c r="P483" s="89" t="s">
        <v>912</v>
      </c>
      <c r="Q483" s="92" t="s">
        <v>635</v>
      </c>
      <c r="R483" s="92">
        <v>10800</v>
      </c>
      <c r="S483" s="92" t="e">
        <v>#N/A</v>
      </c>
      <c r="T483" s="92">
        <v>8544700000</v>
      </c>
      <c r="U483" s="155">
        <v>0</v>
      </c>
      <c r="V483" s="207">
        <v>30</v>
      </c>
      <c r="W483" s="92">
        <v>45</v>
      </c>
      <c r="X483" s="92">
        <v>55</v>
      </c>
      <c r="Y483" s="92" t="s">
        <v>64</v>
      </c>
      <c r="Z483" s="133">
        <f t="shared" si="562"/>
        <v>1.0634920634920635</v>
      </c>
      <c r="AA483" s="133"/>
      <c r="AB483" s="161">
        <f t="shared" si="563"/>
        <v>0.8065992006964231</v>
      </c>
      <c r="AC483" s="161"/>
      <c r="AD483" s="213">
        <f t="shared" si="564"/>
        <v>0.1</v>
      </c>
      <c r="AE483" s="213">
        <v>0.1</v>
      </c>
      <c r="AF483" s="215">
        <v>0.28000000000000003</v>
      </c>
      <c r="AG483" s="215" t="s">
        <v>9</v>
      </c>
      <c r="AH483" s="148">
        <f t="shared" si="880"/>
        <v>0.8065992006964231</v>
      </c>
      <c r="AI483" s="122">
        <f t="shared" si="784"/>
        <v>0.28000000000000003</v>
      </c>
      <c r="AJ483" s="444"/>
      <c r="AK483" s="150">
        <f t="shared" si="566"/>
        <v>0.74444444444444446</v>
      </c>
      <c r="AL483" s="153">
        <f t="shared" si="567"/>
        <v>0.64527936055713842</v>
      </c>
      <c r="AM483" s="125">
        <f t="shared" si="568"/>
        <v>0.29999999999999993</v>
      </c>
      <c r="AN483" s="125">
        <f t="shared" si="640"/>
        <v>0.20000000000000007</v>
      </c>
      <c r="AO483" s="140"/>
      <c r="AP483" s="17" t="s">
        <v>664</v>
      </c>
      <c r="AQ483" s="141"/>
      <c r="AR483" s="191"/>
      <c r="AS483" s="191"/>
      <c r="AT483" s="141"/>
      <c r="AU483" s="141">
        <v>4.6900000000000004</v>
      </c>
      <c r="AV483" s="141">
        <f t="shared" ref="AV483:AV557" si="881">AT483+AU483</f>
        <v>4.6900000000000004</v>
      </c>
      <c r="AW483" s="142">
        <f t="shared" ref="AW483:AW510" si="882">(AT483+AU483)/$F$5</f>
        <v>0.67</v>
      </c>
      <c r="AX483" s="126">
        <f t="shared" si="871"/>
        <v>0.58075142450142458</v>
      </c>
      <c r="AY483" s="17"/>
      <c r="AZ483" s="128">
        <v>8544700000</v>
      </c>
      <c r="BB483" s="161">
        <f t="shared" si="833"/>
        <v>2.6886640023214103</v>
      </c>
      <c r="BC483" s="161">
        <f t="shared" si="834"/>
        <v>1.6131984013928462</v>
      </c>
      <c r="BD483" s="161">
        <f t="shared" si="835"/>
        <v>1.3443320011607052</v>
      </c>
      <c r="BE483" s="161">
        <f t="shared" si="836"/>
        <v>1.0754656009285641</v>
      </c>
    </row>
    <row r="484" spans="1:57" s="129" customFormat="1" hidden="1">
      <c r="A484" s="88" t="s">
        <v>1302</v>
      </c>
      <c r="B484" s="88" t="s">
        <v>1317</v>
      </c>
      <c r="C484" s="88" t="s">
        <v>1317</v>
      </c>
      <c r="D484" s="88" t="s">
        <v>656</v>
      </c>
      <c r="E484" s="88" t="s">
        <v>1079</v>
      </c>
      <c r="F484" s="89" t="s">
        <v>658</v>
      </c>
      <c r="G484" s="92" t="s">
        <v>820</v>
      </c>
      <c r="H484" s="92"/>
      <c r="I484" s="167" t="s">
        <v>1094</v>
      </c>
      <c r="J484" s="167" t="str">
        <f>_xlfn.XLOOKUP(I484,[1]Sheet1!$A:$A,[1]Sheet1!$B:$B,"")</f>
        <v>U1103001</v>
      </c>
      <c r="K484" s="88" t="s">
        <v>1095</v>
      </c>
      <c r="L484" s="88" t="s">
        <v>1096</v>
      </c>
      <c r="M484" s="92"/>
      <c r="N484" s="89" t="s">
        <v>60</v>
      </c>
      <c r="O484" s="165"/>
      <c r="P484" s="89" t="s">
        <v>912</v>
      </c>
      <c r="Q484" s="92" t="s">
        <v>635</v>
      </c>
      <c r="R484" s="92">
        <v>10800</v>
      </c>
      <c r="S484" s="92" t="e">
        <v>#N/A</v>
      </c>
      <c r="T484" s="92">
        <v>8544700000</v>
      </c>
      <c r="U484" s="155">
        <v>0</v>
      </c>
      <c r="V484" s="207">
        <v>30</v>
      </c>
      <c r="W484" s="92">
        <v>45</v>
      </c>
      <c r="X484" s="92">
        <v>55</v>
      </c>
      <c r="Y484" s="92" t="s">
        <v>64</v>
      </c>
      <c r="Z484" s="133">
        <f t="shared" ref="Z484:Z511" si="883">AK484/(1-(AF484+2%))</f>
        <v>1.0634920634920635</v>
      </c>
      <c r="AA484" s="133"/>
      <c r="AB484" s="161">
        <f t="shared" ref="AB484:AB558" si="884">AX484/(1-AF484)</f>
        <v>0.8065992006964231</v>
      </c>
      <c r="AC484" s="161"/>
      <c r="AD484" s="213">
        <f t="shared" ref="AD484:AD558" si="885">AE484</f>
        <v>0.1</v>
      </c>
      <c r="AE484" s="213">
        <v>0.1</v>
      </c>
      <c r="AF484" s="215">
        <v>0.28000000000000003</v>
      </c>
      <c r="AG484" s="215" t="s">
        <v>9</v>
      </c>
      <c r="AH484" s="148">
        <f t="shared" si="880"/>
        <v>0.8065992006964231</v>
      </c>
      <c r="AI484" s="122">
        <f t="shared" si="784"/>
        <v>0.28000000000000003</v>
      </c>
      <c r="AJ484" s="444"/>
      <c r="AK484" s="150">
        <f t="shared" ref="AK484:AL512" si="886">AW484/(1-AD484)</f>
        <v>0.74444444444444446</v>
      </c>
      <c r="AL484" s="153">
        <f t="shared" ref="AL484:AL511" si="887">AX484/(1-AE484)</f>
        <v>0.64527936055713842</v>
      </c>
      <c r="AM484" s="125">
        <f>1-(AK484/Z484)</f>
        <v>0.29999999999999993</v>
      </c>
      <c r="AN484" s="125">
        <f t="shared" si="640"/>
        <v>0.20000000000000007</v>
      </c>
      <c r="AO484" s="140"/>
      <c r="AP484" s="17" t="s">
        <v>664</v>
      </c>
      <c r="AQ484" s="141"/>
      <c r="AR484" s="191"/>
      <c r="AS484" s="191"/>
      <c r="AT484" s="141"/>
      <c r="AU484" s="141">
        <v>4.6900000000000004</v>
      </c>
      <c r="AV484" s="141">
        <f t="shared" si="881"/>
        <v>4.6900000000000004</v>
      </c>
      <c r="AW484" s="142">
        <f t="shared" si="882"/>
        <v>0.67</v>
      </c>
      <c r="AX484" s="126">
        <f t="shared" si="871"/>
        <v>0.58075142450142458</v>
      </c>
      <c r="AY484" s="17"/>
      <c r="AZ484" s="128">
        <v>8544700000</v>
      </c>
      <c r="BB484" s="161">
        <f t="shared" si="833"/>
        <v>2.6886640023214103</v>
      </c>
      <c r="BC484" s="161">
        <f t="shared" si="834"/>
        <v>1.6131984013928462</v>
      </c>
      <c r="BD484" s="161">
        <f t="shared" si="835"/>
        <v>1.3443320011607052</v>
      </c>
      <c r="BE484" s="161">
        <f t="shared" si="836"/>
        <v>1.0754656009285641</v>
      </c>
    </row>
    <row r="485" spans="1:57" s="129" customFormat="1" hidden="1">
      <c r="A485" s="88" t="s">
        <v>1276</v>
      </c>
      <c r="B485" s="88" t="s">
        <v>1318</v>
      </c>
      <c r="C485" s="88" t="s">
        <v>1318</v>
      </c>
      <c r="D485" s="88" t="s">
        <v>656</v>
      </c>
      <c r="E485" s="88" t="s">
        <v>1079</v>
      </c>
      <c r="F485" s="89" t="s">
        <v>668</v>
      </c>
      <c r="G485" s="92" t="s">
        <v>1736</v>
      </c>
      <c r="H485" s="92"/>
      <c r="I485" s="167" t="s">
        <v>1097</v>
      </c>
      <c r="J485" s="167" t="str">
        <f>_xlfn.XLOOKUP(I485,[1]Sheet1!$A:$A,[1]Sheet1!$B:$B,"")</f>
        <v>U1104002</v>
      </c>
      <c r="K485" s="88" t="s">
        <v>1098</v>
      </c>
      <c r="L485" s="88" t="s">
        <v>1099</v>
      </c>
      <c r="M485" s="92"/>
      <c r="N485" s="89" t="s">
        <v>60</v>
      </c>
      <c r="O485" s="165"/>
      <c r="P485" s="89" t="s">
        <v>912</v>
      </c>
      <c r="Q485" s="92" t="s">
        <v>635</v>
      </c>
      <c r="R485" s="92">
        <v>10800</v>
      </c>
      <c r="S485" s="92" t="s">
        <v>2520</v>
      </c>
      <c r="T485" s="92">
        <v>8544700000</v>
      </c>
      <c r="U485" s="155">
        <v>0</v>
      </c>
      <c r="V485" s="207">
        <v>30</v>
      </c>
      <c r="W485" s="92">
        <v>45</v>
      </c>
      <c r="X485" s="92">
        <v>55</v>
      </c>
      <c r="Y485" s="92" t="s">
        <v>64</v>
      </c>
      <c r="Z485" s="133">
        <f>AK485/(1-(AF485+2%))</f>
        <v>0.56462585034013613</v>
      </c>
      <c r="AA485" s="133"/>
      <c r="AB485" s="161">
        <f>AX485/(1-AF485)</f>
        <v>0.4335154942793833</v>
      </c>
      <c r="AC485" s="161"/>
      <c r="AD485" s="213">
        <f>AE485</f>
        <v>0.1</v>
      </c>
      <c r="AE485" s="213">
        <v>0.1</v>
      </c>
      <c r="AF485" s="215">
        <v>0.28000000000000003</v>
      </c>
      <c r="AG485" s="215" t="str">
        <f>VLOOKUP(I485,'[3]PO &amp; SC March 2024'!$F$11:$AA$197,20,FALSE)</f>
        <v>C</v>
      </c>
      <c r="AH485" s="148">
        <f t="shared" si="880"/>
        <v>0.4335154942793833</v>
      </c>
      <c r="AI485" s="122">
        <f>1-(AX485/AH485)</f>
        <v>0.28000000000000003</v>
      </c>
      <c r="AJ485" s="444"/>
      <c r="AK485" s="150">
        <f>AW485/(1-AD485)</f>
        <v>0.39523809523809528</v>
      </c>
      <c r="AL485" s="153">
        <f>AX485/(1-AE485)</f>
        <v>0.34681239542350661</v>
      </c>
      <c r="AM485" s="125">
        <f>1-(AK485/Z485)</f>
        <v>0.30000000000000004</v>
      </c>
      <c r="AN485" s="125">
        <f>1-(AL485/AB485)</f>
        <v>0.20000000000000007</v>
      </c>
      <c r="AO485" s="140"/>
      <c r="AP485" s="17" t="s">
        <v>664</v>
      </c>
      <c r="AQ485" s="141"/>
      <c r="AR485" s="191"/>
      <c r="AS485" s="191"/>
      <c r="AT485" s="141"/>
      <c r="AU485" s="141">
        <v>2.4900000000000002</v>
      </c>
      <c r="AV485" s="141">
        <f t="shared" ref="AV485:AV486" si="888">AT485+AU485</f>
        <v>2.4900000000000002</v>
      </c>
      <c r="AW485" s="142">
        <f t="shared" ref="AW485:AW486" si="889">(AT485+AU485)/$F$5</f>
        <v>0.35571428571428576</v>
      </c>
      <c r="AX485" s="126">
        <f t="shared" ref="AX485:AX486" si="890">(AW485/$F$6)+(($F$9+$G$9)/40/R485)+AW485*U485</f>
        <v>0.31213115588115597</v>
      </c>
      <c r="AY485" s="17"/>
      <c r="AZ485" s="128">
        <v>8544700000</v>
      </c>
      <c r="BB485" s="168">
        <f t="shared" si="833"/>
        <v>1.4450516475979445</v>
      </c>
      <c r="BC485" s="168">
        <f t="shared" si="834"/>
        <v>0.8670309885587667</v>
      </c>
      <c r="BD485" s="168">
        <f t="shared" si="835"/>
        <v>0.72252582379897223</v>
      </c>
      <c r="BE485" s="168">
        <f t="shared" si="836"/>
        <v>0.57802065903917776</v>
      </c>
    </row>
    <row r="486" spans="1:57" s="129" customFormat="1" hidden="1">
      <c r="A486" s="88" t="s">
        <v>1276</v>
      </c>
      <c r="B486" s="88" t="s">
        <v>1318</v>
      </c>
      <c r="C486" s="88" t="s">
        <v>1318</v>
      </c>
      <c r="D486" s="88" t="s">
        <v>656</v>
      </c>
      <c r="E486" s="88" t="s">
        <v>1079</v>
      </c>
      <c r="F486" s="89" t="s">
        <v>658</v>
      </c>
      <c r="G486" s="92" t="s">
        <v>1736</v>
      </c>
      <c r="H486" s="92"/>
      <c r="I486" s="167" t="s">
        <v>1693</v>
      </c>
      <c r="J486" s="167" t="str">
        <f>_xlfn.XLOOKUP(I486,[1]Sheet1!$A:$A,[1]Sheet1!$B:$B,"")</f>
        <v>U1104001</v>
      </c>
      <c r="K486" s="88" t="s">
        <v>1698</v>
      </c>
      <c r="L486" s="88" t="s">
        <v>1101</v>
      </c>
      <c r="M486" s="92"/>
      <c r="N486" s="89" t="s">
        <v>60</v>
      </c>
      <c r="O486" s="165"/>
      <c r="P486" s="89" t="s">
        <v>912</v>
      </c>
      <c r="Q486" s="92" t="s">
        <v>635</v>
      </c>
      <c r="R486" s="92">
        <v>10800</v>
      </c>
      <c r="S486" s="92" t="s">
        <v>2521</v>
      </c>
      <c r="T486" s="92">
        <v>8544700000</v>
      </c>
      <c r="U486" s="155">
        <v>0</v>
      </c>
      <c r="V486" s="207">
        <v>30</v>
      </c>
      <c r="W486" s="92">
        <v>45</v>
      </c>
      <c r="X486" s="92">
        <v>55</v>
      </c>
      <c r="Y486" s="92" t="s">
        <v>64</v>
      </c>
      <c r="Z486" s="133">
        <f>AK486/(1-(AF486+2%))</f>
        <v>0.56462585034013613</v>
      </c>
      <c r="AA486" s="133"/>
      <c r="AB486" s="161">
        <f>AX486/(1-AF486)</f>
        <v>0.4335154942793833</v>
      </c>
      <c r="AC486" s="161"/>
      <c r="AD486" s="213">
        <f>AE486</f>
        <v>0.1</v>
      </c>
      <c r="AE486" s="213">
        <v>0.1</v>
      </c>
      <c r="AF486" s="215">
        <v>0.28000000000000003</v>
      </c>
      <c r="AG486" s="215" t="str">
        <f>VLOOKUP(I486,'[3]PO &amp; SC March 2024'!$F$11:$AA$197,20,FALSE)</f>
        <v>C</v>
      </c>
      <c r="AH486" s="148">
        <f t="shared" si="880"/>
        <v>0.4335154942793833</v>
      </c>
      <c r="AI486" s="122">
        <f>1-(AX486/AH486)</f>
        <v>0.28000000000000003</v>
      </c>
      <c r="AJ486" s="444"/>
      <c r="AK486" s="150">
        <f>AW486/(1-AD486)</f>
        <v>0.39523809523809528</v>
      </c>
      <c r="AL486" s="153">
        <f>AX486/(1-AE486)</f>
        <v>0.34681239542350661</v>
      </c>
      <c r="AM486" s="125">
        <f>1-(AK486/Z486)</f>
        <v>0.30000000000000004</v>
      </c>
      <c r="AN486" s="125">
        <f>1-(AL486/AB486)</f>
        <v>0.20000000000000007</v>
      </c>
      <c r="AO486" s="140"/>
      <c r="AP486" s="17" t="s">
        <v>664</v>
      </c>
      <c r="AQ486" s="141"/>
      <c r="AR486" s="191"/>
      <c r="AS486" s="191"/>
      <c r="AT486" s="141"/>
      <c r="AU486" s="141">
        <v>2.4900000000000002</v>
      </c>
      <c r="AV486" s="141">
        <f t="shared" si="888"/>
        <v>2.4900000000000002</v>
      </c>
      <c r="AW486" s="142">
        <f t="shared" si="889"/>
        <v>0.35571428571428576</v>
      </c>
      <c r="AX486" s="126">
        <f t="shared" si="890"/>
        <v>0.31213115588115597</v>
      </c>
      <c r="AY486" s="17"/>
      <c r="AZ486" s="128">
        <v>8544700000</v>
      </c>
      <c r="BB486" s="168">
        <f t="shared" si="833"/>
        <v>1.4450516475979445</v>
      </c>
      <c r="BC486" s="168">
        <f t="shared" si="834"/>
        <v>0.8670309885587667</v>
      </c>
      <c r="BD486" s="168">
        <f t="shared" si="835"/>
        <v>0.72252582379897223</v>
      </c>
      <c r="BE486" s="168">
        <f t="shared" si="836"/>
        <v>0.57802065903917776</v>
      </c>
    </row>
    <row r="487" spans="1:57" s="129" customFormat="1" hidden="1">
      <c r="A487" s="88" t="s">
        <v>1276</v>
      </c>
      <c r="B487" s="88" t="s">
        <v>1318</v>
      </c>
      <c r="C487" s="88" t="s">
        <v>1318</v>
      </c>
      <c r="D487" s="88" t="s">
        <v>656</v>
      </c>
      <c r="E487" s="88" t="s">
        <v>1079</v>
      </c>
      <c r="F487" s="89" t="s">
        <v>668</v>
      </c>
      <c r="G487" s="92" t="s">
        <v>1786</v>
      </c>
      <c r="H487" s="92"/>
      <c r="I487" s="416" t="s">
        <v>3713</v>
      </c>
      <c r="J487" s="167" t="str">
        <f>_xlfn.XLOOKUP(I487,[1]Sheet1!$A:$A,[1]Sheet1!$B:$B,"")</f>
        <v/>
      </c>
      <c r="K487" s="88" t="s">
        <v>1098</v>
      </c>
      <c r="L487" s="88" t="s">
        <v>1099</v>
      </c>
      <c r="M487" s="92"/>
      <c r="N487" s="89" t="s">
        <v>60</v>
      </c>
      <c r="O487" s="165"/>
      <c r="P487" s="89" t="s">
        <v>912</v>
      </c>
      <c r="Q487" s="92" t="s">
        <v>635</v>
      </c>
      <c r="R487" s="92">
        <v>10800</v>
      </c>
      <c r="S487" s="92" t="s">
        <v>2520</v>
      </c>
      <c r="T487" s="92">
        <v>8544700000</v>
      </c>
      <c r="U487" s="155">
        <v>0</v>
      </c>
      <c r="V487" s="207">
        <v>30</v>
      </c>
      <c r="W487" s="92">
        <v>45</v>
      </c>
      <c r="X487" s="92">
        <v>55</v>
      </c>
      <c r="Y487" s="92" t="s">
        <v>64</v>
      </c>
      <c r="Z487" s="133">
        <f t="shared" ref="Z487:Z488" si="891">AK487/(1-(AF487+2%))</f>
        <v>0.57823129251700689</v>
      </c>
      <c r="AA487" s="133"/>
      <c r="AB487" s="161">
        <f t="shared" ref="AB487:AB488" si="892">AX487/(1-AF487)</f>
        <v>0.44369050445439345</v>
      </c>
      <c r="AC487" s="161"/>
      <c r="AD487" s="213">
        <f t="shared" ref="AD487:AD488" si="893">AE487</f>
        <v>0.1</v>
      </c>
      <c r="AE487" s="213">
        <v>0.1</v>
      </c>
      <c r="AF487" s="215">
        <v>0.28000000000000003</v>
      </c>
      <c r="AG487" s="215" t="e">
        <f>VLOOKUP(I487,'[3]PO &amp; SC March 2024'!$F$11:$AA$197,20,FALSE)</f>
        <v>#N/A</v>
      </c>
      <c r="AH487" s="148">
        <f t="shared" si="880"/>
        <v>0.44369050445439345</v>
      </c>
      <c r="AI487" s="122">
        <f t="shared" ref="AI487:AI488" si="894">1-(AX487/AH487)</f>
        <v>0.28000000000000003</v>
      </c>
      <c r="AJ487" s="444"/>
      <c r="AK487" s="150">
        <f t="shared" ref="AK487:AK488" si="895">AW487/(1-AD487)</f>
        <v>0.40476190476190477</v>
      </c>
      <c r="AL487" s="153">
        <f t="shared" ref="AL487:AL488" si="896">AX487/(1-AE487)</f>
        <v>0.35495240356351476</v>
      </c>
      <c r="AM487" s="125">
        <f t="shared" ref="AM487:AM494" si="897">1-(AK487/Z487)</f>
        <v>0.30000000000000004</v>
      </c>
      <c r="AN487" s="125">
        <f t="shared" ref="AN487:AN488" si="898">1-(AL487/AB487)</f>
        <v>0.19999999999999996</v>
      </c>
      <c r="AO487" s="140"/>
      <c r="AP487" s="17" t="s">
        <v>664</v>
      </c>
      <c r="AQ487" s="141"/>
      <c r="AR487" s="191"/>
      <c r="AS487" s="191"/>
      <c r="AT487" s="141">
        <f>0.03*2</f>
        <v>0.06</v>
      </c>
      <c r="AU487" s="141">
        <v>2.4900000000000002</v>
      </c>
      <c r="AV487" s="141">
        <f t="shared" ref="AV487:AV494" si="899">AT487+AU487</f>
        <v>2.5500000000000003</v>
      </c>
      <c r="AW487" s="142">
        <f t="shared" ref="AW487:AW488" si="900">(AT487+AU487)/$F$5</f>
        <v>0.36428571428571432</v>
      </c>
      <c r="AX487" s="126">
        <f t="shared" ref="AX487:AX488" si="901">(AW487/$F$6)+(($F$9+$G$9)/40/R487)+AW487*U487</f>
        <v>0.31945716320716327</v>
      </c>
      <c r="AY487" s="17"/>
      <c r="AZ487" s="128">
        <v>8544700000</v>
      </c>
      <c r="BB487" s="168">
        <f t="shared" si="833"/>
        <v>1.4789683481813116</v>
      </c>
      <c r="BC487" s="168">
        <f t="shared" si="834"/>
        <v>0.88738100890878691</v>
      </c>
      <c r="BD487" s="168">
        <f t="shared" si="835"/>
        <v>0.73948417409065581</v>
      </c>
      <c r="BE487" s="168">
        <f t="shared" si="836"/>
        <v>0.59158733927252471</v>
      </c>
    </row>
    <row r="488" spans="1:57" s="129" customFormat="1" hidden="1">
      <c r="A488" s="88" t="s">
        <v>1276</v>
      </c>
      <c r="B488" s="88" t="s">
        <v>1318</v>
      </c>
      <c r="C488" s="88" t="s">
        <v>1318</v>
      </c>
      <c r="D488" s="88" t="s">
        <v>656</v>
      </c>
      <c r="E488" s="88" t="s">
        <v>1079</v>
      </c>
      <c r="F488" s="89" t="s">
        <v>658</v>
      </c>
      <c r="G488" s="92" t="s">
        <v>1786</v>
      </c>
      <c r="H488" s="92"/>
      <c r="I488" s="416" t="s">
        <v>3714</v>
      </c>
      <c r="J488" s="167" t="str">
        <f>_xlfn.XLOOKUP(I488,[1]Sheet1!$A:$A,[1]Sheet1!$B:$B,"")</f>
        <v/>
      </c>
      <c r="K488" s="88" t="s">
        <v>1698</v>
      </c>
      <c r="L488" s="88" t="s">
        <v>1101</v>
      </c>
      <c r="M488" s="92"/>
      <c r="N488" s="89" t="s">
        <v>60</v>
      </c>
      <c r="O488" s="165"/>
      <c r="P488" s="89" t="s">
        <v>912</v>
      </c>
      <c r="Q488" s="92" t="s">
        <v>635</v>
      </c>
      <c r="R488" s="92">
        <v>10800</v>
      </c>
      <c r="S488" s="92" t="s">
        <v>2521</v>
      </c>
      <c r="T488" s="92">
        <v>8544700000</v>
      </c>
      <c r="U488" s="155">
        <v>0</v>
      </c>
      <c r="V488" s="207">
        <v>30</v>
      </c>
      <c r="W488" s="92">
        <v>45</v>
      </c>
      <c r="X488" s="92">
        <v>55</v>
      </c>
      <c r="Y488" s="92" t="s">
        <v>64</v>
      </c>
      <c r="Z488" s="133">
        <f t="shared" si="891"/>
        <v>0.57823129251700689</v>
      </c>
      <c r="AA488" s="133"/>
      <c r="AB488" s="161">
        <f t="shared" si="892"/>
        <v>0.44369050445439345</v>
      </c>
      <c r="AC488" s="161"/>
      <c r="AD488" s="213">
        <f t="shared" si="893"/>
        <v>0.1</v>
      </c>
      <c r="AE488" s="213">
        <v>0.1</v>
      </c>
      <c r="AF488" s="215">
        <v>0.28000000000000003</v>
      </c>
      <c r="AG488" s="215" t="e">
        <f>VLOOKUP(I488,'[3]PO &amp; SC March 2024'!$F$11:$AA$197,20,FALSE)</f>
        <v>#N/A</v>
      </c>
      <c r="AH488" s="148">
        <f t="shared" si="880"/>
        <v>0.44369050445439345</v>
      </c>
      <c r="AI488" s="122">
        <f t="shared" si="894"/>
        <v>0.28000000000000003</v>
      </c>
      <c r="AJ488" s="444"/>
      <c r="AK488" s="150">
        <f t="shared" si="895"/>
        <v>0.40476190476190477</v>
      </c>
      <c r="AL488" s="153">
        <f t="shared" si="896"/>
        <v>0.35495240356351476</v>
      </c>
      <c r="AM488" s="125">
        <f t="shared" si="897"/>
        <v>0.30000000000000004</v>
      </c>
      <c r="AN488" s="125">
        <f t="shared" si="898"/>
        <v>0.19999999999999996</v>
      </c>
      <c r="AO488" s="140"/>
      <c r="AP488" s="17" t="s">
        <v>664</v>
      </c>
      <c r="AQ488" s="141"/>
      <c r="AR488" s="191"/>
      <c r="AS488" s="191"/>
      <c r="AT488" s="141">
        <f>0.03*2</f>
        <v>0.06</v>
      </c>
      <c r="AU488" s="141">
        <v>2.4900000000000002</v>
      </c>
      <c r="AV488" s="141">
        <f t="shared" si="899"/>
        <v>2.5500000000000003</v>
      </c>
      <c r="AW488" s="142">
        <f t="shared" si="900"/>
        <v>0.36428571428571432</v>
      </c>
      <c r="AX488" s="126">
        <f t="shared" si="901"/>
        <v>0.31945716320716327</v>
      </c>
      <c r="AY488" s="17"/>
      <c r="AZ488" s="128">
        <v>8544700000</v>
      </c>
      <c r="BB488" s="168">
        <f t="shared" si="833"/>
        <v>1.4789683481813116</v>
      </c>
      <c r="BC488" s="168">
        <f t="shared" si="834"/>
        <v>0.88738100890878691</v>
      </c>
      <c r="BD488" s="168">
        <f t="shared" si="835"/>
        <v>0.73948417409065581</v>
      </c>
      <c r="BE488" s="168">
        <f t="shared" si="836"/>
        <v>0.59158733927252471</v>
      </c>
    </row>
    <row r="489" spans="1:57" s="129" customFormat="1" hidden="1">
      <c r="A489" s="88" t="s">
        <v>1276</v>
      </c>
      <c r="B489" s="88" t="s">
        <v>1318</v>
      </c>
      <c r="C489" s="88" t="s">
        <v>1318</v>
      </c>
      <c r="D489" s="88" t="s">
        <v>656</v>
      </c>
      <c r="E489" s="88" t="s">
        <v>1079</v>
      </c>
      <c r="F489" s="89" t="s">
        <v>2530</v>
      </c>
      <c r="G489" s="92" t="s">
        <v>1679</v>
      </c>
      <c r="H489" s="92"/>
      <c r="I489" s="234" t="s">
        <v>2524</v>
      </c>
      <c r="J489" s="167"/>
      <c r="K489" s="88" t="s">
        <v>2538</v>
      </c>
      <c r="L489" s="88" t="s">
        <v>2546</v>
      </c>
      <c r="M489" s="92"/>
      <c r="N489" s="89" t="s">
        <v>2533</v>
      </c>
      <c r="O489" s="165"/>
      <c r="P489" s="88" t="s">
        <v>2532</v>
      </c>
      <c r="Q489" s="92" t="s">
        <v>2534</v>
      </c>
      <c r="R489" s="92">
        <v>480</v>
      </c>
      <c r="S489" s="92"/>
      <c r="T489" s="92">
        <v>8544700000</v>
      </c>
      <c r="U489" s="155">
        <v>0</v>
      </c>
      <c r="V489" s="207">
        <v>30</v>
      </c>
      <c r="W489" s="92">
        <v>45</v>
      </c>
      <c r="X489" s="92">
        <v>55</v>
      </c>
      <c r="Y489" s="92" t="s">
        <v>64</v>
      </c>
      <c r="Z489" s="133">
        <f t="shared" ref="Z489:Z494" si="902">AK489/(1-(AF489+2%))</f>
        <v>8.0317460317460334</v>
      </c>
      <c r="AA489" s="133"/>
      <c r="AB489" s="161">
        <f t="shared" ref="AB489:AB494" si="903">AX489/(1-AF489)</f>
        <v>6.2598305436847115</v>
      </c>
      <c r="AC489" s="161"/>
      <c r="AD489" s="213">
        <f t="shared" ref="AD489:AD494" si="904">AE489</f>
        <v>0.1</v>
      </c>
      <c r="AE489" s="213">
        <v>0.1</v>
      </c>
      <c r="AF489" s="215">
        <v>0.28000000000000003</v>
      </c>
      <c r="AG489" s="215" t="s">
        <v>2535</v>
      </c>
      <c r="AH489" s="148">
        <f t="shared" si="880"/>
        <v>6.2598305436847115</v>
      </c>
      <c r="AI489" s="122">
        <f t="shared" ref="AI489:AI494" si="905">1-(AX489/AH489)</f>
        <v>0.28000000000000003</v>
      </c>
      <c r="AJ489" s="444"/>
      <c r="AK489" s="150">
        <f t="shared" ref="AK489:AK494" si="906">AW489/(1-AD489)</f>
        <v>5.6222222222222227</v>
      </c>
      <c r="AL489" s="153">
        <f t="shared" ref="AL489:AL494" si="907">AX489/(1-AE489)</f>
        <v>5.007864434947769</v>
      </c>
      <c r="AM489" s="125">
        <f t="shared" si="897"/>
        <v>0.30000000000000004</v>
      </c>
      <c r="AN489" s="125">
        <f t="shared" ref="AN489:AN494" si="908">1-(AL489/AB489)</f>
        <v>0.20000000000000007</v>
      </c>
      <c r="AO489" s="140"/>
      <c r="AP489" s="17" t="s">
        <v>664</v>
      </c>
      <c r="AQ489" s="141"/>
      <c r="AR489" s="191"/>
      <c r="AS489" s="191"/>
      <c r="AT489" s="141"/>
      <c r="AU489" s="196">
        <v>35.42</v>
      </c>
      <c r="AV489" s="141">
        <f t="shared" si="899"/>
        <v>35.42</v>
      </c>
      <c r="AW489" s="142">
        <f t="shared" ref="AW489:AW494" si="909">(AT489+AU489)/$F$5</f>
        <v>5.0600000000000005</v>
      </c>
      <c r="AX489" s="126">
        <f t="shared" ref="AX489:AX494" si="910">(AW489/$F$6)+(($F$9+$G$9)/40/R489)+AW489*U489</f>
        <v>4.5070779914529924</v>
      </c>
      <c r="AY489" s="17"/>
      <c r="AZ489" s="128"/>
      <c r="BB489" s="168">
        <f t="shared" si="833"/>
        <v>20.866101812282373</v>
      </c>
      <c r="BC489" s="168">
        <f t="shared" si="834"/>
        <v>12.519661087369423</v>
      </c>
      <c r="BD489" s="168">
        <f t="shared" si="835"/>
        <v>10.433050906141187</v>
      </c>
      <c r="BE489" s="168">
        <f t="shared" si="836"/>
        <v>8.3464407249129504</v>
      </c>
    </row>
    <row r="490" spans="1:57" s="129" customFormat="1" hidden="1">
      <c r="A490" s="88" t="s">
        <v>1276</v>
      </c>
      <c r="B490" s="88" t="s">
        <v>1318</v>
      </c>
      <c r="C490" s="88" t="s">
        <v>1318</v>
      </c>
      <c r="D490" s="88" t="s">
        <v>656</v>
      </c>
      <c r="E490" s="88" t="s">
        <v>1079</v>
      </c>
      <c r="F490" s="89" t="s">
        <v>2531</v>
      </c>
      <c r="G490" s="92" t="s">
        <v>1679</v>
      </c>
      <c r="H490" s="92"/>
      <c r="I490" s="234" t="s">
        <v>2525</v>
      </c>
      <c r="J490" s="167"/>
      <c r="K490" s="88" t="s">
        <v>2539</v>
      </c>
      <c r="L490" s="88" t="s">
        <v>2547</v>
      </c>
      <c r="M490" s="92"/>
      <c r="N490" s="89" t="s">
        <v>2533</v>
      </c>
      <c r="O490" s="165"/>
      <c r="P490" s="88" t="s">
        <v>2532</v>
      </c>
      <c r="Q490" s="92" t="s">
        <v>2534</v>
      </c>
      <c r="R490" s="92">
        <v>480</v>
      </c>
      <c r="S490" s="92"/>
      <c r="T490" s="92">
        <v>8544700000</v>
      </c>
      <c r="U490" s="155">
        <v>0</v>
      </c>
      <c r="V490" s="207">
        <v>30</v>
      </c>
      <c r="W490" s="92">
        <v>45</v>
      </c>
      <c r="X490" s="92">
        <v>55</v>
      </c>
      <c r="Y490" s="92" t="s">
        <v>64</v>
      </c>
      <c r="Z490" s="133">
        <f t="shared" si="902"/>
        <v>8.0317460317460334</v>
      </c>
      <c r="AA490" s="133"/>
      <c r="AB490" s="161">
        <f t="shared" si="903"/>
        <v>6.2598305436847115</v>
      </c>
      <c r="AC490" s="161"/>
      <c r="AD490" s="213">
        <f t="shared" si="904"/>
        <v>0.1</v>
      </c>
      <c r="AE490" s="213">
        <v>0.1</v>
      </c>
      <c r="AF490" s="215">
        <v>0.28000000000000003</v>
      </c>
      <c r="AG490" s="215" t="s">
        <v>2535</v>
      </c>
      <c r="AH490" s="148">
        <f t="shared" si="880"/>
        <v>6.2598305436847115</v>
      </c>
      <c r="AI490" s="122">
        <f t="shared" si="905"/>
        <v>0.28000000000000003</v>
      </c>
      <c r="AJ490" s="444"/>
      <c r="AK490" s="150">
        <f t="shared" si="906"/>
        <v>5.6222222222222227</v>
      </c>
      <c r="AL490" s="153">
        <f t="shared" si="907"/>
        <v>5.007864434947769</v>
      </c>
      <c r="AM490" s="125">
        <f t="shared" si="897"/>
        <v>0.30000000000000004</v>
      </c>
      <c r="AN490" s="125">
        <f t="shared" si="908"/>
        <v>0.20000000000000007</v>
      </c>
      <c r="AO490" s="140"/>
      <c r="AP490" s="17" t="s">
        <v>664</v>
      </c>
      <c r="AQ490" s="141"/>
      <c r="AR490" s="191"/>
      <c r="AS490" s="191"/>
      <c r="AT490" s="141"/>
      <c r="AU490" s="196">
        <v>35.42</v>
      </c>
      <c r="AV490" s="141">
        <f t="shared" si="899"/>
        <v>35.42</v>
      </c>
      <c r="AW490" s="142">
        <f t="shared" si="909"/>
        <v>5.0600000000000005</v>
      </c>
      <c r="AX490" s="126">
        <f t="shared" si="910"/>
        <v>4.5070779914529924</v>
      </c>
      <c r="AY490" s="17"/>
      <c r="AZ490" s="128"/>
      <c r="BB490" s="168">
        <f t="shared" si="833"/>
        <v>20.866101812282373</v>
      </c>
      <c r="BC490" s="168">
        <f t="shared" si="834"/>
        <v>12.519661087369423</v>
      </c>
      <c r="BD490" s="168">
        <f t="shared" si="835"/>
        <v>10.433050906141187</v>
      </c>
      <c r="BE490" s="168">
        <f t="shared" si="836"/>
        <v>8.3464407249129504</v>
      </c>
    </row>
    <row r="491" spans="1:57" s="129" customFormat="1" hidden="1">
      <c r="A491" s="88" t="s">
        <v>1276</v>
      </c>
      <c r="B491" s="88" t="s">
        <v>1318</v>
      </c>
      <c r="C491" s="88" t="s">
        <v>1318</v>
      </c>
      <c r="D491" s="88" t="s">
        <v>656</v>
      </c>
      <c r="E491" s="88" t="s">
        <v>1079</v>
      </c>
      <c r="F491" s="89" t="s">
        <v>2530</v>
      </c>
      <c r="G491" s="92" t="s">
        <v>1686</v>
      </c>
      <c r="H491" s="92"/>
      <c r="I491" s="234" t="s">
        <v>2526</v>
      </c>
      <c r="J491" s="167"/>
      <c r="K491" s="88" t="s">
        <v>2540</v>
      </c>
      <c r="L491" s="88" t="s">
        <v>2548</v>
      </c>
      <c r="M491" s="92"/>
      <c r="N491" s="89" t="s">
        <v>2533</v>
      </c>
      <c r="O491" s="165"/>
      <c r="P491" s="88" t="s">
        <v>2532</v>
      </c>
      <c r="Q491" s="92" t="s">
        <v>2534</v>
      </c>
      <c r="R491" s="92">
        <v>480</v>
      </c>
      <c r="S491" s="92"/>
      <c r="T491" s="92">
        <v>8544700000</v>
      </c>
      <c r="U491" s="155">
        <v>0</v>
      </c>
      <c r="V491" s="207">
        <v>30</v>
      </c>
      <c r="W491" s="92">
        <v>45</v>
      </c>
      <c r="X491" s="92">
        <v>55</v>
      </c>
      <c r="Y491" s="92" t="s">
        <v>64</v>
      </c>
      <c r="Z491" s="133">
        <f t="shared" si="902"/>
        <v>9.5782312925170068</v>
      </c>
      <c r="AA491" s="133"/>
      <c r="AB491" s="161">
        <f t="shared" si="903"/>
        <v>7.4163900335775343</v>
      </c>
      <c r="AC491" s="161"/>
      <c r="AD491" s="213">
        <f t="shared" si="904"/>
        <v>0.1</v>
      </c>
      <c r="AE491" s="213">
        <v>0.1</v>
      </c>
      <c r="AF491" s="215">
        <v>0.28000000000000003</v>
      </c>
      <c r="AG491" s="215" t="s">
        <v>2535</v>
      </c>
      <c r="AH491" s="148">
        <f t="shared" si="880"/>
        <v>7.4163900335775343</v>
      </c>
      <c r="AI491" s="122">
        <f t="shared" si="905"/>
        <v>0.28000000000000003</v>
      </c>
      <c r="AJ491" s="444"/>
      <c r="AK491" s="150">
        <f t="shared" si="906"/>
        <v>6.7047619047619049</v>
      </c>
      <c r="AL491" s="153">
        <f t="shared" si="907"/>
        <v>5.9331120268620277</v>
      </c>
      <c r="AM491" s="125">
        <f t="shared" si="897"/>
        <v>0.29999999999999993</v>
      </c>
      <c r="AN491" s="125">
        <f t="shared" si="908"/>
        <v>0.19999999999999996</v>
      </c>
      <c r="AO491" s="140"/>
      <c r="AP491" s="17" t="s">
        <v>664</v>
      </c>
      <c r="AQ491" s="141"/>
      <c r="AR491" s="191"/>
      <c r="AS491" s="191"/>
      <c r="AT491" s="141"/>
      <c r="AU491" s="196">
        <v>42.24</v>
      </c>
      <c r="AV491" s="141">
        <f t="shared" si="899"/>
        <v>42.24</v>
      </c>
      <c r="AW491" s="142">
        <f t="shared" si="909"/>
        <v>6.0342857142857147</v>
      </c>
      <c r="AX491" s="126">
        <f t="shared" si="910"/>
        <v>5.3398008241758248</v>
      </c>
      <c r="AY491" s="17"/>
      <c r="AZ491" s="128"/>
      <c r="BB491" s="168">
        <f t="shared" si="833"/>
        <v>24.721300111925114</v>
      </c>
      <c r="BC491" s="168">
        <f t="shared" si="834"/>
        <v>14.832780067155067</v>
      </c>
      <c r="BD491" s="168">
        <f t="shared" si="835"/>
        <v>12.360650055962557</v>
      </c>
      <c r="BE491" s="168">
        <f t="shared" si="836"/>
        <v>9.888520044770047</v>
      </c>
    </row>
    <row r="492" spans="1:57" s="129" customFormat="1" hidden="1">
      <c r="A492" s="88" t="s">
        <v>1276</v>
      </c>
      <c r="B492" s="88" t="s">
        <v>1318</v>
      </c>
      <c r="C492" s="88" t="s">
        <v>1318</v>
      </c>
      <c r="D492" s="88" t="s">
        <v>656</v>
      </c>
      <c r="E492" s="88" t="s">
        <v>1079</v>
      </c>
      <c r="F492" s="89" t="s">
        <v>2531</v>
      </c>
      <c r="G492" s="92" t="s">
        <v>765</v>
      </c>
      <c r="H492" s="92"/>
      <c r="I492" s="234" t="s">
        <v>2527</v>
      </c>
      <c r="J492" s="167"/>
      <c r="K492" s="88" t="s">
        <v>2541</v>
      </c>
      <c r="L492" s="88" t="s">
        <v>2549</v>
      </c>
      <c r="M492" s="92"/>
      <c r="N492" s="89" t="s">
        <v>2533</v>
      </c>
      <c r="O492" s="165"/>
      <c r="P492" s="88" t="s">
        <v>2532</v>
      </c>
      <c r="Q492" s="92" t="s">
        <v>2534</v>
      </c>
      <c r="R492" s="92">
        <v>480</v>
      </c>
      <c r="S492" s="92"/>
      <c r="T492" s="92">
        <v>8544700000</v>
      </c>
      <c r="U492" s="155">
        <v>0</v>
      </c>
      <c r="V492" s="207">
        <v>30</v>
      </c>
      <c r="W492" s="92">
        <v>45</v>
      </c>
      <c r="X492" s="92">
        <v>55</v>
      </c>
      <c r="Y492" s="92" t="s">
        <v>64</v>
      </c>
      <c r="Z492" s="133">
        <f t="shared" si="902"/>
        <v>9.5782312925170068</v>
      </c>
      <c r="AA492" s="133"/>
      <c r="AB492" s="161">
        <f t="shared" si="903"/>
        <v>7.4163900335775343</v>
      </c>
      <c r="AC492" s="161"/>
      <c r="AD492" s="213">
        <f t="shared" si="904"/>
        <v>0.1</v>
      </c>
      <c r="AE492" s="213">
        <v>0.1</v>
      </c>
      <c r="AF492" s="215">
        <v>0.28000000000000003</v>
      </c>
      <c r="AG492" s="215" t="s">
        <v>2535</v>
      </c>
      <c r="AH492" s="148">
        <f t="shared" si="880"/>
        <v>7.4163900335775343</v>
      </c>
      <c r="AI492" s="122">
        <f t="shared" si="905"/>
        <v>0.28000000000000003</v>
      </c>
      <c r="AJ492" s="444"/>
      <c r="AK492" s="150">
        <f t="shared" si="906"/>
        <v>6.7047619047619049</v>
      </c>
      <c r="AL492" s="153">
        <f t="shared" si="907"/>
        <v>5.9331120268620277</v>
      </c>
      <c r="AM492" s="125">
        <f t="shared" si="897"/>
        <v>0.29999999999999993</v>
      </c>
      <c r="AN492" s="125">
        <f t="shared" si="908"/>
        <v>0.19999999999999996</v>
      </c>
      <c r="AO492" s="140"/>
      <c r="AP492" s="17" t="s">
        <v>664</v>
      </c>
      <c r="AQ492" s="141"/>
      <c r="AR492" s="191"/>
      <c r="AS492" s="191"/>
      <c r="AT492" s="141"/>
      <c r="AU492" s="196">
        <v>42.24</v>
      </c>
      <c r="AV492" s="141">
        <f t="shared" si="899"/>
        <v>42.24</v>
      </c>
      <c r="AW492" s="142">
        <f t="shared" si="909"/>
        <v>6.0342857142857147</v>
      </c>
      <c r="AX492" s="126">
        <f t="shared" si="910"/>
        <v>5.3398008241758248</v>
      </c>
      <c r="AY492" s="17"/>
      <c r="AZ492" s="128"/>
      <c r="BB492" s="168">
        <f t="shared" si="833"/>
        <v>24.721300111925114</v>
      </c>
      <c r="BC492" s="168">
        <f t="shared" si="834"/>
        <v>14.832780067155067</v>
      </c>
      <c r="BD492" s="168">
        <f t="shared" si="835"/>
        <v>12.360650055962557</v>
      </c>
      <c r="BE492" s="168">
        <f t="shared" si="836"/>
        <v>9.888520044770047</v>
      </c>
    </row>
    <row r="493" spans="1:57" s="129" customFormat="1" hidden="1">
      <c r="A493" s="88" t="s">
        <v>1276</v>
      </c>
      <c r="B493" s="88" t="s">
        <v>1318</v>
      </c>
      <c r="C493" s="88" t="s">
        <v>1318</v>
      </c>
      <c r="D493" s="88" t="s">
        <v>656</v>
      </c>
      <c r="E493" s="88" t="s">
        <v>1079</v>
      </c>
      <c r="F493" s="89" t="s">
        <v>2530</v>
      </c>
      <c r="G493" s="92" t="s">
        <v>820</v>
      </c>
      <c r="H493" s="92"/>
      <c r="I493" s="234" t="s">
        <v>2528</v>
      </c>
      <c r="J493" s="167"/>
      <c r="K493" s="88" t="s">
        <v>2542</v>
      </c>
      <c r="L493" s="88" t="s">
        <v>2550</v>
      </c>
      <c r="M493" s="92"/>
      <c r="N493" s="89" t="s">
        <v>2533</v>
      </c>
      <c r="O493" s="165"/>
      <c r="P493" s="88" t="s">
        <v>2532</v>
      </c>
      <c r="Q493" s="92" t="s">
        <v>2534</v>
      </c>
      <c r="R493" s="92">
        <v>480</v>
      </c>
      <c r="S493" s="92"/>
      <c r="T493" s="92">
        <v>8544700000</v>
      </c>
      <c r="U493" s="155">
        <v>0</v>
      </c>
      <c r="V493" s="207">
        <v>30</v>
      </c>
      <c r="W493" s="92">
        <v>45</v>
      </c>
      <c r="X493" s="92">
        <v>55</v>
      </c>
      <c r="Y493" s="92" t="s">
        <v>64</v>
      </c>
      <c r="Z493" s="133">
        <f t="shared" si="902"/>
        <v>13.054421768707485</v>
      </c>
      <c r="AA493" s="133"/>
      <c r="AB493" s="161">
        <f t="shared" si="903"/>
        <v>10.016105133292635</v>
      </c>
      <c r="AC493" s="161"/>
      <c r="AD493" s="213">
        <f t="shared" si="904"/>
        <v>0.1</v>
      </c>
      <c r="AE493" s="213">
        <v>0.1</v>
      </c>
      <c r="AF493" s="215">
        <v>0.28000000000000003</v>
      </c>
      <c r="AG493" s="215" t="s">
        <v>2535</v>
      </c>
      <c r="AH493" s="148">
        <f t="shared" si="880"/>
        <v>10.016105133292635</v>
      </c>
      <c r="AI493" s="122">
        <f t="shared" si="905"/>
        <v>0.28000000000000003</v>
      </c>
      <c r="AJ493" s="444"/>
      <c r="AK493" s="150">
        <f t="shared" si="906"/>
        <v>9.1380952380952394</v>
      </c>
      <c r="AL493" s="153">
        <f t="shared" si="907"/>
        <v>8.0128841066341074</v>
      </c>
      <c r="AM493" s="125">
        <f t="shared" si="897"/>
        <v>0.30000000000000004</v>
      </c>
      <c r="AN493" s="125">
        <f t="shared" si="908"/>
        <v>0.20000000000000007</v>
      </c>
      <c r="AO493" s="140"/>
      <c r="AP493" s="17" t="s">
        <v>664</v>
      </c>
      <c r="AQ493" s="141"/>
      <c r="AR493" s="191"/>
      <c r="AS493" s="191"/>
      <c r="AT493" s="141"/>
      <c r="AU493" s="196">
        <v>57.57</v>
      </c>
      <c r="AV493" s="141">
        <f t="shared" si="899"/>
        <v>57.57</v>
      </c>
      <c r="AW493" s="142">
        <f t="shared" si="909"/>
        <v>8.2242857142857151</v>
      </c>
      <c r="AX493" s="126">
        <f t="shared" si="910"/>
        <v>7.2115956959706971</v>
      </c>
      <c r="AY493" s="17"/>
      <c r="AZ493" s="128"/>
      <c r="BB493" s="168">
        <f t="shared" si="833"/>
        <v>33.387017110975449</v>
      </c>
      <c r="BC493" s="168">
        <f t="shared" si="834"/>
        <v>20.03221026658527</v>
      </c>
      <c r="BD493" s="168">
        <f t="shared" si="835"/>
        <v>16.693508555487725</v>
      </c>
      <c r="BE493" s="168">
        <f t="shared" si="836"/>
        <v>13.354806844390181</v>
      </c>
    </row>
    <row r="494" spans="1:57" s="129" customFormat="1" hidden="1">
      <c r="A494" s="88" t="s">
        <v>1276</v>
      </c>
      <c r="B494" s="88" t="s">
        <v>1318</v>
      </c>
      <c r="C494" s="88" t="s">
        <v>1318</v>
      </c>
      <c r="D494" s="88" t="s">
        <v>656</v>
      </c>
      <c r="E494" s="88" t="s">
        <v>1079</v>
      </c>
      <c r="F494" s="89" t="s">
        <v>2531</v>
      </c>
      <c r="G494" s="92" t="s">
        <v>820</v>
      </c>
      <c r="H494" s="92"/>
      <c r="I494" s="234" t="s">
        <v>2529</v>
      </c>
      <c r="J494" s="167"/>
      <c r="K494" s="88" t="s">
        <v>2543</v>
      </c>
      <c r="L494" s="88" t="s">
        <v>2551</v>
      </c>
      <c r="M494" s="92"/>
      <c r="N494" s="89" t="s">
        <v>2533</v>
      </c>
      <c r="O494" s="165"/>
      <c r="P494" s="88" t="s">
        <v>2532</v>
      </c>
      <c r="Q494" s="92" t="s">
        <v>2534</v>
      </c>
      <c r="R494" s="92">
        <v>480</v>
      </c>
      <c r="S494" s="92"/>
      <c r="T494" s="92">
        <v>8544700000</v>
      </c>
      <c r="U494" s="155">
        <v>0</v>
      </c>
      <c r="V494" s="207">
        <v>30</v>
      </c>
      <c r="W494" s="92">
        <v>45</v>
      </c>
      <c r="X494" s="92">
        <v>55</v>
      </c>
      <c r="Y494" s="92" t="s">
        <v>64</v>
      </c>
      <c r="Z494" s="133">
        <f t="shared" si="902"/>
        <v>13.054421768707485</v>
      </c>
      <c r="AA494" s="133"/>
      <c r="AB494" s="161">
        <f t="shared" si="903"/>
        <v>10.016105133292635</v>
      </c>
      <c r="AC494" s="161"/>
      <c r="AD494" s="213">
        <f t="shared" si="904"/>
        <v>0.1</v>
      </c>
      <c r="AE494" s="213">
        <v>0.1</v>
      </c>
      <c r="AF494" s="215">
        <v>0.28000000000000003</v>
      </c>
      <c r="AG494" s="215" t="s">
        <v>2535</v>
      </c>
      <c r="AH494" s="148">
        <f t="shared" si="880"/>
        <v>10.016105133292635</v>
      </c>
      <c r="AI494" s="122">
        <f t="shared" si="905"/>
        <v>0.28000000000000003</v>
      </c>
      <c r="AJ494" s="444"/>
      <c r="AK494" s="150">
        <f t="shared" si="906"/>
        <v>9.1380952380952394</v>
      </c>
      <c r="AL494" s="153">
        <f t="shared" si="907"/>
        <v>8.0128841066341074</v>
      </c>
      <c r="AM494" s="125">
        <f t="shared" si="897"/>
        <v>0.30000000000000004</v>
      </c>
      <c r="AN494" s="125">
        <f t="shared" si="908"/>
        <v>0.20000000000000007</v>
      </c>
      <c r="AO494" s="140"/>
      <c r="AP494" s="17" t="s">
        <v>664</v>
      </c>
      <c r="AQ494" s="141"/>
      <c r="AR494" s="191"/>
      <c r="AS494" s="191"/>
      <c r="AT494" s="141"/>
      <c r="AU494" s="196">
        <v>57.57</v>
      </c>
      <c r="AV494" s="141">
        <f t="shared" si="899"/>
        <v>57.57</v>
      </c>
      <c r="AW494" s="142">
        <f t="shared" si="909"/>
        <v>8.2242857142857151</v>
      </c>
      <c r="AX494" s="126">
        <f t="shared" si="910"/>
        <v>7.2115956959706971</v>
      </c>
      <c r="AY494" s="17"/>
      <c r="AZ494" s="128"/>
      <c r="BB494" s="168">
        <f t="shared" si="833"/>
        <v>33.387017110975449</v>
      </c>
      <c r="BC494" s="168">
        <f t="shared" si="834"/>
        <v>20.03221026658527</v>
      </c>
      <c r="BD494" s="168">
        <f t="shared" si="835"/>
        <v>16.693508555487725</v>
      </c>
      <c r="BE494" s="168">
        <f t="shared" si="836"/>
        <v>13.354806844390181</v>
      </c>
    </row>
    <row r="495" spans="1:57" s="129" customFormat="1" hidden="1">
      <c r="A495" s="88" t="s">
        <v>1276</v>
      </c>
      <c r="B495" s="88" t="s">
        <v>1318</v>
      </c>
      <c r="C495" s="88" t="s">
        <v>1318</v>
      </c>
      <c r="D495" s="88" t="s">
        <v>656</v>
      </c>
      <c r="E495" s="88" t="s">
        <v>1079</v>
      </c>
      <c r="F495" s="89" t="s">
        <v>2530</v>
      </c>
      <c r="G495" s="92" t="s">
        <v>1786</v>
      </c>
      <c r="H495" s="92"/>
      <c r="I495" s="415" t="s">
        <v>3715</v>
      </c>
      <c r="J495" s="167"/>
      <c r="K495" s="88" t="s">
        <v>2536</v>
      </c>
      <c r="L495" s="88" t="s">
        <v>2544</v>
      </c>
      <c r="M495" s="92"/>
      <c r="N495" s="89" t="s">
        <v>2533</v>
      </c>
      <c r="O495" s="165"/>
      <c r="P495" s="88" t="s">
        <v>2532</v>
      </c>
      <c r="Q495" s="92" t="s">
        <v>2534</v>
      </c>
      <c r="R495" s="92">
        <v>480</v>
      </c>
      <c r="S495" s="92"/>
      <c r="T495" s="92">
        <v>8544700000</v>
      </c>
      <c r="U495" s="155">
        <v>0</v>
      </c>
      <c r="V495" s="207">
        <v>30</v>
      </c>
      <c r="W495" s="92">
        <v>45</v>
      </c>
      <c r="X495" s="92">
        <v>55</v>
      </c>
      <c r="Y495" s="92" t="s">
        <v>64</v>
      </c>
      <c r="Z495" s="133">
        <f>AK495/(1-(AF495+2%))</f>
        <v>7.0385487528344663</v>
      </c>
      <c r="AA495" s="133"/>
      <c r="AB495" s="161">
        <f>AX495/(1-AF495)</f>
        <v>5.5170548009089684</v>
      </c>
      <c r="AC495" s="161"/>
      <c r="AD495" s="213">
        <f>AE495</f>
        <v>0.1</v>
      </c>
      <c r="AE495" s="213">
        <v>0.1</v>
      </c>
      <c r="AF495" s="215">
        <v>0.28000000000000003</v>
      </c>
      <c r="AG495" s="215" t="s">
        <v>2535</v>
      </c>
      <c r="AH495" s="148">
        <f t="shared" si="880"/>
        <v>5.5170548009089684</v>
      </c>
      <c r="AI495" s="122">
        <f>1-(AX495/AH495)</f>
        <v>0.28000000000000003</v>
      </c>
      <c r="AJ495" s="444"/>
      <c r="AK495" s="150">
        <f>AW495/(1-AD495)</f>
        <v>4.9269841269841264</v>
      </c>
      <c r="AL495" s="153">
        <f>AX495/(1-AE495)</f>
        <v>4.4136438407271745</v>
      </c>
      <c r="AM495" s="125">
        <f>1-(AK495/Z495)</f>
        <v>0.30000000000000004</v>
      </c>
      <c r="AN495" s="125">
        <f>1-(AL495/AB495)</f>
        <v>0.20000000000000007</v>
      </c>
      <c r="AO495" s="140"/>
      <c r="AP495" s="17" t="s">
        <v>664</v>
      </c>
      <c r="AQ495" s="141"/>
      <c r="AR495" s="191"/>
      <c r="AS495" s="191"/>
      <c r="AT495" s="141"/>
      <c r="AU495" s="196">
        <v>31.04</v>
      </c>
      <c r="AV495" s="141">
        <f>AT495+AU495</f>
        <v>31.04</v>
      </c>
      <c r="AW495" s="142">
        <f>(AT495+AU495)/$F$5</f>
        <v>4.4342857142857142</v>
      </c>
      <c r="AX495" s="126">
        <f>(AW495/$F$6)+(($F$9+$G$9)/40/R495)+AW495*U495</f>
        <v>3.9722794566544568</v>
      </c>
      <c r="AY495" s="17"/>
      <c r="AZ495" s="128"/>
      <c r="BB495" s="168">
        <f t="shared" si="833"/>
        <v>18.390182669696561</v>
      </c>
      <c r="BC495" s="168">
        <f t="shared" si="834"/>
        <v>11.034109601817937</v>
      </c>
      <c r="BD495" s="168">
        <f t="shared" si="835"/>
        <v>9.1950913348482803</v>
      </c>
      <c r="BE495" s="168">
        <f t="shared" si="836"/>
        <v>7.3560730678786248</v>
      </c>
    </row>
    <row r="496" spans="1:57" s="129" customFormat="1" hidden="1">
      <c r="A496" s="88" t="s">
        <v>1276</v>
      </c>
      <c r="B496" s="88" t="s">
        <v>1318</v>
      </c>
      <c r="C496" s="88" t="s">
        <v>1318</v>
      </c>
      <c r="D496" s="88" t="s">
        <v>656</v>
      </c>
      <c r="E496" s="88" t="s">
        <v>1079</v>
      </c>
      <c r="F496" s="89" t="s">
        <v>2531</v>
      </c>
      <c r="G496" s="92" t="s">
        <v>1786</v>
      </c>
      <c r="H496" s="92"/>
      <c r="I496" s="415" t="s">
        <v>3716</v>
      </c>
      <c r="J496" s="167"/>
      <c r="K496" s="88" t="s">
        <v>2537</v>
      </c>
      <c r="L496" s="88" t="s">
        <v>2545</v>
      </c>
      <c r="M496" s="92"/>
      <c r="N496" s="89" t="s">
        <v>2533</v>
      </c>
      <c r="O496" s="165"/>
      <c r="P496" s="88" t="s">
        <v>2532</v>
      </c>
      <c r="Q496" s="92" t="s">
        <v>2534</v>
      </c>
      <c r="R496" s="92">
        <v>480</v>
      </c>
      <c r="S496" s="92"/>
      <c r="T496" s="92">
        <v>8544700000</v>
      </c>
      <c r="U496" s="155">
        <v>0</v>
      </c>
      <c r="V496" s="207">
        <v>30</v>
      </c>
      <c r="W496" s="92">
        <v>45</v>
      </c>
      <c r="X496" s="92">
        <v>55</v>
      </c>
      <c r="Y496" s="92" t="s">
        <v>64</v>
      </c>
      <c r="Z496" s="133">
        <f>AK496/(1-(AF496+2%))</f>
        <v>7.0385487528344663</v>
      </c>
      <c r="AA496" s="133"/>
      <c r="AB496" s="161">
        <f>AX496/(1-AF496)</f>
        <v>5.5170548009089684</v>
      </c>
      <c r="AC496" s="161"/>
      <c r="AD496" s="213">
        <f>AE496</f>
        <v>0.1</v>
      </c>
      <c r="AE496" s="213">
        <v>0.1</v>
      </c>
      <c r="AF496" s="215">
        <v>0.28000000000000003</v>
      </c>
      <c r="AG496" s="215" t="s">
        <v>2535</v>
      </c>
      <c r="AH496" s="148">
        <f t="shared" si="880"/>
        <v>5.5170548009089684</v>
      </c>
      <c r="AI496" s="122">
        <f>1-(AX496/AH496)</f>
        <v>0.28000000000000003</v>
      </c>
      <c r="AJ496" s="444"/>
      <c r="AK496" s="150">
        <f>AW496/(1-AD496)</f>
        <v>4.9269841269841264</v>
      </c>
      <c r="AL496" s="153">
        <f>AX496/(1-AE496)</f>
        <v>4.4136438407271745</v>
      </c>
      <c r="AM496" s="125">
        <f>1-(AK496/Z496)</f>
        <v>0.30000000000000004</v>
      </c>
      <c r="AN496" s="125">
        <f>1-(AL496/AB496)</f>
        <v>0.20000000000000007</v>
      </c>
      <c r="AO496" s="140"/>
      <c r="AP496" s="17" t="s">
        <v>664</v>
      </c>
      <c r="AQ496" s="141"/>
      <c r="AR496" s="191"/>
      <c r="AS496" s="191"/>
      <c r="AT496" s="141"/>
      <c r="AU496" s="196">
        <v>31.04</v>
      </c>
      <c r="AV496" s="141">
        <f>AT496+AU496</f>
        <v>31.04</v>
      </c>
      <c r="AW496" s="142">
        <f>(AT496+AU496)/$F$5</f>
        <v>4.4342857142857142</v>
      </c>
      <c r="AX496" s="126">
        <f>(AW496/$F$6)+(($F$9+$G$9)/40/R496)+AW496*U496</f>
        <v>3.9722794566544568</v>
      </c>
      <c r="AY496" s="17"/>
      <c r="AZ496" s="128"/>
      <c r="BB496" s="168">
        <f t="shared" si="833"/>
        <v>18.390182669696561</v>
      </c>
      <c r="BC496" s="168">
        <f t="shared" si="834"/>
        <v>11.034109601817937</v>
      </c>
      <c r="BD496" s="168">
        <f t="shared" si="835"/>
        <v>9.1950913348482803</v>
      </c>
      <c r="BE496" s="168">
        <f t="shared" si="836"/>
        <v>7.3560730678786248</v>
      </c>
    </row>
    <row r="497" spans="1:58" s="129" customFormat="1" hidden="1">
      <c r="A497" s="88" t="s">
        <v>1302</v>
      </c>
      <c r="B497" s="88" t="s">
        <v>1317</v>
      </c>
      <c r="C497" s="88" t="s">
        <v>1317</v>
      </c>
      <c r="D497" s="88" t="s">
        <v>1102</v>
      </c>
      <c r="E497" s="88" t="s">
        <v>1103</v>
      </c>
      <c r="F497" s="89" t="s">
        <v>1103</v>
      </c>
      <c r="G497" s="92"/>
      <c r="H497" s="92"/>
      <c r="I497" s="167" t="s">
        <v>1104</v>
      </c>
      <c r="J497" s="167" t="str">
        <f>_xlfn.XLOOKUP(I497,[1]Sheet1!$A:$A,[1]Sheet1!$B:$B,"")</f>
        <v>U1201008</v>
      </c>
      <c r="K497" s="89" t="s">
        <v>1105</v>
      </c>
      <c r="L497" s="89" t="s">
        <v>1106</v>
      </c>
      <c r="M497" s="92"/>
      <c r="N497" s="89" t="s">
        <v>60</v>
      </c>
      <c r="O497" s="165"/>
      <c r="P497" s="89" t="s">
        <v>241</v>
      </c>
      <c r="Q497" s="92" t="s">
        <v>635</v>
      </c>
      <c r="R497" s="92">
        <v>400</v>
      </c>
      <c r="S497" s="92" t="e">
        <v>#N/A</v>
      </c>
      <c r="T497" s="92" t="s">
        <v>3863</v>
      </c>
      <c r="U497" s="155">
        <v>1.7000000000000001E-2</v>
      </c>
      <c r="V497" s="207">
        <v>45</v>
      </c>
      <c r="W497" s="207">
        <v>45</v>
      </c>
      <c r="X497" s="207">
        <v>55</v>
      </c>
      <c r="Y497" s="207" t="s">
        <v>359</v>
      </c>
      <c r="Z497" s="133">
        <f t="shared" si="883"/>
        <v>2.8277167277167279</v>
      </c>
      <c r="AA497" s="133"/>
      <c r="AB497" s="161">
        <f t="shared" si="884"/>
        <v>2.4787015025604582</v>
      </c>
      <c r="AC497" s="161"/>
      <c r="AD497" s="213">
        <f t="shared" si="885"/>
        <v>0.1</v>
      </c>
      <c r="AE497" s="213">
        <v>0.1</v>
      </c>
      <c r="AF497" s="215">
        <v>0.33</v>
      </c>
      <c r="AG497" s="215" t="str">
        <f>VLOOKUP(I497,'[3]PO &amp; SC March 2024'!$F$11:$AA$197,20,FALSE)</f>
        <v>C</v>
      </c>
      <c r="AH497" s="148">
        <f t="shared" si="880"/>
        <v>2.4787015025604582</v>
      </c>
      <c r="AI497" s="122">
        <f t="shared" si="784"/>
        <v>0.33000000000000007</v>
      </c>
      <c r="AJ497" s="444"/>
      <c r="AK497" s="150">
        <f t="shared" ref="AK497:AK499" si="911">AW497/(1-AD497)</f>
        <v>1.8380158730158729</v>
      </c>
      <c r="AL497" s="153">
        <f t="shared" ref="AL497:AL499" si="912">AX497/(1-AE497)</f>
        <v>1.8452555630172298</v>
      </c>
      <c r="AM497" s="125">
        <f t="shared" ref="AM497:AM499" si="913">1-(AK497/Z497)</f>
        <v>0.35000000000000009</v>
      </c>
      <c r="AN497" s="125">
        <f t="shared" ref="AN497:AN499" si="914">1-(AL497/AB497)</f>
        <v>0.25555555555555565</v>
      </c>
      <c r="AO497" s="166"/>
      <c r="AP497" s="17" t="s">
        <v>211</v>
      </c>
      <c r="AQ497" s="162"/>
      <c r="AR497" s="162"/>
      <c r="AS497" s="162"/>
      <c r="AT497" s="162">
        <v>2.0699999999999998</v>
      </c>
      <c r="AU497" s="162">
        <v>9.5094999999999992</v>
      </c>
      <c r="AV497" s="141">
        <f t="shared" si="881"/>
        <v>11.579499999999999</v>
      </c>
      <c r="AW497" s="142">
        <f t="shared" si="882"/>
        <v>1.6542142857142856</v>
      </c>
      <c r="AX497" s="126">
        <f t="shared" si="871"/>
        <v>1.6607300067155069</v>
      </c>
      <c r="AY497" s="163"/>
      <c r="AZ497" s="128"/>
      <c r="BB497" s="161">
        <f t="shared" si="833"/>
        <v>8.2623383418681939</v>
      </c>
      <c r="BC497" s="161">
        <f t="shared" si="834"/>
        <v>4.9574030051209164</v>
      </c>
      <c r="BD497" s="161">
        <f t="shared" si="835"/>
        <v>4.131169170934097</v>
      </c>
      <c r="BE497" s="161">
        <f t="shared" si="836"/>
        <v>3.3049353367472776</v>
      </c>
    </row>
    <row r="498" spans="1:58" s="129" customFormat="1" hidden="1">
      <c r="A498" s="88" t="s">
        <v>1302</v>
      </c>
      <c r="B498" s="88" t="s">
        <v>1318</v>
      </c>
      <c r="C498" s="88" t="s">
        <v>1318</v>
      </c>
      <c r="D498" s="88" t="s">
        <v>1102</v>
      </c>
      <c r="E498" s="88" t="s">
        <v>1103</v>
      </c>
      <c r="F498" s="89" t="s">
        <v>1103</v>
      </c>
      <c r="G498" s="92"/>
      <c r="H498" s="92"/>
      <c r="I498" s="167" t="s">
        <v>1269</v>
      </c>
      <c r="J498" s="167" t="str">
        <f>_xlfn.XLOOKUP(I498,[1]Sheet1!$A:$A,[1]Sheet1!$B:$B,"")</f>
        <v>U1201006</v>
      </c>
      <c r="K498" s="89" t="s">
        <v>1108</v>
      </c>
      <c r="L498" s="89" t="s">
        <v>1109</v>
      </c>
      <c r="M498" s="92"/>
      <c r="N498" s="89" t="s">
        <v>60</v>
      </c>
      <c r="O498" s="165"/>
      <c r="P498" s="89" t="s">
        <v>241</v>
      </c>
      <c r="Q498" s="92" t="s">
        <v>635</v>
      </c>
      <c r="R498" s="92">
        <v>400</v>
      </c>
      <c r="S498" s="92" t="e">
        <v>#N/A</v>
      </c>
      <c r="T498" s="92" t="s">
        <v>3863</v>
      </c>
      <c r="U498" s="155">
        <v>2.7E-2</v>
      </c>
      <c r="V498" s="207">
        <v>45</v>
      </c>
      <c r="W498" s="207">
        <v>45</v>
      </c>
      <c r="X498" s="207">
        <v>55</v>
      </c>
      <c r="Y498" s="207" t="s">
        <v>359</v>
      </c>
      <c r="Z498" s="133">
        <f t="shared" si="883"/>
        <v>3.0500610500610503</v>
      </c>
      <c r="AA498" s="133"/>
      <c r="AB498" s="161">
        <f t="shared" si="884"/>
        <v>2.6745615512182681</v>
      </c>
      <c r="AC498" s="161"/>
      <c r="AD498" s="213">
        <f t="shared" si="885"/>
        <v>0.1</v>
      </c>
      <c r="AE498" s="213">
        <v>0.1</v>
      </c>
      <c r="AF498" s="215">
        <v>0.33</v>
      </c>
      <c r="AG498" s="215" t="str">
        <f>VLOOKUP(I498,'[3]PO &amp; SC March 2024'!$F$11:$AA$197,20,FALSE)</f>
        <v>C</v>
      </c>
      <c r="AH498" s="148">
        <f t="shared" si="880"/>
        <v>2.6745615512182681</v>
      </c>
      <c r="AI498" s="122">
        <f t="shared" si="784"/>
        <v>0.33000000000000007</v>
      </c>
      <c r="AJ498" s="444"/>
      <c r="AK498" s="150">
        <f t="shared" si="911"/>
        <v>1.9825396825396824</v>
      </c>
      <c r="AL498" s="153">
        <f t="shared" si="912"/>
        <v>1.9910624881291548</v>
      </c>
      <c r="AM498" s="125">
        <f t="shared" si="913"/>
        <v>0.35000000000000009</v>
      </c>
      <c r="AN498" s="125">
        <f t="shared" si="914"/>
        <v>0.25555555555555565</v>
      </c>
      <c r="AO498" s="166"/>
      <c r="AP498" s="17" t="s">
        <v>211</v>
      </c>
      <c r="AQ498" s="162"/>
      <c r="AR498" s="162"/>
      <c r="AS498" s="162"/>
      <c r="AT498" s="162">
        <v>2.0699999999999998</v>
      </c>
      <c r="AU498" s="162">
        <f>9.51+0.91</f>
        <v>10.42</v>
      </c>
      <c r="AV498" s="141">
        <f t="shared" si="881"/>
        <v>12.49</v>
      </c>
      <c r="AW498" s="142">
        <f t="shared" si="882"/>
        <v>1.7842857142857143</v>
      </c>
      <c r="AX498" s="126">
        <f t="shared" si="871"/>
        <v>1.7919562393162394</v>
      </c>
      <c r="AY498" s="2" t="s">
        <v>2229</v>
      </c>
      <c r="AZ498" s="128"/>
      <c r="BB498" s="161">
        <f t="shared" si="833"/>
        <v>8.9152051707275604</v>
      </c>
      <c r="BC498" s="161">
        <f t="shared" si="834"/>
        <v>5.3491231024365362</v>
      </c>
      <c r="BD498" s="161">
        <f t="shared" si="835"/>
        <v>4.4576025853637802</v>
      </c>
      <c r="BE498" s="161">
        <f t="shared" si="836"/>
        <v>3.5660820682910241</v>
      </c>
    </row>
    <row r="499" spans="1:58" s="129" customFormat="1" hidden="1">
      <c r="A499" s="90" t="s">
        <v>1302</v>
      </c>
      <c r="B499" s="88" t="s">
        <v>1318</v>
      </c>
      <c r="C499" s="88" t="s">
        <v>1318</v>
      </c>
      <c r="D499" s="90" t="s">
        <v>1102</v>
      </c>
      <c r="E499" s="90" t="s">
        <v>1103</v>
      </c>
      <c r="F499" s="90" t="s">
        <v>1103</v>
      </c>
      <c r="G499" s="131"/>
      <c r="H499" s="92"/>
      <c r="I499" s="167" t="s">
        <v>1419</v>
      </c>
      <c r="J499" s="167" t="str">
        <f>_xlfn.XLOOKUP(I499,[1]Sheet1!$A:$A,[1]Sheet1!$B:$B,"")</f>
        <v>U1201007</v>
      </c>
      <c r="K499" s="90" t="s">
        <v>1111</v>
      </c>
      <c r="L499" s="90" t="s">
        <v>1112</v>
      </c>
      <c r="M499" s="92"/>
      <c r="N499" s="89" t="s">
        <v>60</v>
      </c>
      <c r="O499" s="92"/>
      <c r="P499" s="89" t="s">
        <v>241</v>
      </c>
      <c r="Q499" s="92" t="s">
        <v>635</v>
      </c>
      <c r="R499" s="92">
        <v>400</v>
      </c>
      <c r="S499" s="92" t="s">
        <v>1128</v>
      </c>
      <c r="T499" s="92" t="s">
        <v>3863</v>
      </c>
      <c r="U499" s="155">
        <v>1.7000000000000001E-2</v>
      </c>
      <c r="V499" s="207">
        <v>45</v>
      </c>
      <c r="W499" s="207">
        <v>45</v>
      </c>
      <c r="X499" s="207">
        <v>55</v>
      </c>
      <c r="Y499" s="207" t="s">
        <v>359</v>
      </c>
      <c r="Z499" s="133">
        <f t="shared" si="883"/>
        <v>3.7403993855606763</v>
      </c>
      <c r="AA499" s="133"/>
      <c r="AB499" s="161">
        <f t="shared" si="884"/>
        <v>3.1845534569597067</v>
      </c>
      <c r="AC499" s="161"/>
      <c r="AD499" s="213">
        <f t="shared" si="885"/>
        <v>0.1</v>
      </c>
      <c r="AE499" s="213">
        <v>0.1</v>
      </c>
      <c r="AF499" s="215">
        <v>0.36</v>
      </c>
      <c r="AG499" s="215" t="str">
        <f>VLOOKUP(I499,'[3]PO &amp; SC March 2024'!$F$11:$AA$197,20,FALSE)</f>
        <v>C</v>
      </c>
      <c r="AH499" s="148">
        <f t="shared" si="880"/>
        <v>3.1845534569597067</v>
      </c>
      <c r="AI499" s="122">
        <f t="shared" si="784"/>
        <v>0.36</v>
      </c>
      <c r="AJ499" s="444"/>
      <c r="AK499" s="150">
        <f t="shared" si="911"/>
        <v>2.3190476190476192</v>
      </c>
      <c r="AL499" s="153">
        <f t="shared" si="912"/>
        <v>2.2645713471713469</v>
      </c>
      <c r="AM499" s="125">
        <f t="shared" si="913"/>
        <v>0.38</v>
      </c>
      <c r="AN499" s="125">
        <f t="shared" si="914"/>
        <v>0.28888888888888897</v>
      </c>
      <c r="AO499" s="166"/>
      <c r="AP499" s="17" t="s">
        <v>211</v>
      </c>
      <c r="AQ499" s="162"/>
      <c r="AR499" s="162"/>
      <c r="AS499" s="162"/>
      <c r="AT499" s="162"/>
      <c r="AU499" s="162">
        <v>14.61</v>
      </c>
      <c r="AV499" s="141">
        <f t="shared" si="881"/>
        <v>14.61</v>
      </c>
      <c r="AW499" s="142">
        <f t="shared" si="882"/>
        <v>2.0871428571428572</v>
      </c>
      <c r="AX499" s="126">
        <f t="shared" si="871"/>
        <v>2.0381142124542122</v>
      </c>
      <c r="AY499" s="2" t="s">
        <v>2228</v>
      </c>
      <c r="AZ499" s="128"/>
      <c r="BB499" s="161">
        <f t="shared" si="833"/>
        <v>10.61517818986569</v>
      </c>
      <c r="BC499" s="161">
        <f t="shared" si="834"/>
        <v>6.3691069139194134</v>
      </c>
      <c r="BD499" s="161">
        <f t="shared" si="835"/>
        <v>5.3075890949328448</v>
      </c>
      <c r="BE499" s="161">
        <f t="shared" si="836"/>
        <v>4.2460712759462762</v>
      </c>
    </row>
    <row r="500" spans="1:58" s="129" customFormat="1" hidden="1">
      <c r="A500" s="90" t="s">
        <v>1302</v>
      </c>
      <c r="B500" s="88" t="s">
        <v>1318</v>
      </c>
      <c r="C500" s="88" t="s">
        <v>1318</v>
      </c>
      <c r="D500" s="90" t="s">
        <v>1102</v>
      </c>
      <c r="E500" s="90" t="s">
        <v>1103</v>
      </c>
      <c r="F500" s="90" t="s">
        <v>1103</v>
      </c>
      <c r="G500" s="131"/>
      <c r="H500" s="92"/>
      <c r="I500" s="167" t="s">
        <v>4016</v>
      </c>
      <c r="J500" s="167" t="str">
        <f>_xlfn.XLOOKUP(I500,[1]Sheet1!$A:$A,[1]Sheet1!$B:$B,"")</f>
        <v>U1201011</v>
      </c>
      <c r="K500" s="90" t="s">
        <v>4017</v>
      </c>
      <c r="L500" s="90" t="s">
        <v>1114</v>
      </c>
      <c r="M500" s="92"/>
      <c r="N500" s="89" t="s">
        <v>60</v>
      </c>
      <c r="O500" s="92"/>
      <c r="P500" s="89" t="s">
        <v>241</v>
      </c>
      <c r="Q500" s="92" t="s">
        <v>242</v>
      </c>
      <c r="R500" s="92">
        <v>360</v>
      </c>
      <c r="S500" s="92" t="s">
        <v>1132</v>
      </c>
      <c r="T500" s="92" t="s">
        <v>3863</v>
      </c>
      <c r="U500" s="155">
        <v>1.7000000000000001E-2</v>
      </c>
      <c r="V500" s="207">
        <v>45</v>
      </c>
      <c r="W500" s="207">
        <v>45</v>
      </c>
      <c r="X500" s="207">
        <v>55</v>
      </c>
      <c r="Y500" s="207" t="s">
        <v>64</v>
      </c>
      <c r="Z500" s="133">
        <f t="shared" si="883"/>
        <v>3.8402457757296466</v>
      </c>
      <c r="AA500" s="133"/>
      <c r="AB500" s="161">
        <f t="shared" si="884"/>
        <v>3.2984155601343099</v>
      </c>
      <c r="AC500" s="161"/>
      <c r="AD500" s="213">
        <f t="shared" si="885"/>
        <v>0.1</v>
      </c>
      <c r="AE500" s="213">
        <v>0.1</v>
      </c>
      <c r="AF500" s="215">
        <v>0.36</v>
      </c>
      <c r="AG500" s="215" t="str">
        <f>VLOOKUP(I500,'[3]PO &amp; SC March 2024'!$F$11:$AA$197,20,FALSE)</f>
        <v>C</v>
      </c>
      <c r="AH500" s="148">
        <f t="shared" si="880"/>
        <v>3.2984155601343099</v>
      </c>
      <c r="AI500" s="122">
        <f t="shared" si="784"/>
        <v>0.36</v>
      </c>
      <c r="AJ500" s="444"/>
      <c r="AK500" s="150">
        <f t="shared" si="886"/>
        <v>2.3809523809523809</v>
      </c>
      <c r="AL500" s="153">
        <f t="shared" si="887"/>
        <v>2.3455399538732871</v>
      </c>
      <c r="AM500" s="125">
        <f>1-(AK500/Z500)</f>
        <v>0.38</v>
      </c>
      <c r="AN500" s="125">
        <f t="shared" si="640"/>
        <v>0.28888888888888886</v>
      </c>
      <c r="AO500" s="140"/>
      <c r="AP500" s="17" t="s">
        <v>1115</v>
      </c>
      <c r="AQ500" s="162"/>
      <c r="AR500" s="191"/>
      <c r="AS500" s="191"/>
      <c r="AT500" s="162"/>
      <c r="AU500" s="141">
        <v>15</v>
      </c>
      <c r="AV500" s="141">
        <f t="shared" si="881"/>
        <v>15</v>
      </c>
      <c r="AW500" s="142">
        <f t="shared" si="882"/>
        <v>2.1428571428571428</v>
      </c>
      <c r="AX500" s="126">
        <f t="shared" si="871"/>
        <v>2.1109859584859585</v>
      </c>
      <c r="AY500" s="127"/>
      <c r="AZ500" s="197">
        <v>8517622990</v>
      </c>
      <c r="BB500" s="161">
        <f t="shared" si="833"/>
        <v>10.994718533781034</v>
      </c>
      <c r="BC500" s="161">
        <f t="shared" si="834"/>
        <v>6.5968311202686207</v>
      </c>
      <c r="BD500" s="161">
        <f t="shared" si="835"/>
        <v>5.4973592668905171</v>
      </c>
      <c r="BE500" s="161">
        <f t="shared" si="836"/>
        <v>4.3978874135124135</v>
      </c>
    </row>
    <row r="501" spans="1:58" s="129" customFormat="1" hidden="1">
      <c r="A501" s="90" t="s">
        <v>1276</v>
      </c>
      <c r="B501" s="88" t="s">
        <v>1318</v>
      </c>
      <c r="C501" s="88" t="s">
        <v>1318</v>
      </c>
      <c r="D501" s="90" t="s">
        <v>1102</v>
      </c>
      <c r="E501" s="90" t="s">
        <v>1103</v>
      </c>
      <c r="F501" s="90" t="s">
        <v>1103</v>
      </c>
      <c r="G501" s="131"/>
      <c r="H501" s="92"/>
      <c r="I501" s="167" t="s">
        <v>3998</v>
      </c>
      <c r="J501" s="167" t="s">
        <v>4001</v>
      </c>
      <c r="K501" s="90" t="s">
        <v>4000</v>
      </c>
      <c r="L501" s="90" t="s">
        <v>3999</v>
      </c>
      <c r="M501" s="92"/>
      <c r="N501" s="89" t="s">
        <v>60</v>
      </c>
      <c r="O501" s="92"/>
      <c r="P501" s="89" t="s">
        <v>241</v>
      </c>
      <c r="Q501" s="92" t="s">
        <v>242</v>
      </c>
      <c r="R501" s="92"/>
      <c r="S501" s="92"/>
      <c r="T501" s="92" t="s">
        <v>3863</v>
      </c>
      <c r="U501" s="324">
        <v>1.7000000000000001E-2</v>
      </c>
      <c r="V501" s="207">
        <v>45</v>
      </c>
      <c r="W501" s="207">
        <v>45</v>
      </c>
      <c r="X501" s="207">
        <v>55</v>
      </c>
      <c r="Y501" s="207" t="s">
        <v>64</v>
      </c>
      <c r="Z501" s="133"/>
      <c r="AA501" s="133"/>
      <c r="AB501" s="161"/>
      <c r="AC501" s="161"/>
      <c r="AD501" s="213">
        <f>AE501</f>
        <v>0.1</v>
      </c>
      <c r="AE501" s="213">
        <v>0.1</v>
      </c>
      <c r="AF501" s="215">
        <v>0.36</v>
      </c>
      <c r="AG501" s="215"/>
      <c r="AH501" s="148"/>
      <c r="AI501" s="122"/>
      <c r="AJ501" s="444"/>
      <c r="AK501" s="150"/>
      <c r="AL501" s="153"/>
      <c r="AM501" s="325"/>
      <c r="AN501" s="325"/>
      <c r="AO501" s="140"/>
      <c r="AP501" s="17" t="s">
        <v>1115</v>
      </c>
      <c r="AQ501" s="162"/>
      <c r="AR501" s="191"/>
      <c r="AS501" s="191"/>
      <c r="AT501" s="162"/>
      <c r="AU501" s="141"/>
      <c r="AV501" s="141"/>
      <c r="AW501" s="142"/>
      <c r="AX501" s="126"/>
      <c r="AY501" s="127"/>
      <c r="AZ501" s="197">
        <v>8517622990</v>
      </c>
      <c r="BB501" s="161">
        <f>AB501/0.3</f>
        <v>0</v>
      </c>
      <c r="BC501" s="161">
        <f>BB501*0.6</f>
        <v>0</v>
      </c>
      <c r="BD501" s="161">
        <f>BB501*0.5</f>
        <v>0</v>
      </c>
      <c r="BE501" s="161">
        <f>BB501*0.4</f>
        <v>0</v>
      </c>
    </row>
    <row r="502" spans="1:58" s="129" customFormat="1" hidden="1">
      <c r="A502" s="90" t="s">
        <v>1302</v>
      </c>
      <c r="B502" s="88" t="s">
        <v>1318</v>
      </c>
      <c r="C502" s="88" t="s">
        <v>1318</v>
      </c>
      <c r="D502" s="90" t="s">
        <v>1102</v>
      </c>
      <c r="E502" s="90" t="s">
        <v>1103</v>
      </c>
      <c r="F502" s="90" t="s">
        <v>1103</v>
      </c>
      <c r="G502" s="131"/>
      <c r="H502" s="92"/>
      <c r="I502" s="167" t="s">
        <v>1116</v>
      </c>
      <c r="J502" s="167" t="str">
        <f>_xlfn.XLOOKUP(I502,[1]Sheet1!$A:$A,[1]Sheet1!$B:$B,"")</f>
        <v>U1201010</v>
      </c>
      <c r="K502" s="90" t="s">
        <v>1117</v>
      </c>
      <c r="L502" s="90" t="s">
        <v>1118</v>
      </c>
      <c r="M502" s="92"/>
      <c r="N502" s="89" t="s">
        <v>60</v>
      </c>
      <c r="O502" s="92"/>
      <c r="P502" s="89" t="s">
        <v>241</v>
      </c>
      <c r="Q502" s="92" t="s">
        <v>242</v>
      </c>
      <c r="R502" s="92">
        <v>360</v>
      </c>
      <c r="S502" s="92" t="e">
        <v>#N/A</v>
      </c>
      <c r="T502" s="92" t="s">
        <v>3863</v>
      </c>
      <c r="U502" s="155">
        <v>1.7000000000000001E-2</v>
      </c>
      <c r="V502" s="207">
        <v>45</v>
      </c>
      <c r="W502" s="207">
        <v>45</v>
      </c>
      <c r="X502" s="207">
        <v>55</v>
      </c>
      <c r="Y502" s="207" t="s">
        <v>64</v>
      </c>
      <c r="Z502" s="133">
        <f t="shared" si="883"/>
        <v>13.543266769073222</v>
      </c>
      <c r="AA502" s="133"/>
      <c r="AB502" s="161">
        <f t="shared" si="884"/>
        <v>10.67284913003663</v>
      </c>
      <c r="AC502" s="161"/>
      <c r="AD502" s="213">
        <f t="shared" si="885"/>
        <v>0.1</v>
      </c>
      <c r="AE502" s="213">
        <v>0.1</v>
      </c>
      <c r="AF502" s="215">
        <v>0.36</v>
      </c>
      <c r="AG502" s="215" t="str">
        <f>VLOOKUP(I502,'[3]PO &amp; SC March 2024'!$F$11:$AA$197,20,FALSE)</f>
        <v>C</v>
      </c>
      <c r="AH502" s="148">
        <f t="shared" si="880"/>
        <v>10.67284913003663</v>
      </c>
      <c r="AI502" s="122">
        <f t="shared" si="784"/>
        <v>0.36</v>
      </c>
      <c r="AJ502" s="444"/>
      <c r="AK502" s="150">
        <f t="shared" si="886"/>
        <v>8.3968253968253972</v>
      </c>
      <c r="AL502" s="153">
        <f t="shared" si="887"/>
        <v>7.5895816035816033</v>
      </c>
      <c r="AM502" s="125">
        <f>1-(AK502/Z502)</f>
        <v>0.38</v>
      </c>
      <c r="AN502" s="125">
        <f t="shared" si="640"/>
        <v>0.28888888888888886</v>
      </c>
      <c r="AO502" s="140"/>
      <c r="AP502" s="17" t="s">
        <v>1115</v>
      </c>
      <c r="AQ502" s="162"/>
      <c r="AR502" s="191"/>
      <c r="AS502" s="191"/>
      <c r="AT502" s="162"/>
      <c r="AU502" s="141">
        <v>52.9</v>
      </c>
      <c r="AV502" s="141">
        <f t="shared" si="881"/>
        <v>52.9</v>
      </c>
      <c r="AW502" s="142">
        <f t="shared" si="882"/>
        <v>7.5571428571428569</v>
      </c>
      <c r="AX502" s="126">
        <f t="shared" si="871"/>
        <v>6.8306234432234429</v>
      </c>
      <c r="AY502" s="127"/>
      <c r="AZ502" s="197">
        <v>8517622990</v>
      </c>
      <c r="BB502" s="161">
        <f t="shared" si="833"/>
        <v>35.576163766788767</v>
      </c>
      <c r="BC502" s="161">
        <f t="shared" si="834"/>
        <v>21.345698260073259</v>
      </c>
      <c r="BD502" s="161">
        <f t="shared" si="835"/>
        <v>17.788081883394383</v>
      </c>
      <c r="BE502" s="161">
        <f t="shared" si="836"/>
        <v>14.230465506715507</v>
      </c>
    </row>
    <row r="503" spans="1:58" s="129" customFormat="1" hidden="1">
      <c r="A503" s="88" t="s">
        <v>1302</v>
      </c>
      <c r="B503" s="88" t="s">
        <v>1317</v>
      </c>
      <c r="C503" s="88" t="s">
        <v>1317</v>
      </c>
      <c r="D503" s="88" t="s">
        <v>1102</v>
      </c>
      <c r="E503" s="88" t="s">
        <v>1103</v>
      </c>
      <c r="F503" s="89" t="s">
        <v>1103</v>
      </c>
      <c r="G503" s="92"/>
      <c r="H503" s="92"/>
      <c r="I503" s="167" t="s">
        <v>1119</v>
      </c>
      <c r="J503" s="167" t="str">
        <f>_xlfn.XLOOKUP(I503,[1]Sheet1!$A:$A,[1]Sheet1!$B:$B,"")</f>
        <v>U1201002</v>
      </c>
      <c r="K503" s="89" t="s">
        <v>1120</v>
      </c>
      <c r="L503" s="89" t="s">
        <v>1121</v>
      </c>
      <c r="M503" s="92"/>
      <c r="N503" s="89" t="s">
        <v>60</v>
      </c>
      <c r="O503" s="165"/>
      <c r="P503" s="89" t="s">
        <v>241</v>
      </c>
      <c r="Q503" s="92" t="s">
        <v>635</v>
      </c>
      <c r="R503" s="92">
        <v>1600</v>
      </c>
      <c r="S503" s="92" t="e">
        <v>#N/A</v>
      </c>
      <c r="T503" s="92" t="s">
        <v>3863</v>
      </c>
      <c r="U503" s="155">
        <v>1.7000000000000001E-2</v>
      </c>
      <c r="V503" s="207">
        <v>45</v>
      </c>
      <c r="W503" s="207">
        <v>45</v>
      </c>
      <c r="X503" s="207">
        <v>55</v>
      </c>
      <c r="Y503" s="207" t="s">
        <v>359</v>
      </c>
      <c r="Z503" s="133">
        <f t="shared" si="883"/>
        <v>3.6800976800976803</v>
      </c>
      <c r="AA503" s="133"/>
      <c r="AB503" s="161">
        <f t="shared" si="884"/>
        <v>2.8825894201155404</v>
      </c>
      <c r="AC503" s="161"/>
      <c r="AD503" s="213">
        <f t="shared" si="885"/>
        <v>0.1</v>
      </c>
      <c r="AE503" s="213">
        <v>0.1</v>
      </c>
      <c r="AF503" s="215">
        <v>0.33</v>
      </c>
      <c r="AG503" s="215" t="str">
        <f>VLOOKUP(I503,'[3]PO &amp; SC March 2024'!$F$11:$AA$197,20,FALSE)</f>
        <v>C</v>
      </c>
      <c r="AH503" s="148">
        <f t="shared" si="880"/>
        <v>2.8825894201155404</v>
      </c>
      <c r="AI503" s="122">
        <f t="shared" si="784"/>
        <v>0.33000000000000007</v>
      </c>
      <c r="AJ503" s="444"/>
      <c r="AK503" s="150">
        <f t="shared" ref="AK503:AK504" si="915">AW503/(1-AD503)</f>
        <v>2.392063492063492</v>
      </c>
      <c r="AL503" s="153">
        <f t="shared" ref="AL503:AL504" si="916">AX503/(1-AE503)</f>
        <v>2.1459276794193465</v>
      </c>
      <c r="AM503" s="125">
        <f t="shared" ref="AM503:AM504" si="917">1-(AK503/Z503)</f>
        <v>0.35000000000000009</v>
      </c>
      <c r="AN503" s="125">
        <f t="shared" ref="AN503:AN504" si="918">1-(AL503/AB503)</f>
        <v>0.25555555555555565</v>
      </c>
      <c r="AO503" s="166"/>
      <c r="AP503" s="17" t="s">
        <v>211</v>
      </c>
      <c r="AQ503" s="162"/>
      <c r="AR503" s="162"/>
      <c r="AS503" s="162"/>
      <c r="AT503" s="162">
        <v>1.57</v>
      </c>
      <c r="AU503" s="162">
        <v>13.5</v>
      </c>
      <c r="AV503" s="141">
        <f t="shared" si="881"/>
        <v>15.07</v>
      </c>
      <c r="AW503" s="142">
        <f t="shared" si="882"/>
        <v>2.152857142857143</v>
      </c>
      <c r="AX503" s="126">
        <f t="shared" si="871"/>
        <v>1.9313349114774119</v>
      </c>
      <c r="AY503" s="163"/>
      <c r="AZ503" s="128"/>
      <c r="BB503" s="161">
        <f t="shared" si="833"/>
        <v>9.6086314003851356</v>
      </c>
      <c r="BC503" s="161">
        <f t="shared" si="834"/>
        <v>5.7651788402310808</v>
      </c>
      <c r="BD503" s="161">
        <f t="shared" si="835"/>
        <v>4.8043157001925678</v>
      </c>
      <c r="BE503" s="161">
        <f t="shared" si="836"/>
        <v>3.8434525601540543</v>
      </c>
    </row>
    <row r="504" spans="1:58" s="129" customFormat="1" hidden="1">
      <c r="A504" s="88" t="s">
        <v>1302</v>
      </c>
      <c r="B504" s="88" t="s">
        <v>1318</v>
      </c>
      <c r="C504" s="88" t="s">
        <v>1318</v>
      </c>
      <c r="D504" s="88" t="s">
        <v>1102</v>
      </c>
      <c r="E504" s="88" t="s">
        <v>1103</v>
      </c>
      <c r="F504" s="89" t="s">
        <v>1103</v>
      </c>
      <c r="G504" s="92"/>
      <c r="H504" s="92"/>
      <c r="I504" s="167" t="s">
        <v>1417</v>
      </c>
      <c r="J504" s="167" t="str">
        <f>_xlfn.XLOOKUP(I504,[1]Sheet1!$A:$A,[1]Sheet1!$B:$B,"")</f>
        <v>U1201001</v>
      </c>
      <c r="K504" s="89" t="s">
        <v>1123</v>
      </c>
      <c r="L504" s="89" t="s">
        <v>1124</v>
      </c>
      <c r="M504" s="92"/>
      <c r="N504" s="89" t="s">
        <v>60</v>
      </c>
      <c r="O504" s="165"/>
      <c r="P504" s="89" t="s">
        <v>241</v>
      </c>
      <c r="Q504" s="92" t="s">
        <v>635</v>
      </c>
      <c r="R504" s="92">
        <v>1600</v>
      </c>
      <c r="S504" s="92" t="s">
        <v>2553</v>
      </c>
      <c r="T504" s="332" t="s">
        <v>1107</v>
      </c>
      <c r="U504" s="479">
        <v>1.7000000000000001E-2</v>
      </c>
      <c r="V504" s="480">
        <v>45</v>
      </c>
      <c r="W504" s="332">
        <v>45</v>
      </c>
      <c r="X504" s="332">
        <v>55</v>
      </c>
      <c r="Y504" s="480" t="s">
        <v>359</v>
      </c>
      <c r="Z504" s="481">
        <f t="shared" si="883"/>
        <v>3.7858327410566219</v>
      </c>
      <c r="AA504" s="481"/>
      <c r="AB504" s="482">
        <f t="shared" si="884"/>
        <v>2.9632695979543811</v>
      </c>
      <c r="AC504" s="482"/>
      <c r="AD504" s="483">
        <f t="shared" si="885"/>
        <v>0.1</v>
      </c>
      <c r="AE504" s="483">
        <v>0.1</v>
      </c>
      <c r="AF504" s="484">
        <v>0.31</v>
      </c>
      <c r="AG504" s="484" t="str">
        <f>VLOOKUP(I504,'[3]PO &amp; SC March 2024'!$F$11:$AA$197,20,FALSE)</f>
        <v>C</v>
      </c>
      <c r="AH504" s="485">
        <f t="shared" si="880"/>
        <v>2.9632695979543811</v>
      </c>
      <c r="AI504" s="486">
        <f t="shared" si="784"/>
        <v>0.31000000000000005</v>
      </c>
      <c r="AJ504" s="466"/>
      <c r="AK504" s="487">
        <f t="shared" si="915"/>
        <v>2.5365079365079364</v>
      </c>
      <c r="AL504" s="488">
        <f t="shared" si="916"/>
        <v>2.2718400250983586</v>
      </c>
      <c r="AM504" s="489">
        <f t="shared" si="917"/>
        <v>0.33000000000000007</v>
      </c>
      <c r="AN504" s="489">
        <f t="shared" si="918"/>
        <v>0.23333333333333339</v>
      </c>
      <c r="AO504" s="490"/>
      <c r="AP504" s="471" t="s">
        <v>211</v>
      </c>
      <c r="AQ504" s="491"/>
      <c r="AR504" s="491"/>
      <c r="AS504" s="491"/>
      <c r="AT504" s="491">
        <v>1.57</v>
      </c>
      <c r="AU504" s="491">
        <f>13.5+0.91</f>
        <v>14.41</v>
      </c>
      <c r="AV504" s="472">
        <f t="shared" si="881"/>
        <v>15.98</v>
      </c>
      <c r="AW504" s="474">
        <f t="shared" si="882"/>
        <v>2.2828571428571429</v>
      </c>
      <c r="AX504" s="475">
        <f t="shared" si="871"/>
        <v>2.0446560225885229</v>
      </c>
      <c r="AY504" s="492"/>
      <c r="AZ504" s="477"/>
      <c r="BA504" s="32"/>
      <c r="BB504" s="482">
        <f t="shared" si="833"/>
        <v>9.8775653265146044</v>
      </c>
      <c r="BC504" s="482">
        <f t="shared" si="834"/>
        <v>5.9265391959087621</v>
      </c>
      <c r="BD504" s="482">
        <f t="shared" si="835"/>
        <v>4.9387826632573022</v>
      </c>
      <c r="BE504" s="482">
        <f t="shared" si="836"/>
        <v>3.9510261306058418</v>
      </c>
      <c r="BF504" s="32" t="str">
        <f>VLOOKUP(I504,[4]Sheet1!$A$2:$C$689,3,FALSE)</f>
        <v>7326909890</v>
      </c>
    </row>
    <row r="505" spans="1:58" s="129" customFormat="1" hidden="1">
      <c r="A505" s="88" t="s">
        <v>1302</v>
      </c>
      <c r="B505" s="88" t="s">
        <v>1318</v>
      </c>
      <c r="C505" s="88" t="s">
        <v>1318</v>
      </c>
      <c r="D505" s="88" t="s">
        <v>1102</v>
      </c>
      <c r="E505" s="88" t="s">
        <v>1103</v>
      </c>
      <c r="F505" s="89" t="s">
        <v>1103</v>
      </c>
      <c r="G505" s="92"/>
      <c r="H505" s="92"/>
      <c r="I505" s="132" t="s">
        <v>1125</v>
      </c>
      <c r="J505" s="132" t="str">
        <f>_xlfn.XLOOKUP(I505,[1]Sheet1!$A:$A,[1]Sheet1!$B:$B,"")</f>
        <v>U1201003</v>
      </c>
      <c r="K505" s="88" t="s">
        <v>1126</v>
      </c>
      <c r="L505" s="88" t="s">
        <v>1127</v>
      </c>
      <c r="M505" s="92"/>
      <c r="N505" s="89" t="s">
        <v>60</v>
      </c>
      <c r="O505" s="92"/>
      <c r="P505" s="89" t="s">
        <v>241</v>
      </c>
      <c r="Q505" s="92" t="s">
        <v>383</v>
      </c>
      <c r="R505" s="92">
        <v>128</v>
      </c>
      <c r="S505" s="92" t="e">
        <f>VLOOKUP(I505,'[5]GTIN code &amp; packing details'!$E$2:$K$200,8,FALSE)</f>
        <v>#REF!</v>
      </c>
      <c r="T505" s="493" t="s">
        <v>3867</v>
      </c>
      <c r="U505" s="494">
        <v>1.7000000000000001E-2</v>
      </c>
      <c r="V505" s="495">
        <v>45</v>
      </c>
      <c r="W505" s="493">
        <v>45</v>
      </c>
      <c r="X505" s="493">
        <v>55</v>
      </c>
      <c r="Y505" s="495" t="s">
        <v>64</v>
      </c>
      <c r="Z505" s="496">
        <f t="shared" si="883"/>
        <v>7.6190476190476195</v>
      </c>
      <c r="AA505" s="496"/>
      <c r="AB505" s="497">
        <f t="shared" si="884"/>
        <v>6.7099048273155413</v>
      </c>
      <c r="AC505" s="497"/>
      <c r="AD505" s="498">
        <f t="shared" si="885"/>
        <v>0.1</v>
      </c>
      <c r="AE505" s="498">
        <v>0.1</v>
      </c>
      <c r="AF505" s="499">
        <v>0.23</v>
      </c>
      <c r="AG505" s="499" t="str">
        <f>VLOOKUP(I505,'[3]PO &amp; SC March 2024'!$F$11:$AA$197,20,FALSE)</f>
        <v>C</v>
      </c>
      <c r="AH505" s="500">
        <f t="shared" si="880"/>
        <v>6.7099048273155413</v>
      </c>
      <c r="AI505" s="501">
        <f t="shared" si="784"/>
        <v>0.22999999999999998</v>
      </c>
      <c r="AJ505" s="502"/>
      <c r="AK505" s="503">
        <f t="shared" si="886"/>
        <v>5.7142857142857144</v>
      </c>
      <c r="AL505" s="504">
        <f t="shared" si="887"/>
        <v>5.7406963522588521</v>
      </c>
      <c r="AM505" s="505">
        <f>1-(AK505/Z505)</f>
        <v>0.25</v>
      </c>
      <c r="AN505" s="505">
        <f t="shared" si="640"/>
        <v>0.14444444444444438</v>
      </c>
      <c r="AO505" s="506"/>
      <c r="AP505" s="507" t="s">
        <v>1115</v>
      </c>
      <c r="AQ505" s="508"/>
      <c r="AR505" s="509"/>
      <c r="AS505" s="509"/>
      <c r="AT505" s="508"/>
      <c r="AU505" s="509">
        <v>36</v>
      </c>
      <c r="AV505" s="509">
        <f t="shared" si="881"/>
        <v>36</v>
      </c>
      <c r="AW505" s="510">
        <f t="shared" si="882"/>
        <v>5.1428571428571432</v>
      </c>
      <c r="AX505" s="504">
        <f t="shared" si="871"/>
        <v>5.1666267170329672</v>
      </c>
      <c r="AY505" s="511"/>
      <c r="AZ505" s="512"/>
      <c r="BA505" s="33"/>
      <c r="BB505" s="497">
        <f t="shared" si="833"/>
        <v>22.366349424385138</v>
      </c>
      <c r="BC505" s="497">
        <f t="shared" si="834"/>
        <v>13.419809654631083</v>
      </c>
      <c r="BD505" s="497">
        <f t="shared" si="835"/>
        <v>11.183174712192569</v>
      </c>
      <c r="BE505" s="497">
        <f t="shared" si="836"/>
        <v>8.9465397697540556</v>
      </c>
      <c r="BF505" s="33"/>
    </row>
    <row r="506" spans="1:58" s="129" customFormat="1" hidden="1">
      <c r="A506" s="88" t="s">
        <v>1302</v>
      </c>
      <c r="B506" s="88" t="s">
        <v>1318</v>
      </c>
      <c r="C506" s="88" t="s">
        <v>1318</v>
      </c>
      <c r="D506" s="88" t="s">
        <v>1102</v>
      </c>
      <c r="E506" s="88" t="s">
        <v>1103</v>
      </c>
      <c r="F506" s="89" t="s">
        <v>1103</v>
      </c>
      <c r="G506" s="92"/>
      <c r="H506" s="92"/>
      <c r="I506" s="132" t="s">
        <v>1129</v>
      </c>
      <c r="J506" s="132" t="str">
        <f>_xlfn.XLOOKUP(I506,[1]Sheet1!$A:$A,[1]Sheet1!$B:$B,"")</f>
        <v>U1201004</v>
      </c>
      <c r="K506" s="88" t="s">
        <v>1130</v>
      </c>
      <c r="L506" s="88" t="s">
        <v>1131</v>
      </c>
      <c r="M506" s="92"/>
      <c r="N506" s="89" t="s">
        <v>60</v>
      </c>
      <c r="O506" s="165"/>
      <c r="P506" s="89" t="s">
        <v>241</v>
      </c>
      <c r="Q506" s="92" t="s">
        <v>383</v>
      </c>
      <c r="R506" s="92">
        <v>200</v>
      </c>
      <c r="S506" s="92" t="e">
        <f>VLOOKUP(I506,'[5]GTIN code &amp; packing details'!$E$2:$K$200,8,FALSE)</f>
        <v>#REF!</v>
      </c>
      <c r="T506" s="493" t="s">
        <v>3867</v>
      </c>
      <c r="U506" s="494">
        <v>1.7000000000000001E-2</v>
      </c>
      <c r="V506" s="495">
        <v>45</v>
      </c>
      <c r="W506" s="493">
        <v>45</v>
      </c>
      <c r="X506" s="493">
        <v>55</v>
      </c>
      <c r="Y506" s="495" t="s">
        <v>64</v>
      </c>
      <c r="Z506" s="496">
        <f t="shared" si="883"/>
        <v>8.6772486772486754</v>
      </c>
      <c r="AA506" s="496"/>
      <c r="AB506" s="497">
        <f t="shared" si="884"/>
        <v>7.19893043464472</v>
      </c>
      <c r="AC506" s="497"/>
      <c r="AD506" s="498">
        <f t="shared" si="885"/>
        <v>0.1</v>
      </c>
      <c r="AE506" s="498">
        <v>0.1</v>
      </c>
      <c r="AF506" s="499">
        <v>0.23</v>
      </c>
      <c r="AG506" s="499" t="str">
        <f>VLOOKUP(I506,'[3]PO &amp; SC March 2024'!$F$11:$AA$197,20,FALSE)</f>
        <v>C</v>
      </c>
      <c r="AH506" s="500">
        <f t="shared" si="880"/>
        <v>7.19893043464472</v>
      </c>
      <c r="AI506" s="501">
        <f t="shared" si="784"/>
        <v>0.22999999999999998</v>
      </c>
      <c r="AJ506" s="502"/>
      <c r="AK506" s="503">
        <f t="shared" si="886"/>
        <v>6.507936507936507</v>
      </c>
      <c r="AL506" s="504">
        <f t="shared" si="887"/>
        <v>6.1590849274182604</v>
      </c>
      <c r="AM506" s="505">
        <f>1-(AK506/Z506)</f>
        <v>0.25</v>
      </c>
      <c r="AN506" s="505">
        <f t="shared" si="640"/>
        <v>0.14444444444444449</v>
      </c>
      <c r="AO506" s="506"/>
      <c r="AP506" s="507" t="s">
        <v>1115</v>
      </c>
      <c r="AQ506" s="508"/>
      <c r="AR506" s="509"/>
      <c r="AS506" s="509"/>
      <c r="AT506" s="508"/>
      <c r="AU506" s="509">
        <v>41</v>
      </c>
      <c r="AV506" s="509">
        <f t="shared" si="881"/>
        <v>41</v>
      </c>
      <c r="AW506" s="510">
        <f t="shared" si="882"/>
        <v>5.8571428571428568</v>
      </c>
      <c r="AX506" s="504">
        <f t="shared" si="871"/>
        <v>5.5431764346764343</v>
      </c>
      <c r="AY506" s="511"/>
      <c r="AZ506" s="512"/>
      <c r="BA506" s="33"/>
      <c r="BB506" s="497">
        <f t="shared" si="833"/>
        <v>23.996434782149066</v>
      </c>
      <c r="BC506" s="497">
        <f t="shared" si="834"/>
        <v>14.397860869289438</v>
      </c>
      <c r="BD506" s="497">
        <f t="shared" si="835"/>
        <v>11.998217391074533</v>
      </c>
      <c r="BE506" s="497">
        <f t="shared" si="836"/>
        <v>9.5985739128596279</v>
      </c>
      <c r="BF506" s="33"/>
    </row>
    <row r="507" spans="1:58" s="129" customFormat="1" hidden="1">
      <c r="A507" s="88" t="s">
        <v>1302</v>
      </c>
      <c r="B507" s="88" t="s">
        <v>1318</v>
      </c>
      <c r="C507" s="88" t="s">
        <v>1318</v>
      </c>
      <c r="D507" s="88" t="s">
        <v>1102</v>
      </c>
      <c r="E507" s="88" t="s">
        <v>1103</v>
      </c>
      <c r="F507" s="89" t="s">
        <v>1103</v>
      </c>
      <c r="G507" s="92"/>
      <c r="H507" s="92"/>
      <c r="I507" s="167" t="s">
        <v>1133</v>
      </c>
      <c r="J507" s="167" t="str">
        <f>_xlfn.XLOOKUP(I507,[1]Sheet1!$A:$A,[1]Sheet1!$B:$B,"")</f>
        <v>U1201005</v>
      </c>
      <c r="K507" s="88" t="s">
        <v>1134</v>
      </c>
      <c r="L507" s="88" t="s">
        <v>1135</v>
      </c>
      <c r="M507" s="92"/>
      <c r="N507" s="89" t="s">
        <v>60</v>
      </c>
      <c r="O507" s="165"/>
      <c r="P507" s="89" t="s">
        <v>241</v>
      </c>
      <c r="Q507" s="92" t="s">
        <v>635</v>
      </c>
      <c r="R507" s="92">
        <v>900</v>
      </c>
      <c r="S507" s="92" t="e">
        <v>#N/A</v>
      </c>
      <c r="T507" s="92" t="s">
        <v>3863</v>
      </c>
      <c r="U507" s="155">
        <v>1.7000000000000001E-2</v>
      </c>
      <c r="V507" s="207">
        <v>45</v>
      </c>
      <c r="W507" s="92">
        <v>45</v>
      </c>
      <c r="X507" s="92">
        <v>55</v>
      </c>
      <c r="Y507" s="207" t="s">
        <v>359</v>
      </c>
      <c r="Z507" s="133">
        <f t="shared" si="883"/>
        <v>1.8299319727891157</v>
      </c>
      <c r="AA507" s="133"/>
      <c r="AB507" s="161">
        <f t="shared" si="884"/>
        <v>1.5307899708316377</v>
      </c>
      <c r="AC507" s="161"/>
      <c r="AD507" s="213">
        <f t="shared" si="885"/>
        <v>0.1</v>
      </c>
      <c r="AE507" s="213">
        <v>0.1</v>
      </c>
      <c r="AF507" s="215">
        <v>0.28000000000000003</v>
      </c>
      <c r="AG507" s="215" t="str">
        <f>VLOOKUP(I507,'[3]PO &amp; SC March 2024'!$F$11:$AA$197,20,FALSE)</f>
        <v>C</v>
      </c>
      <c r="AH507" s="148">
        <f t="shared" si="880"/>
        <v>1.5307899708316377</v>
      </c>
      <c r="AI507" s="122">
        <f t="shared" si="784"/>
        <v>0.28000000000000003</v>
      </c>
      <c r="AJ507" s="444"/>
      <c r="AK507" s="150">
        <f t="shared" ref="AK507" si="919">AW507/(1-AD507)</f>
        <v>1.2809523809523808</v>
      </c>
      <c r="AL507" s="153">
        <f t="shared" ref="AL507" si="920">AX507/(1-AE507)</f>
        <v>1.22463197666531</v>
      </c>
      <c r="AM507" s="125">
        <f t="shared" ref="AM507" si="921">1-(AK507/Z507)</f>
        <v>0.30000000000000004</v>
      </c>
      <c r="AN507" s="125">
        <f t="shared" ref="AN507" si="922">1-(AL507/AB507)</f>
        <v>0.20000000000000007</v>
      </c>
      <c r="AO507" s="166"/>
      <c r="AP507" s="17" t="s">
        <v>1136</v>
      </c>
      <c r="AQ507" s="162"/>
      <c r="AR507" s="162"/>
      <c r="AS507" s="162"/>
      <c r="AT507" s="162">
        <v>1.57</v>
      </c>
      <c r="AU507" s="162">
        <v>6.5</v>
      </c>
      <c r="AV507" s="141">
        <f t="shared" si="881"/>
        <v>8.07</v>
      </c>
      <c r="AW507" s="142">
        <f t="shared" si="882"/>
        <v>1.1528571428571428</v>
      </c>
      <c r="AX507" s="126">
        <f t="shared" si="871"/>
        <v>1.1021687789987791</v>
      </c>
      <c r="AY507" s="163"/>
      <c r="AZ507" s="197"/>
      <c r="BB507" s="161">
        <f t="shared" si="833"/>
        <v>5.1026332361054596</v>
      </c>
      <c r="BC507" s="161">
        <f t="shared" si="834"/>
        <v>3.0615799416632759</v>
      </c>
      <c r="BD507" s="161">
        <f t="shared" si="835"/>
        <v>2.5513166180527298</v>
      </c>
      <c r="BE507" s="161">
        <f t="shared" si="836"/>
        <v>2.0410532944421838</v>
      </c>
    </row>
    <row r="508" spans="1:58" s="129" customFormat="1" hidden="1">
      <c r="A508" s="90" t="s">
        <v>1302</v>
      </c>
      <c r="B508" s="88" t="s">
        <v>1318</v>
      </c>
      <c r="C508" s="88" t="s">
        <v>1318</v>
      </c>
      <c r="D508" s="90" t="s">
        <v>1102</v>
      </c>
      <c r="E508" s="90" t="s">
        <v>1103</v>
      </c>
      <c r="F508" s="90" t="s">
        <v>1103</v>
      </c>
      <c r="G508" s="131"/>
      <c r="H508" s="92"/>
      <c r="I508" s="167" t="s">
        <v>1137</v>
      </c>
      <c r="J508" s="167" t="str">
        <f>_xlfn.XLOOKUP(I508,[1]Sheet1!$A:$A,[1]Sheet1!$B:$B,"")</f>
        <v>U1201009</v>
      </c>
      <c r="K508" s="90" t="s">
        <v>1138</v>
      </c>
      <c r="L508" s="90" t="s">
        <v>1139</v>
      </c>
      <c r="M508" s="92"/>
      <c r="N508" s="89" t="s">
        <v>60</v>
      </c>
      <c r="O508" s="92"/>
      <c r="P508" s="89" t="s">
        <v>241</v>
      </c>
      <c r="Q508" s="92" t="s">
        <v>635</v>
      </c>
      <c r="R508" s="92">
        <v>400</v>
      </c>
      <c r="S508" s="92" t="e">
        <v>#N/A</v>
      </c>
      <c r="T508" s="92" t="s">
        <v>3863</v>
      </c>
      <c r="U508" s="155">
        <v>1.7000000000000001E-2</v>
      </c>
      <c r="V508" s="207">
        <v>45</v>
      </c>
      <c r="W508" s="207">
        <v>45</v>
      </c>
      <c r="X508" s="207">
        <v>55</v>
      </c>
      <c r="Y508" s="207" t="s">
        <v>359</v>
      </c>
      <c r="Z508" s="133">
        <f t="shared" si="883"/>
        <v>3.8027210884353742</v>
      </c>
      <c r="AA508" s="133"/>
      <c r="AB508" s="161">
        <f t="shared" si="884"/>
        <v>3.2043002645502647</v>
      </c>
      <c r="AC508" s="161"/>
      <c r="AD508" s="213">
        <f t="shared" si="885"/>
        <v>0.1</v>
      </c>
      <c r="AE508" s="213">
        <v>0.1</v>
      </c>
      <c r="AF508" s="215">
        <v>0.28000000000000003</v>
      </c>
      <c r="AG508" s="215" t="s">
        <v>9</v>
      </c>
      <c r="AH508" s="148">
        <f t="shared" si="880"/>
        <v>3.2043002645502647</v>
      </c>
      <c r="AI508" s="122">
        <f t="shared" si="784"/>
        <v>0.28000000000000003</v>
      </c>
      <c r="AJ508" s="444"/>
      <c r="AK508" s="150">
        <f t="shared" si="886"/>
        <v>2.6619047619047618</v>
      </c>
      <c r="AL508" s="153">
        <f t="shared" si="887"/>
        <v>2.5634402116402115</v>
      </c>
      <c r="AM508" s="125">
        <f t="shared" ref="AM508:AM539" si="923">1-(AK508/Z508)</f>
        <v>0.30000000000000004</v>
      </c>
      <c r="AN508" s="125">
        <f t="shared" si="640"/>
        <v>0.20000000000000007</v>
      </c>
      <c r="AO508" s="166"/>
      <c r="AP508" s="17" t="s">
        <v>249</v>
      </c>
      <c r="AQ508" s="162"/>
      <c r="AR508" s="162"/>
      <c r="AS508" s="162"/>
      <c r="AT508" s="169">
        <v>1.57</v>
      </c>
      <c r="AU508" s="162">
        <v>15.2</v>
      </c>
      <c r="AV508" s="141">
        <f t="shared" si="881"/>
        <v>16.77</v>
      </c>
      <c r="AW508" s="142">
        <f t="shared" si="882"/>
        <v>2.3957142857142855</v>
      </c>
      <c r="AX508" s="126">
        <f t="shared" si="871"/>
        <v>2.3070961904761904</v>
      </c>
      <c r="AY508" s="130" t="s">
        <v>1140</v>
      </c>
      <c r="AZ508" s="128"/>
      <c r="BB508" s="161">
        <f t="shared" si="833"/>
        <v>10.681000881834215</v>
      </c>
      <c r="BC508" s="161">
        <f t="shared" si="834"/>
        <v>6.4086005291005295</v>
      </c>
      <c r="BD508" s="161">
        <f t="shared" si="835"/>
        <v>5.3405004409171077</v>
      </c>
      <c r="BE508" s="161">
        <f t="shared" si="836"/>
        <v>4.272400352733686</v>
      </c>
    </row>
    <row r="509" spans="1:58" s="129" customFormat="1" hidden="1">
      <c r="A509" s="90" t="s">
        <v>1302</v>
      </c>
      <c r="B509" s="88" t="s">
        <v>1318</v>
      </c>
      <c r="C509" s="88" t="s">
        <v>1318</v>
      </c>
      <c r="D509" s="90" t="s">
        <v>1102</v>
      </c>
      <c r="E509" s="90" t="s">
        <v>1141</v>
      </c>
      <c r="F509" s="90" t="s">
        <v>1141</v>
      </c>
      <c r="G509" s="131"/>
      <c r="H509" s="92"/>
      <c r="I509" s="167" t="s">
        <v>1420</v>
      </c>
      <c r="J509" s="167" t="str">
        <f>_xlfn.XLOOKUP(I509,[1]Sheet1!$A:$A,[1]Sheet1!$B:$B,"")</f>
        <v>U1301002</v>
      </c>
      <c r="K509" s="90" t="s">
        <v>1143</v>
      </c>
      <c r="L509" s="90" t="s">
        <v>1144</v>
      </c>
      <c r="M509" s="92"/>
      <c r="N509" s="89" t="s">
        <v>60</v>
      </c>
      <c r="O509" s="92"/>
      <c r="P509" s="89" t="s">
        <v>241</v>
      </c>
      <c r="Q509" s="92" t="s">
        <v>1059</v>
      </c>
      <c r="R509" s="92">
        <v>240</v>
      </c>
      <c r="S509" s="92" t="s">
        <v>1145</v>
      </c>
      <c r="T509" s="92" t="s">
        <v>3868</v>
      </c>
      <c r="U509" s="155">
        <v>0</v>
      </c>
      <c r="V509" s="207">
        <v>45</v>
      </c>
      <c r="W509" s="207">
        <v>45</v>
      </c>
      <c r="X509" s="207">
        <v>55</v>
      </c>
      <c r="Y509" s="207" t="s">
        <v>691</v>
      </c>
      <c r="Z509" s="133">
        <f t="shared" si="883"/>
        <v>11.449659863945579</v>
      </c>
      <c r="AA509" s="133"/>
      <c r="AB509" s="161">
        <f t="shared" si="884"/>
        <v>9.0691455535205545</v>
      </c>
      <c r="AC509" s="161"/>
      <c r="AD509" s="213">
        <f t="shared" si="885"/>
        <v>0.1</v>
      </c>
      <c r="AE509" s="213">
        <v>0.1</v>
      </c>
      <c r="AF509" s="215">
        <v>0.28000000000000003</v>
      </c>
      <c r="AG509" s="215" t="str">
        <f>VLOOKUP(I509,'[3]PO &amp; SC March 2024'!$F$11:$AA$197,20,FALSE)</f>
        <v>C</v>
      </c>
      <c r="AH509" s="148">
        <f t="shared" si="880"/>
        <v>9.0691455535205545</v>
      </c>
      <c r="AI509" s="122">
        <f t="shared" si="784"/>
        <v>0.28000000000000003</v>
      </c>
      <c r="AJ509" s="444"/>
      <c r="AK509" s="150">
        <f t="shared" si="886"/>
        <v>8.0147619047619045</v>
      </c>
      <c r="AL509" s="153">
        <f t="shared" si="887"/>
        <v>7.2553164428164436</v>
      </c>
      <c r="AM509" s="125">
        <f t="shared" si="923"/>
        <v>0.30000000000000004</v>
      </c>
      <c r="AN509" s="125">
        <f t="shared" si="640"/>
        <v>0.19999999999999996</v>
      </c>
      <c r="AO509" s="140"/>
      <c r="AP509" s="17" t="s">
        <v>1147</v>
      </c>
      <c r="AQ509" s="162"/>
      <c r="AR509" s="162"/>
      <c r="AS509" s="162"/>
      <c r="AT509" s="162">
        <f>2.03+0.23*7.1</f>
        <v>3.6629999999999998</v>
      </c>
      <c r="AU509" s="162">
        <v>46.830000000000005</v>
      </c>
      <c r="AV509" s="141">
        <f t="shared" si="881"/>
        <v>50.493000000000002</v>
      </c>
      <c r="AW509" s="142">
        <f t="shared" si="882"/>
        <v>7.213285714285715</v>
      </c>
      <c r="AX509" s="126">
        <f t="shared" si="871"/>
        <v>6.5297847985347994</v>
      </c>
      <c r="AY509" s="127"/>
      <c r="AZ509" s="197" t="s">
        <v>1148</v>
      </c>
      <c r="BB509" s="161">
        <f t="shared" si="833"/>
        <v>30.23048517840185</v>
      </c>
      <c r="BC509" s="161">
        <f t="shared" si="834"/>
        <v>18.138291107041109</v>
      </c>
      <c r="BD509" s="161">
        <f t="shared" si="835"/>
        <v>15.115242589200925</v>
      </c>
      <c r="BE509" s="161">
        <f t="shared" si="836"/>
        <v>12.092194071360741</v>
      </c>
    </row>
    <row r="510" spans="1:58" s="129" customFormat="1" hidden="1">
      <c r="A510" s="90" t="s">
        <v>1302</v>
      </c>
      <c r="B510" s="88" t="s">
        <v>1318</v>
      </c>
      <c r="C510" s="88" t="s">
        <v>1318</v>
      </c>
      <c r="D510" s="90" t="s">
        <v>1102</v>
      </c>
      <c r="E510" s="90" t="s">
        <v>1141</v>
      </c>
      <c r="F510" s="90" t="s">
        <v>1141</v>
      </c>
      <c r="G510" s="131"/>
      <c r="H510" s="92"/>
      <c r="I510" s="167" t="s">
        <v>1149</v>
      </c>
      <c r="J510" s="167" t="str">
        <f>_xlfn.XLOOKUP(I510,[1]Sheet1!$A:$A,[1]Sheet1!$B:$B,"")</f>
        <v>U1301003</v>
      </c>
      <c r="K510" s="90" t="s">
        <v>1150</v>
      </c>
      <c r="L510" s="90" t="s">
        <v>1151</v>
      </c>
      <c r="M510" s="92"/>
      <c r="N510" s="89" t="s">
        <v>60</v>
      </c>
      <c r="O510" s="92"/>
      <c r="P510" s="89" t="s">
        <v>241</v>
      </c>
      <c r="Q510" s="92" t="s">
        <v>1059</v>
      </c>
      <c r="R510" s="92">
        <v>240</v>
      </c>
      <c r="S510" s="92" t="s">
        <v>1152</v>
      </c>
      <c r="T510" s="92" t="s">
        <v>3868</v>
      </c>
      <c r="U510" s="155">
        <v>0</v>
      </c>
      <c r="V510" s="207">
        <v>45</v>
      </c>
      <c r="W510" s="207">
        <v>45</v>
      </c>
      <c r="X510" s="207">
        <v>55</v>
      </c>
      <c r="Y510" s="207" t="s">
        <v>691</v>
      </c>
      <c r="Z510" s="133">
        <f t="shared" si="883"/>
        <v>11.615596963423052</v>
      </c>
      <c r="AA510" s="133"/>
      <c r="AB510" s="161">
        <f t="shared" si="884"/>
        <v>9.1968799979363371</v>
      </c>
      <c r="AC510" s="161"/>
      <c r="AD510" s="213">
        <f t="shared" si="885"/>
        <v>0.1</v>
      </c>
      <c r="AE510" s="213">
        <v>0.1</v>
      </c>
      <c r="AF510" s="215">
        <v>0.29000000000000004</v>
      </c>
      <c r="AG510" s="215" t="str">
        <f>VLOOKUP(I510,'[3]PO &amp; SC March 2024'!$F$11:$AA$197,20,FALSE)</f>
        <v>C</v>
      </c>
      <c r="AH510" s="148">
        <f t="shared" si="880"/>
        <v>9.1968799979363371</v>
      </c>
      <c r="AI510" s="122">
        <f t="shared" si="784"/>
        <v>0.29000000000000004</v>
      </c>
      <c r="AJ510" s="444"/>
      <c r="AK510" s="150">
        <f t="shared" si="886"/>
        <v>8.0147619047619045</v>
      </c>
      <c r="AL510" s="153">
        <f t="shared" si="887"/>
        <v>7.2553164428164436</v>
      </c>
      <c r="AM510" s="125">
        <f t="shared" si="923"/>
        <v>0.31000000000000005</v>
      </c>
      <c r="AN510" s="125">
        <f t="shared" si="640"/>
        <v>0.21111111111111114</v>
      </c>
      <c r="AO510" s="140"/>
      <c r="AP510" s="17" t="s">
        <v>1147</v>
      </c>
      <c r="AQ510" s="162"/>
      <c r="AR510" s="162"/>
      <c r="AS510" s="162"/>
      <c r="AT510" s="162">
        <f>0.23*7.1</f>
        <v>1.633</v>
      </c>
      <c r="AU510" s="162">
        <v>48.86</v>
      </c>
      <c r="AV510" s="141">
        <f t="shared" si="881"/>
        <v>50.493000000000002</v>
      </c>
      <c r="AW510" s="142">
        <f t="shared" si="882"/>
        <v>7.213285714285715</v>
      </c>
      <c r="AX510" s="126">
        <f t="shared" si="871"/>
        <v>6.5297847985347994</v>
      </c>
      <c r="AY510" s="127"/>
      <c r="AZ510" s="197" t="s">
        <v>1148</v>
      </c>
      <c r="BB510" s="161">
        <f t="shared" si="833"/>
        <v>30.656266659787793</v>
      </c>
      <c r="BC510" s="161">
        <f t="shared" si="834"/>
        <v>18.393759995872674</v>
      </c>
      <c r="BD510" s="161">
        <f t="shared" si="835"/>
        <v>15.328133329893896</v>
      </c>
      <c r="BE510" s="161">
        <f t="shared" si="836"/>
        <v>12.262506663915119</v>
      </c>
    </row>
    <row r="511" spans="1:58" s="129" customFormat="1" hidden="1">
      <c r="A511" s="88" t="s">
        <v>1302</v>
      </c>
      <c r="B511" s="88" t="s">
        <v>1318</v>
      </c>
      <c r="C511" s="88" t="s">
        <v>1318</v>
      </c>
      <c r="D511" s="88" t="s">
        <v>1102</v>
      </c>
      <c r="E511" s="88" t="s">
        <v>1141</v>
      </c>
      <c r="F511" s="89" t="s">
        <v>1141</v>
      </c>
      <c r="G511" s="92"/>
      <c r="H511" s="92"/>
      <c r="I511" s="167" t="s">
        <v>1153</v>
      </c>
      <c r="J511" s="167" t="str">
        <f>_xlfn.XLOOKUP(I511,[1]Sheet1!$A:$A,[1]Sheet1!$B:$B,"")</f>
        <v>U1301001</v>
      </c>
      <c r="K511" s="88" t="s">
        <v>1154</v>
      </c>
      <c r="L511" s="88" t="s">
        <v>1155</v>
      </c>
      <c r="M511" s="92"/>
      <c r="N511" s="89" t="s">
        <v>60</v>
      </c>
      <c r="O511" s="165"/>
      <c r="P511" s="89" t="s">
        <v>241</v>
      </c>
      <c r="Q511" s="92" t="s">
        <v>1059</v>
      </c>
      <c r="R511" s="92">
        <v>240</v>
      </c>
      <c r="S511" s="92" t="e">
        <v>#N/A</v>
      </c>
      <c r="T511" s="92" t="s">
        <v>3868</v>
      </c>
      <c r="U511" s="155">
        <v>3.3000000000000002E-2</v>
      </c>
      <c r="V511" s="207">
        <v>45</v>
      </c>
      <c r="W511" s="92">
        <v>45</v>
      </c>
      <c r="X511" s="92">
        <v>55</v>
      </c>
      <c r="Y511" s="92" t="s">
        <v>691</v>
      </c>
      <c r="Z511" s="133">
        <f t="shared" si="883"/>
        <v>40.493734335839605</v>
      </c>
      <c r="AA511" s="133"/>
      <c r="AB511" s="161">
        <f t="shared" si="884"/>
        <v>31.872960706525117</v>
      </c>
      <c r="AC511" s="161"/>
      <c r="AD511" s="213">
        <f t="shared" si="885"/>
        <v>0.1</v>
      </c>
      <c r="AE511" s="213">
        <v>0.1</v>
      </c>
      <c r="AF511" s="215">
        <v>0.41000000000000003</v>
      </c>
      <c r="AG511" s="215" t="str">
        <f>VLOOKUP(I511,'[3]PO &amp; SC March 2024'!$F$11:$AA$197,20,FALSE)</f>
        <v>C</v>
      </c>
      <c r="AH511" s="148">
        <f t="shared" si="880"/>
        <v>31.872960706525117</v>
      </c>
      <c r="AI511" s="122">
        <f>1-(AX511/AH511)</f>
        <v>0.41000000000000003</v>
      </c>
      <c r="AJ511" s="444"/>
      <c r="AK511" s="150">
        <f t="shared" si="886"/>
        <v>23.081428571428575</v>
      </c>
      <c r="AL511" s="153">
        <f t="shared" si="887"/>
        <v>20.894496463166462</v>
      </c>
      <c r="AM511" s="125">
        <f t="shared" si="923"/>
        <v>0.43000000000000005</v>
      </c>
      <c r="AN511" s="125">
        <f t="shared" si="640"/>
        <v>0.34444444444444455</v>
      </c>
      <c r="AO511" s="140"/>
      <c r="AP511" s="17" t="s">
        <v>1147</v>
      </c>
      <c r="AQ511" s="162"/>
      <c r="AR511" s="162"/>
      <c r="AS511" s="162"/>
      <c r="AT511" s="162">
        <f>0.23*7.1</f>
        <v>1.633</v>
      </c>
      <c r="AU511" s="162">
        <v>143.78</v>
      </c>
      <c r="AV511" s="141">
        <f t="shared" si="881"/>
        <v>145.41300000000001</v>
      </c>
      <c r="AW511" s="142">
        <f>(AT511+AU511)/$F$5</f>
        <v>20.773285714285716</v>
      </c>
      <c r="AX511" s="126">
        <f>(AW511/$F$6)+(($F$9+$G$9)/40/R511)+AW511*U511</f>
        <v>18.805046816849817</v>
      </c>
      <c r="AY511" s="127"/>
      <c r="AZ511" s="197" t="s">
        <v>1148</v>
      </c>
      <c r="BB511" s="161">
        <f t="shared" si="833"/>
        <v>106.24320235508372</v>
      </c>
      <c r="BC511" s="161">
        <f t="shared" si="834"/>
        <v>63.745921413050233</v>
      </c>
      <c r="BD511" s="161">
        <f t="shared" si="835"/>
        <v>53.121601177541862</v>
      </c>
      <c r="BE511" s="161">
        <f t="shared" si="836"/>
        <v>42.497280942033491</v>
      </c>
    </row>
    <row r="512" spans="1:58" s="129" customFormat="1" hidden="1">
      <c r="A512" s="88" t="s">
        <v>1302</v>
      </c>
      <c r="B512" s="88" t="s">
        <v>1317</v>
      </c>
      <c r="C512" s="88" t="s">
        <v>1317</v>
      </c>
      <c r="D512" s="88" t="s">
        <v>656</v>
      </c>
      <c r="E512" s="88" t="s">
        <v>684</v>
      </c>
      <c r="F512" s="89" t="s">
        <v>686</v>
      </c>
      <c r="G512" s="92" t="s">
        <v>685</v>
      </c>
      <c r="H512" s="320" t="s">
        <v>3398</v>
      </c>
      <c r="I512" s="167" t="s">
        <v>687</v>
      </c>
      <c r="J512" s="167" t="str">
        <f>_xlfn.XLOOKUP(I512,[1]Sheet1!$A:$A,[1]Sheet1!$B:$B,"")</f>
        <v>U0803009</v>
      </c>
      <c r="K512" s="88" t="s">
        <v>688</v>
      </c>
      <c r="L512" s="88" t="s">
        <v>689</v>
      </c>
      <c r="M512" s="92" t="s">
        <v>69</v>
      </c>
      <c r="N512" s="89" t="s">
        <v>60</v>
      </c>
      <c r="O512" s="165"/>
      <c r="P512" s="89" t="s">
        <v>197</v>
      </c>
      <c r="Q512" s="92" t="s">
        <v>690</v>
      </c>
      <c r="R512" s="92">
        <v>4</v>
      </c>
      <c r="S512" s="92" t="e">
        <v>#N/A</v>
      </c>
      <c r="T512" s="92">
        <v>8544700000</v>
      </c>
      <c r="U512" s="155">
        <v>0</v>
      </c>
      <c r="V512" s="207">
        <v>30</v>
      </c>
      <c r="W512" s="92">
        <v>45</v>
      </c>
      <c r="X512" s="92">
        <v>55</v>
      </c>
      <c r="Y512" s="92" t="s">
        <v>691</v>
      </c>
      <c r="Z512" s="133">
        <f>AW512/(1-(AF512+2%))</f>
        <v>595.57344064386314</v>
      </c>
      <c r="AA512" s="133"/>
      <c r="AB512" s="124">
        <f t="shared" si="884"/>
        <v>525.05665947446778</v>
      </c>
      <c r="AC512" s="124"/>
      <c r="AD512" s="213">
        <f t="shared" si="885"/>
        <v>0.1</v>
      </c>
      <c r="AE512" s="213">
        <v>0.1</v>
      </c>
      <c r="AF512" s="215">
        <v>0.27</v>
      </c>
      <c r="AG512" s="215" t="s">
        <v>9</v>
      </c>
      <c r="AH512" s="148">
        <f t="shared" si="880"/>
        <v>525.05665947446778</v>
      </c>
      <c r="AI512" s="122">
        <f>1-(AX512/AH512)</f>
        <v>0.27000000000000013</v>
      </c>
      <c r="AJ512" s="444"/>
      <c r="AK512" s="150">
        <f>AW512/(1-AD512)</f>
        <v>469.84126984126982</v>
      </c>
      <c r="AL512" s="148">
        <f t="shared" si="886"/>
        <v>425.87929046262383</v>
      </c>
      <c r="AM512" s="125">
        <f t="shared" si="923"/>
        <v>0.21111111111111114</v>
      </c>
      <c r="AN512" s="125">
        <f t="shared" ref="AN512:AN559" si="924">1-(AL512/AB512)</f>
        <v>0.18888888888888899</v>
      </c>
      <c r="AO512" s="136">
        <f>AF512+4%</f>
        <v>0.31</v>
      </c>
      <c r="AP512" s="17" t="s">
        <v>692</v>
      </c>
      <c r="AQ512" s="141"/>
      <c r="AR512" s="141"/>
      <c r="AS512" s="141"/>
      <c r="AT512" s="141"/>
      <c r="AU512" s="141">
        <v>2960</v>
      </c>
      <c r="AV512" s="141">
        <f t="shared" si="881"/>
        <v>2960</v>
      </c>
      <c r="AW512" s="142">
        <f>(AT512+AU512)/$F$5</f>
        <v>422.85714285714283</v>
      </c>
      <c r="AX512" s="126">
        <f>(AW512/$F$6)+(($F$9+$G$9)/40/R512)+AW512*U512</f>
        <v>383.29136141636144</v>
      </c>
      <c r="AY512" s="17"/>
      <c r="AZ512" s="128">
        <v>8544700000</v>
      </c>
      <c r="BB512" s="124">
        <f t="shared" si="833"/>
        <v>1750.1888649148927</v>
      </c>
      <c r="BC512" s="124">
        <f t="shared" si="834"/>
        <v>1050.1133189489356</v>
      </c>
      <c r="BD512" s="124">
        <f t="shared" si="835"/>
        <v>875.09443245744637</v>
      </c>
      <c r="BE512" s="124">
        <f t="shared" si="836"/>
        <v>700.07554596595719</v>
      </c>
    </row>
    <row r="513" spans="1:57" s="129" customFormat="1" hidden="1">
      <c r="A513" s="88" t="s">
        <v>1302</v>
      </c>
      <c r="B513" s="88" t="s">
        <v>1317</v>
      </c>
      <c r="C513" s="88" t="s">
        <v>1317</v>
      </c>
      <c r="D513" s="88" t="s">
        <v>656</v>
      </c>
      <c r="E513" s="88" t="s">
        <v>684</v>
      </c>
      <c r="F513" s="89" t="s">
        <v>686</v>
      </c>
      <c r="G513" s="92" t="s">
        <v>685</v>
      </c>
      <c r="H513" s="320" t="s">
        <v>3399</v>
      </c>
      <c r="I513" s="167" t="s">
        <v>693</v>
      </c>
      <c r="J513" s="167" t="str">
        <f>_xlfn.XLOOKUP(I513,[1]Sheet1!$A:$A,[1]Sheet1!$B:$B,"")</f>
        <v>U0803015</v>
      </c>
      <c r="K513" s="88" t="s">
        <v>694</v>
      </c>
      <c r="L513" s="88" t="s">
        <v>695</v>
      </c>
      <c r="M513" s="92" t="s">
        <v>69</v>
      </c>
      <c r="N513" s="89" t="s">
        <v>60</v>
      </c>
      <c r="O513" s="165"/>
      <c r="P513" s="89" t="s">
        <v>197</v>
      </c>
      <c r="Q513" s="92" t="s">
        <v>690</v>
      </c>
      <c r="R513" s="92">
        <v>4</v>
      </c>
      <c r="S513" s="92" t="e">
        <v>#N/A</v>
      </c>
      <c r="T513" s="92">
        <v>8544700000</v>
      </c>
      <c r="U513" s="155">
        <v>0</v>
      </c>
      <c r="V513" s="207">
        <v>30</v>
      </c>
      <c r="W513" s="92">
        <v>45</v>
      </c>
      <c r="X513" s="92">
        <v>55</v>
      </c>
      <c r="Y513" s="92" t="s">
        <v>691</v>
      </c>
      <c r="Z513" s="133">
        <f t="shared" ref="Z513:Z576" si="925">AW513/(1-(AF513+2%))</f>
        <v>735.81488933601611</v>
      </c>
      <c r="AA513" s="133"/>
      <c r="AB513" s="124">
        <f t="shared" si="884"/>
        <v>641.63718701389939</v>
      </c>
      <c r="AC513" s="124"/>
      <c r="AD513" s="213">
        <f t="shared" si="885"/>
        <v>0.1</v>
      </c>
      <c r="AE513" s="213">
        <v>0.1</v>
      </c>
      <c r="AF513" s="215">
        <v>0.27</v>
      </c>
      <c r="AG513" s="215" t="s">
        <v>9</v>
      </c>
      <c r="AH513" s="148">
        <f t="shared" si="880"/>
        <v>641.63718701389939</v>
      </c>
      <c r="AI513" s="122">
        <f t="shared" ref="AI513:AI575" si="926">1-(AX513/AH513)</f>
        <v>0.27</v>
      </c>
      <c r="AJ513" s="444"/>
      <c r="AK513" s="150">
        <f t="shared" ref="AK513:AK521" si="927">AW513/(1-AD513)</f>
        <v>580.47619047619048</v>
      </c>
      <c r="AL513" s="148">
        <f t="shared" ref="AK513:AL576" si="928">AX513/(1-AE513)</f>
        <v>520.43905168905178</v>
      </c>
      <c r="AM513" s="125">
        <f t="shared" si="923"/>
        <v>0.21111111111111114</v>
      </c>
      <c r="AN513" s="125">
        <f t="shared" si="924"/>
        <v>0.18888888888888877</v>
      </c>
      <c r="AO513" s="136">
        <f t="shared" ref="AO513:AO576" si="929">AF513+4%</f>
        <v>0.31</v>
      </c>
      <c r="AP513" s="17" t="s">
        <v>692</v>
      </c>
      <c r="AQ513" s="141"/>
      <c r="AR513" s="141"/>
      <c r="AS513" s="141"/>
      <c r="AT513" s="141"/>
      <c r="AU513" s="141">
        <v>3657</v>
      </c>
      <c r="AV513" s="141">
        <f t="shared" si="881"/>
        <v>3657</v>
      </c>
      <c r="AW513" s="142">
        <f t="shared" ref="AW513:AW573" si="930">(AT513+AU513)/$F$5</f>
        <v>522.42857142857144</v>
      </c>
      <c r="AX513" s="126">
        <f t="shared" si="871"/>
        <v>468.39514652014657</v>
      </c>
      <c r="AY513" s="17"/>
      <c r="AZ513" s="128">
        <v>8544700000</v>
      </c>
      <c r="BB513" s="124">
        <f t="shared" si="833"/>
        <v>2138.7906233796648</v>
      </c>
      <c r="BC513" s="124">
        <f t="shared" si="834"/>
        <v>1283.2743740277988</v>
      </c>
      <c r="BD513" s="124">
        <f t="shared" si="835"/>
        <v>1069.3953116898324</v>
      </c>
      <c r="BE513" s="124">
        <f t="shared" si="836"/>
        <v>855.51624935186601</v>
      </c>
    </row>
    <row r="514" spans="1:57" s="129" customFormat="1" hidden="1">
      <c r="A514" s="88" t="s">
        <v>1302</v>
      </c>
      <c r="B514" s="88" t="s">
        <v>1317</v>
      </c>
      <c r="C514" s="88" t="s">
        <v>1317</v>
      </c>
      <c r="D514" s="88" t="s">
        <v>656</v>
      </c>
      <c r="E514" s="88" t="s">
        <v>684</v>
      </c>
      <c r="F514" s="89" t="s">
        <v>686</v>
      </c>
      <c r="G514" s="92" t="s">
        <v>685</v>
      </c>
      <c r="H514" s="320" t="s">
        <v>3400</v>
      </c>
      <c r="I514" s="167" t="s">
        <v>2418</v>
      </c>
      <c r="J514" s="167" t="str">
        <f>_xlfn.XLOOKUP(I514,[1]Sheet1!$A:$A,[1]Sheet1!$B:$B,"")</f>
        <v>U0803001</v>
      </c>
      <c r="K514" s="88" t="s">
        <v>697</v>
      </c>
      <c r="L514" s="88" t="s">
        <v>698</v>
      </c>
      <c r="M514" s="92" t="s">
        <v>69</v>
      </c>
      <c r="N514" s="89" t="s">
        <v>60</v>
      </c>
      <c r="O514" s="165"/>
      <c r="P514" s="89" t="s">
        <v>197</v>
      </c>
      <c r="Q514" s="92" t="s">
        <v>690</v>
      </c>
      <c r="R514" s="92">
        <v>4</v>
      </c>
      <c r="S514" s="92" t="e">
        <v>#N/A</v>
      </c>
      <c r="T514" s="92">
        <v>8544700000</v>
      </c>
      <c r="U514" s="155">
        <v>0</v>
      </c>
      <c r="V514" s="207">
        <v>30</v>
      </c>
      <c r="W514" s="92">
        <v>45</v>
      </c>
      <c r="X514" s="92">
        <v>55</v>
      </c>
      <c r="Y514" s="92" t="s">
        <v>691</v>
      </c>
      <c r="Z514" s="133">
        <f t="shared" si="925"/>
        <v>985.71428571428578</v>
      </c>
      <c r="AA514" s="133"/>
      <c r="AB514" s="124">
        <f t="shared" si="884"/>
        <v>849.37465502534008</v>
      </c>
      <c r="AC514" s="124"/>
      <c r="AD514" s="213">
        <f t="shared" si="885"/>
        <v>0.1</v>
      </c>
      <c r="AE514" s="213">
        <v>0.1</v>
      </c>
      <c r="AF514" s="215">
        <v>0.27</v>
      </c>
      <c r="AG514" s="215" t="s">
        <v>9</v>
      </c>
      <c r="AH514" s="148">
        <f t="shared" si="880"/>
        <v>849.37465502534008</v>
      </c>
      <c r="AI514" s="122">
        <f t="shared" si="926"/>
        <v>0.27</v>
      </c>
      <c r="AJ514" s="444"/>
      <c r="AK514" s="150">
        <f t="shared" si="927"/>
        <v>777.61904761904759</v>
      </c>
      <c r="AL514" s="148">
        <f t="shared" si="928"/>
        <v>688.93722018722019</v>
      </c>
      <c r="AM514" s="125">
        <f t="shared" si="923"/>
        <v>0.21111111111111114</v>
      </c>
      <c r="AN514" s="125">
        <f t="shared" si="924"/>
        <v>0.18888888888888899</v>
      </c>
      <c r="AO514" s="136">
        <f t="shared" si="929"/>
        <v>0.31</v>
      </c>
      <c r="AP514" s="17" t="s">
        <v>692</v>
      </c>
      <c r="AQ514" s="141"/>
      <c r="AR514" s="141"/>
      <c r="AS514" s="141"/>
      <c r="AT514" s="141"/>
      <c r="AU514" s="141">
        <v>4899</v>
      </c>
      <c r="AV514" s="141">
        <f t="shared" si="881"/>
        <v>4899</v>
      </c>
      <c r="AW514" s="142">
        <f t="shared" si="930"/>
        <v>699.85714285714289</v>
      </c>
      <c r="AX514" s="126">
        <f t="shared" si="871"/>
        <v>620.04349816849822</v>
      </c>
      <c r="AY514" s="17"/>
      <c r="AZ514" s="128">
        <v>8544700000</v>
      </c>
      <c r="BB514" s="124">
        <f t="shared" ref="BB514:BB577" si="931">AB514/0.3</f>
        <v>2831.248850084467</v>
      </c>
      <c r="BC514" s="124">
        <f t="shared" ref="BC514:BC577" si="932">BB514*0.6</f>
        <v>1698.7493100506802</v>
      </c>
      <c r="BD514" s="124">
        <f t="shared" ref="BD514:BD577" si="933">BB514*0.5</f>
        <v>1415.6244250422335</v>
      </c>
      <c r="BE514" s="124">
        <f t="shared" ref="BE514:BE577" si="934">BB514*0.4</f>
        <v>1132.4995400337868</v>
      </c>
    </row>
    <row r="515" spans="1:57" s="129" customFormat="1" hidden="1">
      <c r="A515" s="88" t="s">
        <v>1302</v>
      </c>
      <c r="B515" s="88" t="s">
        <v>1317</v>
      </c>
      <c r="C515" s="88" t="s">
        <v>1317</v>
      </c>
      <c r="D515" s="88" t="s">
        <v>656</v>
      </c>
      <c r="E515" s="88" t="s">
        <v>684</v>
      </c>
      <c r="F515" s="89" t="s">
        <v>686</v>
      </c>
      <c r="G515" s="92" t="s">
        <v>685</v>
      </c>
      <c r="H515" s="320" t="s">
        <v>3401</v>
      </c>
      <c r="I515" s="167" t="s">
        <v>699</v>
      </c>
      <c r="J515" s="167" t="str">
        <f>_xlfn.XLOOKUP(I515,[1]Sheet1!$A:$A,[1]Sheet1!$B:$B,"")</f>
        <v>U0803005</v>
      </c>
      <c r="K515" s="88" t="s">
        <v>700</v>
      </c>
      <c r="L515" s="88" t="s">
        <v>701</v>
      </c>
      <c r="M515" s="92" t="s">
        <v>69</v>
      </c>
      <c r="N515" s="89" t="s">
        <v>60</v>
      </c>
      <c r="O515" s="165"/>
      <c r="P515" s="89" t="s">
        <v>197</v>
      </c>
      <c r="Q515" s="92" t="s">
        <v>690</v>
      </c>
      <c r="R515" s="92">
        <v>4</v>
      </c>
      <c r="S515" s="92" t="e">
        <v>#N/A</v>
      </c>
      <c r="T515" s="92">
        <v>8544700000</v>
      </c>
      <c r="U515" s="155">
        <v>0</v>
      </c>
      <c r="V515" s="207">
        <v>30</v>
      </c>
      <c r="W515" s="92">
        <v>45</v>
      </c>
      <c r="X515" s="92">
        <v>55</v>
      </c>
      <c r="Y515" s="92" t="s">
        <v>691</v>
      </c>
      <c r="Z515" s="133">
        <f t="shared" si="925"/>
        <v>1777.0623742454729</v>
      </c>
      <c r="AA515" s="133"/>
      <c r="AB515" s="124">
        <f t="shared" si="884"/>
        <v>1507.209970394902</v>
      </c>
      <c r="AC515" s="124"/>
      <c r="AD515" s="213">
        <f t="shared" si="885"/>
        <v>0.1</v>
      </c>
      <c r="AE515" s="213">
        <v>0.1</v>
      </c>
      <c r="AF515" s="215">
        <v>0.27</v>
      </c>
      <c r="AG515" s="215" t="s">
        <v>9</v>
      </c>
      <c r="AH515" s="148">
        <f t="shared" si="880"/>
        <v>1507.209970394902</v>
      </c>
      <c r="AI515" s="122">
        <f t="shared" si="926"/>
        <v>0.27</v>
      </c>
      <c r="AJ515" s="444"/>
      <c r="AK515" s="150">
        <f t="shared" si="927"/>
        <v>1401.9047619047619</v>
      </c>
      <c r="AL515" s="148">
        <f t="shared" si="928"/>
        <v>1222.5147537647538</v>
      </c>
      <c r="AM515" s="125">
        <f t="shared" si="923"/>
        <v>0.21111111111111114</v>
      </c>
      <c r="AN515" s="125">
        <f t="shared" si="924"/>
        <v>0.18888888888888899</v>
      </c>
      <c r="AO515" s="136">
        <f t="shared" si="929"/>
        <v>0.31</v>
      </c>
      <c r="AP515" s="17" t="s">
        <v>692</v>
      </c>
      <c r="AQ515" s="141"/>
      <c r="AR515" s="141"/>
      <c r="AS515" s="141"/>
      <c r="AT515" s="141"/>
      <c r="AU515" s="141">
        <v>8832</v>
      </c>
      <c r="AV515" s="141">
        <f t="shared" si="881"/>
        <v>8832</v>
      </c>
      <c r="AW515" s="142">
        <f t="shared" si="930"/>
        <v>1261.7142857142858</v>
      </c>
      <c r="AX515" s="126">
        <f t="shared" si="871"/>
        <v>1100.2632783882784</v>
      </c>
      <c r="AY515" s="17"/>
      <c r="AZ515" s="128">
        <v>8544700000</v>
      </c>
      <c r="BB515" s="124">
        <f t="shared" si="931"/>
        <v>5024.0332346496734</v>
      </c>
      <c r="BC515" s="124">
        <f t="shared" si="932"/>
        <v>3014.4199407898041</v>
      </c>
      <c r="BD515" s="124">
        <f t="shared" si="933"/>
        <v>2512.0166173248367</v>
      </c>
      <c r="BE515" s="124">
        <f t="shared" si="934"/>
        <v>2009.6132938598694</v>
      </c>
    </row>
    <row r="516" spans="1:57" s="129" customFormat="1" hidden="1">
      <c r="A516" s="88" t="s">
        <v>1302</v>
      </c>
      <c r="B516" s="88" t="s">
        <v>1317</v>
      </c>
      <c r="C516" s="88" t="s">
        <v>1317</v>
      </c>
      <c r="D516" s="88" t="s">
        <v>656</v>
      </c>
      <c r="E516" s="88" t="s">
        <v>684</v>
      </c>
      <c r="F516" s="89" t="s">
        <v>702</v>
      </c>
      <c r="G516" s="92" t="s">
        <v>685</v>
      </c>
      <c r="H516" s="320" t="s">
        <v>3398</v>
      </c>
      <c r="I516" s="167" t="s">
        <v>703</v>
      </c>
      <c r="J516" s="167" t="str">
        <f>_xlfn.XLOOKUP(I516,[1]Sheet1!$A:$A,[1]Sheet1!$B:$B,"")</f>
        <v>U0807009</v>
      </c>
      <c r="K516" s="88" t="s">
        <v>704</v>
      </c>
      <c r="L516" s="88" t="s">
        <v>705</v>
      </c>
      <c r="M516" s="92" t="s">
        <v>125</v>
      </c>
      <c r="N516" s="89" t="s">
        <v>60</v>
      </c>
      <c r="O516" s="165"/>
      <c r="P516" s="89" t="s">
        <v>197</v>
      </c>
      <c r="Q516" s="92" t="s">
        <v>690</v>
      </c>
      <c r="R516" s="92">
        <v>4</v>
      </c>
      <c r="S516" s="92" t="e">
        <v>#N/A</v>
      </c>
      <c r="T516" s="92">
        <v>8544700000</v>
      </c>
      <c r="U516" s="155">
        <v>0</v>
      </c>
      <c r="V516" s="207">
        <v>30</v>
      </c>
      <c r="W516" s="92">
        <v>45</v>
      </c>
      <c r="X516" s="92">
        <v>55</v>
      </c>
      <c r="Y516" s="92" t="s">
        <v>691</v>
      </c>
      <c r="Z516" s="133">
        <f t="shared" si="925"/>
        <v>667.64705882352951</v>
      </c>
      <c r="AA516" s="133"/>
      <c r="AB516" s="124">
        <f t="shared" si="884"/>
        <v>585.58455433455435</v>
      </c>
      <c r="AC516" s="124"/>
      <c r="AD516" s="213">
        <f t="shared" si="885"/>
        <v>0.1</v>
      </c>
      <c r="AE516" s="213">
        <v>0.1</v>
      </c>
      <c r="AF516" s="215">
        <v>0.3</v>
      </c>
      <c r="AG516" s="215" t="s">
        <v>9</v>
      </c>
      <c r="AH516" s="148">
        <f t="shared" si="880"/>
        <v>585.58455433455435</v>
      </c>
      <c r="AI516" s="122">
        <f t="shared" si="926"/>
        <v>0.30000000000000004</v>
      </c>
      <c r="AJ516" s="444"/>
      <c r="AK516" s="150">
        <f t="shared" si="927"/>
        <v>504.44444444444446</v>
      </c>
      <c r="AL516" s="148">
        <f t="shared" si="928"/>
        <v>455.45465337132003</v>
      </c>
      <c r="AM516" s="125">
        <f t="shared" si="923"/>
        <v>0.24444444444444458</v>
      </c>
      <c r="AN516" s="125">
        <f t="shared" si="924"/>
        <v>0.22222222222222221</v>
      </c>
      <c r="AO516" s="136">
        <f t="shared" si="929"/>
        <v>0.33999999999999997</v>
      </c>
      <c r="AP516" s="17" t="s">
        <v>692</v>
      </c>
      <c r="AQ516" s="141"/>
      <c r="AR516" s="141"/>
      <c r="AS516" s="141"/>
      <c r="AT516" s="141"/>
      <c r="AU516" s="141">
        <v>3178</v>
      </c>
      <c r="AV516" s="141">
        <f t="shared" si="881"/>
        <v>3178</v>
      </c>
      <c r="AW516" s="142">
        <f t="shared" si="930"/>
        <v>454</v>
      </c>
      <c r="AX516" s="126">
        <f t="shared" si="871"/>
        <v>409.90918803418805</v>
      </c>
      <c r="AY516" s="17"/>
      <c r="AZ516" s="128">
        <v>8544700000</v>
      </c>
      <c r="BB516" s="124">
        <f t="shared" si="931"/>
        <v>1951.9485144485145</v>
      </c>
      <c r="BC516" s="124">
        <f t="shared" si="932"/>
        <v>1171.1691086691087</v>
      </c>
      <c r="BD516" s="124">
        <f t="shared" si="933"/>
        <v>975.97425722425726</v>
      </c>
      <c r="BE516" s="124">
        <f t="shared" si="934"/>
        <v>780.77940577940581</v>
      </c>
    </row>
    <row r="517" spans="1:57" s="129" customFormat="1" hidden="1">
      <c r="A517" s="88" t="s">
        <v>1302</v>
      </c>
      <c r="B517" s="88" t="s">
        <v>1317</v>
      </c>
      <c r="C517" s="88" t="s">
        <v>1317</v>
      </c>
      <c r="D517" s="88" t="s">
        <v>656</v>
      </c>
      <c r="E517" s="88" t="s">
        <v>684</v>
      </c>
      <c r="F517" s="89" t="s">
        <v>702</v>
      </c>
      <c r="G517" s="92" t="s">
        <v>685</v>
      </c>
      <c r="H517" s="320" t="s">
        <v>3399</v>
      </c>
      <c r="I517" s="167" t="s">
        <v>706</v>
      </c>
      <c r="J517" s="167" t="str">
        <f>_xlfn.XLOOKUP(I517,[1]Sheet1!$A:$A,[1]Sheet1!$B:$B,"")</f>
        <v>U0807013</v>
      </c>
      <c r="K517" s="88" t="s">
        <v>707</v>
      </c>
      <c r="L517" s="88" t="s">
        <v>708</v>
      </c>
      <c r="M517" s="92" t="s">
        <v>125</v>
      </c>
      <c r="N517" s="89" t="s">
        <v>60</v>
      </c>
      <c r="O517" s="165"/>
      <c r="P517" s="89" t="s">
        <v>197</v>
      </c>
      <c r="Q517" s="92" t="s">
        <v>690</v>
      </c>
      <c r="R517" s="92">
        <v>4</v>
      </c>
      <c r="S517" s="92" t="e">
        <v>#N/A</v>
      </c>
      <c r="T517" s="92">
        <v>8544700000</v>
      </c>
      <c r="U517" s="155">
        <v>0</v>
      </c>
      <c r="V517" s="207">
        <v>30</v>
      </c>
      <c r="W517" s="92">
        <v>45</v>
      </c>
      <c r="X517" s="92">
        <v>55</v>
      </c>
      <c r="Y517" s="92" t="s">
        <v>691</v>
      </c>
      <c r="Z517" s="133">
        <f t="shared" si="925"/>
        <v>808.40336134453787</v>
      </c>
      <c r="AA517" s="133"/>
      <c r="AB517" s="124">
        <f t="shared" si="884"/>
        <v>702.45181405895698</v>
      </c>
      <c r="AC517" s="124"/>
      <c r="AD517" s="213">
        <f t="shared" si="885"/>
        <v>0.1</v>
      </c>
      <c r="AE517" s="213">
        <v>0.1</v>
      </c>
      <c r="AF517" s="215">
        <v>0.3</v>
      </c>
      <c r="AG517" s="215" t="s">
        <v>9</v>
      </c>
      <c r="AH517" s="148">
        <f t="shared" si="880"/>
        <v>702.45181405895698</v>
      </c>
      <c r="AI517" s="122">
        <f t="shared" si="926"/>
        <v>0.30000000000000004</v>
      </c>
      <c r="AJ517" s="444"/>
      <c r="AK517" s="150">
        <f t="shared" si="927"/>
        <v>610.79365079365073</v>
      </c>
      <c r="AL517" s="148">
        <f t="shared" si="928"/>
        <v>546.35141093474419</v>
      </c>
      <c r="AM517" s="125">
        <f t="shared" si="923"/>
        <v>0.24444444444444458</v>
      </c>
      <c r="AN517" s="125">
        <f t="shared" si="924"/>
        <v>0.22222222222222243</v>
      </c>
      <c r="AO517" s="136">
        <f t="shared" si="929"/>
        <v>0.33999999999999997</v>
      </c>
      <c r="AP517" s="17" t="s">
        <v>692</v>
      </c>
      <c r="AQ517" s="141"/>
      <c r="AR517" s="141"/>
      <c r="AS517" s="141"/>
      <c r="AT517" s="141"/>
      <c r="AU517" s="141">
        <v>3848</v>
      </c>
      <c r="AV517" s="141">
        <f t="shared" si="881"/>
        <v>3848</v>
      </c>
      <c r="AW517" s="142">
        <f t="shared" si="930"/>
        <v>549.71428571428567</v>
      </c>
      <c r="AX517" s="126">
        <f t="shared" si="871"/>
        <v>491.71626984126982</v>
      </c>
      <c r="AY517" s="17"/>
      <c r="AZ517" s="128">
        <v>8544700000</v>
      </c>
      <c r="BB517" s="124">
        <f t="shared" si="931"/>
        <v>2341.50604686319</v>
      </c>
      <c r="BC517" s="124">
        <f t="shared" si="932"/>
        <v>1404.903628117914</v>
      </c>
      <c r="BD517" s="124">
        <f t="shared" si="933"/>
        <v>1170.753023431595</v>
      </c>
      <c r="BE517" s="124">
        <f t="shared" si="934"/>
        <v>936.60241874527605</v>
      </c>
    </row>
    <row r="518" spans="1:57" s="129" customFormat="1" hidden="1">
      <c r="A518" s="88" t="s">
        <v>1302</v>
      </c>
      <c r="B518" s="88" t="s">
        <v>1317</v>
      </c>
      <c r="C518" s="88" t="s">
        <v>1317</v>
      </c>
      <c r="D518" s="88" t="s">
        <v>656</v>
      </c>
      <c r="E518" s="88" t="s">
        <v>684</v>
      </c>
      <c r="F518" s="89" t="s">
        <v>702</v>
      </c>
      <c r="G518" s="92" t="s">
        <v>685</v>
      </c>
      <c r="H518" s="320" t="s">
        <v>3400</v>
      </c>
      <c r="I518" s="167" t="s">
        <v>709</v>
      </c>
      <c r="J518" s="167" t="str">
        <f>_xlfn.XLOOKUP(I518,[1]Sheet1!$A:$A,[1]Sheet1!$B:$B,"")</f>
        <v>U0807001</v>
      </c>
      <c r="K518" s="88" t="s">
        <v>710</v>
      </c>
      <c r="L518" s="88" t="s">
        <v>711</v>
      </c>
      <c r="M518" s="92" t="s">
        <v>125</v>
      </c>
      <c r="N518" s="89" t="s">
        <v>60</v>
      </c>
      <c r="O518" s="165"/>
      <c r="P518" s="89" t="s">
        <v>197</v>
      </c>
      <c r="Q518" s="92" t="s">
        <v>690</v>
      </c>
      <c r="R518" s="92">
        <v>4</v>
      </c>
      <c r="S518" s="92" t="e">
        <v>#N/A</v>
      </c>
      <c r="T518" s="92">
        <v>8544700000</v>
      </c>
      <c r="U518" s="155">
        <v>0</v>
      </c>
      <c r="V518" s="207">
        <v>30</v>
      </c>
      <c r="W518" s="92">
        <v>45</v>
      </c>
      <c r="X518" s="92">
        <v>55</v>
      </c>
      <c r="Y518" s="92" t="s">
        <v>691</v>
      </c>
      <c r="Z518" s="133">
        <f t="shared" si="925"/>
        <v>1068.0672268907565</v>
      </c>
      <c r="AA518" s="133"/>
      <c r="AB518" s="124">
        <f t="shared" si="884"/>
        <v>918.04574393860128</v>
      </c>
      <c r="AC518" s="124"/>
      <c r="AD518" s="213">
        <f t="shared" si="885"/>
        <v>0.1</v>
      </c>
      <c r="AE518" s="213">
        <v>0.1</v>
      </c>
      <c r="AF518" s="215">
        <v>0.3</v>
      </c>
      <c r="AG518" s="215" t="s">
        <v>9</v>
      </c>
      <c r="AH518" s="148">
        <f t="shared" si="880"/>
        <v>918.04574393860128</v>
      </c>
      <c r="AI518" s="122">
        <f t="shared" si="926"/>
        <v>0.30000000000000004</v>
      </c>
      <c r="AJ518" s="444"/>
      <c r="AK518" s="150">
        <f t="shared" si="927"/>
        <v>806.98412698412699</v>
      </c>
      <c r="AL518" s="148">
        <f t="shared" si="928"/>
        <v>714.03557861891204</v>
      </c>
      <c r="AM518" s="125">
        <f t="shared" si="923"/>
        <v>0.24444444444444458</v>
      </c>
      <c r="AN518" s="125">
        <f t="shared" si="924"/>
        <v>0.22222222222222232</v>
      </c>
      <c r="AO518" s="136">
        <f t="shared" si="929"/>
        <v>0.33999999999999997</v>
      </c>
      <c r="AP518" s="17" t="s">
        <v>692</v>
      </c>
      <c r="AQ518" s="141"/>
      <c r="AR518" s="141"/>
      <c r="AS518" s="141"/>
      <c r="AT518" s="141"/>
      <c r="AU518" s="141">
        <v>5084</v>
      </c>
      <c r="AV518" s="141">
        <f t="shared" si="881"/>
        <v>5084</v>
      </c>
      <c r="AW518" s="142">
        <f t="shared" si="930"/>
        <v>726.28571428571433</v>
      </c>
      <c r="AX518" s="126">
        <f t="shared" si="871"/>
        <v>642.63202075702088</v>
      </c>
      <c r="AY518" s="17"/>
      <c r="AZ518" s="128">
        <v>8544700000</v>
      </c>
      <c r="BB518" s="124">
        <f t="shared" si="931"/>
        <v>3060.1524797953375</v>
      </c>
      <c r="BC518" s="124">
        <f t="shared" si="932"/>
        <v>1836.0914878772026</v>
      </c>
      <c r="BD518" s="124">
        <f t="shared" si="933"/>
        <v>1530.0762398976688</v>
      </c>
      <c r="BE518" s="124">
        <f t="shared" si="934"/>
        <v>1224.060991918135</v>
      </c>
    </row>
    <row r="519" spans="1:57" s="129" customFormat="1" hidden="1">
      <c r="A519" s="88" t="s">
        <v>1302</v>
      </c>
      <c r="B519" s="88" t="s">
        <v>1317</v>
      </c>
      <c r="C519" s="88" t="s">
        <v>1317</v>
      </c>
      <c r="D519" s="88" t="s">
        <v>656</v>
      </c>
      <c r="E519" s="88" t="s">
        <v>684</v>
      </c>
      <c r="F519" s="89" t="s">
        <v>702</v>
      </c>
      <c r="G519" s="92" t="s">
        <v>685</v>
      </c>
      <c r="H519" s="320" t="s">
        <v>3401</v>
      </c>
      <c r="I519" s="167" t="s">
        <v>712</v>
      </c>
      <c r="J519" s="167" t="str">
        <f>_xlfn.XLOOKUP(I519,[1]Sheet1!$A:$A,[1]Sheet1!$B:$B,"")</f>
        <v>U0807005</v>
      </c>
      <c r="K519" s="88" t="s">
        <v>713</v>
      </c>
      <c r="L519" s="88" t="s">
        <v>714</v>
      </c>
      <c r="M519" s="92" t="s">
        <v>125</v>
      </c>
      <c r="N519" s="89" t="s">
        <v>60</v>
      </c>
      <c r="O519" s="165"/>
      <c r="P519" s="89" t="s">
        <v>715</v>
      </c>
      <c r="Q519" s="92" t="s">
        <v>716</v>
      </c>
      <c r="R519" s="92">
        <v>4</v>
      </c>
      <c r="S519" s="92" t="e">
        <v>#N/A</v>
      </c>
      <c r="T519" s="92">
        <v>8544700000</v>
      </c>
      <c r="U519" s="155">
        <v>0</v>
      </c>
      <c r="V519" s="207">
        <v>30</v>
      </c>
      <c r="W519" s="92">
        <v>45</v>
      </c>
      <c r="X519" s="92">
        <v>55</v>
      </c>
      <c r="Y519" s="92" t="s">
        <v>691</v>
      </c>
      <c r="Z519" s="133">
        <f t="shared" si="925"/>
        <v>2029.4117647058824</v>
      </c>
      <c r="AA519" s="133"/>
      <c r="AB519" s="124">
        <f t="shared" si="884"/>
        <v>1716.231684981685</v>
      </c>
      <c r="AC519" s="124"/>
      <c r="AD519" s="213">
        <f t="shared" si="885"/>
        <v>0.1</v>
      </c>
      <c r="AE519" s="213">
        <v>0.1</v>
      </c>
      <c r="AF519" s="215">
        <v>0.3</v>
      </c>
      <c r="AG519" s="215" t="s">
        <v>9</v>
      </c>
      <c r="AH519" s="148">
        <f t="shared" si="880"/>
        <v>1716.231684981685</v>
      </c>
      <c r="AI519" s="122">
        <f t="shared" si="926"/>
        <v>0.30000000000000004</v>
      </c>
      <c r="AJ519" s="444"/>
      <c r="AK519" s="150">
        <f t="shared" si="927"/>
        <v>1533.3333333333333</v>
      </c>
      <c r="AL519" s="148">
        <f t="shared" si="928"/>
        <v>1334.8468660968661</v>
      </c>
      <c r="AM519" s="125">
        <f t="shared" si="923"/>
        <v>0.24444444444444446</v>
      </c>
      <c r="AN519" s="125">
        <f t="shared" si="924"/>
        <v>0.22222222222222232</v>
      </c>
      <c r="AO519" s="136">
        <f t="shared" si="929"/>
        <v>0.33999999999999997</v>
      </c>
      <c r="AP519" s="17" t="s">
        <v>692</v>
      </c>
      <c r="AQ519" s="141"/>
      <c r="AR519" s="141"/>
      <c r="AS519" s="141"/>
      <c r="AT519" s="141"/>
      <c r="AU519" s="141">
        <v>9660</v>
      </c>
      <c r="AV519" s="141">
        <f t="shared" si="881"/>
        <v>9660</v>
      </c>
      <c r="AW519" s="142">
        <f t="shared" si="930"/>
        <v>1380</v>
      </c>
      <c r="AX519" s="126">
        <f t="shared" si="871"/>
        <v>1201.3621794871794</v>
      </c>
      <c r="AY519" s="17"/>
      <c r="AZ519" s="128">
        <v>8544700000</v>
      </c>
      <c r="BB519" s="124">
        <f t="shared" si="931"/>
        <v>5720.7722832722839</v>
      </c>
      <c r="BC519" s="124">
        <f t="shared" si="932"/>
        <v>3432.46336996337</v>
      </c>
      <c r="BD519" s="124">
        <f t="shared" si="933"/>
        <v>2860.3861416361419</v>
      </c>
      <c r="BE519" s="124">
        <f t="shared" si="934"/>
        <v>2288.3089133089138</v>
      </c>
    </row>
    <row r="520" spans="1:57" s="129" customFormat="1" hidden="1">
      <c r="A520" s="88" t="s">
        <v>1302</v>
      </c>
      <c r="B520" s="88" t="s">
        <v>1317</v>
      </c>
      <c r="C520" s="88" t="s">
        <v>1317</v>
      </c>
      <c r="D520" s="88" t="s">
        <v>656</v>
      </c>
      <c r="E520" s="88" t="s">
        <v>684</v>
      </c>
      <c r="F520" s="89" t="s">
        <v>717</v>
      </c>
      <c r="G520" s="92" t="s">
        <v>685</v>
      </c>
      <c r="H520" s="320" t="s">
        <v>3398</v>
      </c>
      <c r="I520" s="167" t="s">
        <v>718</v>
      </c>
      <c r="J520" s="167" t="str">
        <f>_xlfn.XLOOKUP(I520,[1]Sheet1!$A:$A,[1]Sheet1!$B:$B,"")</f>
        <v>U0802005</v>
      </c>
      <c r="K520" s="88" t="s">
        <v>719</v>
      </c>
      <c r="L520" s="88" t="s">
        <v>720</v>
      </c>
      <c r="M520" s="92" t="s">
        <v>108</v>
      </c>
      <c r="N520" s="89" t="s">
        <v>60</v>
      </c>
      <c r="O520" s="165"/>
      <c r="P520" s="89" t="s">
        <v>197</v>
      </c>
      <c r="Q520" s="92" t="s">
        <v>690</v>
      </c>
      <c r="R520" s="92">
        <v>4</v>
      </c>
      <c r="S520" s="92" t="e">
        <v>#N/A</v>
      </c>
      <c r="T520" s="92">
        <v>8544700000</v>
      </c>
      <c r="U520" s="155">
        <v>0</v>
      </c>
      <c r="V520" s="207">
        <v>30</v>
      </c>
      <c r="W520" s="92">
        <v>45</v>
      </c>
      <c r="X520" s="92">
        <v>55</v>
      </c>
      <c r="Y520" s="92" t="s">
        <v>691</v>
      </c>
      <c r="Z520" s="133">
        <f t="shared" si="925"/>
        <v>531.63265306122457</v>
      </c>
      <c r="AA520" s="133"/>
      <c r="AB520" s="124">
        <f t="shared" si="884"/>
        <v>472.14696954280294</v>
      </c>
      <c r="AC520" s="124"/>
      <c r="AD520" s="213">
        <f t="shared" si="885"/>
        <v>0.1</v>
      </c>
      <c r="AE520" s="213">
        <v>0.1</v>
      </c>
      <c r="AF520" s="215">
        <v>0.28000000000000003</v>
      </c>
      <c r="AG520" s="215" t="s">
        <v>9</v>
      </c>
      <c r="AH520" s="148">
        <f t="shared" si="880"/>
        <v>472.14696954280294</v>
      </c>
      <c r="AI520" s="122">
        <f t="shared" si="926"/>
        <v>0.28000000000000003</v>
      </c>
      <c r="AJ520" s="444"/>
      <c r="AK520" s="150">
        <f t="shared" si="927"/>
        <v>413.49206349206349</v>
      </c>
      <c r="AL520" s="148">
        <f t="shared" si="928"/>
        <v>377.71757563424234</v>
      </c>
      <c r="AM520" s="125">
        <f t="shared" si="923"/>
        <v>0.22222222222222232</v>
      </c>
      <c r="AN520" s="125">
        <f t="shared" si="924"/>
        <v>0.20000000000000007</v>
      </c>
      <c r="AO520" s="136">
        <f t="shared" si="929"/>
        <v>0.32</v>
      </c>
      <c r="AP520" s="17" t="s">
        <v>692</v>
      </c>
      <c r="AQ520" s="141"/>
      <c r="AR520" s="141"/>
      <c r="AS520" s="141"/>
      <c r="AT520" s="141"/>
      <c r="AU520" s="141">
        <v>2605</v>
      </c>
      <c r="AV520" s="141">
        <f t="shared" si="881"/>
        <v>2605</v>
      </c>
      <c r="AW520" s="142">
        <f t="shared" si="930"/>
        <v>372.14285714285717</v>
      </c>
      <c r="AX520" s="126">
        <f t="shared" si="871"/>
        <v>339.94581807081812</v>
      </c>
      <c r="AY520" s="17"/>
      <c r="AZ520" s="128">
        <v>8544700000</v>
      </c>
      <c r="BB520" s="124">
        <f t="shared" si="931"/>
        <v>1573.8232318093433</v>
      </c>
      <c r="BC520" s="124">
        <f t="shared" si="932"/>
        <v>944.29393908560587</v>
      </c>
      <c r="BD520" s="124">
        <f t="shared" si="933"/>
        <v>786.91161590467163</v>
      </c>
      <c r="BE520" s="124">
        <f t="shared" si="934"/>
        <v>629.5292927237374</v>
      </c>
    </row>
    <row r="521" spans="1:57" s="129" customFormat="1" hidden="1">
      <c r="A521" s="88" t="s">
        <v>1302</v>
      </c>
      <c r="B521" s="88" t="s">
        <v>1317</v>
      </c>
      <c r="C521" s="88" t="s">
        <v>1317</v>
      </c>
      <c r="D521" s="88" t="s">
        <v>656</v>
      </c>
      <c r="E521" s="88" t="s">
        <v>684</v>
      </c>
      <c r="F521" s="89" t="s">
        <v>717</v>
      </c>
      <c r="G521" s="92" t="s">
        <v>685</v>
      </c>
      <c r="H521" s="320" t="s">
        <v>3399</v>
      </c>
      <c r="I521" s="167" t="s">
        <v>721</v>
      </c>
      <c r="J521" s="167" t="str">
        <f>_xlfn.XLOOKUP(I521,[1]Sheet1!$A:$A,[1]Sheet1!$B:$B,"")</f>
        <v>U0802007</v>
      </c>
      <c r="K521" s="88" t="s">
        <v>722</v>
      </c>
      <c r="L521" s="88" t="s">
        <v>723</v>
      </c>
      <c r="M521" s="92" t="s">
        <v>108</v>
      </c>
      <c r="N521" s="89" t="s">
        <v>60</v>
      </c>
      <c r="O521" s="165"/>
      <c r="P521" s="89" t="s">
        <v>197</v>
      </c>
      <c r="Q521" s="92" t="s">
        <v>690</v>
      </c>
      <c r="R521" s="92">
        <v>4</v>
      </c>
      <c r="S521" s="92" t="e">
        <v>#N/A</v>
      </c>
      <c r="T521" s="92">
        <v>8544700000</v>
      </c>
      <c r="U521" s="155">
        <v>0</v>
      </c>
      <c r="V521" s="207">
        <v>30</v>
      </c>
      <c r="W521" s="92">
        <v>45</v>
      </c>
      <c r="X521" s="92">
        <v>55</v>
      </c>
      <c r="Y521" s="92" t="s">
        <v>691</v>
      </c>
      <c r="Z521" s="133">
        <f t="shared" si="925"/>
        <v>648.57142857142867</v>
      </c>
      <c r="AA521" s="133"/>
      <c r="AB521" s="124">
        <f t="shared" si="884"/>
        <v>569.31831671415011</v>
      </c>
      <c r="AC521" s="124"/>
      <c r="AD521" s="213">
        <f t="shared" si="885"/>
        <v>0.1</v>
      </c>
      <c r="AE521" s="213">
        <v>0.1</v>
      </c>
      <c r="AF521" s="215">
        <v>0.28000000000000003</v>
      </c>
      <c r="AG521" s="215" t="s">
        <v>9</v>
      </c>
      <c r="AH521" s="148">
        <f t="shared" si="880"/>
        <v>569.31831671415011</v>
      </c>
      <c r="AI521" s="122">
        <f t="shared" si="926"/>
        <v>0.28000000000000003</v>
      </c>
      <c r="AJ521" s="444"/>
      <c r="AK521" s="150">
        <f t="shared" si="927"/>
        <v>504.44444444444446</v>
      </c>
      <c r="AL521" s="148">
        <f t="shared" si="928"/>
        <v>455.45465337132003</v>
      </c>
      <c r="AM521" s="125">
        <f t="shared" si="923"/>
        <v>0.22222222222222232</v>
      </c>
      <c r="AN521" s="125">
        <f t="shared" si="924"/>
        <v>0.20000000000000007</v>
      </c>
      <c r="AO521" s="136">
        <f t="shared" si="929"/>
        <v>0.32</v>
      </c>
      <c r="AP521" s="17" t="s">
        <v>692</v>
      </c>
      <c r="AQ521" s="141"/>
      <c r="AR521" s="141"/>
      <c r="AS521" s="141"/>
      <c r="AT521" s="141"/>
      <c r="AU521" s="141">
        <v>3178</v>
      </c>
      <c r="AV521" s="141">
        <f t="shared" si="881"/>
        <v>3178</v>
      </c>
      <c r="AW521" s="142">
        <f t="shared" si="930"/>
        <v>454</v>
      </c>
      <c r="AX521" s="126">
        <f t="shared" si="871"/>
        <v>409.90918803418805</v>
      </c>
      <c r="AY521" s="17"/>
      <c r="AZ521" s="128">
        <v>8544700000</v>
      </c>
      <c r="BB521" s="124">
        <f t="shared" si="931"/>
        <v>1897.7277223805004</v>
      </c>
      <c r="BC521" s="124">
        <f t="shared" si="932"/>
        <v>1138.6366334283002</v>
      </c>
      <c r="BD521" s="124">
        <f t="shared" si="933"/>
        <v>948.86386119025019</v>
      </c>
      <c r="BE521" s="124">
        <f t="shared" si="934"/>
        <v>759.09108895220015</v>
      </c>
    </row>
    <row r="522" spans="1:57" s="129" customFormat="1" hidden="1">
      <c r="A522" s="88" t="s">
        <v>1302</v>
      </c>
      <c r="B522" s="88" t="s">
        <v>1317</v>
      </c>
      <c r="C522" s="88" t="s">
        <v>1317</v>
      </c>
      <c r="D522" s="88" t="s">
        <v>656</v>
      </c>
      <c r="E522" s="88" t="s">
        <v>684</v>
      </c>
      <c r="F522" s="89" t="s">
        <v>717</v>
      </c>
      <c r="G522" s="92" t="s">
        <v>685</v>
      </c>
      <c r="H522" s="320" t="s">
        <v>3400</v>
      </c>
      <c r="I522" s="167" t="s">
        <v>724</v>
      </c>
      <c r="J522" s="167" t="str">
        <f>_xlfn.XLOOKUP(I522,[1]Sheet1!$A:$A,[1]Sheet1!$B:$B,"")</f>
        <v>U0802001</v>
      </c>
      <c r="K522" s="88" t="s">
        <v>725</v>
      </c>
      <c r="L522" s="88" t="s">
        <v>726</v>
      </c>
      <c r="M522" s="92" t="s">
        <v>108</v>
      </c>
      <c r="N522" s="89" t="s">
        <v>60</v>
      </c>
      <c r="O522" s="165"/>
      <c r="P522" s="89" t="s">
        <v>197</v>
      </c>
      <c r="Q522" s="92" t="s">
        <v>690</v>
      </c>
      <c r="R522" s="92">
        <v>4</v>
      </c>
      <c r="S522" s="92" t="e">
        <v>#N/A</v>
      </c>
      <c r="T522" s="92">
        <v>8544700000</v>
      </c>
      <c r="U522" s="155">
        <v>0</v>
      </c>
      <c r="V522" s="207">
        <v>30</v>
      </c>
      <c r="W522" s="92">
        <v>45</v>
      </c>
      <c r="X522" s="92">
        <v>55</v>
      </c>
      <c r="Y522" s="92" t="s">
        <v>691</v>
      </c>
      <c r="Z522" s="133">
        <f t="shared" si="925"/>
        <v>852.85714285714289</v>
      </c>
      <c r="AA522" s="133"/>
      <c r="AB522" s="124">
        <f t="shared" si="884"/>
        <v>739.07140313390323</v>
      </c>
      <c r="AC522" s="124"/>
      <c r="AD522" s="213">
        <f t="shared" si="885"/>
        <v>0.1</v>
      </c>
      <c r="AE522" s="213">
        <v>0.1</v>
      </c>
      <c r="AF522" s="215">
        <v>0.28000000000000003</v>
      </c>
      <c r="AG522" s="215" t="s">
        <v>9</v>
      </c>
      <c r="AH522" s="148">
        <f t="shared" si="880"/>
        <v>739.07140313390323</v>
      </c>
      <c r="AI522" s="122">
        <f t="shared" si="926"/>
        <v>0.28000000000000003</v>
      </c>
      <c r="AJ522" s="444"/>
      <c r="AK522" s="150">
        <f t="shared" si="928"/>
        <v>663.33333333333337</v>
      </c>
      <c r="AL522" s="148">
        <f t="shared" si="928"/>
        <v>591.25712250712252</v>
      </c>
      <c r="AM522" s="125">
        <f t="shared" si="923"/>
        <v>0.22222222222222221</v>
      </c>
      <c r="AN522" s="125">
        <f t="shared" si="924"/>
        <v>0.20000000000000007</v>
      </c>
      <c r="AO522" s="136">
        <f t="shared" si="929"/>
        <v>0.32</v>
      </c>
      <c r="AP522" s="17" t="s">
        <v>692</v>
      </c>
      <c r="AQ522" s="141"/>
      <c r="AR522" s="141"/>
      <c r="AS522" s="141"/>
      <c r="AT522" s="141"/>
      <c r="AU522" s="141">
        <v>4179</v>
      </c>
      <c r="AV522" s="141">
        <f t="shared" si="881"/>
        <v>4179</v>
      </c>
      <c r="AW522" s="142">
        <f t="shared" si="930"/>
        <v>597</v>
      </c>
      <c r="AX522" s="126">
        <f t="shared" ref="AX522:AX579" si="935">(AW522/$F$6)+(($F$9+$G$9)/40/R522)+AW522*U522</f>
        <v>532.13141025641028</v>
      </c>
      <c r="AY522" s="17"/>
      <c r="AZ522" s="128">
        <v>8544700000</v>
      </c>
      <c r="BB522" s="124">
        <f t="shared" si="931"/>
        <v>2463.5713437796776</v>
      </c>
      <c r="BC522" s="124">
        <f t="shared" si="932"/>
        <v>1478.1428062678065</v>
      </c>
      <c r="BD522" s="124">
        <f t="shared" si="933"/>
        <v>1231.7856718898388</v>
      </c>
      <c r="BE522" s="124">
        <f t="shared" si="934"/>
        <v>985.42853751187113</v>
      </c>
    </row>
    <row r="523" spans="1:57" s="129" customFormat="1" hidden="1">
      <c r="A523" s="88" t="s">
        <v>1302</v>
      </c>
      <c r="B523" s="88" t="s">
        <v>1317</v>
      </c>
      <c r="C523" s="88" t="s">
        <v>1317</v>
      </c>
      <c r="D523" s="88" t="s">
        <v>656</v>
      </c>
      <c r="E523" s="88" t="s">
        <v>684</v>
      </c>
      <c r="F523" s="89" t="s">
        <v>717</v>
      </c>
      <c r="G523" s="92" t="s">
        <v>685</v>
      </c>
      <c r="H523" s="320" t="s">
        <v>3401</v>
      </c>
      <c r="I523" s="167" t="s">
        <v>727</v>
      </c>
      <c r="J523" s="167" t="str">
        <f>_xlfn.XLOOKUP(I523,[1]Sheet1!$A:$A,[1]Sheet1!$B:$B,"")</f>
        <v>U0802003</v>
      </c>
      <c r="K523" s="88" t="s">
        <v>728</v>
      </c>
      <c r="L523" s="88" t="s">
        <v>729</v>
      </c>
      <c r="M523" s="92" t="s">
        <v>108</v>
      </c>
      <c r="N523" s="89" t="s">
        <v>60</v>
      </c>
      <c r="O523" s="165"/>
      <c r="P523" s="89" t="s">
        <v>197</v>
      </c>
      <c r="Q523" s="92" t="s">
        <v>690</v>
      </c>
      <c r="R523" s="92">
        <v>4</v>
      </c>
      <c r="S523" s="92" t="e">
        <v>#N/A</v>
      </c>
      <c r="T523" s="92">
        <v>8544700000</v>
      </c>
      <c r="U523" s="155">
        <v>0</v>
      </c>
      <c r="V523" s="207">
        <v>30</v>
      </c>
      <c r="W523" s="92">
        <v>45</v>
      </c>
      <c r="X523" s="92">
        <v>55</v>
      </c>
      <c r="Y523" s="92" t="s">
        <v>691</v>
      </c>
      <c r="Z523" s="133">
        <f t="shared" si="925"/>
        <v>1534.4897959183675</v>
      </c>
      <c r="AA523" s="133"/>
      <c r="AB523" s="124">
        <f t="shared" si="884"/>
        <v>1305.4803028761362</v>
      </c>
      <c r="AC523" s="124"/>
      <c r="AD523" s="213">
        <f t="shared" si="885"/>
        <v>0.1</v>
      </c>
      <c r="AE523" s="213">
        <v>0.1</v>
      </c>
      <c r="AF523" s="215">
        <v>0.28000000000000003</v>
      </c>
      <c r="AG523" s="215" t="s">
        <v>9</v>
      </c>
      <c r="AH523" s="148">
        <f t="shared" si="880"/>
        <v>1305.4803028761362</v>
      </c>
      <c r="AI523" s="122">
        <f t="shared" si="926"/>
        <v>0.28000000000000003</v>
      </c>
      <c r="AJ523" s="444"/>
      <c r="AK523" s="150">
        <f t="shared" si="928"/>
        <v>1193.4920634920634</v>
      </c>
      <c r="AL523" s="148">
        <f t="shared" si="928"/>
        <v>1044.3842423009089</v>
      </c>
      <c r="AM523" s="125">
        <f t="shared" si="923"/>
        <v>0.22222222222222232</v>
      </c>
      <c r="AN523" s="125">
        <f t="shared" si="924"/>
        <v>0.20000000000000007</v>
      </c>
      <c r="AO523" s="136">
        <f t="shared" si="929"/>
        <v>0.32</v>
      </c>
      <c r="AP523" s="17" t="s">
        <v>692</v>
      </c>
      <c r="AQ523" s="141"/>
      <c r="AR523" s="141"/>
      <c r="AS523" s="141"/>
      <c r="AT523" s="141"/>
      <c r="AU523" s="141">
        <v>7519</v>
      </c>
      <c r="AV523" s="141">
        <f t="shared" si="881"/>
        <v>7519</v>
      </c>
      <c r="AW523" s="142">
        <f t="shared" si="930"/>
        <v>1074.1428571428571</v>
      </c>
      <c r="AX523" s="126">
        <f t="shared" si="935"/>
        <v>939.94581807081806</v>
      </c>
      <c r="AY523" s="17"/>
      <c r="AZ523" s="128">
        <v>8544700000</v>
      </c>
      <c r="BB523" s="124">
        <f t="shared" si="931"/>
        <v>4351.6010095871206</v>
      </c>
      <c r="BC523" s="124">
        <f t="shared" si="932"/>
        <v>2610.9606057522724</v>
      </c>
      <c r="BD523" s="124">
        <f t="shared" si="933"/>
        <v>2175.8005047935603</v>
      </c>
      <c r="BE523" s="124">
        <f t="shared" si="934"/>
        <v>1740.6404038348483</v>
      </c>
    </row>
    <row r="524" spans="1:57" s="129" customFormat="1" hidden="1">
      <c r="A524" s="88" t="s">
        <v>1302</v>
      </c>
      <c r="B524" s="88" t="s">
        <v>1317</v>
      </c>
      <c r="C524" s="88" t="s">
        <v>1317</v>
      </c>
      <c r="D524" s="88" t="s">
        <v>656</v>
      </c>
      <c r="E524" s="88" t="s">
        <v>684</v>
      </c>
      <c r="F524" s="89" t="s">
        <v>730</v>
      </c>
      <c r="G524" s="92" t="s">
        <v>685</v>
      </c>
      <c r="H524" s="320" t="s">
        <v>3398</v>
      </c>
      <c r="I524" s="167" t="s">
        <v>731</v>
      </c>
      <c r="J524" s="167" t="str">
        <f>_xlfn.XLOOKUP(I524,[1]Sheet1!$A:$A,[1]Sheet1!$B:$B,"")</f>
        <v>U0801005</v>
      </c>
      <c r="K524" s="88" t="s">
        <v>732</v>
      </c>
      <c r="L524" s="88" t="s">
        <v>733</v>
      </c>
      <c r="M524" s="92" t="s">
        <v>108</v>
      </c>
      <c r="N524" s="89" t="s">
        <v>60</v>
      </c>
      <c r="O524" s="165"/>
      <c r="P524" s="89" t="s">
        <v>197</v>
      </c>
      <c r="Q524" s="92" t="s">
        <v>690</v>
      </c>
      <c r="R524" s="92">
        <v>4</v>
      </c>
      <c r="S524" s="92" t="e">
        <v>#N/A</v>
      </c>
      <c r="T524" s="92">
        <v>8544700000</v>
      </c>
      <c r="U524" s="155">
        <v>0</v>
      </c>
      <c r="V524" s="207">
        <v>30</v>
      </c>
      <c r="W524" s="92">
        <v>45</v>
      </c>
      <c r="X524" s="92">
        <v>55</v>
      </c>
      <c r="Y524" s="92" t="s">
        <v>691</v>
      </c>
      <c r="Z524" s="133">
        <f t="shared" si="925"/>
        <v>654.08163265306121</v>
      </c>
      <c r="AA524" s="133"/>
      <c r="AB524" s="124">
        <f t="shared" si="884"/>
        <v>573.89707129290468</v>
      </c>
      <c r="AC524" s="124"/>
      <c r="AD524" s="213">
        <f t="shared" si="885"/>
        <v>0.1</v>
      </c>
      <c r="AE524" s="213">
        <v>0.1</v>
      </c>
      <c r="AF524" s="215">
        <v>0.28000000000000003</v>
      </c>
      <c r="AG524" s="215" t="s">
        <v>9</v>
      </c>
      <c r="AH524" s="148">
        <f t="shared" si="880"/>
        <v>573.89707129290468</v>
      </c>
      <c r="AI524" s="122">
        <f t="shared" si="926"/>
        <v>0.28000000000000003</v>
      </c>
      <c r="AJ524" s="444"/>
      <c r="AK524" s="150">
        <f t="shared" si="928"/>
        <v>508.73015873015868</v>
      </c>
      <c r="AL524" s="148">
        <f t="shared" si="928"/>
        <v>459.11765703432371</v>
      </c>
      <c r="AM524" s="125">
        <f t="shared" si="923"/>
        <v>0.22222222222222232</v>
      </c>
      <c r="AN524" s="125">
        <f t="shared" si="924"/>
        <v>0.20000000000000007</v>
      </c>
      <c r="AO524" s="136">
        <f t="shared" si="929"/>
        <v>0.32</v>
      </c>
      <c r="AP524" s="17" t="s">
        <v>692</v>
      </c>
      <c r="AQ524" s="141"/>
      <c r="AR524" s="141"/>
      <c r="AS524" s="141"/>
      <c r="AT524" s="141"/>
      <c r="AU524" s="141">
        <v>3205</v>
      </c>
      <c r="AV524" s="141">
        <f t="shared" si="881"/>
        <v>3205</v>
      </c>
      <c r="AW524" s="142">
        <f t="shared" si="930"/>
        <v>457.85714285714283</v>
      </c>
      <c r="AX524" s="126">
        <f t="shared" si="935"/>
        <v>413.20589133089135</v>
      </c>
      <c r="AY524" s="17"/>
      <c r="AZ524" s="128">
        <v>8544700000</v>
      </c>
      <c r="BB524" s="124">
        <f t="shared" si="931"/>
        <v>1912.9902376430157</v>
      </c>
      <c r="BC524" s="124">
        <f t="shared" si="932"/>
        <v>1147.7941425858094</v>
      </c>
      <c r="BD524" s="124">
        <f t="shared" si="933"/>
        <v>956.49511882150784</v>
      </c>
      <c r="BE524" s="124">
        <f t="shared" si="934"/>
        <v>765.19609505720632</v>
      </c>
    </row>
    <row r="525" spans="1:57" s="129" customFormat="1" hidden="1">
      <c r="A525" s="88" t="s">
        <v>1302</v>
      </c>
      <c r="B525" s="88" t="s">
        <v>1317</v>
      </c>
      <c r="C525" s="88" t="s">
        <v>1317</v>
      </c>
      <c r="D525" s="88" t="s">
        <v>656</v>
      </c>
      <c r="E525" s="88" t="s">
        <v>684</v>
      </c>
      <c r="F525" s="89" t="s">
        <v>730</v>
      </c>
      <c r="G525" s="92" t="s">
        <v>685</v>
      </c>
      <c r="H525" s="320" t="s">
        <v>3399</v>
      </c>
      <c r="I525" s="167" t="s">
        <v>734</v>
      </c>
      <c r="J525" s="167" t="str">
        <f>_xlfn.XLOOKUP(I525,[1]Sheet1!$A:$A,[1]Sheet1!$B:$B,"")</f>
        <v>U0801007</v>
      </c>
      <c r="K525" s="88" t="s">
        <v>735</v>
      </c>
      <c r="L525" s="88" t="s">
        <v>736</v>
      </c>
      <c r="M525" s="92" t="s">
        <v>108</v>
      </c>
      <c r="N525" s="89" t="s">
        <v>60</v>
      </c>
      <c r="O525" s="165"/>
      <c r="P525" s="89" t="s">
        <v>197</v>
      </c>
      <c r="Q525" s="92" t="s">
        <v>690</v>
      </c>
      <c r="R525" s="92">
        <v>4</v>
      </c>
      <c r="S525" s="92" t="e">
        <v>#N/A</v>
      </c>
      <c r="T525" s="92">
        <v>8544700000</v>
      </c>
      <c r="U525" s="155">
        <v>0</v>
      </c>
      <c r="V525" s="207">
        <v>30</v>
      </c>
      <c r="W525" s="92">
        <v>45</v>
      </c>
      <c r="X525" s="92">
        <v>55</v>
      </c>
      <c r="Y525" s="92" t="s">
        <v>691</v>
      </c>
      <c r="Z525" s="133">
        <f t="shared" si="925"/>
        <v>774.08163265306132</v>
      </c>
      <c r="AA525" s="133"/>
      <c r="AB525" s="124">
        <f t="shared" si="884"/>
        <v>673.61217100800445</v>
      </c>
      <c r="AC525" s="124"/>
      <c r="AD525" s="213">
        <f t="shared" si="885"/>
        <v>0.1</v>
      </c>
      <c r="AE525" s="213">
        <v>0.1</v>
      </c>
      <c r="AF525" s="215">
        <v>0.28000000000000003</v>
      </c>
      <c r="AG525" s="215" t="s">
        <v>9</v>
      </c>
      <c r="AH525" s="148">
        <f t="shared" si="880"/>
        <v>673.61217100800445</v>
      </c>
      <c r="AI525" s="122">
        <f t="shared" si="926"/>
        <v>0.28000000000000003</v>
      </c>
      <c r="AJ525" s="444"/>
      <c r="AK525" s="150">
        <f t="shared" si="928"/>
        <v>602.06349206349205</v>
      </c>
      <c r="AL525" s="148">
        <f t="shared" si="928"/>
        <v>538.88973680640356</v>
      </c>
      <c r="AM525" s="125">
        <f t="shared" si="923"/>
        <v>0.22222222222222232</v>
      </c>
      <c r="AN525" s="125">
        <f t="shared" si="924"/>
        <v>0.19999999999999996</v>
      </c>
      <c r="AO525" s="136">
        <f t="shared" si="929"/>
        <v>0.32</v>
      </c>
      <c r="AP525" s="17" t="s">
        <v>692</v>
      </c>
      <c r="AQ525" s="141"/>
      <c r="AR525" s="141"/>
      <c r="AS525" s="141"/>
      <c r="AT525" s="141"/>
      <c r="AU525" s="141">
        <v>3793</v>
      </c>
      <c r="AV525" s="141">
        <f t="shared" si="881"/>
        <v>3793</v>
      </c>
      <c r="AW525" s="142">
        <f t="shared" si="930"/>
        <v>541.85714285714289</v>
      </c>
      <c r="AX525" s="126">
        <f t="shared" si="935"/>
        <v>485.00076312576317</v>
      </c>
      <c r="AY525" s="17"/>
      <c r="AZ525" s="128">
        <v>8544700000</v>
      </c>
      <c r="BB525" s="124">
        <f t="shared" si="931"/>
        <v>2245.373903360015</v>
      </c>
      <c r="BC525" s="124">
        <f t="shared" si="932"/>
        <v>1347.2243420160089</v>
      </c>
      <c r="BD525" s="124">
        <f t="shared" si="933"/>
        <v>1122.6869516800075</v>
      </c>
      <c r="BE525" s="124">
        <f t="shared" si="934"/>
        <v>898.14956134400609</v>
      </c>
    </row>
    <row r="526" spans="1:57" s="129" customFormat="1" hidden="1">
      <c r="A526" s="88" t="s">
        <v>1302</v>
      </c>
      <c r="B526" s="88" t="s">
        <v>1317</v>
      </c>
      <c r="C526" s="88" t="s">
        <v>1317</v>
      </c>
      <c r="D526" s="88" t="s">
        <v>656</v>
      </c>
      <c r="E526" s="88" t="s">
        <v>684</v>
      </c>
      <c r="F526" s="89" t="s">
        <v>730</v>
      </c>
      <c r="G526" s="92" t="s">
        <v>685</v>
      </c>
      <c r="H526" s="320" t="s">
        <v>3400</v>
      </c>
      <c r="I526" s="167" t="s">
        <v>737</v>
      </c>
      <c r="J526" s="167" t="str">
        <f>_xlfn.XLOOKUP(I526,[1]Sheet1!$A:$A,[1]Sheet1!$B:$B,"")</f>
        <v>U0801001</v>
      </c>
      <c r="K526" s="88" t="s">
        <v>738</v>
      </c>
      <c r="L526" s="88" t="s">
        <v>739</v>
      </c>
      <c r="M526" s="92" t="s">
        <v>108</v>
      </c>
      <c r="N526" s="89" t="s">
        <v>60</v>
      </c>
      <c r="O526" s="165"/>
      <c r="P526" s="89" t="s">
        <v>197</v>
      </c>
      <c r="Q526" s="92" t="s">
        <v>690</v>
      </c>
      <c r="R526" s="92">
        <v>4</v>
      </c>
      <c r="S526" s="92" t="e">
        <v>#N/A</v>
      </c>
      <c r="T526" s="92">
        <v>8544700000</v>
      </c>
      <c r="U526" s="155">
        <v>0</v>
      </c>
      <c r="V526" s="207">
        <v>30</v>
      </c>
      <c r="W526" s="92">
        <v>45</v>
      </c>
      <c r="X526" s="92">
        <v>55</v>
      </c>
      <c r="Y526" s="92" t="s">
        <v>691</v>
      </c>
      <c r="Z526" s="133">
        <f t="shared" si="925"/>
        <v>1022.4489795918367</v>
      </c>
      <c r="AA526" s="133"/>
      <c r="AB526" s="124">
        <f t="shared" si="884"/>
        <v>879.99529405779401</v>
      </c>
      <c r="AC526" s="124"/>
      <c r="AD526" s="213">
        <f t="shared" si="885"/>
        <v>0.1</v>
      </c>
      <c r="AE526" s="213">
        <v>0.1</v>
      </c>
      <c r="AF526" s="215">
        <v>0.28000000000000003</v>
      </c>
      <c r="AG526" s="215" t="s">
        <v>9</v>
      </c>
      <c r="AH526" s="148">
        <f t="shared" si="880"/>
        <v>879.99529405779401</v>
      </c>
      <c r="AI526" s="122">
        <f t="shared" si="926"/>
        <v>0.28000000000000003</v>
      </c>
      <c r="AJ526" s="444"/>
      <c r="AK526" s="150">
        <f t="shared" si="928"/>
        <v>795.23809523809518</v>
      </c>
      <c r="AL526" s="148">
        <f t="shared" si="928"/>
        <v>703.99623524623519</v>
      </c>
      <c r="AM526" s="125">
        <f t="shared" si="923"/>
        <v>0.22222222222222232</v>
      </c>
      <c r="AN526" s="125">
        <f t="shared" si="924"/>
        <v>0.20000000000000007</v>
      </c>
      <c r="AO526" s="136">
        <f t="shared" si="929"/>
        <v>0.32</v>
      </c>
      <c r="AP526" s="17" t="s">
        <v>692</v>
      </c>
      <c r="AQ526" s="141"/>
      <c r="AR526" s="141"/>
      <c r="AS526" s="141"/>
      <c r="AT526" s="141"/>
      <c r="AU526" s="141">
        <v>5010</v>
      </c>
      <c r="AV526" s="141">
        <f t="shared" si="881"/>
        <v>5010</v>
      </c>
      <c r="AW526" s="142">
        <f t="shared" si="930"/>
        <v>715.71428571428567</v>
      </c>
      <c r="AX526" s="126">
        <f t="shared" si="935"/>
        <v>633.59661172161168</v>
      </c>
      <c r="AY526" s="17"/>
      <c r="AZ526" s="128">
        <v>8544700000</v>
      </c>
      <c r="BB526" s="124">
        <f t="shared" si="931"/>
        <v>2933.3176468593133</v>
      </c>
      <c r="BC526" s="124">
        <f t="shared" si="932"/>
        <v>1759.990588115588</v>
      </c>
      <c r="BD526" s="124">
        <f t="shared" si="933"/>
        <v>1466.6588234296566</v>
      </c>
      <c r="BE526" s="124">
        <f t="shared" si="934"/>
        <v>1173.3270587437253</v>
      </c>
    </row>
    <row r="527" spans="1:57" s="129" customFormat="1" hidden="1">
      <c r="A527" s="88" t="s">
        <v>1302</v>
      </c>
      <c r="B527" s="88" t="s">
        <v>1317</v>
      </c>
      <c r="C527" s="88" t="s">
        <v>1317</v>
      </c>
      <c r="D527" s="88" t="s">
        <v>656</v>
      </c>
      <c r="E527" s="88" t="s">
        <v>684</v>
      </c>
      <c r="F527" s="89" t="s">
        <v>730</v>
      </c>
      <c r="G527" s="92" t="s">
        <v>685</v>
      </c>
      <c r="H527" s="320" t="s">
        <v>3401</v>
      </c>
      <c r="I527" s="167" t="s">
        <v>740</v>
      </c>
      <c r="J527" s="167" t="str">
        <f>_xlfn.XLOOKUP(I527,[1]Sheet1!$A:$A,[1]Sheet1!$B:$B,"")</f>
        <v>U0801003</v>
      </c>
      <c r="K527" s="88" t="s">
        <v>741</v>
      </c>
      <c r="L527" s="88" t="s">
        <v>742</v>
      </c>
      <c r="M527" s="92" t="s">
        <v>108</v>
      </c>
      <c r="N527" s="89" t="s">
        <v>60</v>
      </c>
      <c r="O527" s="165"/>
      <c r="P527" s="89" t="s">
        <v>197</v>
      </c>
      <c r="Q527" s="92" t="s">
        <v>690</v>
      </c>
      <c r="R527" s="92">
        <v>4</v>
      </c>
      <c r="S527" s="92" t="e">
        <v>#N/A</v>
      </c>
      <c r="T527" s="92">
        <v>8544700000</v>
      </c>
      <c r="U527" s="155">
        <v>0</v>
      </c>
      <c r="V527" s="207">
        <v>30</v>
      </c>
      <c r="W527" s="92">
        <v>45</v>
      </c>
      <c r="X527" s="92">
        <v>55</v>
      </c>
      <c r="Y527" s="92" t="s">
        <v>691</v>
      </c>
      <c r="Z527" s="133">
        <f t="shared" si="925"/>
        <v>1818.9795918367347</v>
      </c>
      <c r="AA527" s="133"/>
      <c r="AB527" s="124">
        <f t="shared" si="884"/>
        <v>1541.8797059422061</v>
      </c>
      <c r="AC527" s="124"/>
      <c r="AD527" s="213">
        <f t="shared" si="885"/>
        <v>0.1</v>
      </c>
      <c r="AE527" s="213">
        <v>0.1</v>
      </c>
      <c r="AF527" s="215">
        <v>0.28000000000000003</v>
      </c>
      <c r="AG527" s="215" t="s">
        <v>9</v>
      </c>
      <c r="AH527" s="148">
        <f t="shared" si="880"/>
        <v>1541.8797059422061</v>
      </c>
      <c r="AI527" s="122">
        <f t="shared" si="926"/>
        <v>0.28000000000000003</v>
      </c>
      <c r="AJ527" s="444"/>
      <c r="AK527" s="150">
        <f t="shared" si="928"/>
        <v>1414.7619047619046</v>
      </c>
      <c r="AL527" s="148">
        <f t="shared" si="928"/>
        <v>1233.5037647537647</v>
      </c>
      <c r="AM527" s="125">
        <f t="shared" si="923"/>
        <v>0.22222222222222232</v>
      </c>
      <c r="AN527" s="125">
        <f t="shared" si="924"/>
        <v>0.20000000000000007</v>
      </c>
      <c r="AO527" s="136">
        <f t="shared" si="929"/>
        <v>0.32</v>
      </c>
      <c r="AP527" s="17" t="s">
        <v>692</v>
      </c>
      <c r="AQ527" s="141"/>
      <c r="AR527" s="141"/>
      <c r="AS527" s="141"/>
      <c r="AT527" s="141"/>
      <c r="AU527" s="141">
        <v>8913</v>
      </c>
      <c r="AV527" s="141">
        <f t="shared" si="881"/>
        <v>8913</v>
      </c>
      <c r="AW527" s="142">
        <f t="shared" si="930"/>
        <v>1273.2857142857142</v>
      </c>
      <c r="AX527" s="126">
        <f t="shared" si="935"/>
        <v>1110.1533882783883</v>
      </c>
      <c r="AY527" s="17"/>
      <c r="AZ527" s="128">
        <v>8544700000</v>
      </c>
      <c r="BB527" s="124">
        <f t="shared" si="931"/>
        <v>5139.5990198073541</v>
      </c>
      <c r="BC527" s="124">
        <f t="shared" si="932"/>
        <v>3083.7594118844122</v>
      </c>
      <c r="BD527" s="124">
        <f t="shared" si="933"/>
        <v>2569.7995099036771</v>
      </c>
      <c r="BE527" s="124">
        <f t="shared" si="934"/>
        <v>2055.8396079229419</v>
      </c>
    </row>
    <row r="528" spans="1:57" s="129" customFormat="1" hidden="1">
      <c r="A528" s="88" t="s">
        <v>1302</v>
      </c>
      <c r="B528" s="88" t="s">
        <v>1317</v>
      </c>
      <c r="C528" s="88" t="s">
        <v>1317</v>
      </c>
      <c r="D528" s="88" t="s">
        <v>656</v>
      </c>
      <c r="E528" s="88" t="s">
        <v>684</v>
      </c>
      <c r="F528" s="89" t="s">
        <v>743</v>
      </c>
      <c r="G528" s="92" t="s">
        <v>685</v>
      </c>
      <c r="H528" s="320" t="s">
        <v>3402</v>
      </c>
      <c r="I528" s="167" t="s">
        <v>744</v>
      </c>
      <c r="J528" s="167" t="str">
        <f>_xlfn.XLOOKUP(I528,[1]Sheet1!$A:$A,[1]Sheet1!$B:$B,"")</f>
        <v>U0806001</v>
      </c>
      <c r="K528" s="88" t="s">
        <v>745</v>
      </c>
      <c r="L528" s="88" t="s">
        <v>746</v>
      </c>
      <c r="M528" s="92" t="s">
        <v>69</v>
      </c>
      <c r="N528" s="89" t="s">
        <v>60</v>
      </c>
      <c r="O528" s="165"/>
      <c r="P528" s="89" t="s">
        <v>197</v>
      </c>
      <c r="Q528" s="92" t="s">
        <v>690</v>
      </c>
      <c r="R528" s="92">
        <v>4</v>
      </c>
      <c r="S528" s="92" t="e">
        <v>#N/A</v>
      </c>
      <c r="T528" s="92">
        <v>8544700000</v>
      </c>
      <c r="U528" s="155">
        <v>0</v>
      </c>
      <c r="V528" s="207">
        <v>30</v>
      </c>
      <c r="W528" s="92">
        <v>45</v>
      </c>
      <c r="X528" s="92">
        <v>55</v>
      </c>
      <c r="Y528" s="92" t="s">
        <v>691</v>
      </c>
      <c r="Z528" s="133">
        <f t="shared" si="925"/>
        <v>3743.4693877551026</v>
      </c>
      <c r="AA528" s="133"/>
      <c r="AB528" s="124">
        <f t="shared" si="884"/>
        <v>3141.0521384479721</v>
      </c>
      <c r="AC528" s="124"/>
      <c r="AD528" s="213">
        <f t="shared" si="885"/>
        <v>0.1</v>
      </c>
      <c r="AE528" s="213">
        <v>0.1</v>
      </c>
      <c r="AF528" s="215">
        <v>0.28000000000000003</v>
      </c>
      <c r="AG528" s="215" t="s">
        <v>9</v>
      </c>
      <c r="AH528" s="148">
        <f t="shared" si="880"/>
        <v>3141.0521384479721</v>
      </c>
      <c r="AI528" s="122">
        <f t="shared" si="926"/>
        <v>0.28000000000000003</v>
      </c>
      <c r="AJ528" s="444"/>
      <c r="AK528" s="150">
        <f t="shared" si="928"/>
        <v>2911.5873015873017</v>
      </c>
      <c r="AL528" s="148">
        <f t="shared" si="928"/>
        <v>2512.8417107583773</v>
      </c>
      <c r="AM528" s="125">
        <f t="shared" si="923"/>
        <v>0.22222222222222232</v>
      </c>
      <c r="AN528" s="125">
        <f t="shared" si="924"/>
        <v>0.20000000000000007</v>
      </c>
      <c r="AO528" s="136">
        <f t="shared" si="929"/>
        <v>0.32</v>
      </c>
      <c r="AP528" s="17" t="s">
        <v>747</v>
      </c>
      <c r="AQ528" s="141"/>
      <c r="AR528" s="141"/>
      <c r="AS528" s="141"/>
      <c r="AT528" s="141"/>
      <c r="AU528" s="141">
        <v>18343</v>
      </c>
      <c r="AV528" s="141">
        <f t="shared" si="881"/>
        <v>18343</v>
      </c>
      <c r="AW528" s="142">
        <f t="shared" si="930"/>
        <v>2620.4285714285716</v>
      </c>
      <c r="AX528" s="126">
        <f t="shared" si="935"/>
        <v>2261.5575396825398</v>
      </c>
      <c r="AY528" s="17"/>
      <c r="AZ528" s="128">
        <v>8544700000</v>
      </c>
      <c r="BB528" s="124">
        <f t="shared" si="931"/>
        <v>10470.173794826575</v>
      </c>
      <c r="BC528" s="124">
        <f t="shared" si="932"/>
        <v>6282.1042768959442</v>
      </c>
      <c r="BD528" s="124">
        <f t="shared" si="933"/>
        <v>5235.0868974132873</v>
      </c>
      <c r="BE528" s="124">
        <f t="shared" si="934"/>
        <v>4188.0695179306304</v>
      </c>
    </row>
    <row r="529" spans="1:58" s="129" customFormat="1" hidden="1">
      <c r="A529" s="88" t="s">
        <v>1302</v>
      </c>
      <c r="B529" s="88" t="s">
        <v>1317</v>
      </c>
      <c r="C529" s="88" t="s">
        <v>1317</v>
      </c>
      <c r="D529" s="88" t="s">
        <v>656</v>
      </c>
      <c r="E529" s="88" t="s">
        <v>684</v>
      </c>
      <c r="F529" s="89" t="s">
        <v>743</v>
      </c>
      <c r="G529" s="92" t="s">
        <v>685</v>
      </c>
      <c r="H529" s="320" t="s">
        <v>3403</v>
      </c>
      <c r="I529" s="167" t="s">
        <v>748</v>
      </c>
      <c r="J529" s="167" t="str">
        <f>_xlfn.XLOOKUP(I529,[1]Sheet1!$A:$A,[1]Sheet1!$B:$B,"")</f>
        <v>U0806005</v>
      </c>
      <c r="K529" s="88" t="s">
        <v>749</v>
      </c>
      <c r="L529" s="88" t="s">
        <v>750</v>
      </c>
      <c r="M529" s="92" t="s">
        <v>69</v>
      </c>
      <c r="N529" s="89" t="s">
        <v>60</v>
      </c>
      <c r="O529" s="165"/>
      <c r="P529" s="89" t="s">
        <v>197</v>
      </c>
      <c r="Q529" s="92" t="s">
        <v>690</v>
      </c>
      <c r="R529" s="92">
        <v>4</v>
      </c>
      <c r="S529" s="92" t="e">
        <v>#N/A</v>
      </c>
      <c r="T529" s="92">
        <v>8544700000</v>
      </c>
      <c r="U529" s="155">
        <v>0</v>
      </c>
      <c r="V529" s="207">
        <v>30</v>
      </c>
      <c r="W529" s="92">
        <v>45</v>
      </c>
      <c r="X529" s="92">
        <v>55</v>
      </c>
      <c r="Y529" s="92" t="s">
        <v>691</v>
      </c>
      <c r="Z529" s="133">
        <f t="shared" si="925"/>
        <v>6750</v>
      </c>
      <c r="AA529" s="133"/>
      <c r="AB529" s="124">
        <f t="shared" si="884"/>
        <v>5639.3563034188037</v>
      </c>
      <c r="AC529" s="124"/>
      <c r="AD529" s="213">
        <f t="shared" si="885"/>
        <v>0.1</v>
      </c>
      <c r="AE529" s="213">
        <v>0.1</v>
      </c>
      <c r="AF529" s="215">
        <v>0.28000000000000003</v>
      </c>
      <c r="AG529" s="215" t="s">
        <v>9</v>
      </c>
      <c r="AH529" s="148">
        <f t="shared" si="880"/>
        <v>5639.3563034188037</v>
      </c>
      <c r="AI529" s="122">
        <f t="shared" si="926"/>
        <v>0.28000000000000003</v>
      </c>
      <c r="AJ529" s="444"/>
      <c r="AK529" s="150">
        <f t="shared" si="928"/>
        <v>5250</v>
      </c>
      <c r="AL529" s="148">
        <f t="shared" si="928"/>
        <v>4511.485042735043</v>
      </c>
      <c r="AM529" s="125">
        <f t="shared" si="923"/>
        <v>0.22222222222222221</v>
      </c>
      <c r="AN529" s="125">
        <f t="shared" si="924"/>
        <v>0.19999999999999996</v>
      </c>
      <c r="AO529" s="136">
        <f t="shared" si="929"/>
        <v>0.32</v>
      </c>
      <c r="AP529" s="17" t="s">
        <v>747</v>
      </c>
      <c r="AQ529" s="141"/>
      <c r="AR529" s="141"/>
      <c r="AS529" s="141"/>
      <c r="AT529" s="141"/>
      <c r="AU529" s="141">
        <v>33075</v>
      </c>
      <c r="AV529" s="141">
        <f t="shared" si="881"/>
        <v>33075</v>
      </c>
      <c r="AW529" s="142">
        <f t="shared" si="930"/>
        <v>4725</v>
      </c>
      <c r="AX529" s="126">
        <f t="shared" si="935"/>
        <v>4060.3365384615386</v>
      </c>
      <c r="AY529" s="17"/>
      <c r="AZ529" s="128">
        <v>8544700000</v>
      </c>
      <c r="BB529" s="124">
        <f t="shared" si="931"/>
        <v>18797.854344729345</v>
      </c>
      <c r="BC529" s="124">
        <f t="shared" si="932"/>
        <v>11278.712606837607</v>
      </c>
      <c r="BD529" s="124">
        <f t="shared" si="933"/>
        <v>9398.9271723646725</v>
      </c>
      <c r="BE529" s="124">
        <f t="shared" si="934"/>
        <v>7519.1417378917386</v>
      </c>
    </row>
    <row r="530" spans="1:58" s="129" customFormat="1" hidden="1">
      <c r="A530" s="88" t="s">
        <v>1302</v>
      </c>
      <c r="B530" s="88" t="s">
        <v>1317</v>
      </c>
      <c r="C530" s="88" t="s">
        <v>1317</v>
      </c>
      <c r="D530" s="88" t="s">
        <v>656</v>
      </c>
      <c r="E530" s="88" t="s">
        <v>684</v>
      </c>
      <c r="F530" s="89" t="s">
        <v>751</v>
      </c>
      <c r="G530" s="92" t="s">
        <v>685</v>
      </c>
      <c r="H530" s="320" t="s">
        <v>3402</v>
      </c>
      <c r="I530" s="167" t="s">
        <v>752</v>
      </c>
      <c r="J530" s="167" t="str">
        <f>_xlfn.XLOOKUP(I530,[1]Sheet1!$A:$A,[1]Sheet1!$B:$B,"")</f>
        <v>U0805001</v>
      </c>
      <c r="K530" s="88" t="s">
        <v>753</v>
      </c>
      <c r="L530" s="88" t="s">
        <v>754</v>
      </c>
      <c r="M530" s="92" t="s">
        <v>69</v>
      </c>
      <c r="N530" s="89" t="s">
        <v>60</v>
      </c>
      <c r="O530" s="165"/>
      <c r="P530" s="89" t="s">
        <v>197</v>
      </c>
      <c r="Q530" s="92" t="s">
        <v>690</v>
      </c>
      <c r="R530" s="92">
        <v>4</v>
      </c>
      <c r="S530" s="92" t="e">
        <v>#N/A</v>
      </c>
      <c r="T530" s="92">
        <v>8544700000</v>
      </c>
      <c r="U530" s="155">
        <v>0</v>
      </c>
      <c r="V530" s="207">
        <v>30</v>
      </c>
      <c r="W530" s="92">
        <v>45</v>
      </c>
      <c r="X530" s="92">
        <v>55</v>
      </c>
      <c r="Y530" s="92" t="s">
        <v>691</v>
      </c>
      <c r="Z530" s="133">
        <f t="shared" si="925"/>
        <v>3101.4285714285716</v>
      </c>
      <c r="AA530" s="133"/>
      <c r="AB530" s="124">
        <f t="shared" si="884"/>
        <v>2607.5424382716051</v>
      </c>
      <c r="AC530" s="124"/>
      <c r="AD530" s="213">
        <f t="shared" si="885"/>
        <v>0.1</v>
      </c>
      <c r="AE530" s="213">
        <v>0.1</v>
      </c>
      <c r="AF530" s="215">
        <v>0.28000000000000003</v>
      </c>
      <c r="AG530" s="215" t="s">
        <v>9</v>
      </c>
      <c r="AH530" s="148">
        <f t="shared" si="880"/>
        <v>2607.5424382716051</v>
      </c>
      <c r="AI530" s="122">
        <f t="shared" si="926"/>
        <v>0.28000000000000003</v>
      </c>
      <c r="AJ530" s="444"/>
      <c r="AK530" s="150">
        <f t="shared" si="928"/>
        <v>2412.2222222222222</v>
      </c>
      <c r="AL530" s="148">
        <f t="shared" si="928"/>
        <v>2086.0339506172841</v>
      </c>
      <c r="AM530" s="125">
        <f t="shared" si="923"/>
        <v>0.22222222222222232</v>
      </c>
      <c r="AN530" s="125">
        <f t="shared" si="924"/>
        <v>0.19999999999999996</v>
      </c>
      <c r="AO530" s="136">
        <f t="shared" si="929"/>
        <v>0.32</v>
      </c>
      <c r="AP530" s="17" t="s">
        <v>747</v>
      </c>
      <c r="AQ530" s="141"/>
      <c r="AR530" s="141"/>
      <c r="AS530" s="141"/>
      <c r="AT530" s="141"/>
      <c r="AU530" s="141">
        <v>15197</v>
      </c>
      <c r="AV530" s="141">
        <f t="shared" si="881"/>
        <v>15197</v>
      </c>
      <c r="AW530" s="142">
        <f t="shared" si="930"/>
        <v>2171</v>
      </c>
      <c r="AX530" s="126">
        <f t="shared" si="935"/>
        <v>1877.4305555555557</v>
      </c>
      <c r="AY530" s="17"/>
      <c r="AZ530" s="128">
        <v>8544700000</v>
      </c>
      <c r="BB530" s="124">
        <f t="shared" si="931"/>
        <v>8691.8081275720178</v>
      </c>
      <c r="BC530" s="124">
        <f t="shared" si="932"/>
        <v>5215.0848765432102</v>
      </c>
      <c r="BD530" s="124">
        <f t="shared" si="933"/>
        <v>4345.9040637860089</v>
      </c>
      <c r="BE530" s="124">
        <f t="shared" si="934"/>
        <v>3476.7232510288072</v>
      </c>
    </row>
    <row r="531" spans="1:58" s="129" customFormat="1" hidden="1">
      <c r="A531" s="88" t="s">
        <v>1302</v>
      </c>
      <c r="B531" s="88" t="s">
        <v>1317</v>
      </c>
      <c r="C531" s="88" t="s">
        <v>1317</v>
      </c>
      <c r="D531" s="88" t="s">
        <v>656</v>
      </c>
      <c r="E531" s="88" t="s">
        <v>684</v>
      </c>
      <c r="F531" s="89" t="s">
        <v>751</v>
      </c>
      <c r="G531" s="92" t="s">
        <v>685</v>
      </c>
      <c r="H531" s="320" t="s">
        <v>3403</v>
      </c>
      <c r="I531" s="167" t="s">
        <v>755</v>
      </c>
      <c r="J531" s="167" t="str">
        <f>_xlfn.XLOOKUP(I531,[1]Sheet1!$A:$A,[1]Sheet1!$B:$B,"")</f>
        <v>U0805004</v>
      </c>
      <c r="K531" s="88" t="s">
        <v>756</v>
      </c>
      <c r="L531" s="88" t="s">
        <v>757</v>
      </c>
      <c r="M531" s="92" t="s">
        <v>69</v>
      </c>
      <c r="N531" s="89" t="s">
        <v>60</v>
      </c>
      <c r="O531" s="165"/>
      <c r="P531" s="89" t="s">
        <v>197</v>
      </c>
      <c r="Q531" s="92" t="s">
        <v>690</v>
      </c>
      <c r="R531" s="92">
        <v>4</v>
      </c>
      <c r="S531" s="92" t="e">
        <v>#N/A</v>
      </c>
      <c r="T531" s="92">
        <v>8544700000</v>
      </c>
      <c r="U531" s="155">
        <v>0</v>
      </c>
      <c r="V531" s="207">
        <v>30</v>
      </c>
      <c r="W531" s="92">
        <v>45</v>
      </c>
      <c r="X531" s="92">
        <v>55</v>
      </c>
      <c r="Y531" s="92" t="s">
        <v>691</v>
      </c>
      <c r="Z531" s="133">
        <f t="shared" si="925"/>
        <v>6077.1428571428578</v>
      </c>
      <c r="AA531" s="133"/>
      <c r="AB531" s="124">
        <f t="shared" si="884"/>
        <v>5080.2394943019945</v>
      </c>
      <c r="AC531" s="124"/>
      <c r="AD531" s="213">
        <f t="shared" si="885"/>
        <v>0.1</v>
      </c>
      <c r="AE531" s="213">
        <v>0.1</v>
      </c>
      <c r="AF531" s="215">
        <v>0.28000000000000003</v>
      </c>
      <c r="AG531" s="215" t="s">
        <v>9</v>
      </c>
      <c r="AH531" s="148">
        <f t="shared" si="880"/>
        <v>5080.2394943019945</v>
      </c>
      <c r="AI531" s="122">
        <f t="shared" si="926"/>
        <v>0.28000000000000003</v>
      </c>
      <c r="AJ531" s="444"/>
      <c r="AK531" s="150">
        <f t="shared" si="928"/>
        <v>4726.666666666667</v>
      </c>
      <c r="AL531" s="148">
        <f t="shared" si="928"/>
        <v>4064.1915954415954</v>
      </c>
      <c r="AM531" s="125">
        <f t="shared" si="923"/>
        <v>0.22222222222222221</v>
      </c>
      <c r="AN531" s="125">
        <f t="shared" si="924"/>
        <v>0.20000000000000007</v>
      </c>
      <c r="AO531" s="136">
        <f t="shared" si="929"/>
        <v>0.32</v>
      </c>
      <c r="AP531" s="17" t="s">
        <v>747</v>
      </c>
      <c r="AQ531" s="141"/>
      <c r="AR531" s="141"/>
      <c r="AS531" s="141"/>
      <c r="AT531" s="141"/>
      <c r="AU531" s="141">
        <v>29778</v>
      </c>
      <c r="AV531" s="141">
        <f t="shared" si="881"/>
        <v>29778</v>
      </c>
      <c r="AW531" s="142">
        <f t="shared" si="930"/>
        <v>4254</v>
      </c>
      <c r="AX531" s="126">
        <f t="shared" si="935"/>
        <v>3657.772435897436</v>
      </c>
      <c r="AY531" s="17"/>
      <c r="AZ531" s="128">
        <v>8544700000</v>
      </c>
      <c r="BB531" s="124">
        <f t="shared" si="931"/>
        <v>16934.131647673315</v>
      </c>
      <c r="BC531" s="124">
        <f t="shared" si="932"/>
        <v>10160.478988603989</v>
      </c>
      <c r="BD531" s="124">
        <f t="shared" si="933"/>
        <v>8467.0658238366577</v>
      </c>
      <c r="BE531" s="124">
        <f t="shared" si="934"/>
        <v>6773.6526590693265</v>
      </c>
    </row>
    <row r="532" spans="1:58" s="129" customFormat="1" hidden="1">
      <c r="A532" s="88" t="s">
        <v>1302</v>
      </c>
      <c r="B532" s="88" t="s">
        <v>1317</v>
      </c>
      <c r="C532" s="88" t="s">
        <v>1317</v>
      </c>
      <c r="D532" s="88" t="s">
        <v>656</v>
      </c>
      <c r="E532" s="88" t="s">
        <v>684</v>
      </c>
      <c r="F532" s="89" t="s">
        <v>758</v>
      </c>
      <c r="G532" s="92" t="s">
        <v>685</v>
      </c>
      <c r="H532" s="320" t="s">
        <v>3402</v>
      </c>
      <c r="I532" s="167" t="s">
        <v>759</v>
      </c>
      <c r="J532" s="167" t="str">
        <f>_xlfn.XLOOKUP(I532,[1]Sheet1!$A:$A,[1]Sheet1!$B:$B,"")</f>
        <v>U0804001</v>
      </c>
      <c r="K532" s="88" t="s">
        <v>760</v>
      </c>
      <c r="L532" s="88" t="s">
        <v>761</v>
      </c>
      <c r="M532" s="92" t="s">
        <v>69</v>
      </c>
      <c r="N532" s="89" t="s">
        <v>60</v>
      </c>
      <c r="O532" s="165"/>
      <c r="P532" s="89" t="s">
        <v>197</v>
      </c>
      <c r="Q532" s="92" t="s">
        <v>690</v>
      </c>
      <c r="R532" s="92">
        <v>4</v>
      </c>
      <c r="S532" s="92" t="e">
        <v>#N/A</v>
      </c>
      <c r="T532" s="92">
        <v>8544700000</v>
      </c>
      <c r="U532" s="155">
        <v>0</v>
      </c>
      <c r="V532" s="207">
        <v>30</v>
      </c>
      <c r="W532" s="92">
        <v>45</v>
      </c>
      <c r="X532" s="92">
        <v>55</v>
      </c>
      <c r="Y532" s="92" t="s">
        <v>691</v>
      </c>
      <c r="Z532" s="133">
        <f t="shared" si="925"/>
        <v>3167.3469387755108</v>
      </c>
      <c r="AA532" s="133"/>
      <c r="AB532" s="124">
        <f t="shared" si="884"/>
        <v>2662.3179097137436</v>
      </c>
      <c r="AC532" s="124"/>
      <c r="AD532" s="213">
        <f t="shared" si="885"/>
        <v>0.1</v>
      </c>
      <c r="AE532" s="213">
        <v>0.1</v>
      </c>
      <c r="AF532" s="215">
        <v>0.28000000000000003</v>
      </c>
      <c r="AG532" s="215" t="s">
        <v>9</v>
      </c>
      <c r="AH532" s="148">
        <f t="shared" si="880"/>
        <v>2662.3179097137436</v>
      </c>
      <c r="AI532" s="122">
        <f t="shared" si="926"/>
        <v>0.28000000000000003</v>
      </c>
      <c r="AJ532" s="444"/>
      <c r="AK532" s="150">
        <f t="shared" si="928"/>
        <v>2463.4920634920636</v>
      </c>
      <c r="AL532" s="148">
        <f t="shared" si="928"/>
        <v>2129.8543277709946</v>
      </c>
      <c r="AM532" s="125">
        <f t="shared" si="923"/>
        <v>0.22222222222222232</v>
      </c>
      <c r="AN532" s="125">
        <f t="shared" si="924"/>
        <v>0.20000000000000007</v>
      </c>
      <c r="AO532" s="136">
        <f t="shared" si="929"/>
        <v>0.32</v>
      </c>
      <c r="AP532" s="17" t="s">
        <v>747</v>
      </c>
      <c r="AQ532" s="141"/>
      <c r="AR532" s="141"/>
      <c r="AS532" s="141"/>
      <c r="AT532" s="141"/>
      <c r="AU532" s="141">
        <v>15520</v>
      </c>
      <c r="AV532" s="141">
        <f t="shared" si="881"/>
        <v>15520</v>
      </c>
      <c r="AW532" s="142">
        <f t="shared" si="930"/>
        <v>2217.1428571428573</v>
      </c>
      <c r="AX532" s="126">
        <f t="shared" si="935"/>
        <v>1916.8688949938953</v>
      </c>
      <c r="AY532" s="17"/>
      <c r="AZ532" s="128">
        <v>8544700000</v>
      </c>
      <c r="BB532" s="124">
        <f t="shared" si="931"/>
        <v>8874.3930323791465</v>
      </c>
      <c r="BC532" s="124">
        <f t="shared" si="932"/>
        <v>5324.6358194274881</v>
      </c>
      <c r="BD532" s="124">
        <f t="shared" si="933"/>
        <v>4437.1965161895732</v>
      </c>
      <c r="BE532" s="124">
        <f t="shared" si="934"/>
        <v>3549.7572129516589</v>
      </c>
    </row>
    <row r="533" spans="1:58" s="129" customFormat="1" hidden="1">
      <c r="A533" s="88" t="s">
        <v>1302</v>
      </c>
      <c r="B533" s="88" t="s">
        <v>1317</v>
      </c>
      <c r="C533" s="88" t="s">
        <v>1317</v>
      </c>
      <c r="D533" s="88" t="s">
        <v>656</v>
      </c>
      <c r="E533" s="88" t="s">
        <v>684</v>
      </c>
      <c r="F533" s="89" t="s">
        <v>758</v>
      </c>
      <c r="G533" s="92" t="s">
        <v>685</v>
      </c>
      <c r="H533" s="320" t="s">
        <v>3403</v>
      </c>
      <c r="I533" s="167" t="s">
        <v>762</v>
      </c>
      <c r="J533" s="167" t="str">
        <f>_xlfn.XLOOKUP(I533,[1]Sheet1!$A:$A,[1]Sheet1!$B:$B,"")</f>
        <v>U0804004</v>
      </c>
      <c r="K533" s="88" t="s">
        <v>763</v>
      </c>
      <c r="L533" s="88" t="s">
        <v>764</v>
      </c>
      <c r="M533" s="92" t="s">
        <v>69</v>
      </c>
      <c r="N533" s="89" t="s">
        <v>60</v>
      </c>
      <c r="O533" s="165"/>
      <c r="P533" s="89" t="s">
        <v>197</v>
      </c>
      <c r="Q533" s="92" t="s">
        <v>690</v>
      </c>
      <c r="R533" s="92">
        <v>4</v>
      </c>
      <c r="S533" s="92" t="e">
        <v>#N/A</v>
      </c>
      <c r="T533" s="92">
        <v>8544700000</v>
      </c>
      <c r="U533" s="155">
        <v>0</v>
      </c>
      <c r="V533" s="207">
        <v>30</v>
      </c>
      <c r="W533" s="92">
        <v>45</v>
      </c>
      <c r="X533" s="92">
        <v>55</v>
      </c>
      <c r="Y533" s="92" t="s">
        <v>691</v>
      </c>
      <c r="Z533" s="133">
        <f t="shared" si="925"/>
        <v>6145.5102040816337</v>
      </c>
      <c r="AA533" s="133"/>
      <c r="AB533" s="124">
        <f t="shared" si="884"/>
        <v>5137.0499677791358</v>
      </c>
      <c r="AC533" s="124"/>
      <c r="AD533" s="213">
        <f t="shared" si="885"/>
        <v>0.1</v>
      </c>
      <c r="AE533" s="213">
        <v>0.1</v>
      </c>
      <c r="AF533" s="215">
        <v>0.28000000000000003</v>
      </c>
      <c r="AG533" s="215" t="s">
        <v>9</v>
      </c>
      <c r="AH533" s="148">
        <f t="shared" si="880"/>
        <v>5137.0499677791358</v>
      </c>
      <c r="AI533" s="122">
        <f t="shared" si="926"/>
        <v>0.28000000000000003</v>
      </c>
      <c r="AJ533" s="444"/>
      <c r="AK533" s="150">
        <f t="shared" si="928"/>
        <v>4779.8412698412703</v>
      </c>
      <c r="AL533" s="148">
        <f t="shared" si="928"/>
        <v>4109.6399742233079</v>
      </c>
      <c r="AM533" s="125">
        <f t="shared" si="923"/>
        <v>0.22222222222222232</v>
      </c>
      <c r="AN533" s="125">
        <f t="shared" si="924"/>
        <v>0.20000000000000018</v>
      </c>
      <c r="AO533" s="136">
        <f t="shared" si="929"/>
        <v>0.32</v>
      </c>
      <c r="AP533" s="17" t="s">
        <v>747</v>
      </c>
      <c r="AQ533" s="141"/>
      <c r="AR533" s="141"/>
      <c r="AS533" s="141"/>
      <c r="AT533" s="141"/>
      <c r="AU533" s="141">
        <v>30113</v>
      </c>
      <c r="AV533" s="141">
        <f t="shared" si="881"/>
        <v>30113</v>
      </c>
      <c r="AW533" s="142">
        <f t="shared" si="930"/>
        <v>4301.8571428571431</v>
      </c>
      <c r="AX533" s="126">
        <f t="shared" si="935"/>
        <v>3698.6759768009774</v>
      </c>
      <c r="AY533" s="17"/>
      <c r="AZ533" s="128">
        <v>8544700000</v>
      </c>
      <c r="BB533" s="124">
        <f t="shared" si="931"/>
        <v>17123.499892597119</v>
      </c>
      <c r="BC533" s="124">
        <f t="shared" si="932"/>
        <v>10274.099935558272</v>
      </c>
      <c r="BD533" s="124">
        <f t="shared" si="933"/>
        <v>8561.7499462985597</v>
      </c>
      <c r="BE533" s="124">
        <f t="shared" si="934"/>
        <v>6849.3999570388478</v>
      </c>
    </row>
    <row r="534" spans="1:58" s="129" customFormat="1" hidden="1">
      <c r="A534" s="88" t="s">
        <v>1302</v>
      </c>
      <c r="B534" s="88" t="s">
        <v>1317</v>
      </c>
      <c r="C534" s="88" t="s">
        <v>1317</v>
      </c>
      <c r="D534" s="88" t="s">
        <v>656</v>
      </c>
      <c r="E534" s="88" t="s">
        <v>684</v>
      </c>
      <c r="F534" s="89" t="s">
        <v>686</v>
      </c>
      <c r="G534" s="92" t="s">
        <v>765</v>
      </c>
      <c r="H534" s="320" t="s">
        <v>3398</v>
      </c>
      <c r="I534" s="167" t="s">
        <v>766</v>
      </c>
      <c r="J534" s="167" t="str">
        <f>_xlfn.XLOOKUP(I534,[1]Sheet1!$A:$A,[1]Sheet1!$B:$B,"")</f>
        <v>U0803011</v>
      </c>
      <c r="K534" s="88" t="s">
        <v>767</v>
      </c>
      <c r="L534" s="88" t="s">
        <v>768</v>
      </c>
      <c r="M534" s="92" t="s">
        <v>69</v>
      </c>
      <c r="N534" s="89" t="s">
        <v>60</v>
      </c>
      <c r="O534" s="165"/>
      <c r="P534" s="89" t="s">
        <v>197</v>
      </c>
      <c r="Q534" s="92" t="s">
        <v>690</v>
      </c>
      <c r="R534" s="92">
        <v>4</v>
      </c>
      <c r="S534" s="92" t="e">
        <v>#N/A</v>
      </c>
      <c r="T534" s="92">
        <v>8544700000</v>
      </c>
      <c r="U534" s="155">
        <v>0</v>
      </c>
      <c r="V534" s="207">
        <v>30</v>
      </c>
      <c r="W534" s="92">
        <v>45</v>
      </c>
      <c r="X534" s="92">
        <v>55</v>
      </c>
      <c r="Y534" s="92" t="s">
        <v>691</v>
      </c>
      <c r="Z534" s="133">
        <f t="shared" si="925"/>
        <v>893.37474120082823</v>
      </c>
      <c r="AA534" s="133"/>
      <c r="AB534" s="124">
        <f t="shared" si="884"/>
        <v>772.86905191834785</v>
      </c>
      <c r="AC534" s="124"/>
      <c r="AD534" s="213">
        <f t="shared" si="885"/>
        <v>0.1</v>
      </c>
      <c r="AE534" s="213">
        <v>0.1</v>
      </c>
      <c r="AF534" s="215">
        <v>0.28999999999999998</v>
      </c>
      <c r="AG534" s="215" t="s">
        <v>9</v>
      </c>
      <c r="AH534" s="148">
        <f t="shared" si="880"/>
        <v>772.86905191834785</v>
      </c>
      <c r="AI534" s="122">
        <f t="shared" si="926"/>
        <v>0.29000000000000004</v>
      </c>
      <c r="AJ534" s="444"/>
      <c r="AK534" s="150">
        <f t="shared" si="928"/>
        <v>684.92063492063494</v>
      </c>
      <c r="AL534" s="148">
        <f t="shared" si="928"/>
        <v>609.70780762447441</v>
      </c>
      <c r="AM534" s="125">
        <f t="shared" si="923"/>
        <v>0.23333333333333339</v>
      </c>
      <c r="AN534" s="125">
        <f t="shared" si="924"/>
        <v>0.21111111111111114</v>
      </c>
      <c r="AO534" s="136">
        <f t="shared" si="929"/>
        <v>0.32999999999999996</v>
      </c>
      <c r="AP534" s="17" t="s">
        <v>747</v>
      </c>
      <c r="AQ534" s="141"/>
      <c r="AR534" s="141"/>
      <c r="AS534" s="141"/>
      <c r="AT534" s="141"/>
      <c r="AU534" s="141">
        <v>4315</v>
      </c>
      <c r="AV534" s="141">
        <f t="shared" si="881"/>
        <v>4315</v>
      </c>
      <c r="AW534" s="142">
        <f t="shared" si="930"/>
        <v>616.42857142857144</v>
      </c>
      <c r="AX534" s="126">
        <f t="shared" si="935"/>
        <v>548.73702686202694</v>
      </c>
      <c r="AY534" s="17"/>
      <c r="AZ534" s="128">
        <v>8544700000</v>
      </c>
      <c r="BB534" s="124">
        <f t="shared" si="931"/>
        <v>2576.2301730611598</v>
      </c>
      <c r="BC534" s="124">
        <f t="shared" si="932"/>
        <v>1545.7381038366959</v>
      </c>
      <c r="BD534" s="124">
        <f t="shared" si="933"/>
        <v>1288.1150865305799</v>
      </c>
      <c r="BE534" s="124">
        <f t="shared" si="934"/>
        <v>1030.4920692244639</v>
      </c>
    </row>
    <row r="535" spans="1:58" s="129" customFormat="1" hidden="1">
      <c r="A535" s="88" t="s">
        <v>1302</v>
      </c>
      <c r="B535" s="88" t="s">
        <v>1317</v>
      </c>
      <c r="C535" s="88" t="s">
        <v>1317</v>
      </c>
      <c r="D535" s="88" t="s">
        <v>656</v>
      </c>
      <c r="E535" s="88" t="s">
        <v>684</v>
      </c>
      <c r="F535" s="89" t="s">
        <v>686</v>
      </c>
      <c r="G535" s="92" t="s">
        <v>765</v>
      </c>
      <c r="H535" s="320" t="s">
        <v>3399</v>
      </c>
      <c r="I535" s="167" t="s">
        <v>2415</v>
      </c>
      <c r="J535" s="167" t="str">
        <f>_xlfn.XLOOKUP(I535,[1]Sheet1!$A:$A,[1]Sheet1!$B:$B,"")</f>
        <v>U0803016</v>
      </c>
      <c r="K535" s="88" t="s">
        <v>770</v>
      </c>
      <c r="L535" s="88" t="s">
        <v>771</v>
      </c>
      <c r="M535" s="92" t="s">
        <v>69</v>
      </c>
      <c r="N535" s="89" t="s">
        <v>60</v>
      </c>
      <c r="O535" s="165"/>
      <c r="P535" s="89" t="s">
        <v>197</v>
      </c>
      <c r="Q535" s="92" t="s">
        <v>690</v>
      </c>
      <c r="R535" s="92">
        <v>4</v>
      </c>
      <c r="S535" s="92" t="e">
        <v>#N/A</v>
      </c>
      <c r="T535" s="92">
        <v>8544700000</v>
      </c>
      <c r="U535" s="155">
        <v>0</v>
      </c>
      <c r="V535" s="207">
        <v>30</v>
      </c>
      <c r="W535" s="92">
        <v>45</v>
      </c>
      <c r="X535" s="92">
        <v>55</v>
      </c>
      <c r="Y535" s="92" t="s">
        <v>691</v>
      </c>
      <c r="Z535" s="133">
        <f t="shared" si="925"/>
        <v>1110.5590062111803</v>
      </c>
      <c r="AA535" s="133"/>
      <c r="AB535" s="124">
        <f t="shared" si="884"/>
        <v>953.26768302120433</v>
      </c>
      <c r="AC535" s="124"/>
      <c r="AD535" s="213">
        <f t="shared" si="885"/>
        <v>0.1</v>
      </c>
      <c r="AE535" s="213">
        <v>0.1</v>
      </c>
      <c r="AF535" s="215">
        <v>0.28999999999999998</v>
      </c>
      <c r="AG535" s="215" t="s">
        <v>9</v>
      </c>
      <c r="AH535" s="148">
        <f t="shared" si="880"/>
        <v>953.26768302120433</v>
      </c>
      <c r="AI535" s="122">
        <f t="shared" si="926"/>
        <v>0.29000000000000004</v>
      </c>
      <c r="AJ535" s="444"/>
      <c r="AK535" s="150">
        <f t="shared" si="928"/>
        <v>851.42857142857144</v>
      </c>
      <c r="AL535" s="148">
        <f t="shared" si="928"/>
        <v>752.0222832722834</v>
      </c>
      <c r="AM535" s="125">
        <f t="shared" si="923"/>
        <v>0.23333333333333339</v>
      </c>
      <c r="AN535" s="125">
        <f t="shared" si="924"/>
        <v>0.21111111111111114</v>
      </c>
      <c r="AO535" s="136">
        <f t="shared" si="929"/>
        <v>0.32999999999999996</v>
      </c>
      <c r="AP535" s="17" t="s">
        <v>747</v>
      </c>
      <c r="AQ535" s="141"/>
      <c r="AR535" s="141"/>
      <c r="AS535" s="141"/>
      <c r="AT535" s="141"/>
      <c r="AU535" s="141">
        <v>5364</v>
      </c>
      <c r="AV535" s="141">
        <f t="shared" si="881"/>
        <v>5364</v>
      </c>
      <c r="AW535" s="142">
        <f t="shared" si="930"/>
        <v>766.28571428571433</v>
      </c>
      <c r="AX535" s="126">
        <f t="shared" si="935"/>
        <v>676.82005494505506</v>
      </c>
      <c r="AY535" s="17"/>
      <c r="AZ535" s="128">
        <v>8544700000</v>
      </c>
      <c r="BB535" s="124">
        <f t="shared" si="931"/>
        <v>3177.5589434040144</v>
      </c>
      <c r="BC535" s="124">
        <f t="shared" si="932"/>
        <v>1906.5353660424084</v>
      </c>
      <c r="BD535" s="124">
        <f t="shared" si="933"/>
        <v>1588.7794717020072</v>
      </c>
      <c r="BE535" s="124">
        <f t="shared" si="934"/>
        <v>1271.0235773616059</v>
      </c>
    </row>
    <row r="536" spans="1:58" s="129" customFormat="1" hidden="1">
      <c r="A536" s="88" t="s">
        <v>1302</v>
      </c>
      <c r="B536" s="88" t="s">
        <v>1317</v>
      </c>
      <c r="C536" s="88" t="s">
        <v>1317</v>
      </c>
      <c r="D536" s="88" t="s">
        <v>656</v>
      </c>
      <c r="E536" s="88" t="s">
        <v>684</v>
      </c>
      <c r="F536" s="89" t="s">
        <v>686</v>
      </c>
      <c r="G536" s="92" t="s">
        <v>765</v>
      </c>
      <c r="H536" s="320" t="s">
        <v>3400</v>
      </c>
      <c r="I536" s="167" t="s">
        <v>2416</v>
      </c>
      <c r="J536" s="167" t="str">
        <f>_xlfn.XLOOKUP(I536,[1]Sheet1!$A:$A,[1]Sheet1!$B:$B,"")</f>
        <v>U0803002</v>
      </c>
      <c r="K536" s="88" t="s">
        <v>773</v>
      </c>
      <c r="L536" s="88" t="s">
        <v>774</v>
      </c>
      <c r="M536" s="92" t="s">
        <v>69</v>
      </c>
      <c r="N536" s="89" t="s">
        <v>60</v>
      </c>
      <c r="O536" s="165"/>
      <c r="P536" s="89" t="s">
        <v>197</v>
      </c>
      <c r="Q536" s="92" t="s">
        <v>690</v>
      </c>
      <c r="R536" s="92">
        <v>4</v>
      </c>
      <c r="S536" s="92" t="e">
        <v>#N/A</v>
      </c>
      <c r="T536" s="92">
        <v>8544700000</v>
      </c>
      <c r="U536" s="155">
        <v>0</v>
      </c>
      <c r="V536" s="207">
        <v>30</v>
      </c>
      <c r="W536" s="92">
        <v>45</v>
      </c>
      <c r="X536" s="92">
        <v>55</v>
      </c>
      <c r="Y536" s="92" t="s">
        <v>691</v>
      </c>
      <c r="Z536" s="133">
        <f t="shared" si="925"/>
        <v>1548.6542443064184</v>
      </c>
      <c r="AA536" s="133"/>
      <c r="AB536" s="124">
        <f t="shared" si="884"/>
        <v>1317.1604412801598</v>
      </c>
      <c r="AC536" s="124"/>
      <c r="AD536" s="213">
        <f t="shared" si="885"/>
        <v>0.1</v>
      </c>
      <c r="AE536" s="213">
        <v>0.1</v>
      </c>
      <c r="AF536" s="215">
        <v>0.28999999999999998</v>
      </c>
      <c r="AG536" s="215" t="s">
        <v>9</v>
      </c>
      <c r="AH536" s="148">
        <f t="shared" si="880"/>
        <v>1317.1604412801598</v>
      </c>
      <c r="AI536" s="122">
        <f t="shared" si="926"/>
        <v>0.29000000000000004</v>
      </c>
      <c r="AJ536" s="444"/>
      <c r="AK536" s="150">
        <f t="shared" si="928"/>
        <v>1187.3015873015875</v>
      </c>
      <c r="AL536" s="148">
        <f t="shared" si="928"/>
        <v>1039.0932370099038</v>
      </c>
      <c r="AM536" s="125">
        <f t="shared" si="923"/>
        <v>0.23333333333333328</v>
      </c>
      <c r="AN536" s="125">
        <f t="shared" si="924"/>
        <v>0.21111111111111114</v>
      </c>
      <c r="AO536" s="136">
        <f t="shared" si="929"/>
        <v>0.32999999999999996</v>
      </c>
      <c r="AP536" s="17" t="s">
        <v>747</v>
      </c>
      <c r="AQ536" s="141"/>
      <c r="AR536" s="141"/>
      <c r="AS536" s="141"/>
      <c r="AT536" s="141"/>
      <c r="AU536" s="141">
        <v>7480</v>
      </c>
      <c r="AV536" s="141">
        <f t="shared" si="881"/>
        <v>7480</v>
      </c>
      <c r="AW536" s="142">
        <f t="shared" si="930"/>
        <v>1068.5714285714287</v>
      </c>
      <c r="AX536" s="126">
        <f t="shared" si="935"/>
        <v>935.18391330891347</v>
      </c>
      <c r="AY536" s="17"/>
      <c r="AZ536" s="128">
        <v>8544700000</v>
      </c>
      <c r="BB536" s="124">
        <f t="shared" si="931"/>
        <v>4390.5348042671994</v>
      </c>
      <c r="BC536" s="124">
        <f t="shared" si="932"/>
        <v>2634.3208825603197</v>
      </c>
      <c r="BD536" s="124">
        <f t="shared" si="933"/>
        <v>2195.2674021335997</v>
      </c>
      <c r="BE536" s="124">
        <f t="shared" si="934"/>
        <v>1756.2139217068798</v>
      </c>
    </row>
    <row r="537" spans="1:58" s="129" customFormat="1" hidden="1">
      <c r="A537" s="88" t="s">
        <v>1302</v>
      </c>
      <c r="B537" s="88" t="s">
        <v>1317</v>
      </c>
      <c r="C537" s="88" t="s">
        <v>1317</v>
      </c>
      <c r="D537" s="88" t="s">
        <v>656</v>
      </c>
      <c r="E537" s="88" t="s">
        <v>684</v>
      </c>
      <c r="F537" s="89" t="s">
        <v>686</v>
      </c>
      <c r="G537" s="92" t="s">
        <v>765</v>
      </c>
      <c r="H537" s="320" t="s">
        <v>3401</v>
      </c>
      <c r="I537" s="167" t="s">
        <v>2417</v>
      </c>
      <c r="J537" s="167" t="str">
        <f>_xlfn.XLOOKUP(I537,[1]Sheet1!$A:$A,[1]Sheet1!$B:$B,"")</f>
        <v>U0803006</v>
      </c>
      <c r="K537" s="88" t="s">
        <v>776</v>
      </c>
      <c r="L537" s="88" t="s">
        <v>777</v>
      </c>
      <c r="M537" s="92" t="s">
        <v>69</v>
      </c>
      <c r="N537" s="89" t="s">
        <v>60</v>
      </c>
      <c r="O537" s="165"/>
      <c r="P537" s="89" t="s">
        <v>197</v>
      </c>
      <c r="Q537" s="92" t="s">
        <v>690</v>
      </c>
      <c r="R537" s="92">
        <v>4</v>
      </c>
      <c r="S537" s="92" t="e">
        <v>#N/A</v>
      </c>
      <c r="T537" s="92">
        <v>8544700000</v>
      </c>
      <c r="U537" s="155">
        <v>0</v>
      </c>
      <c r="V537" s="207">
        <v>30</v>
      </c>
      <c r="W537" s="92">
        <v>45</v>
      </c>
      <c r="X537" s="92">
        <v>55</v>
      </c>
      <c r="Y537" s="92" t="s">
        <v>691</v>
      </c>
      <c r="Z537" s="133">
        <f t="shared" si="925"/>
        <v>2922.7743271221534</v>
      </c>
      <c r="AA537" s="133"/>
      <c r="AB537" s="124">
        <f t="shared" si="884"/>
        <v>2458.5386249118646</v>
      </c>
      <c r="AC537" s="124"/>
      <c r="AD537" s="213">
        <f t="shared" si="885"/>
        <v>0.1</v>
      </c>
      <c r="AE537" s="213">
        <v>0.1</v>
      </c>
      <c r="AF537" s="215">
        <v>0.28999999999999998</v>
      </c>
      <c r="AG537" s="215" t="s">
        <v>9</v>
      </c>
      <c r="AH537" s="148">
        <f t="shared" si="880"/>
        <v>2458.5386249118646</v>
      </c>
      <c r="AI537" s="122">
        <f t="shared" si="926"/>
        <v>0.29000000000000004</v>
      </c>
      <c r="AJ537" s="444"/>
      <c r="AK537" s="150">
        <f t="shared" si="928"/>
        <v>2240.7936507936506</v>
      </c>
      <c r="AL537" s="148">
        <f t="shared" si="928"/>
        <v>1939.5138040971376</v>
      </c>
      <c r="AM537" s="125">
        <f t="shared" si="923"/>
        <v>0.23333333333333339</v>
      </c>
      <c r="AN537" s="125">
        <f t="shared" si="924"/>
        <v>0.21111111111111114</v>
      </c>
      <c r="AO537" s="136">
        <f t="shared" si="929"/>
        <v>0.32999999999999996</v>
      </c>
      <c r="AP537" s="17" t="s">
        <v>747</v>
      </c>
      <c r="AQ537" s="141"/>
      <c r="AR537" s="141"/>
      <c r="AS537" s="141"/>
      <c r="AT537" s="141"/>
      <c r="AU537" s="141">
        <v>14117</v>
      </c>
      <c r="AV537" s="141">
        <f t="shared" si="881"/>
        <v>14117</v>
      </c>
      <c r="AW537" s="142">
        <f t="shared" si="930"/>
        <v>2016.7142857142858</v>
      </c>
      <c r="AX537" s="126">
        <f t="shared" si="935"/>
        <v>1745.5624236874239</v>
      </c>
      <c r="AY537" s="17"/>
      <c r="AZ537" s="128">
        <v>8544700000</v>
      </c>
      <c r="BB537" s="124">
        <f t="shared" si="931"/>
        <v>8195.1287497062149</v>
      </c>
      <c r="BC537" s="124">
        <f t="shared" si="932"/>
        <v>4917.0772498237284</v>
      </c>
      <c r="BD537" s="124">
        <f t="shared" si="933"/>
        <v>4097.5643748531074</v>
      </c>
      <c r="BE537" s="124">
        <f t="shared" si="934"/>
        <v>3278.051499882486</v>
      </c>
    </row>
    <row r="538" spans="1:58" s="129" customFormat="1" hidden="1">
      <c r="A538" s="88" t="s">
        <v>1302</v>
      </c>
      <c r="B538" s="88" t="s">
        <v>1317</v>
      </c>
      <c r="C538" s="88" t="s">
        <v>1317</v>
      </c>
      <c r="D538" s="88" t="s">
        <v>656</v>
      </c>
      <c r="E538" s="88" t="s">
        <v>684</v>
      </c>
      <c r="F538" s="89" t="s">
        <v>743</v>
      </c>
      <c r="G538" s="92" t="s">
        <v>765</v>
      </c>
      <c r="H538" s="320" t="s">
        <v>3402</v>
      </c>
      <c r="I538" s="167" t="s">
        <v>778</v>
      </c>
      <c r="J538" s="167" t="str">
        <f>_xlfn.XLOOKUP(I538,[1]Sheet1!$A:$A,[1]Sheet1!$B:$B,"")</f>
        <v>U0806002</v>
      </c>
      <c r="K538" s="88" t="s">
        <v>779</v>
      </c>
      <c r="L538" s="88" t="s">
        <v>780</v>
      </c>
      <c r="M538" s="92" t="s">
        <v>69</v>
      </c>
      <c r="N538" s="89" t="s">
        <v>60</v>
      </c>
      <c r="O538" s="165"/>
      <c r="P538" s="89" t="s">
        <v>197</v>
      </c>
      <c r="Q538" s="92" t="s">
        <v>690</v>
      </c>
      <c r="R538" s="92">
        <v>4</v>
      </c>
      <c r="S538" s="92" t="e">
        <v>#N/A</v>
      </c>
      <c r="T538" s="92">
        <v>8544700000</v>
      </c>
      <c r="U538" s="155">
        <v>0</v>
      </c>
      <c r="V538" s="207">
        <v>30</v>
      </c>
      <c r="W538" s="92">
        <v>45</v>
      </c>
      <c r="X538" s="92">
        <v>55</v>
      </c>
      <c r="Y538" s="92" t="s">
        <v>691</v>
      </c>
      <c r="Z538" s="133">
        <f t="shared" si="925"/>
        <v>6322.9813664596286</v>
      </c>
      <c r="AA538" s="133"/>
      <c r="AB538" s="124">
        <f t="shared" si="884"/>
        <v>5282.8348294897596</v>
      </c>
      <c r="AC538" s="124"/>
      <c r="AD538" s="213">
        <f t="shared" si="885"/>
        <v>0.1</v>
      </c>
      <c r="AE538" s="213">
        <v>0.1</v>
      </c>
      <c r="AF538" s="215">
        <v>0.28999999999999998</v>
      </c>
      <c r="AG538" s="215" t="s">
        <v>9</v>
      </c>
      <c r="AH538" s="148">
        <f t="shared" si="880"/>
        <v>5282.8348294897596</v>
      </c>
      <c r="AI538" s="122">
        <f t="shared" si="926"/>
        <v>0.29000000000000004</v>
      </c>
      <c r="AJ538" s="444"/>
      <c r="AK538" s="150">
        <f t="shared" si="928"/>
        <v>4847.6190476190477</v>
      </c>
      <c r="AL538" s="148">
        <f t="shared" si="928"/>
        <v>4167.5696988196996</v>
      </c>
      <c r="AM538" s="125">
        <f t="shared" si="923"/>
        <v>0.2333333333333335</v>
      </c>
      <c r="AN538" s="125">
        <f t="shared" si="924"/>
        <v>0.21111111111111103</v>
      </c>
      <c r="AO538" s="136">
        <f t="shared" si="929"/>
        <v>0.32999999999999996</v>
      </c>
      <c r="AP538" s="17" t="s">
        <v>747</v>
      </c>
      <c r="AQ538" s="141"/>
      <c r="AR538" s="141"/>
      <c r="AS538" s="141"/>
      <c r="AT538" s="141"/>
      <c r="AU538" s="141">
        <v>30540</v>
      </c>
      <c r="AV538" s="141">
        <f t="shared" si="881"/>
        <v>30540</v>
      </c>
      <c r="AW538" s="142">
        <f t="shared" si="930"/>
        <v>4362.8571428571431</v>
      </c>
      <c r="AX538" s="126">
        <f t="shared" si="935"/>
        <v>3750.8127289377294</v>
      </c>
      <c r="AY538" s="17"/>
      <c r="AZ538" s="128">
        <v>8544700000</v>
      </c>
      <c r="BB538" s="124">
        <f t="shared" si="931"/>
        <v>17609.449431632533</v>
      </c>
      <c r="BC538" s="124">
        <f t="shared" si="932"/>
        <v>10565.669658979519</v>
      </c>
      <c r="BD538" s="124">
        <f t="shared" si="933"/>
        <v>8804.7247158162663</v>
      </c>
      <c r="BE538" s="124">
        <f t="shared" si="934"/>
        <v>7043.7797726530134</v>
      </c>
    </row>
    <row r="539" spans="1:58" s="129" customFormat="1" hidden="1">
      <c r="A539" s="88" t="s">
        <v>1302</v>
      </c>
      <c r="B539" s="88" t="s">
        <v>1317</v>
      </c>
      <c r="C539" s="88" t="s">
        <v>1317</v>
      </c>
      <c r="D539" s="88" t="s">
        <v>656</v>
      </c>
      <c r="E539" s="88" t="s">
        <v>684</v>
      </c>
      <c r="F539" s="89" t="s">
        <v>743</v>
      </c>
      <c r="G539" s="92" t="s">
        <v>765</v>
      </c>
      <c r="H539" s="320" t="s">
        <v>3403</v>
      </c>
      <c r="I539" s="167" t="s">
        <v>781</v>
      </c>
      <c r="J539" s="167" t="str">
        <f>_xlfn.XLOOKUP(I539,[1]Sheet1!$A:$A,[1]Sheet1!$B:$B,"")</f>
        <v>U0806006</v>
      </c>
      <c r="K539" s="88" t="s">
        <v>782</v>
      </c>
      <c r="L539" s="88" t="s">
        <v>783</v>
      </c>
      <c r="M539" s="92" t="s">
        <v>69</v>
      </c>
      <c r="N539" s="89" t="s">
        <v>60</v>
      </c>
      <c r="O539" s="165"/>
      <c r="P539" s="89" t="s">
        <v>197</v>
      </c>
      <c r="Q539" s="92" t="s">
        <v>690</v>
      </c>
      <c r="R539" s="92">
        <v>4</v>
      </c>
      <c r="S539" s="92" t="e">
        <v>#N/A</v>
      </c>
      <c r="T539" s="92">
        <v>8544700000</v>
      </c>
      <c r="U539" s="155">
        <v>0</v>
      </c>
      <c r="V539" s="207">
        <v>30</v>
      </c>
      <c r="W539" s="92">
        <v>45</v>
      </c>
      <c r="X539" s="92">
        <v>55</v>
      </c>
      <c r="Y539" s="92" t="s">
        <v>691</v>
      </c>
      <c r="Z539" s="133">
        <f t="shared" si="925"/>
        <v>11898.136645962735</v>
      </c>
      <c r="AA539" s="133"/>
      <c r="AB539" s="124">
        <f t="shared" si="884"/>
        <v>9913.6969251405899</v>
      </c>
      <c r="AC539" s="124"/>
      <c r="AD539" s="213">
        <f t="shared" si="885"/>
        <v>0.1</v>
      </c>
      <c r="AE539" s="213">
        <v>0.1</v>
      </c>
      <c r="AF539" s="215">
        <v>0.28999999999999998</v>
      </c>
      <c r="AG539" s="215" t="s">
        <v>9</v>
      </c>
      <c r="AH539" s="148">
        <f t="shared" ref="AH539:AH602" si="936">AB539</f>
        <v>9913.6969251405899</v>
      </c>
      <c r="AI539" s="122">
        <f t="shared" si="926"/>
        <v>0.29000000000000004</v>
      </c>
      <c r="AJ539" s="444"/>
      <c r="AK539" s="150">
        <f t="shared" si="928"/>
        <v>9121.9047619047615</v>
      </c>
      <c r="AL539" s="148">
        <f t="shared" si="928"/>
        <v>7820.8053520553531</v>
      </c>
      <c r="AM539" s="125">
        <f t="shared" si="923"/>
        <v>0.2333333333333335</v>
      </c>
      <c r="AN539" s="125">
        <f t="shared" si="924"/>
        <v>0.21111111111111125</v>
      </c>
      <c r="AO539" s="136">
        <f t="shared" si="929"/>
        <v>0.32999999999999996</v>
      </c>
      <c r="AP539" s="17" t="s">
        <v>747</v>
      </c>
      <c r="AQ539" s="141"/>
      <c r="AR539" s="141"/>
      <c r="AS539" s="141"/>
      <c r="AT539" s="141"/>
      <c r="AU539" s="141">
        <v>57468</v>
      </c>
      <c r="AV539" s="141">
        <f t="shared" si="881"/>
        <v>57468</v>
      </c>
      <c r="AW539" s="142">
        <f t="shared" si="930"/>
        <v>8209.7142857142862</v>
      </c>
      <c r="AX539" s="126">
        <f t="shared" si="935"/>
        <v>7038.7248168498181</v>
      </c>
      <c r="AY539" s="17"/>
      <c r="AZ539" s="128">
        <v>8544700000</v>
      </c>
      <c r="BB539" s="124">
        <f t="shared" si="931"/>
        <v>33045.656417135302</v>
      </c>
      <c r="BC539" s="124">
        <f t="shared" si="932"/>
        <v>19827.39385028118</v>
      </c>
      <c r="BD539" s="124">
        <f t="shared" si="933"/>
        <v>16522.828208567651</v>
      </c>
      <c r="BE539" s="124">
        <f t="shared" si="934"/>
        <v>13218.262566854122</v>
      </c>
    </row>
    <row r="540" spans="1:58" s="129" customFormat="1" hidden="1">
      <c r="A540" s="88" t="s">
        <v>1302</v>
      </c>
      <c r="B540" s="88" t="s">
        <v>1317</v>
      </c>
      <c r="C540" s="88" t="s">
        <v>1317</v>
      </c>
      <c r="D540" s="88" t="s">
        <v>656</v>
      </c>
      <c r="E540" s="88" t="s">
        <v>684</v>
      </c>
      <c r="F540" s="89" t="s">
        <v>702</v>
      </c>
      <c r="G540" s="92" t="s">
        <v>765</v>
      </c>
      <c r="H540" s="320" t="s">
        <v>3398</v>
      </c>
      <c r="I540" s="167" t="s">
        <v>784</v>
      </c>
      <c r="J540" s="167" t="str">
        <f>_xlfn.XLOOKUP(I540,[1]Sheet1!$A:$A,[1]Sheet1!$B:$B,"")</f>
        <v>U0807010</v>
      </c>
      <c r="K540" s="88" t="s">
        <v>785</v>
      </c>
      <c r="L540" s="88" t="s">
        <v>786</v>
      </c>
      <c r="M540" s="92" t="s">
        <v>125</v>
      </c>
      <c r="N540" s="89" t="s">
        <v>60</v>
      </c>
      <c r="O540" s="165"/>
      <c r="P540" s="89" t="s">
        <v>197</v>
      </c>
      <c r="Q540" s="92" t="s">
        <v>690</v>
      </c>
      <c r="R540" s="92">
        <v>4</v>
      </c>
      <c r="S540" s="92" t="e">
        <v>#N/A</v>
      </c>
      <c r="T540" s="92">
        <v>8544700000</v>
      </c>
      <c r="U540" s="155">
        <v>0</v>
      </c>
      <c r="V540" s="207">
        <v>30</v>
      </c>
      <c r="W540" s="92">
        <v>45</v>
      </c>
      <c r="X540" s="92">
        <v>55</v>
      </c>
      <c r="Y540" s="92" t="s">
        <v>691</v>
      </c>
      <c r="Z540" s="133">
        <f t="shared" si="925"/>
        <v>1013.219616204691</v>
      </c>
      <c r="AA540" s="133"/>
      <c r="AB540" s="124">
        <f t="shared" si="884"/>
        <v>872.60113075330491</v>
      </c>
      <c r="AC540" s="124"/>
      <c r="AD540" s="213">
        <f t="shared" si="885"/>
        <v>0.1</v>
      </c>
      <c r="AE540" s="213">
        <v>0.1</v>
      </c>
      <c r="AF540" s="215">
        <v>0.31</v>
      </c>
      <c r="AG540" s="215" t="s">
        <v>9</v>
      </c>
      <c r="AH540" s="148">
        <f t="shared" si="936"/>
        <v>872.60113075330491</v>
      </c>
      <c r="AI540" s="122">
        <f t="shared" si="926"/>
        <v>0.31000000000000005</v>
      </c>
      <c r="AJ540" s="444"/>
      <c r="AK540" s="150">
        <f t="shared" si="928"/>
        <v>754.28571428571433</v>
      </c>
      <c r="AL540" s="148">
        <f t="shared" si="928"/>
        <v>668.99420024420033</v>
      </c>
      <c r="AM540" s="125">
        <f t="shared" ref="AM540:AM559" si="937">1-(AK540/Z540)</f>
        <v>0.25555555555555565</v>
      </c>
      <c r="AN540" s="125">
        <f t="shared" si="924"/>
        <v>0.2333333333333335</v>
      </c>
      <c r="AO540" s="136">
        <f t="shared" si="929"/>
        <v>0.35</v>
      </c>
      <c r="AP540" s="17" t="s">
        <v>747</v>
      </c>
      <c r="AQ540" s="141"/>
      <c r="AR540" s="141"/>
      <c r="AS540" s="141"/>
      <c r="AT540" s="141"/>
      <c r="AU540" s="141">
        <v>4752</v>
      </c>
      <c r="AV540" s="141">
        <f t="shared" si="881"/>
        <v>4752</v>
      </c>
      <c r="AW540" s="142">
        <f t="shared" si="930"/>
        <v>678.85714285714289</v>
      </c>
      <c r="AX540" s="126">
        <f t="shared" si="935"/>
        <v>602.09478021978032</v>
      </c>
      <c r="AY540" s="17"/>
      <c r="AZ540" s="128">
        <v>8544700000</v>
      </c>
      <c r="BB540" s="124">
        <f t="shared" si="931"/>
        <v>2908.6704358443499</v>
      </c>
      <c r="BC540" s="124">
        <f t="shared" si="932"/>
        <v>1745.2022615066098</v>
      </c>
      <c r="BD540" s="124">
        <f t="shared" si="933"/>
        <v>1454.3352179221749</v>
      </c>
      <c r="BE540" s="124">
        <f t="shared" si="934"/>
        <v>1163.46817433774</v>
      </c>
    </row>
    <row r="541" spans="1:58" s="129" customFormat="1" hidden="1">
      <c r="A541" s="88" t="s">
        <v>1302</v>
      </c>
      <c r="B541" s="88" t="s">
        <v>1317</v>
      </c>
      <c r="C541" s="88" t="s">
        <v>1317</v>
      </c>
      <c r="D541" s="88" t="s">
        <v>656</v>
      </c>
      <c r="E541" s="88" t="s">
        <v>684</v>
      </c>
      <c r="F541" s="89" t="s">
        <v>702</v>
      </c>
      <c r="G541" s="92" t="s">
        <v>765</v>
      </c>
      <c r="H541" s="320" t="s">
        <v>3399</v>
      </c>
      <c r="I541" s="167" t="s">
        <v>787</v>
      </c>
      <c r="J541" s="167" t="str">
        <f>_xlfn.XLOOKUP(I541,[1]Sheet1!$A:$A,[1]Sheet1!$B:$B,"")</f>
        <v>U0807014</v>
      </c>
      <c r="K541" s="88" t="s">
        <v>788</v>
      </c>
      <c r="L541" s="88" t="s">
        <v>789</v>
      </c>
      <c r="M541" s="92" t="s">
        <v>125</v>
      </c>
      <c r="N541" s="89" t="s">
        <v>60</v>
      </c>
      <c r="O541" s="165"/>
      <c r="P541" s="89" t="s">
        <v>197</v>
      </c>
      <c r="Q541" s="92" t="s">
        <v>690</v>
      </c>
      <c r="R541" s="92">
        <v>4</v>
      </c>
      <c r="S541" s="92" t="e">
        <v>#N/A</v>
      </c>
      <c r="T541" s="92">
        <v>8544700000</v>
      </c>
      <c r="U541" s="155">
        <v>0</v>
      </c>
      <c r="V541" s="207">
        <v>30</v>
      </c>
      <c r="W541" s="92">
        <v>45</v>
      </c>
      <c r="X541" s="92">
        <v>55</v>
      </c>
      <c r="Y541" s="92" t="s">
        <v>691</v>
      </c>
      <c r="Z541" s="133">
        <f t="shared" si="925"/>
        <v>1268.6567164179105</v>
      </c>
      <c r="AA541" s="133"/>
      <c r="AB541" s="124">
        <f t="shared" si="884"/>
        <v>1084.5952557909081</v>
      </c>
      <c r="AC541" s="124"/>
      <c r="AD541" s="213">
        <f t="shared" si="885"/>
        <v>0.1</v>
      </c>
      <c r="AE541" s="213">
        <v>0.1</v>
      </c>
      <c r="AF541" s="215">
        <v>0.31</v>
      </c>
      <c r="AG541" s="215" t="s">
        <v>9</v>
      </c>
      <c r="AH541" s="148">
        <f t="shared" si="936"/>
        <v>1084.5952557909081</v>
      </c>
      <c r="AI541" s="122">
        <f t="shared" si="926"/>
        <v>0.31000000000000005</v>
      </c>
      <c r="AJ541" s="444"/>
      <c r="AK541" s="150">
        <f t="shared" si="928"/>
        <v>944.44444444444446</v>
      </c>
      <c r="AL541" s="148">
        <f t="shared" si="928"/>
        <v>831.52302943969619</v>
      </c>
      <c r="AM541" s="125">
        <f t="shared" si="937"/>
        <v>0.25555555555555554</v>
      </c>
      <c r="AN541" s="125">
        <f t="shared" si="924"/>
        <v>0.23333333333333339</v>
      </c>
      <c r="AO541" s="136">
        <f t="shared" si="929"/>
        <v>0.35</v>
      </c>
      <c r="AP541" s="17" t="s">
        <v>747</v>
      </c>
      <c r="AQ541" s="141"/>
      <c r="AR541" s="141"/>
      <c r="AS541" s="141"/>
      <c r="AT541" s="141"/>
      <c r="AU541" s="141">
        <v>5950</v>
      </c>
      <c r="AV541" s="141">
        <f t="shared" si="881"/>
        <v>5950</v>
      </c>
      <c r="AW541" s="142">
        <f t="shared" si="930"/>
        <v>850</v>
      </c>
      <c r="AX541" s="126">
        <f t="shared" si="935"/>
        <v>748.37072649572656</v>
      </c>
      <c r="AY541" s="17"/>
      <c r="AZ541" s="128">
        <v>8544700000</v>
      </c>
      <c r="BB541" s="124">
        <f t="shared" si="931"/>
        <v>3615.3175193030274</v>
      </c>
      <c r="BC541" s="124">
        <f t="shared" si="932"/>
        <v>2169.1905115818163</v>
      </c>
      <c r="BD541" s="124">
        <f t="shared" si="933"/>
        <v>1807.6587596515137</v>
      </c>
      <c r="BE541" s="124">
        <f t="shared" si="934"/>
        <v>1446.1270077212112</v>
      </c>
    </row>
    <row r="542" spans="1:58" s="129" customFormat="1" hidden="1">
      <c r="A542" s="88" t="s">
        <v>1302</v>
      </c>
      <c r="B542" s="88" t="s">
        <v>1317</v>
      </c>
      <c r="C542" s="88" t="s">
        <v>1317</v>
      </c>
      <c r="D542" s="88" t="s">
        <v>656</v>
      </c>
      <c r="E542" s="88" t="s">
        <v>684</v>
      </c>
      <c r="F542" s="89" t="s">
        <v>702</v>
      </c>
      <c r="G542" s="92" t="s">
        <v>765</v>
      </c>
      <c r="H542" s="320" t="s">
        <v>3400</v>
      </c>
      <c r="I542" s="167" t="s">
        <v>790</v>
      </c>
      <c r="J542" s="167" t="str">
        <f>_xlfn.XLOOKUP(I542,[1]Sheet1!$A:$A,[1]Sheet1!$B:$B,"")</f>
        <v>U0807002</v>
      </c>
      <c r="K542" s="88" t="s">
        <v>791</v>
      </c>
      <c r="L542" s="88" t="s">
        <v>792</v>
      </c>
      <c r="M542" s="92" t="s">
        <v>125</v>
      </c>
      <c r="N542" s="89" t="s">
        <v>60</v>
      </c>
      <c r="O542" s="165"/>
      <c r="P542" s="89" t="s">
        <v>197</v>
      </c>
      <c r="Q542" s="92" t="s">
        <v>690</v>
      </c>
      <c r="R542" s="92">
        <v>4</v>
      </c>
      <c r="S542" s="92" t="e">
        <v>#N/A</v>
      </c>
      <c r="T542" s="92">
        <v>8544700000</v>
      </c>
      <c r="U542" s="155">
        <v>0</v>
      </c>
      <c r="V542" s="207">
        <v>30</v>
      </c>
      <c r="W542" s="92">
        <v>45</v>
      </c>
      <c r="X542" s="92">
        <v>55</v>
      </c>
      <c r="Y542" s="92" t="s">
        <v>691</v>
      </c>
      <c r="Z542" s="133">
        <f t="shared" si="925"/>
        <v>1757.7825159914714</v>
      </c>
      <c r="AA542" s="133"/>
      <c r="AB542" s="124">
        <f t="shared" si="884"/>
        <v>1490.5339225991402</v>
      </c>
      <c r="AC542" s="124"/>
      <c r="AD542" s="213">
        <f t="shared" si="885"/>
        <v>0.1</v>
      </c>
      <c r="AE542" s="213">
        <v>0.1</v>
      </c>
      <c r="AF542" s="215">
        <v>0.31</v>
      </c>
      <c r="AG542" s="215" t="s">
        <v>9</v>
      </c>
      <c r="AH542" s="148">
        <f t="shared" si="936"/>
        <v>1490.5339225991402</v>
      </c>
      <c r="AI542" s="122">
        <f t="shared" si="926"/>
        <v>0.31000000000000005</v>
      </c>
      <c r="AJ542" s="444"/>
      <c r="AK542" s="150">
        <f t="shared" si="928"/>
        <v>1308.5714285714287</v>
      </c>
      <c r="AL542" s="148">
        <f t="shared" si="928"/>
        <v>1142.7426739926739</v>
      </c>
      <c r="AM542" s="125">
        <f t="shared" si="937"/>
        <v>0.25555555555555554</v>
      </c>
      <c r="AN542" s="125">
        <f t="shared" si="924"/>
        <v>0.2333333333333335</v>
      </c>
      <c r="AO542" s="136">
        <f t="shared" si="929"/>
        <v>0.35</v>
      </c>
      <c r="AP542" s="17" t="s">
        <v>747</v>
      </c>
      <c r="AQ542" s="141"/>
      <c r="AR542" s="141"/>
      <c r="AS542" s="141"/>
      <c r="AT542" s="141"/>
      <c r="AU542" s="141">
        <v>8244</v>
      </c>
      <c r="AV542" s="141">
        <f t="shared" si="881"/>
        <v>8244</v>
      </c>
      <c r="AW542" s="142">
        <f t="shared" si="930"/>
        <v>1177.7142857142858</v>
      </c>
      <c r="AX542" s="126">
        <f t="shared" si="935"/>
        <v>1028.4684065934066</v>
      </c>
      <c r="AY542" s="17"/>
      <c r="AZ542" s="128">
        <v>8544700000</v>
      </c>
      <c r="BB542" s="124">
        <f t="shared" si="931"/>
        <v>4968.4464086638009</v>
      </c>
      <c r="BC542" s="124">
        <f t="shared" si="932"/>
        <v>2981.0678451982803</v>
      </c>
      <c r="BD542" s="124">
        <f t="shared" si="933"/>
        <v>2484.2232043319004</v>
      </c>
      <c r="BE542" s="124">
        <f t="shared" si="934"/>
        <v>1987.3785634655205</v>
      </c>
    </row>
    <row r="543" spans="1:58" s="172" customFormat="1" hidden="1">
      <c r="A543" s="88" t="s">
        <v>1302</v>
      </c>
      <c r="B543" s="88" t="s">
        <v>1317</v>
      </c>
      <c r="C543" s="88" t="s">
        <v>1317</v>
      </c>
      <c r="D543" s="88" t="s">
        <v>656</v>
      </c>
      <c r="E543" s="88" t="s">
        <v>684</v>
      </c>
      <c r="F543" s="89" t="s">
        <v>702</v>
      </c>
      <c r="G543" s="92" t="s">
        <v>765</v>
      </c>
      <c r="H543" s="320" t="s">
        <v>3401</v>
      </c>
      <c r="I543" s="167" t="s">
        <v>793</v>
      </c>
      <c r="J543" s="167" t="str">
        <f>_xlfn.XLOOKUP(I543,[1]Sheet1!$A:$A,[1]Sheet1!$B:$B,"")</f>
        <v>U0807006</v>
      </c>
      <c r="K543" s="88" t="s">
        <v>794</v>
      </c>
      <c r="L543" s="88" t="s">
        <v>795</v>
      </c>
      <c r="M543" s="92" t="s">
        <v>125</v>
      </c>
      <c r="N543" s="89" t="s">
        <v>60</v>
      </c>
      <c r="O543" s="165"/>
      <c r="P543" s="89" t="s">
        <v>715</v>
      </c>
      <c r="Q543" s="92" t="s">
        <v>716</v>
      </c>
      <c r="R543" s="92">
        <v>4</v>
      </c>
      <c r="S543" s="92" t="e">
        <v>#N/A</v>
      </c>
      <c r="T543" s="92">
        <v>8544700000</v>
      </c>
      <c r="U543" s="155">
        <v>0</v>
      </c>
      <c r="V543" s="207">
        <v>30</v>
      </c>
      <c r="W543" s="92">
        <v>45</v>
      </c>
      <c r="X543" s="92">
        <v>55</v>
      </c>
      <c r="Y543" s="92" t="s">
        <v>691</v>
      </c>
      <c r="Z543" s="133">
        <f t="shared" si="925"/>
        <v>3408.3155650319832</v>
      </c>
      <c r="AA543" s="133"/>
      <c r="AB543" s="124">
        <f t="shared" si="884"/>
        <v>2860.3557272035532</v>
      </c>
      <c r="AC543" s="124"/>
      <c r="AD543" s="213">
        <f t="shared" si="885"/>
        <v>0.1</v>
      </c>
      <c r="AE543" s="213">
        <v>0.1</v>
      </c>
      <c r="AF543" s="215">
        <v>0.31</v>
      </c>
      <c r="AG543" s="215" t="s">
        <v>9</v>
      </c>
      <c r="AH543" s="148">
        <f t="shared" si="936"/>
        <v>2860.3557272035532</v>
      </c>
      <c r="AI543" s="122">
        <f t="shared" si="926"/>
        <v>0.31000000000000005</v>
      </c>
      <c r="AJ543" s="444"/>
      <c r="AK543" s="150">
        <f t="shared" si="928"/>
        <v>2537.301587301587</v>
      </c>
      <c r="AL543" s="148">
        <f t="shared" si="928"/>
        <v>2192.9393908560573</v>
      </c>
      <c r="AM543" s="125">
        <f t="shared" si="937"/>
        <v>0.25555555555555565</v>
      </c>
      <c r="AN543" s="125">
        <f t="shared" si="924"/>
        <v>0.23333333333333339</v>
      </c>
      <c r="AO543" s="136">
        <f t="shared" si="929"/>
        <v>0.35</v>
      </c>
      <c r="AP543" s="17" t="s">
        <v>747</v>
      </c>
      <c r="AQ543" s="141"/>
      <c r="AR543" s="141"/>
      <c r="AS543" s="141"/>
      <c r="AT543" s="141"/>
      <c r="AU543" s="141">
        <v>15985</v>
      </c>
      <c r="AV543" s="141">
        <f t="shared" si="881"/>
        <v>15985</v>
      </c>
      <c r="AW543" s="142">
        <f t="shared" si="930"/>
        <v>2283.5714285714284</v>
      </c>
      <c r="AX543" s="126">
        <f t="shared" si="935"/>
        <v>1973.6454517704517</v>
      </c>
      <c r="AY543" s="17"/>
      <c r="AZ543" s="128">
        <v>8544700000</v>
      </c>
      <c r="BB543" s="124">
        <f t="shared" si="931"/>
        <v>9534.5190906785119</v>
      </c>
      <c r="BC543" s="124">
        <f t="shared" si="932"/>
        <v>5720.7114544071073</v>
      </c>
      <c r="BD543" s="124">
        <f t="shared" si="933"/>
        <v>4767.259545339256</v>
      </c>
      <c r="BE543" s="124">
        <f t="shared" si="934"/>
        <v>3813.807636271405</v>
      </c>
      <c r="BF543" s="129"/>
    </row>
    <row r="544" spans="1:58" s="129" customFormat="1" hidden="1">
      <c r="A544" s="88" t="s">
        <v>1302</v>
      </c>
      <c r="B544" s="88" t="s">
        <v>1317</v>
      </c>
      <c r="C544" s="88" t="s">
        <v>1317</v>
      </c>
      <c r="D544" s="88" t="s">
        <v>656</v>
      </c>
      <c r="E544" s="88" t="s">
        <v>684</v>
      </c>
      <c r="F544" s="89" t="s">
        <v>702</v>
      </c>
      <c r="G544" s="92" t="s">
        <v>765</v>
      </c>
      <c r="H544" s="320" t="s">
        <v>3398</v>
      </c>
      <c r="I544" s="167" t="s">
        <v>796</v>
      </c>
      <c r="J544" s="167" t="str">
        <f>_xlfn.XLOOKUP(I544,[1]Sheet1!$A:$A,[1]Sheet1!$B:$B,"")</f>
        <v>U0807011</v>
      </c>
      <c r="K544" s="88" t="s">
        <v>797</v>
      </c>
      <c r="L544" s="88" t="s">
        <v>798</v>
      </c>
      <c r="M544" s="92" t="s">
        <v>125</v>
      </c>
      <c r="N544" s="89" t="s">
        <v>60</v>
      </c>
      <c r="O544" s="165"/>
      <c r="P544" s="89" t="s">
        <v>197</v>
      </c>
      <c r="Q544" s="92" t="s">
        <v>690</v>
      </c>
      <c r="R544" s="92">
        <v>4</v>
      </c>
      <c r="S544" s="92" t="e">
        <v>#N/A</v>
      </c>
      <c r="T544" s="92">
        <v>8544700000</v>
      </c>
      <c r="U544" s="155">
        <v>0</v>
      </c>
      <c r="V544" s="207">
        <v>30</v>
      </c>
      <c r="W544" s="92">
        <v>45</v>
      </c>
      <c r="X544" s="92">
        <v>55</v>
      </c>
      <c r="Y544" s="92" t="s">
        <v>691</v>
      </c>
      <c r="Z544" s="133">
        <f t="shared" si="925"/>
        <v>1897.1861471861473</v>
      </c>
      <c r="AA544" s="133"/>
      <c r="AB544" s="124">
        <f t="shared" si="884"/>
        <v>1606.003779717015</v>
      </c>
      <c r="AC544" s="124"/>
      <c r="AD544" s="213">
        <f t="shared" si="885"/>
        <v>0.1</v>
      </c>
      <c r="AE544" s="213">
        <v>0.1</v>
      </c>
      <c r="AF544" s="215">
        <v>0.32</v>
      </c>
      <c r="AG544" s="215" t="s">
        <v>9</v>
      </c>
      <c r="AH544" s="148">
        <f t="shared" si="936"/>
        <v>1606.003779717015</v>
      </c>
      <c r="AI544" s="122">
        <f t="shared" si="926"/>
        <v>0.32000000000000006</v>
      </c>
      <c r="AJ544" s="444"/>
      <c r="AK544" s="150">
        <f t="shared" si="928"/>
        <v>1391.2698412698412</v>
      </c>
      <c r="AL544" s="148">
        <f t="shared" si="928"/>
        <v>1213.4250780084112</v>
      </c>
      <c r="AM544" s="125">
        <f t="shared" si="937"/>
        <v>0.26666666666666672</v>
      </c>
      <c r="AN544" s="125">
        <f t="shared" si="924"/>
        <v>0.24444444444444458</v>
      </c>
      <c r="AO544" s="136">
        <f t="shared" si="929"/>
        <v>0.36</v>
      </c>
      <c r="AP544" s="17" t="s">
        <v>747</v>
      </c>
      <c r="AQ544" s="141"/>
      <c r="AR544" s="141"/>
      <c r="AS544" s="141"/>
      <c r="AT544" s="141"/>
      <c r="AU544" s="141">
        <v>8765</v>
      </c>
      <c r="AV544" s="141">
        <f t="shared" si="881"/>
        <v>8765</v>
      </c>
      <c r="AW544" s="142">
        <f t="shared" si="930"/>
        <v>1252.1428571428571</v>
      </c>
      <c r="AX544" s="126">
        <f t="shared" si="935"/>
        <v>1092.0825702075701</v>
      </c>
      <c r="AY544" s="17"/>
      <c r="AZ544" s="128">
        <v>8544700000</v>
      </c>
      <c r="BB544" s="124">
        <f t="shared" si="931"/>
        <v>5353.3459323900506</v>
      </c>
      <c r="BC544" s="124">
        <f t="shared" si="932"/>
        <v>3212.0075594340301</v>
      </c>
      <c r="BD544" s="124">
        <f t="shared" si="933"/>
        <v>2676.6729661950253</v>
      </c>
      <c r="BE544" s="124">
        <f t="shared" si="934"/>
        <v>2141.3383729560205</v>
      </c>
    </row>
    <row r="545" spans="1:57" s="129" customFormat="1" hidden="1">
      <c r="A545" s="88" t="s">
        <v>1302</v>
      </c>
      <c r="B545" s="88" t="s">
        <v>1317</v>
      </c>
      <c r="C545" s="88" t="s">
        <v>1317</v>
      </c>
      <c r="D545" s="88" t="s">
        <v>656</v>
      </c>
      <c r="E545" s="88" t="s">
        <v>684</v>
      </c>
      <c r="F545" s="89" t="s">
        <v>702</v>
      </c>
      <c r="G545" s="92" t="s">
        <v>765</v>
      </c>
      <c r="H545" s="320" t="s">
        <v>3399</v>
      </c>
      <c r="I545" s="167" t="s">
        <v>799</v>
      </c>
      <c r="J545" s="167" t="str">
        <f>_xlfn.XLOOKUP(I545,[1]Sheet1!$A:$A,[1]Sheet1!$B:$B,"")</f>
        <v>U0807015</v>
      </c>
      <c r="K545" s="88" t="s">
        <v>800</v>
      </c>
      <c r="L545" s="88" t="s">
        <v>801</v>
      </c>
      <c r="M545" s="92" t="s">
        <v>125</v>
      </c>
      <c r="N545" s="89" t="s">
        <v>60</v>
      </c>
      <c r="O545" s="165"/>
      <c r="P545" s="89" t="s">
        <v>197</v>
      </c>
      <c r="Q545" s="92" t="s">
        <v>690</v>
      </c>
      <c r="R545" s="92">
        <v>4</v>
      </c>
      <c r="S545" s="92" t="e">
        <v>#N/A</v>
      </c>
      <c r="T545" s="92">
        <v>8544700000</v>
      </c>
      <c r="U545" s="155">
        <v>0</v>
      </c>
      <c r="V545" s="207">
        <v>30</v>
      </c>
      <c r="W545" s="92">
        <v>45</v>
      </c>
      <c r="X545" s="92">
        <v>55</v>
      </c>
      <c r="Y545" s="92" t="s">
        <v>691</v>
      </c>
      <c r="Z545" s="133">
        <f t="shared" si="925"/>
        <v>2445.670995670996</v>
      </c>
      <c r="AA545" s="133"/>
      <c r="AB545" s="124">
        <f t="shared" si="884"/>
        <v>2061.0062935430583</v>
      </c>
      <c r="AC545" s="124"/>
      <c r="AD545" s="213">
        <f t="shared" si="885"/>
        <v>0.1</v>
      </c>
      <c r="AE545" s="213">
        <v>0.1</v>
      </c>
      <c r="AF545" s="215">
        <v>0.32</v>
      </c>
      <c r="AG545" s="215" t="s">
        <v>9</v>
      </c>
      <c r="AH545" s="148">
        <f t="shared" si="936"/>
        <v>2061.0062935430583</v>
      </c>
      <c r="AI545" s="122">
        <f t="shared" si="926"/>
        <v>0.32000000000000006</v>
      </c>
      <c r="AJ545" s="444"/>
      <c r="AK545" s="150">
        <f t="shared" si="928"/>
        <v>1793.4920634920634</v>
      </c>
      <c r="AL545" s="148">
        <f t="shared" si="928"/>
        <v>1557.2047551214218</v>
      </c>
      <c r="AM545" s="125">
        <f t="shared" si="937"/>
        <v>0.26666666666666683</v>
      </c>
      <c r="AN545" s="125">
        <f t="shared" si="924"/>
        <v>0.24444444444444446</v>
      </c>
      <c r="AO545" s="136">
        <f t="shared" si="929"/>
        <v>0.36</v>
      </c>
      <c r="AP545" s="17" t="s">
        <v>747</v>
      </c>
      <c r="AQ545" s="141"/>
      <c r="AR545" s="141"/>
      <c r="AS545" s="141"/>
      <c r="AT545" s="141"/>
      <c r="AU545" s="141">
        <v>11299</v>
      </c>
      <c r="AV545" s="141">
        <f t="shared" si="881"/>
        <v>11299</v>
      </c>
      <c r="AW545" s="142">
        <f t="shared" si="930"/>
        <v>1614.1428571428571</v>
      </c>
      <c r="AX545" s="126">
        <f t="shared" si="935"/>
        <v>1401.4842796092796</v>
      </c>
      <c r="AY545" s="17"/>
      <c r="AZ545" s="128">
        <v>8544700000</v>
      </c>
      <c r="BB545" s="124">
        <f t="shared" si="931"/>
        <v>6870.0209784768613</v>
      </c>
      <c r="BC545" s="124">
        <f t="shared" si="932"/>
        <v>4122.0125870861166</v>
      </c>
      <c r="BD545" s="124">
        <f t="shared" si="933"/>
        <v>3435.0104892384306</v>
      </c>
      <c r="BE545" s="124">
        <f t="shared" si="934"/>
        <v>2748.0083913907447</v>
      </c>
    </row>
    <row r="546" spans="1:57" s="129" customFormat="1" hidden="1">
      <c r="A546" s="88" t="s">
        <v>1302</v>
      </c>
      <c r="B546" s="88" t="s">
        <v>1317</v>
      </c>
      <c r="C546" s="88" t="s">
        <v>1317</v>
      </c>
      <c r="D546" s="88" t="s">
        <v>656</v>
      </c>
      <c r="E546" s="88" t="s">
        <v>684</v>
      </c>
      <c r="F546" s="89" t="s">
        <v>702</v>
      </c>
      <c r="G546" s="92" t="s">
        <v>765</v>
      </c>
      <c r="H546" s="320" t="s">
        <v>3400</v>
      </c>
      <c r="I546" s="167" t="s">
        <v>802</v>
      </c>
      <c r="J546" s="167" t="str">
        <f>_xlfn.XLOOKUP(I546,[1]Sheet1!$A:$A,[1]Sheet1!$B:$B,"")</f>
        <v>U0807003</v>
      </c>
      <c r="K546" s="88" t="s">
        <v>803</v>
      </c>
      <c r="L546" s="88" t="s">
        <v>804</v>
      </c>
      <c r="M546" s="92" t="s">
        <v>125</v>
      </c>
      <c r="N546" s="89" t="s">
        <v>60</v>
      </c>
      <c r="O546" s="165"/>
      <c r="P546" s="89" t="s">
        <v>197</v>
      </c>
      <c r="Q546" s="92" t="s">
        <v>690</v>
      </c>
      <c r="R546" s="92">
        <v>4</v>
      </c>
      <c r="S546" s="92" t="e">
        <v>#N/A</v>
      </c>
      <c r="T546" s="92">
        <v>8544700000</v>
      </c>
      <c r="U546" s="155">
        <v>0</v>
      </c>
      <c r="V546" s="207">
        <v>30</v>
      </c>
      <c r="W546" s="92">
        <v>45</v>
      </c>
      <c r="X546" s="92">
        <v>55</v>
      </c>
      <c r="Y546" s="92" t="s">
        <v>691</v>
      </c>
      <c r="Z546" s="133">
        <f t="shared" si="925"/>
        <v>3521.2121212121215</v>
      </c>
      <c r="AA546" s="133"/>
      <c r="AB546" s="124">
        <f t="shared" si="884"/>
        <v>2953.234979889392</v>
      </c>
      <c r="AC546" s="124"/>
      <c r="AD546" s="213">
        <f t="shared" si="885"/>
        <v>0.1</v>
      </c>
      <c r="AE546" s="213">
        <v>0.1</v>
      </c>
      <c r="AF546" s="215">
        <v>0.32</v>
      </c>
      <c r="AG546" s="215" t="s">
        <v>9</v>
      </c>
      <c r="AH546" s="148">
        <f t="shared" si="936"/>
        <v>2953.234979889392</v>
      </c>
      <c r="AI546" s="122">
        <f t="shared" si="926"/>
        <v>0.32000000000000006</v>
      </c>
      <c r="AJ546" s="444"/>
      <c r="AK546" s="150">
        <f t="shared" si="928"/>
        <v>2582.2222222222222</v>
      </c>
      <c r="AL546" s="148">
        <f t="shared" si="928"/>
        <v>2231.3330959164291</v>
      </c>
      <c r="AM546" s="125">
        <f t="shared" si="937"/>
        <v>0.26666666666666672</v>
      </c>
      <c r="AN546" s="125">
        <f t="shared" si="924"/>
        <v>0.24444444444444458</v>
      </c>
      <c r="AO546" s="136">
        <f t="shared" si="929"/>
        <v>0.36</v>
      </c>
      <c r="AP546" s="17" t="s">
        <v>747</v>
      </c>
      <c r="AQ546" s="141"/>
      <c r="AR546" s="141"/>
      <c r="AS546" s="141"/>
      <c r="AT546" s="141"/>
      <c r="AU546" s="141">
        <v>16268</v>
      </c>
      <c r="AV546" s="141">
        <f t="shared" si="881"/>
        <v>16268</v>
      </c>
      <c r="AW546" s="142">
        <f t="shared" si="930"/>
        <v>2324</v>
      </c>
      <c r="AX546" s="126">
        <f t="shared" si="935"/>
        <v>2008.1997863247864</v>
      </c>
      <c r="AY546" s="17"/>
      <c r="AZ546" s="128">
        <v>8544700000</v>
      </c>
      <c r="BB546" s="124">
        <f t="shared" si="931"/>
        <v>9844.1165996313066</v>
      </c>
      <c r="BC546" s="124">
        <f t="shared" si="932"/>
        <v>5906.469959778784</v>
      </c>
      <c r="BD546" s="124">
        <f t="shared" si="933"/>
        <v>4922.0582998156533</v>
      </c>
      <c r="BE546" s="124">
        <f t="shared" si="934"/>
        <v>3937.6466398525226</v>
      </c>
    </row>
    <row r="547" spans="1:57" s="129" customFormat="1" hidden="1">
      <c r="A547" s="88" t="s">
        <v>1302</v>
      </c>
      <c r="B547" s="88" t="s">
        <v>1317</v>
      </c>
      <c r="C547" s="88" t="s">
        <v>1317</v>
      </c>
      <c r="D547" s="88" t="s">
        <v>656</v>
      </c>
      <c r="E547" s="88" t="s">
        <v>684</v>
      </c>
      <c r="F547" s="89" t="s">
        <v>702</v>
      </c>
      <c r="G547" s="92" t="s">
        <v>765</v>
      </c>
      <c r="H547" s="320" t="s">
        <v>3401</v>
      </c>
      <c r="I547" s="167" t="s">
        <v>805</v>
      </c>
      <c r="J547" s="167" t="str">
        <f>_xlfn.XLOOKUP(I547,[1]Sheet1!$A:$A,[1]Sheet1!$B:$B,"")</f>
        <v>U0807007</v>
      </c>
      <c r="K547" s="88" t="s">
        <v>806</v>
      </c>
      <c r="L547" s="88" t="s">
        <v>807</v>
      </c>
      <c r="M547" s="92" t="s">
        <v>125</v>
      </c>
      <c r="N547" s="89" t="s">
        <v>60</v>
      </c>
      <c r="O547" s="165"/>
      <c r="P547" s="89" t="s">
        <v>715</v>
      </c>
      <c r="Q547" s="92" t="s">
        <v>716</v>
      </c>
      <c r="R547" s="92">
        <v>4</v>
      </c>
      <c r="S547" s="92" t="e">
        <v>#N/A</v>
      </c>
      <c r="T547" s="92">
        <v>8544700000</v>
      </c>
      <c r="U547" s="155">
        <v>0</v>
      </c>
      <c r="V547" s="207">
        <v>30</v>
      </c>
      <c r="W547" s="92">
        <v>45</v>
      </c>
      <c r="X547" s="92">
        <v>55</v>
      </c>
      <c r="Y547" s="92" t="s">
        <v>691</v>
      </c>
      <c r="Z547" s="133">
        <f t="shared" si="925"/>
        <v>6933.3333333333339</v>
      </c>
      <c r="AA547" s="133"/>
      <c r="AB547" s="124">
        <f t="shared" si="884"/>
        <v>5783.8031045751641</v>
      </c>
      <c r="AC547" s="124"/>
      <c r="AD547" s="213">
        <f t="shared" si="885"/>
        <v>0.1</v>
      </c>
      <c r="AE547" s="213">
        <v>0.1</v>
      </c>
      <c r="AF547" s="215">
        <v>0.32</v>
      </c>
      <c r="AG547" s="215" t="s">
        <v>9</v>
      </c>
      <c r="AH547" s="148">
        <f t="shared" si="936"/>
        <v>5783.8031045751641</v>
      </c>
      <c r="AI547" s="122">
        <f t="shared" si="926"/>
        <v>0.32000000000000006</v>
      </c>
      <c r="AJ547" s="444"/>
      <c r="AK547" s="150">
        <f t="shared" si="928"/>
        <v>5084.4444444444443</v>
      </c>
      <c r="AL547" s="148">
        <f t="shared" si="928"/>
        <v>4369.9845679012351</v>
      </c>
      <c r="AM547" s="125">
        <f t="shared" si="937"/>
        <v>0.26666666666666672</v>
      </c>
      <c r="AN547" s="125">
        <f t="shared" si="924"/>
        <v>0.24444444444444446</v>
      </c>
      <c r="AO547" s="136">
        <f t="shared" si="929"/>
        <v>0.36</v>
      </c>
      <c r="AP547" s="17" t="s">
        <v>747</v>
      </c>
      <c r="AQ547" s="141"/>
      <c r="AR547" s="141"/>
      <c r="AS547" s="141"/>
      <c r="AT547" s="141"/>
      <c r="AU547" s="141">
        <v>32032</v>
      </c>
      <c r="AV547" s="141">
        <f t="shared" si="881"/>
        <v>32032</v>
      </c>
      <c r="AW547" s="142">
        <f t="shared" si="930"/>
        <v>4576</v>
      </c>
      <c r="AX547" s="126">
        <f t="shared" si="935"/>
        <v>3932.9861111111113</v>
      </c>
      <c r="AY547" s="17"/>
      <c r="AZ547" s="128">
        <v>8544700000</v>
      </c>
      <c r="BB547" s="124">
        <f t="shared" si="931"/>
        <v>19279.343681917213</v>
      </c>
      <c r="BC547" s="124">
        <f t="shared" si="932"/>
        <v>11567.606209150328</v>
      </c>
      <c r="BD547" s="124">
        <f t="shared" si="933"/>
        <v>9639.6718409586065</v>
      </c>
      <c r="BE547" s="124">
        <f t="shared" si="934"/>
        <v>7711.7374727668857</v>
      </c>
    </row>
    <row r="548" spans="1:57" s="129" customFormat="1" hidden="1">
      <c r="A548" s="88" t="s">
        <v>1302</v>
      </c>
      <c r="B548" s="88" t="s">
        <v>1317</v>
      </c>
      <c r="C548" s="88" t="s">
        <v>1317</v>
      </c>
      <c r="D548" s="88" t="s">
        <v>656</v>
      </c>
      <c r="E548" s="88" t="s">
        <v>684</v>
      </c>
      <c r="F548" s="89" t="s">
        <v>751</v>
      </c>
      <c r="G548" s="92" t="s">
        <v>765</v>
      </c>
      <c r="H548" s="320" t="s">
        <v>3402</v>
      </c>
      <c r="I548" s="167" t="s">
        <v>808</v>
      </c>
      <c r="J548" s="167" t="str">
        <f>_xlfn.XLOOKUP(I548,[1]Sheet1!$A:$A,[1]Sheet1!$B:$B,"")</f>
        <v>U0805002</v>
      </c>
      <c r="K548" s="88" t="s">
        <v>809</v>
      </c>
      <c r="L548" s="88" t="s">
        <v>810</v>
      </c>
      <c r="M548" s="92" t="s">
        <v>69</v>
      </c>
      <c r="N548" s="89" t="s">
        <v>60</v>
      </c>
      <c r="O548" s="165"/>
      <c r="P548" s="89" t="s">
        <v>197</v>
      </c>
      <c r="Q548" s="92" t="s">
        <v>690</v>
      </c>
      <c r="R548" s="92">
        <v>4</v>
      </c>
      <c r="S548" s="92" t="e">
        <v>#N/A</v>
      </c>
      <c r="T548" s="92">
        <v>8544700000</v>
      </c>
      <c r="U548" s="155">
        <v>0</v>
      </c>
      <c r="V548" s="207">
        <v>30</v>
      </c>
      <c r="W548" s="92">
        <v>45</v>
      </c>
      <c r="X548" s="92">
        <v>55</v>
      </c>
      <c r="Y548" s="92" t="s">
        <v>691</v>
      </c>
      <c r="Z548" s="133">
        <f t="shared" si="925"/>
        <v>5590.408163265306</v>
      </c>
      <c r="AA548" s="133"/>
      <c r="AB548" s="124">
        <f t="shared" si="884"/>
        <v>4675.7828398453403</v>
      </c>
      <c r="AC548" s="124"/>
      <c r="AD548" s="213">
        <f t="shared" si="885"/>
        <v>0.1</v>
      </c>
      <c r="AE548" s="213">
        <v>0.1</v>
      </c>
      <c r="AF548" s="215">
        <v>0.28000000000000003</v>
      </c>
      <c r="AG548" s="215" t="s">
        <v>9</v>
      </c>
      <c r="AH548" s="148">
        <f t="shared" si="936"/>
        <v>4675.7828398453403</v>
      </c>
      <c r="AI548" s="122">
        <f t="shared" si="926"/>
        <v>0.28000000000000003</v>
      </c>
      <c r="AJ548" s="444"/>
      <c r="AK548" s="150">
        <f t="shared" si="928"/>
        <v>4348.0952380952376</v>
      </c>
      <c r="AL548" s="148">
        <f t="shared" si="928"/>
        <v>3740.6262718762719</v>
      </c>
      <c r="AM548" s="125">
        <f t="shared" si="937"/>
        <v>0.22222222222222232</v>
      </c>
      <c r="AN548" s="125">
        <f t="shared" si="924"/>
        <v>0.20000000000000007</v>
      </c>
      <c r="AO548" s="136">
        <f t="shared" si="929"/>
        <v>0.32</v>
      </c>
      <c r="AP548" s="17" t="s">
        <v>747</v>
      </c>
      <c r="AQ548" s="141"/>
      <c r="AR548" s="141"/>
      <c r="AS548" s="141"/>
      <c r="AT548" s="141"/>
      <c r="AU548" s="141">
        <v>27393</v>
      </c>
      <c r="AV548" s="141">
        <f t="shared" si="881"/>
        <v>27393</v>
      </c>
      <c r="AW548" s="142">
        <f t="shared" si="930"/>
        <v>3913.2857142857142</v>
      </c>
      <c r="AX548" s="126">
        <f t="shared" si="935"/>
        <v>3366.5636446886447</v>
      </c>
      <c r="AY548" s="17"/>
      <c r="AZ548" s="128">
        <v>8544700000</v>
      </c>
      <c r="BB548" s="124">
        <f t="shared" si="931"/>
        <v>15585.942799484468</v>
      </c>
      <c r="BC548" s="124">
        <f t="shared" si="932"/>
        <v>9351.5656796906806</v>
      </c>
      <c r="BD548" s="124">
        <f t="shared" si="933"/>
        <v>7792.9713997422341</v>
      </c>
      <c r="BE548" s="124">
        <f t="shared" si="934"/>
        <v>6234.3771197937876</v>
      </c>
    </row>
    <row r="549" spans="1:57" s="129" customFormat="1" hidden="1">
      <c r="A549" s="88" t="s">
        <v>1302</v>
      </c>
      <c r="B549" s="88" t="s">
        <v>1317</v>
      </c>
      <c r="C549" s="88" t="s">
        <v>1317</v>
      </c>
      <c r="D549" s="88" t="s">
        <v>656</v>
      </c>
      <c r="E549" s="88" t="s">
        <v>684</v>
      </c>
      <c r="F549" s="89" t="s">
        <v>751</v>
      </c>
      <c r="G549" s="92" t="s">
        <v>765</v>
      </c>
      <c r="H549" s="320" t="s">
        <v>3403</v>
      </c>
      <c r="I549" s="167" t="s">
        <v>811</v>
      </c>
      <c r="J549" s="167" t="str">
        <f>_xlfn.XLOOKUP(I549,[1]Sheet1!$A:$A,[1]Sheet1!$B:$B,"")</f>
        <v>U0805005</v>
      </c>
      <c r="K549" s="88" t="s">
        <v>812</v>
      </c>
      <c r="L549" s="88" t="s">
        <v>813</v>
      </c>
      <c r="M549" s="92" t="s">
        <v>69</v>
      </c>
      <c r="N549" s="89" t="s">
        <v>60</v>
      </c>
      <c r="O549" s="165"/>
      <c r="P549" s="89" t="s">
        <v>197</v>
      </c>
      <c r="Q549" s="92" t="s">
        <v>690</v>
      </c>
      <c r="R549" s="92">
        <v>4</v>
      </c>
      <c r="S549" s="92" t="e">
        <v>#N/A</v>
      </c>
      <c r="T549" s="92">
        <v>8544700000</v>
      </c>
      <c r="U549" s="155">
        <v>0</v>
      </c>
      <c r="V549" s="207">
        <v>30</v>
      </c>
      <c r="W549" s="92">
        <v>45</v>
      </c>
      <c r="X549" s="92">
        <v>55</v>
      </c>
      <c r="Y549" s="92" t="s">
        <v>691</v>
      </c>
      <c r="Z549" s="133">
        <f t="shared" si="925"/>
        <v>11055.306122448979</v>
      </c>
      <c r="AA549" s="133"/>
      <c r="AB549" s="124">
        <f t="shared" si="884"/>
        <v>9216.8898809523816</v>
      </c>
      <c r="AC549" s="124"/>
      <c r="AD549" s="213">
        <f t="shared" si="885"/>
        <v>0.1</v>
      </c>
      <c r="AE549" s="213">
        <v>0.1</v>
      </c>
      <c r="AF549" s="215">
        <v>0.28000000000000003</v>
      </c>
      <c r="AG549" s="215" t="s">
        <v>9</v>
      </c>
      <c r="AH549" s="148">
        <f t="shared" si="936"/>
        <v>9216.8898809523816</v>
      </c>
      <c r="AI549" s="122">
        <f t="shared" si="926"/>
        <v>0.28000000000000003</v>
      </c>
      <c r="AJ549" s="444"/>
      <c r="AK549" s="150">
        <f t="shared" si="928"/>
        <v>8598.5714285714275</v>
      </c>
      <c r="AL549" s="148">
        <f t="shared" si="928"/>
        <v>7373.5119047619046</v>
      </c>
      <c r="AM549" s="125">
        <f t="shared" si="937"/>
        <v>0.22222222222222232</v>
      </c>
      <c r="AN549" s="125">
        <f t="shared" si="924"/>
        <v>0.20000000000000007</v>
      </c>
      <c r="AO549" s="136">
        <f t="shared" si="929"/>
        <v>0.32</v>
      </c>
      <c r="AP549" s="17" t="s">
        <v>747</v>
      </c>
      <c r="AQ549" s="141"/>
      <c r="AR549" s="141"/>
      <c r="AS549" s="141"/>
      <c r="AT549" s="141"/>
      <c r="AU549" s="141">
        <v>54171</v>
      </c>
      <c r="AV549" s="141">
        <f t="shared" si="881"/>
        <v>54171</v>
      </c>
      <c r="AW549" s="142">
        <f t="shared" si="930"/>
        <v>7738.7142857142853</v>
      </c>
      <c r="AX549" s="126">
        <f t="shared" si="935"/>
        <v>6636.1607142857147</v>
      </c>
      <c r="AY549" s="17"/>
      <c r="AZ549" s="128">
        <v>8544700000</v>
      </c>
      <c r="BB549" s="124">
        <f t="shared" si="931"/>
        <v>30722.966269841272</v>
      </c>
      <c r="BC549" s="124">
        <f t="shared" si="932"/>
        <v>18433.779761904763</v>
      </c>
      <c r="BD549" s="124">
        <f t="shared" si="933"/>
        <v>15361.483134920636</v>
      </c>
      <c r="BE549" s="124">
        <f t="shared" si="934"/>
        <v>12289.186507936509</v>
      </c>
    </row>
    <row r="550" spans="1:57" s="129" customFormat="1" hidden="1">
      <c r="A550" s="88" t="s">
        <v>1302</v>
      </c>
      <c r="B550" s="88" t="s">
        <v>1317</v>
      </c>
      <c r="C550" s="88" t="s">
        <v>1317</v>
      </c>
      <c r="D550" s="88" t="s">
        <v>656</v>
      </c>
      <c r="E550" s="88" t="s">
        <v>684</v>
      </c>
      <c r="F550" s="89" t="s">
        <v>758</v>
      </c>
      <c r="G550" s="92" t="s">
        <v>765</v>
      </c>
      <c r="H550" s="320" t="s">
        <v>3402</v>
      </c>
      <c r="I550" s="167" t="s">
        <v>814</v>
      </c>
      <c r="J550" s="167" t="str">
        <f>_xlfn.XLOOKUP(I550,[1]Sheet1!$A:$A,[1]Sheet1!$B:$B,"")</f>
        <v>U0804002</v>
      </c>
      <c r="K550" s="88" t="s">
        <v>815</v>
      </c>
      <c r="L550" s="88" t="s">
        <v>816</v>
      </c>
      <c r="M550" s="92" t="s">
        <v>69</v>
      </c>
      <c r="N550" s="89" t="s">
        <v>60</v>
      </c>
      <c r="O550" s="165"/>
      <c r="P550" s="89" t="s">
        <v>197</v>
      </c>
      <c r="Q550" s="92" t="s">
        <v>690</v>
      </c>
      <c r="R550" s="92">
        <v>4</v>
      </c>
      <c r="S550" s="92" t="e">
        <v>#N/A</v>
      </c>
      <c r="T550" s="92">
        <v>8544700000</v>
      </c>
      <c r="U550" s="155">
        <v>0</v>
      </c>
      <c r="V550" s="207">
        <v>30</v>
      </c>
      <c r="W550" s="92">
        <v>45</v>
      </c>
      <c r="X550" s="92">
        <v>55</v>
      </c>
      <c r="Y550" s="92" t="s">
        <v>691</v>
      </c>
      <c r="Z550" s="133">
        <f t="shared" si="925"/>
        <v>5656.3265306122457</v>
      </c>
      <c r="AA550" s="133"/>
      <c r="AB550" s="124">
        <f t="shared" si="884"/>
        <v>4730.5583112874783</v>
      </c>
      <c r="AC550" s="124"/>
      <c r="AD550" s="213">
        <f t="shared" si="885"/>
        <v>0.1</v>
      </c>
      <c r="AE550" s="213">
        <v>0.1</v>
      </c>
      <c r="AF550" s="215">
        <v>0.28000000000000003</v>
      </c>
      <c r="AG550" s="215" t="s">
        <v>9</v>
      </c>
      <c r="AH550" s="148">
        <f t="shared" si="936"/>
        <v>4730.5583112874783</v>
      </c>
      <c r="AI550" s="122">
        <f t="shared" si="926"/>
        <v>0.27999999999999992</v>
      </c>
      <c r="AJ550" s="444"/>
      <c r="AK550" s="150">
        <f t="shared" si="928"/>
        <v>4399.3650793650795</v>
      </c>
      <c r="AL550" s="148">
        <f t="shared" si="928"/>
        <v>3784.4466490299828</v>
      </c>
      <c r="AM550" s="125">
        <f t="shared" si="937"/>
        <v>0.22222222222222232</v>
      </c>
      <c r="AN550" s="125">
        <f t="shared" si="924"/>
        <v>0.19999999999999996</v>
      </c>
      <c r="AO550" s="136">
        <f t="shared" si="929"/>
        <v>0.32</v>
      </c>
      <c r="AP550" s="17" t="s">
        <v>747</v>
      </c>
      <c r="AQ550" s="141"/>
      <c r="AR550" s="141"/>
      <c r="AS550" s="141"/>
      <c r="AT550" s="141"/>
      <c r="AU550" s="141">
        <v>27716</v>
      </c>
      <c r="AV550" s="141">
        <f t="shared" si="881"/>
        <v>27716</v>
      </c>
      <c r="AW550" s="142">
        <f t="shared" si="930"/>
        <v>3959.4285714285716</v>
      </c>
      <c r="AX550" s="126">
        <f t="shared" si="935"/>
        <v>3406.0019841269846</v>
      </c>
      <c r="AY550" s="17"/>
      <c r="AZ550" s="128">
        <v>8544700000</v>
      </c>
      <c r="BB550" s="124">
        <f t="shared" si="931"/>
        <v>15768.527704291595</v>
      </c>
      <c r="BC550" s="124">
        <f t="shared" si="932"/>
        <v>9461.1166225749566</v>
      </c>
      <c r="BD550" s="124">
        <f t="shared" si="933"/>
        <v>7884.2638521457975</v>
      </c>
      <c r="BE550" s="124">
        <f t="shared" si="934"/>
        <v>6307.4110817166384</v>
      </c>
    </row>
    <row r="551" spans="1:57" s="129" customFormat="1" hidden="1">
      <c r="A551" s="88" t="s">
        <v>1302</v>
      </c>
      <c r="B551" s="88" t="s">
        <v>1317</v>
      </c>
      <c r="C551" s="88" t="s">
        <v>1317</v>
      </c>
      <c r="D551" s="88" t="s">
        <v>656</v>
      </c>
      <c r="E551" s="88" t="s">
        <v>684</v>
      </c>
      <c r="F551" s="89" t="s">
        <v>758</v>
      </c>
      <c r="G551" s="92" t="s">
        <v>765</v>
      </c>
      <c r="H551" s="320" t="s">
        <v>3403</v>
      </c>
      <c r="I551" s="167" t="s">
        <v>817</v>
      </c>
      <c r="J551" s="167" t="str">
        <f>_xlfn.XLOOKUP(I551,[1]Sheet1!$A:$A,[1]Sheet1!$B:$B,"")</f>
        <v>U0804005</v>
      </c>
      <c r="K551" s="88" t="s">
        <v>818</v>
      </c>
      <c r="L551" s="88" t="s">
        <v>819</v>
      </c>
      <c r="M551" s="92" t="s">
        <v>69</v>
      </c>
      <c r="N551" s="89" t="s">
        <v>60</v>
      </c>
      <c r="O551" s="165"/>
      <c r="P551" s="89" t="s">
        <v>197</v>
      </c>
      <c r="Q551" s="92" t="s">
        <v>690</v>
      </c>
      <c r="R551" s="92">
        <v>4</v>
      </c>
      <c r="S551" s="92" t="e">
        <v>#N/A</v>
      </c>
      <c r="T551" s="92">
        <v>8544700000</v>
      </c>
      <c r="U551" s="155">
        <v>0</v>
      </c>
      <c r="V551" s="207">
        <v>30</v>
      </c>
      <c r="W551" s="92">
        <v>45</v>
      </c>
      <c r="X551" s="92">
        <v>55</v>
      </c>
      <c r="Y551" s="92" t="s">
        <v>691</v>
      </c>
      <c r="Z551" s="133">
        <f t="shared" si="925"/>
        <v>11123.673469387755</v>
      </c>
      <c r="AA551" s="133"/>
      <c r="AB551" s="124">
        <f t="shared" si="884"/>
        <v>9273.7003544295221</v>
      </c>
      <c r="AC551" s="124"/>
      <c r="AD551" s="213">
        <f t="shared" si="885"/>
        <v>0.1</v>
      </c>
      <c r="AE551" s="213">
        <v>0.1</v>
      </c>
      <c r="AF551" s="215">
        <v>0.28000000000000003</v>
      </c>
      <c r="AG551" s="215" t="s">
        <v>9</v>
      </c>
      <c r="AH551" s="148">
        <f t="shared" si="936"/>
        <v>9273.7003544295221</v>
      </c>
      <c r="AI551" s="122">
        <f t="shared" si="926"/>
        <v>0.28000000000000014</v>
      </c>
      <c r="AJ551" s="444"/>
      <c r="AK551" s="150">
        <f t="shared" si="928"/>
        <v>8651.7460317460318</v>
      </c>
      <c r="AL551" s="148">
        <f t="shared" si="928"/>
        <v>7418.9602835436162</v>
      </c>
      <c r="AM551" s="125">
        <f t="shared" si="937"/>
        <v>0.22222222222222221</v>
      </c>
      <c r="AN551" s="125">
        <f t="shared" si="924"/>
        <v>0.20000000000000018</v>
      </c>
      <c r="AO551" s="136">
        <f t="shared" si="929"/>
        <v>0.32</v>
      </c>
      <c r="AP551" s="17" t="s">
        <v>747</v>
      </c>
      <c r="AQ551" s="141"/>
      <c r="AR551" s="141"/>
      <c r="AS551" s="141"/>
      <c r="AT551" s="141"/>
      <c r="AU551" s="141">
        <v>54506</v>
      </c>
      <c r="AV551" s="141">
        <f t="shared" si="881"/>
        <v>54506</v>
      </c>
      <c r="AW551" s="142">
        <f t="shared" si="930"/>
        <v>7786.5714285714284</v>
      </c>
      <c r="AX551" s="126">
        <f t="shared" si="935"/>
        <v>6677.0642551892552</v>
      </c>
      <c r="AY551" s="17"/>
      <c r="AZ551" s="128">
        <v>8544700000</v>
      </c>
      <c r="BB551" s="124">
        <f t="shared" si="931"/>
        <v>30912.334514765076</v>
      </c>
      <c r="BC551" s="124">
        <f t="shared" si="932"/>
        <v>18547.400708859044</v>
      </c>
      <c r="BD551" s="124">
        <f t="shared" si="933"/>
        <v>15456.167257382538</v>
      </c>
      <c r="BE551" s="124">
        <f t="shared" si="934"/>
        <v>12364.933805906032</v>
      </c>
    </row>
    <row r="552" spans="1:57" s="129" customFormat="1" hidden="1">
      <c r="A552" s="88" t="s">
        <v>1302</v>
      </c>
      <c r="B552" s="88" t="s">
        <v>1317</v>
      </c>
      <c r="C552" s="88" t="s">
        <v>1317</v>
      </c>
      <c r="D552" s="88" t="s">
        <v>656</v>
      </c>
      <c r="E552" s="88" t="s">
        <v>684</v>
      </c>
      <c r="F552" s="89" t="s">
        <v>686</v>
      </c>
      <c r="G552" s="92" t="s">
        <v>820</v>
      </c>
      <c r="H552" s="320" t="s">
        <v>3398</v>
      </c>
      <c r="I552" s="167" t="s">
        <v>821</v>
      </c>
      <c r="J552" s="167" t="str">
        <f>_xlfn.XLOOKUP(I552,[1]Sheet1!$A:$A,[1]Sheet1!$B:$B,"")</f>
        <v>U0803012</v>
      </c>
      <c r="K552" s="88" t="s">
        <v>822</v>
      </c>
      <c r="L552" s="88" t="s">
        <v>823</v>
      </c>
      <c r="M552" s="92" t="s">
        <v>69</v>
      </c>
      <c r="N552" s="89" t="s">
        <v>60</v>
      </c>
      <c r="O552" s="165"/>
      <c r="P552" s="89" t="s">
        <v>197</v>
      </c>
      <c r="Q552" s="92" t="s">
        <v>690</v>
      </c>
      <c r="R552" s="92">
        <v>4</v>
      </c>
      <c r="S552" s="92" t="e">
        <v>#N/A</v>
      </c>
      <c r="T552" s="92">
        <v>8544700000</v>
      </c>
      <c r="U552" s="155">
        <v>0</v>
      </c>
      <c r="V552" s="207">
        <v>30</v>
      </c>
      <c r="W552" s="92">
        <v>45</v>
      </c>
      <c r="X552" s="92">
        <v>55</v>
      </c>
      <c r="Y552" s="92" t="s">
        <v>691</v>
      </c>
      <c r="Z552" s="133">
        <f t="shared" si="925"/>
        <v>1707.8674948240166</v>
      </c>
      <c r="AA552" s="133"/>
      <c r="AB552" s="124">
        <f t="shared" si="884"/>
        <v>1449.4069115547989</v>
      </c>
      <c r="AC552" s="124"/>
      <c r="AD552" s="213">
        <f t="shared" si="885"/>
        <v>0.1</v>
      </c>
      <c r="AE552" s="213">
        <v>0.1</v>
      </c>
      <c r="AF552" s="215">
        <v>0.28999999999999998</v>
      </c>
      <c r="AG552" s="215" t="s">
        <v>9</v>
      </c>
      <c r="AH552" s="148">
        <f t="shared" si="936"/>
        <v>1449.4069115547989</v>
      </c>
      <c r="AI552" s="122">
        <f t="shared" si="926"/>
        <v>0.29000000000000004</v>
      </c>
      <c r="AJ552" s="444"/>
      <c r="AK552" s="150">
        <f t="shared" si="928"/>
        <v>1309.3650793650793</v>
      </c>
      <c r="AL552" s="148">
        <f t="shared" si="928"/>
        <v>1143.4210080043413</v>
      </c>
      <c r="AM552" s="125">
        <f t="shared" si="937"/>
        <v>0.23333333333333339</v>
      </c>
      <c r="AN552" s="125">
        <f t="shared" si="924"/>
        <v>0.21111111111111114</v>
      </c>
      <c r="AO552" s="136">
        <f t="shared" si="929"/>
        <v>0.32999999999999996</v>
      </c>
      <c r="AP552" s="17" t="s">
        <v>747</v>
      </c>
      <c r="AQ552" s="141"/>
      <c r="AR552" s="141"/>
      <c r="AS552" s="141"/>
      <c r="AT552" s="141"/>
      <c r="AU552" s="141">
        <v>8249</v>
      </c>
      <c r="AV552" s="141">
        <f t="shared" si="881"/>
        <v>8249</v>
      </c>
      <c r="AW552" s="142">
        <f t="shared" si="930"/>
        <v>1178.4285714285713</v>
      </c>
      <c r="AX552" s="126">
        <f t="shared" si="935"/>
        <v>1029.0789072039072</v>
      </c>
      <c r="AY552" s="17"/>
      <c r="AZ552" s="128">
        <v>8544700000</v>
      </c>
      <c r="BB552" s="124">
        <f t="shared" si="931"/>
        <v>4831.3563718493297</v>
      </c>
      <c r="BC552" s="124">
        <f t="shared" si="932"/>
        <v>2898.8138231095977</v>
      </c>
      <c r="BD552" s="124">
        <f t="shared" si="933"/>
        <v>2415.6781859246648</v>
      </c>
      <c r="BE552" s="124">
        <f t="shared" si="934"/>
        <v>1932.542548739732</v>
      </c>
    </row>
    <row r="553" spans="1:57" s="129" customFormat="1" hidden="1">
      <c r="A553" s="88" t="s">
        <v>1302</v>
      </c>
      <c r="B553" s="88" t="s">
        <v>1317</v>
      </c>
      <c r="C553" s="88" t="s">
        <v>1317</v>
      </c>
      <c r="D553" s="88" t="s">
        <v>656</v>
      </c>
      <c r="E553" s="88" t="s">
        <v>684</v>
      </c>
      <c r="F553" s="89" t="s">
        <v>686</v>
      </c>
      <c r="G553" s="92" t="s">
        <v>820</v>
      </c>
      <c r="H553" s="320" t="s">
        <v>3399</v>
      </c>
      <c r="I553" s="167" t="s">
        <v>824</v>
      </c>
      <c r="J553" s="167" t="str">
        <f>_xlfn.XLOOKUP(I553,[1]Sheet1!$A:$A,[1]Sheet1!$B:$B,"")</f>
        <v>U0803017</v>
      </c>
      <c r="K553" s="88" t="s">
        <v>825</v>
      </c>
      <c r="L553" s="88" t="s">
        <v>826</v>
      </c>
      <c r="M553" s="92" t="s">
        <v>69</v>
      </c>
      <c r="N553" s="89" t="s">
        <v>60</v>
      </c>
      <c r="O553" s="165"/>
      <c r="P553" s="89" t="s">
        <v>197</v>
      </c>
      <c r="Q553" s="92" t="s">
        <v>690</v>
      </c>
      <c r="R553" s="92">
        <v>4</v>
      </c>
      <c r="S553" s="92" t="e">
        <v>#N/A</v>
      </c>
      <c r="T553" s="92">
        <v>8544700000</v>
      </c>
      <c r="U553" s="155">
        <v>0</v>
      </c>
      <c r="V553" s="207">
        <v>30</v>
      </c>
      <c r="W553" s="92">
        <v>45</v>
      </c>
      <c r="X553" s="92">
        <v>55</v>
      </c>
      <c r="Y553" s="92" t="s">
        <v>691</v>
      </c>
      <c r="Z553" s="133">
        <f t="shared" si="925"/>
        <v>2196.6873706004144</v>
      </c>
      <c r="AA553" s="133"/>
      <c r="AB553" s="124">
        <f t="shared" si="884"/>
        <v>1855.4328105384445</v>
      </c>
      <c r="AC553" s="124"/>
      <c r="AD553" s="213">
        <f t="shared" si="885"/>
        <v>0.1</v>
      </c>
      <c r="AE553" s="213">
        <v>0.1</v>
      </c>
      <c r="AF553" s="215">
        <v>0.28999999999999998</v>
      </c>
      <c r="AG553" s="215" t="s">
        <v>9</v>
      </c>
      <c r="AH553" s="148">
        <f t="shared" si="936"/>
        <v>1855.4328105384445</v>
      </c>
      <c r="AI553" s="122">
        <f t="shared" si="926"/>
        <v>0.29000000000000004</v>
      </c>
      <c r="AJ553" s="444"/>
      <c r="AK553" s="150">
        <f t="shared" si="928"/>
        <v>1684.1269841269841</v>
      </c>
      <c r="AL553" s="148">
        <f t="shared" si="928"/>
        <v>1463.7303283136616</v>
      </c>
      <c r="AM553" s="125">
        <f t="shared" si="937"/>
        <v>0.2333333333333335</v>
      </c>
      <c r="AN553" s="125">
        <f t="shared" si="924"/>
        <v>0.21111111111111125</v>
      </c>
      <c r="AO553" s="136">
        <f t="shared" si="929"/>
        <v>0.32999999999999996</v>
      </c>
      <c r="AP553" s="17" t="s">
        <v>747</v>
      </c>
      <c r="AQ553" s="141"/>
      <c r="AR553" s="141"/>
      <c r="AS553" s="141"/>
      <c r="AT553" s="141"/>
      <c r="AU553" s="141">
        <v>10610</v>
      </c>
      <c r="AV553" s="141">
        <f t="shared" si="881"/>
        <v>10610</v>
      </c>
      <c r="AW553" s="142">
        <f t="shared" si="930"/>
        <v>1515.7142857142858</v>
      </c>
      <c r="AX553" s="126">
        <f t="shared" si="935"/>
        <v>1317.3572954822955</v>
      </c>
      <c r="AY553" s="17"/>
      <c r="AZ553" s="128">
        <v>8544700000</v>
      </c>
      <c r="BB553" s="124">
        <f t="shared" si="931"/>
        <v>6184.7760351281486</v>
      </c>
      <c r="BC553" s="124">
        <f t="shared" si="932"/>
        <v>3710.8656210768891</v>
      </c>
      <c r="BD553" s="124">
        <f t="shared" si="933"/>
        <v>3092.3880175640743</v>
      </c>
      <c r="BE553" s="124">
        <f t="shared" si="934"/>
        <v>2473.9104140512595</v>
      </c>
    </row>
    <row r="554" spans="1:57" s="129" customFormat="1" hidden="1">
      <c r="A554" s="88" t="s">
        <v>1302</v>
      </c>
      <c r="B554" s="88" t="s">
        <v>1317</v>
      </c>
      <c r="C554" s="88" t="s">
        <v>1317</v>
      </c>
      <c r="D554" s="88" t="s">
        <v>656</v>
      </c>
      <c r="E554" s="88" t="s">
        <v>684</v>
      </c>
      <c r="F554" s="89" t="s">
        <v>686</v>
      </c>
      <c r="G554" s="92" t="s">
        <v>820</v>
      </c>
      <c r="H554" s="320" t="s">
        <v>3400</v>
      </c>
      <c r="I554" s="167" t="s">
        <v>827</v>
      </c>
      <c r="J554" s="167" t="str">
        <f>_xlfn.XLOOKUP(I554,[1]Sheet1!$A:$A,[1]Sheet1!$B:$B,"")</f>
        <v>U0803003</v>
      </c>
      <c r="K554" s="88" t="s">
        <v>828</v>
      </c>
      <c r="L554" s="88" t="s">
        <v>829</v>
      </c>
      <c r="M554" s="92" t="s">
        <v>69</v>
      </c>
      <c r="N554" s="89" t="s">
        <v>60</v>
      </c>
      <c r="O554" s="165"/>
      <c r="P554" s="89" t="s">
        <v>197</v>
      </c>
      <c r="Q554" s="92" t="s">
        <v>690</v>
      </c>
      <c r="R554" s="92">
        <v>4</v>
      </c>
      <c r="S554" s="92" t="e">
        <v>#N/A</v>
      </c>
      <c r="T554" s="92">
        <v>8544700000</v>
      </c>
      <c r="U554" s="155">
        <v>0</v>
      </c>
      <c r="V554" s="207">
        <v>30</v>
      </c>
      <c r="W554" s="92">
        <v>45</v>
      </c>
      <c r="X554" s="92">
        <v>55</v>
      </c>
      <c r="Y554" s="92" t="s">
        <v>691</v>
      </c>
      <c r="Z554" s="133">
        <f t="shared" si="925"/>
        <v>3177.225672877847</v>
      </c>
      <c r="AA554" s="133"/>
      <c r="AB554" s="124">
        <f t="shared" si="884"/>
        <v>2669.8922165471463</v>
      </c>
      <c r="AC554" s="124"/>
      <c r="AD554" s="213">
        <f t="shared" si="885"/>
        <v>0.1</v>
      </c>
      <c r="AE554" s="213">
        <v>0.1</v>
      </c>
      <c r="AF554" s="215">
        <v>0.28999999999999998</v>
      </c>
      <c r="AG554" s="215" t="s">
        <v>9</v>
      </c>
      <c r="AH554" s="148">
        <f t="shared" si="936"/>
        <v>2669.8922165471463</v>
      </c>
      <c r="AI554" s="122">
        <f t="shared" si="926"/>
        <v>0.29000000000000004</v>
      </c>
      <c r="AJ554" s="444"/>
      <c r="AK554" s="150">
        <f t="shared" si="928"/>
        <v>2435.8730158730159</v>
      </c>
      <c r="AL554" s="148">
        <f t="shared" si="928"/>
        <v>2106.2483041649707</v>
      </c>
      <c r="AM554" s="125">
        <f t="shared" si="937"/>
        <v>0.23333333333333339</v>
      </c>
      <c r="AN554" s="125">
        <f t="shared" si="924"/>
        <v>0.21111111111111125</v>
      </c>
      <c r="AO554" s="136">
        <f t="shared" si="929"/>
        <v>0.32999999999999996</v>
      </c>
      <c r="AP554" s="17" t="s">
        <v>747</v>
      </c>
      <c r="AQ554" s="141"/>
      <c r="AR554" s="141"/>
      <c r="AS554" s="141"/>
      <c r="AT554" s="141"/>
      <c r="AU554" s="141">
        <v>15346</v>
      </c>
      <c r="AV554" s="141">
        <f t="shared" si="881"/>
        <v>15346</v>
      </c>
      <c r="AW554" s="142">
        <f t="shared" si="930"/>
        <v>2192.2857142857142</v>
      </c>
      <c r="AX554" s="126">
        <f t="shared" si="935"/>
        <v>1895.6234737484738</v>
      </c>
      <c r="AY554" s="17"/>
      <c r="AZ554" s="128">
        <v>8544700000</v>
      </c>
      <c r="BB554" s="124">
        <f t="shared" si="931"/>
        <v>8899.6407218238219</v>
      </c>
      <c r="BC554" s="124">
        <f t="shared" si="932"/>
        <v>5339.7844330942926</v>
      </c>
      <c r="BD554" s="124">
        <f t="shared" si="933"/>
        <v>4449.8203609119109</v>
      </c>
      <c r="BE554" s="124">
        <f t="shared" si="934"/>
        <v>3559.8562887295288</v>
      </c>
    </row>
    <row r="555" spans="1:57" s="129" customFormat="1" hidden="1">
      <c r="A555" s="88" t="s">
        <v>1302</v>
      </c>
      <c r="B555" s="88" t="s">
        <v>1317</v>
      </c>
      <c r="C555" s="88" t="s">
        <v>1317</v>
      </c>
      <c r="D555" s="88" t="s">
        <v>656</v>
      </c>
      <c r="E555" s="88" t="s">
        <v>684</v>
      </c>
      <c r="F555" s="89" t="s">
        <v>686</v>
      </c>
      <c r="G555" s="92" t="s">
        <v>820</v>
      </c>
      <c r="H555" s="320" t="s">
        <v>3401</v>
      </c>
      <c r="I555" s="167" t="s">
        <v>830</v>
      </c>
      <c r="J555" s="167" t="str">
        <f>_xlfn.XLOOKUP(I555,[1]Sheet1!$A:$A,[1]Sheet1!$B:$B,"")</f>
        <v>U0803007</v>
      </c>
      <c r="K555" s="88" t="s">
        <v>831</v>
      </c>
      <c r="L555" s="88" t="s">
        <v>832</v>
      </c>
      <c r="M555" s="92" t="s">
        <v>69</v>
      </c>
      <c r="N555" s="89" t="s">
        <v>60</v>
      </c>
      <c r="O555" s="165"/>
      <c r="P555" s="89" t="s">
        <v>197</v>
      </c>
      <c r="Q555" s="92" t="s">
        <v>690</v>
      </c>
      <c r="R555" s="92">
        <v>4</v>
      </c>
      <c r="S555" s="92" t="e">
        <v>#N/A</v>
      </c>
      <c r="T555" s="92">
        <v>8544700000</v>
      </c>
      <c r="U555" s="155">
        <v>0</v>
      </c>
      <c r="V555" s="207">
        <v>30</v>
      </c>
      <c r="W555" s="92">
        <v>45</v>
      </c>
      <c r="X555" s="92">
        <v>55</v>
      </c>
      <c r="Y555" s="92" t="s">
        <v>691</v>
      </c>
      <c r="Z555" s="133">
        <f t="shared" si="925"/>
        <v>6180.1242236024855</v>
      </c>
      <c r="AA555" s="133"/>
      <c r="AB555" s="124">
        <f t="shared" si="884"/>
        <v>5164.1741474487962</v>
      </c>
      <c r="AC555" s="124"/>
      <c r="AD555" s="213">
        <f t="shared" si="885"/>
        <v>0.1</v>
      </c>
      <c r="AE555" s="213">
        <v>0.1</v>
      </c>
      <c r="AF555" s="215">
        <v>0.28999999999999998</v>
      </c>
      <c r="AG555" s="215" t="s">
        <v>9</v>
      </c>
      <c r="AH555" s="148">
        <f t="shared" si="936"/>
        <v>5164.1741474487962</v>
      </c>
      <c r="AI555" s="122">
        <f t="shared" si="926"/>
        <v>0.29000000000000004</v>
      </c>
      <c r="AJ555" s="444"/>
      <c r="AK555" s="150">
        <f t="shared" si="928"/>
        <v>4738.0952380952385</v>
      </c>
      <c r="AL555" s="148">
        <f t="shared" si="928"/>
        <v>4073.9596052096058</v>
      </c>
      <c r="AM555" s="125">
        <f t="shared" si="937"/>
        <v>0.23333333333333339</v>
      </c>
      <c r="AN555" s="125">
        <f t="shared" si="924"/>
        <v>0.21111111111111114</v>
      </c>
      <c r="AO555" s="136">
        <f t="shared" si="929"/>
        <v>0.32999999999999996</v>
      </c>
      <c r="AP555" s="17" t="s">
        <v>747</v>
      </c>
      <c r="AQ555" s="141"/>
      <c r="AR555" s="141"/>
      <c r="AS555" s="141"/>
      <c r="AT555" s="141"/>
      <c r="AU555" s="141">
        <v>29850</v>
      </c>
      <c r="AV555" s="141">
        <f t="shared" si="881"/>
        <v>29850</v>
      </c>
      <c r="AW555" s="142">
        <f t="shared" si="930"/>
        <v>4264.2857142857147</v>
      </c>
      <c r="AX555" s="126">
        <f t="shared" si="935"/>
        <v>3666.5636446886451</v>
      </c>
      <c r="AY555" s="17"/>
      <c r="AZ555" s="128">
        <v>8544700000</v>
      </c>
      <c r="BB555" s="124">
        <f t="shared" si="931"/>
        <v>17213.91382482932</v>
      </c>
      <c r="BC555" s="124">
        <f t="shared" si="932"/>
        <v>10328.348294897592</v>
      </c>
      <c r="BD555" s="124">
        <f t="shared" si="933"/>
        <v>8606.9569124146601</v>
      </c>
      <c r="BE555" s="124">
        <f t="shared" si="934"/>
        <v>6885.5655299317286</v>
      </c>
    </row>
    <row r="556" spans="1:57" s="129" customFormat="1" hidden="1">
      <c r="A556" s="88" t="s">
        <v>1302</v>
      </c>
      <c r="B556" s="88" t="s">
        <v>1317</v>
      </c>
      <c r="C556" s="88" t="s">
        <v>1317</v>
      </c>
      <c r="D556" s="88" t="s">
        <v>656</v>
      </c>
      <c r="E556" s="88" t="s">
        <v>684</v>
      </c>
      <c r="F556" s="89" t="s">
        <v>743</v>
      </c>
      <c r="G556" s="92" t="s">
        <v>820</v>
      </c>
      <c r="H556" s="320" t="s">
        <v>3402</v>
      </c>
      <c r="I556" s="167" t="s">
        <v>833</v>
      </c>
      <c r="J556" s="167" t="str">
        <f>_xlfn.XLOOKUP(I556,[1]Sheet1!$A:$A,[1]Sheet1!$B:$B,"")</f>
        <v>U0806003</v>
      </c>
      <c r="K556" s="88" t="s">
        <v>834</v>
      </c>
      <c r="L556" s="88" t="s">
        <v>835</v>
      </c>
      <c r="M556" s="92" t="s">
        <v>69</v>
      </c>
      <c r="N556" s="89" t="s">
        <v>60</v>
      </c>
      <c r="O556" s="165"/>
      <c r="P556" s="89" t="s">
        <v>197</v>
      </c>
      <c r="Q556" s="92" t="s">
        <v>690</v>
      </c>
      <c r="R556" s="92">
        <v>4</v>
      </c>
      <c r="S556" s="92" t="e">
        <v>#N/A</v>
      </c>
      <c r="T556" s="92">
        <v>8544700000</v>
      </c>
      <c r="U556" s="155">
        <v>0</v>
      </c>
      <c r="V556" s="207">
        <v>30</v>
      </c>
      <c r="W556" s="92">
        <v>45</v>
      </c>
      <c r="X556" s="92">
        <v>55</v>
      </c>
      <c r="Y556" s="92" t="s">
        <v>691</v>
      </c>
      <c r="Z556" s="133">
        <f t="shared" si="925"/>
        <v>11418.277310924372</v>
      </c>
      <c r="AA556" s="133"/>
      <c r="AB556" s="124">
        <f t="shared" si="884"/>
        <v>9511.6267660910526</v>
      </c>
      <c r="AC556" s="124"/>
      <c r="AD556" s="213">
        <f t="shared" si="885"/>
        <v>0.1</v>
      </c>
      <c r="AE556" s="213">
        <v>0.1</v>
      </c>
      <c r="AF556" s="215">
        <v>0.3</v>
      </c>
      <c r="AG556" s="215" t="s">
        <v>9</v>
      </c>
      <c r="AH556" s="148">
        <f t="shared" si="936"/>
        <v>9511.6267660910526</v>
      </c>
      <c r="AI556" s="122">
        <f t="shared" si="926"/>
        <v>0.29999999999999993</v>
      </c>
      <c r="AJ556" s="444"/>
      <c r="AK556" s="150">
        <f t="shared" si="928"/>
        <v>8627.1428571428569</v>
      </c>
      <c r="AL556" s="148">
        <f t="shared" si="928"/>
        <v>7397.9319291819302</v>
      </c>
      <c r="AM556" s="125">
        <f t="shared" si="937"/>
        <v>0.24444444444444458</v>
      </c>
      <c r="AN556" s="125">
        <f t="shared" si="924"/>
        <v>0.22222222222222221</v>
      </c>
      <c r="AO556" s="136">
        <f t="shared" si="929"/>
        <v>0.33999999999999997</v>
      </c>
      <c r="AP556" s="17" t="s">
        <v>747</v>
      </c>
      <c r="AQ556" s="141"/>
      <c r="AR556" s="141"/>
      <c r="AS556" s="141"/>
      <c r="AT556" s="141"/>
      <c r="AU556" s="141">
        <v>54351</v>
      </c>
      <c r="AV556" s="141">
        <f t="shared" si="881"/>
        <v>54351</v>
      </c>
      <c r="AW556" s="142">
        <f t="shared" si="930"/>
        <v>7764.4285714285716</v>
      </c>
      <c r="AX556" s="126">
        <f t="shared" si="935"/>
        <v>6658.138736263737</v>
      </c>
      <c r="AY556" s="17"/>
      <c r="AZ556" s="128">
        <v>8544700000</v>
      </c>
      <c r="BB556" s="124">
        <f t="shared" si="931"/>
        <v>31705.422553636843</v>
      </c>
      <c r="BC556" s="124">
        <f t="shared" si="932"/>
        <v>19023.253532182105</v>
      </c>
      <c r="BD556" s="124">
        <f t="shared" si="933"/>
        <v>15852.711276818422</v>
      </c>
      <c r="BE556" s="124">
        <f t="shared" si="934"/>
        <v>12682.169021454738</v>
      </c>
    </row>
    <row r="557" spans="1:57" s="129" customFormat="1" hidden="1">
      <c r="A557" s="88" t="s">
        <v>1302</v>
      </c>
      <c r="B557" s="88" t="s">
        <v>1317</v>
      </c>
      <c r="C557" s="88" t="s">
        <v>1317</v>
      </c>
      <c r="D557" s="88" t="s">
        <v>656</v>
      </c>
      <c r="E557" s="88" t="s">
        <v>684</v>
      </c>
      <c r="F557" s="89" t="s">
        <v>743</v>
      </c>
      <c r="G557" s="92" t="s">
        <v>820</v>
      </c>
      <c r="H557" s="320" t="s">
        <v>3403</v>
      </c>
      <c r="I557" s="167" t="s">
        <v>836</v>
      </c>
      <c r="J557" s="167" t="str">
        <f>_xlfn.XLOOKUP(I557,[1]Sheet1!$A:$A,[1]Sheet1!$B:$B,"")</f>
        <v>U0806007</v>
      </c>
      <c r="K557" s="88" t="s">
        <v>837</v>
      </c>
      <c r="L557" s="88" t="s">
        <v>838</v>
      </c>
      <c r="M557" s="92" t="s">
        <v>69</v>
      </c>
      <c r="N557" s="89" t="s">
        <v>60</v>
      </c>
      <c r="O557" s="165"/>
      <c r="P557" s="89" t="s">
        <v>197</v>
      </c>
      <c r="Q557" s="92" t="s">
        <v>690</v>
      </c>
      <c r="R557" s="92">
        <v>4</v>
      </c>
      <c r="S557" s="92" t="e">
        <v>#N/A</v>
      </c>
      <c r="T557" s="92">
        <v>8544700000</v>
      </c>
      <c r="U557" s="155">
        <v>0</v>
      </c>
      <c r="V557" s="207">
        <v>30</v>
      </c>
      <c r="W557" s="92">
        <v>45</v>
      </c>
      <c r="X557" s="92">
        <v>55</v>
      </c>
      <c r="Y557" s="92" t="s">
        <v>691</v>
      </c>
      <c r="Z557" s="133">
        <f t="shared" si="925"/>
        <v>22078.151260504204</v>
      </c>
      <c r="AA557" s="133"/>
      <c r="AB557" s="124">
        <f t="shared" si="884"/>
        <v>18362.315759637189</v>
      </c>
      <c r="AC557" s="124"/>
      <c r="AD557" s="213">
        <f t="shared" si="885"/>
        <v>0.1</v>
      </c>
      <c r="AE557" s="213">
        <v>0.1</v>
      </c>
      <c r="AF557" s="215">
        <v>0.3</v>
      </c>
      <c r="AG557" s="215" t="s">
        <v>9</v>
      </c>
      <c r="AH557" s="148">
        <f t="shared" si="936"/>
        <v>18362.315759637189</v>
      </c>
      <c r="AI557" s="122">
        <f t="shared" si="926"/>
        <v>0.30000000000000004</v>
      </c>
      <c r="AJ557" s="444"/>
      <c r="AK557" s="150">
        <f t="shared" si="928"/>
        <v>16681.269841269841</v>
      </c>
      <c r="AL557" s="148">
        <f t="shared" si="928"/>
        <v>14281.80114638448</v>
      </c>
      <c r="AM557" s="125">
        <f t="shared" si="937"/>
        <v>0.24444444444444458</v>
      </c>
      <c r="AN557" s="125">
        <f t="shared" si="924"/>
        <v>0.22222222222222232</v>
      </c>
      <c r="AO557" s="136">
        <f t="shared" si="929"/>
        <v>0.33999999999999997</v>
      </c>
      <c r="AP557" s="17" t="s">
        <v>747</v>
      </c>
      <c r="AQ557" s="141"/>
      <c r="AR557" s="141"/>
      <c r="AS557" s="141"/>
      <c r="AT557" s="141"/>
      <c r="AU557" s="141">
        <v>105092</v>
      </c>
      <c r="AV557" s="141">
        <f t="shared" si="881"/>
        <v>105092</v>
      </c>
      <c r="AW557" s="142">
        <f t="shared" si="930"/>
        <v>15013.142857142857</v>
      </c>
      <c r="AX557" s="126">
        <f t="shared" si="935"/>
        <v>12853.621031746032</v>
      </c>
      <c r="AY557" s="17"/>
      <c r="AZ557" s="128">
        <v>8544700000</v>
      </c>
      <c r="BB557" s="124">
        <f t="shared" si="931"/>
        <v>61207.719198790634</v>
      </c>
      <c r="BC557" s="124">
        <f t="shared" si="932"/>
        <v>36724.631519274379</v>
      </c>
      <c r="BD557" s="124">
        <f t="shared" si="933"/>
        <v>30603.859599395317</v>
      </c>
      <c r="BE557" s="124">
        <f t="shared" si="934"/>
        <v>24483.087679516255</v>
      </c>
    </row>
    <row r="558" spans="1:57" s="129" customFormat="1" hidden="1">
      <c r="A558" s="88" t="s">
        <v>1302</v>
      </c>
      <c r="B558" s="88" t="s">
        <v>1317</v>
      </c>
      <c r="C558" s="88" t="s">
        <v>1317</v>
      </c>
      <c r="D558" s="88" t="s">
        <v>656</v>
      </c>
      <c r="E558" s="88" t="s">
        <v>684</v>
      </c>
      <c r="F558" s="89" t="s">
        <v>686</v>
      </c>
      <c r="G558" s="92" t="s">
        <v>839</v>
      </c>
      <c r="H558" s="320" t="s">
        <v>3398</v>
      </c>
      <c r="I558" s="167" t="s">
        <v>2411</v>
      </c>
      <c r="J558" s="167" t="str">
        <f>_xlfn.XLOOKUP(I558,[1]Sheet1!$A:$A,[1]Sheet1!$B:$B,"")</f>
        <v>U0803014</v>
      </c>
      <c r="K558" s="88" t="s">
        <v>841</v>
      </c>
      <c r="L558" s="88" t="s">
        <v>842</v>
      </c>
      <c r="M558" s="92" t="s">
        <v>69</v>
      </c>
      <c r="N558" s="89" t="s">
        <v>843</v>
      </c>
      <c r="O558" s="165"/>
      <c r="P558" s="89" t="s">
        <v>197</v>
      </c>
      <c r="Q558" s="92" t="s">
        <v>690</v>
      </c>
      <c r="R558" s="92">
        <v>4</v>
      </c>
      <c r="S558" s="92" t="e">
        <v>#N/A</v>
      </c>
      <c r="T558" s="92">
        <v>8544700000</v>
      </c>
      <c r="U558" s="155">
        <v>0</v>
      </c>
      <c r="V558" s="207">
        <v>30</v>
      </c>
      <c r="W558" s="92">
        <v>45</v>
      </c>
      <c r="X558" s="92">
        <v>55</v>
      </c>
      <c r="Y558" s="92" t="s">
        <v>691</v>
      </c>
      <c r="Z558" s="133">
        <f t="shared" si="925"/>
        <v>301.36986301369865</v>
      </c>
      <c r="AA558" s="133"/>
      <c r="AB558" s="124">
        <f t="shared" si="884"/>
        <v>279.87891737891738</v>
      </c>
      <c r="AC558" s="124"/>
      <c r="AD558" s="213">
        <f t="shared" si="885"/>
        <v>0.1</v>
      </c>
      <c r="AE558" s="213">
        <v>0.1</v>
      </c>
      <c r="AF558" s="215">
        <v>0.25</v>
      </c>
      <c r="AG558" s="215" t="s">
        <v>9</v>
      </c>
      <c r="AH558" s="148">
        <f t="shared" si="936"/>
        <v>279.87891737891738</v>
      </c>
      <c r="AI558" s="122">
        <f t="shared" si="926"/>
        <v>0.25</v>
      </c>
      <c r="AJ558" s="444"/>
      <c r="AK558" s="150">
        <f t="shared" si="928"/>
        <v>244.44444444444443</v>
      </c>
      <c r="AL558" s="148">
        <f t="shared" si="928"/>
        <v>233.23243114909783</v>
      </c>
      <c r="AM558" s="125">
        <f t="shared" si="937"/>
        <v>0.18888888888888899</v>
      </c>
      <c r="AN558" s="125">
        <f t="shared" si="924"/>
        <v>0.16666666666666663</v>
      </c>
      <c r="AO558" s="136">
        <f t="shared" si="929"/>
        <v>0.28999999999999998</v>
      </c>
      <c r="AP558" s="17" t="s">
        <v>1292</v>
      </c>
      <c r="AQ558" s="141"/>
      <c r="AR558" s="141"/>
      <c r="AS558" s="141"/>
      <c r="AT558" s="141"/>
      <c r="AU558" s="141"/>
      <c r="AV558" s="141"/>
      <c r="AW558" s="142">
        <v>220</v>
      </c>
      <c r="AX558" s="126">
        <f t="shared" si="935"/>
        <v>209.90918803418805</v>
      </c>
      <c r="AY558" s="17"/>
      <c r="AZ558" s="128">
        <v>8544700000</v>
      </c>
      <c r="BB558" s="124">
        <f t="shared" si="931"/>
        <v>932.92972459639134</v>
      </c>
      <c r="BC558" s="124">
        <f t="shared" si="932"/>
        <v>559.75783475783476</v>
      </c>
      <c r="BD558" s="124">
        <f t="shared" si="933"/>
        <v>466.46486229819567</v>
      </c>
      <c r="BE558" s="124">
        <f t="shared" si="934"/>
        <v>373.17188983855658</v>
      </c>
    </row>
    <row r="559" spans="1:57" s="129" customFormat="1" hidden="1">
      <c r="A559" s="88" t="s">
        <v>1302</v>
      </c>
      <c r="B559" s="88" t="s">
        <v>1317</v>
      </c>
      <c r="C559" s="88" t="s">
        <v>1317</v>
      </c>
      <c r="D559" s="88" t="s">
        <v>656</v>
      </c>
      <c r="E559" s="88" t="s">
        <v>684</v>
      </c>
      <c r="F559" s="89" t="s">
        <v>686</v>
      </c>
      <c r="G559" s="92" t="s">
        <v>839</v>
      </c>
      <c r="H559" s="320" t="s">
        <v>3399</v>
      </c>
      <c r="I559" s="167" t="s">
        <v>2412</v>
      </c>
      <c r="J559" s="167" t="str">
        <f>_xlfn.XLOOKUP(I559,[1]Sheet1!$A:$A,[1]Sheet1!$B:$B,"")</f>
        <v>U0803018</v>
      </c>
      <c r="K559" s="88" t="s">
        <v>845</v>
      </c>
      <c r="L559" s="88" t="s">
        <v>846</v>
      </c>
      <c r="M559" s="92" t="s">
        <v>69</v>
      </c>
      <c r="N559" s="89" t="s">
        <v>843</v>
      </c>
      <c r="O559" s="165"/>
      <c r="P559" s="89" t="s">
        <v>197</v>
      </c>
      <c r="Q559" s="92" t="s">
        <v>690</v>
      </c>
      <c r="R559" s="92">
        <v>4</v>
      </c>
      <c r="S559" s="92" t="e">
        <v>#N/A</v>
      </c>
      <c r="T559" s="92">
        <v>8544700000</v>
      </c>
      <c r="U559" s="155">
        <v>0</v>
      </c>
      <c r="V559" s="207">
        <v>30</v>
      </c>
      <c r="W559" s="92">
        <v>45</v>
      </c>
      <c r="X559" s="92">
        <v>55</v>
      </c>
      <c r="Y559" s="92" t="s">
        <v>691</v>
      </c>
      <c r="Z559" s="133">
        <f t="shared" si="925"/>
        <v>315.06849315068496</v>
      </c>
      <c r="AA559" s="133"/>
      <c r="AB559" s="124">
        <f t="shared" ref="AB559:AB622" si="938">AX559/(1-AF559)</f>
        <v>291.27492877492881</v>
      </c>
      <c r="AC559" s="124"/>
      <c r="AD559" s="213">
        <f t="shared" ref="AD559:AD622" si="939">AE559</f>
        <v>0.1</v>
      </c>
      <c r="AE559" s="213">
        <v>0.1</v>
      </c>
      <c r="AF559" s="215">
        <v>0.25</v>
      </c>
      <c r="AG559" s="215" t="s">
        <v>9</v>
      </c>
      <c r="AH559" s="148">
        <f t="shared" si="936"/>
        <v>291.27492877492881</v>
      </c>
      <c r="AI559" s="122">
        <f t="shared" si="926"/>
        <v>0.25</v>
      </c>
      <c r="AJ559" s="444"/>
      <c r="AK559" s="150">
        <f t="shared" si="928"/>
        <v>255.55555555555554</v>
      </c>
      <c r="AL559" s="148">
        <f t="shared" si="928"/>
        <v>242.72910731244065</v>
      </c>
      <c r="AM559" s="125">
        <f t="shared" si="937"/>
        <v>0.18888888888888899</v>
      </c>
      <c r="AN559" s="125">
        <f t="shared" si="924"/>
        <v>0.16666666666666674</v>
      </c>
      <c r="AO559" s="136">
        <f t="shared" si="929"/>
        <v>0.28999999999999998</v>
      </c>
      <c r="AP559" s="17" t="s">
        <v>1292</v>
      </c>
      <c r="AQ559" s="141"/>
      <c r="AR559" s="141"/>
      <c r="AS559" s="141"/>
      <c r="AT559" s="141"/>
      <c r="AU559" s="141"/>
      <c r="AV559" s="141"/>
      <c r="AW559" s="142">
        <v>230</v>
      </c>
      <c r="AX559" s="126">
        <f t="shared" si="935"/>
        <v>218.45619658119659</v>
      </c>
      <c r="AY559" s="17"/>
      <c r="AZ559" s="128">
        <v>8544700000</v>
      </c>
      <c r="BB559" s="124">
        <f t="shared" si="931"/>
        <v>970.9164292497627</v>
      </c>
      <c r="BC559" s="124">
        <f t="shared" si="932"/>
        <v>582.54985754985762</v>
      </c>
      <c r="BD559" s="124">
        <f t="shared" si="933"/>
        <v>485.45821462488135</v>
      </c>
      <c r="BE559" s="124">
        <f t="shared" si="934"/>
        <v>388.36657169990508</v>
      </c>
    </row>
    <row r="560" spans="1:57" s="129" customFormat="1" hidden="1">
      <c r="A560" s="88" t="s">
        <v>1276</v>
      </c>
      <c r="B560" s="88" t="s">
        <v>1317</v>
      </c>
      <c r="C560" s="88" t="s">
        <v>1317</v>
      </c>
      <c r="D560" s="88" t="s">
        <v>656</v>
      </c>
      <c r="E560" s="88" t="s">
        <v>684</v>
      </c>
      <c r="F560" s="89" t="s">
        <v>686</v>
      </c>
      <c r="G560" s="92" t="s">
        <v>839</v>
      </c>
      <c r="H560" s="320" t="s">
        <v>3400</v>
      </c>
      <c r="I560" s="167" t="s">
        <v>2413</v>
      </c>
      <c r="J560" s="167" t="str">
        <f>_xlfn.XLOOKUP(I560,[1]Sheet1!$A:$A,[1]Sheet1!$B:$B,"")</f>
        <v>U0803004</v>
      </c>
      <c r="K560" s="88" t="s">
        <v>848</v>
      </c>
      <c r="L560" s="88" t="s">
        <v>849</v>
      </c>
      <c r="M560" s="92" t="s">
        <v>69</v>
      </c>
      <c r="N560" s="89" t="s">
        <v>843</v>
      </c>
      <c r="O560" s="165"/>
      <c r="P560" s="89" t="s">
        <v>197</v>
      </c>
      <c r="Q560" s="92" t="s">
        <v>690</v>
      </c>
      <c r="R560" s="92">
        <v>4</v>
      </c>
      <c r="S560" s="92" t="e">
        <v>#N/A</v>
      </c>
      <c r="T560" s="92">
        <v>8544700000</v>
      </c>
      <c r="U560" s="155">
        <v>0</v>
      </c>
      <c r="V560" s="207">
        <v>30</v>
      </c>
      <c r="W560" s="92">
        <v>45</v>
      </c>
      <c r="X560" s="92">
        <v>55</v>
      </c>
      <c r="Y560" s="92" t="s">
        <v>691</v>
      </c>
      <c r="Z560" s="133">
        <f t="shared" si="925"/>
        <v>356.16438356164383</v>
      </c>
      <c r="AA560" s="133"/>
      <c r="AB560" s="124">
        <f t="shared" ref="AB560:AB561" si="940">AX560/(1-AF560)</f>
        <v>325.46296296296299</v>
      </c>
      <c r="AC560" s="124"/>
      <c r="AD560" s="213">
        <f t="shared" ref="AD560:AD561" si="941">AE560</f>
        <v>0.1</v>
      </c>
      <c r="AE560" s="213">
        <v>0.1</v>
      </c>
      <c r="AF560" s="215">
        <v>0.25</v>
      </c>
      <c r="AG560" s="215" t="s">
        <v>9</v>
      </c>
      <c r="AH560" s="148">
        <f t="shared" si="936"/>
        <v>325.46296296296299</v>
      </c>
      <c r="AI560" s="122">
        <f t="shared" ref="AI560:AI561" si="942">1-(AX560/AH560)</f>
        <v>0.25</v>
      </c>
      <c r="AJ560" s="444"/>
      <c r="AK560" s="150">
        <f t="shared" ref="AK560" si="943">AW560/(1-AD560)</f>
        <v>288.88888888888886</v>
      </c>
      <c r="AL560" s="148">
        <f t="shared" ref="AL560:AL561" si="944">AX560/(1-AE560)</f>
        <v>271.21913580246911</v>
      </c>
      <c r="AM560" s="125">
        <f t="shared" ref="AM560:AM561" si="945">1-(AK560/Z560)</f>
        <v>0.18888888888888899</v>
      </c>
      <c r="AN560" s="125">
        <f t="shared" ref="AN560:AN561" si="946">1-(AL560/AB560)</f>
        <v>0.16666666666666685</v>
      </c>
      <c r="AO560" s="136">
        <f t="shared" si="929"/>
        <v>0.28999999999999998</v>
      </c>
      <c r="AP560" s="17" t="s">
        <v>1292</v>
      </c>
      <c r="AQ560" s="141"/>
      <c r="AR560" s="141"/>
      <c r="AS560" s="141"/>
      <c r="AT560" s="141"/>
      <c r="AU560" s="141"/>
      <c r="AV560" s="141"/>
      <c r="AW560" s="142">
        <v>260</v>
      </c>
      <c r="AX560" s="126">
        <f t="shared" ref="AX560:AX561" si="947">(AW560/$F$6)+(($F$9+$G$9)/40/R560)+AW560*U560</f>
        <v>244.09722222222223</v>
      </c>
      <c r="AY560" s="17"/>
      <c r="AZ560" s="128">
        <v>8544700000</v>
      </c>
      <c r="BB560" s="124">
        <f t="shared" si="931"/>
        <v>1084.8765432098767</v>
      </c>
      <c r="BC560" s="124">
        <f t="shared" si="932"/>
        <v>650.92592592592598</v>
      </c>
      <c r="BD560" s="124">
        <f t="shared" si="933"/>
        <v>542.43827160493834</v>
      </c>
      <c r="BE560" s="124">
        <f t="shared" si="934"/>
        <v>433.95061728395069</v>
      </c>
    </row>
    <row r="561" spans="1:57" s="129" customFormat="1" hidden="1">
      <c r="A561" s="88" t="s">
        <v>1276</v>
      </c>
      <c r="B561" s="88" t="s">
        <v>1317</v>
      </c>
      <c r="C561" s="88" t="s">
        <v>1317</v>
      </c>
      <c r="D561" s="88" t="s">
        <v>656</v>
      </c>
      <c r="E561" s="88" t="s">
        <v>684</v>
      </c>
      <c r="F561" s="89" t="s">
        <v>686</v>
      </c>
      <c r="G561" s="92" t="s">
        <v>839</v>
      </c>
      <c r="H561" s="320" t="s">
        <v>3401</v>
      </c>
      <c r="I561" s="167" t="s">
        <v>2414</v>
      </c>
      <c r="J561" s="167" t="str">
        <f>_xlfn.XLOOKUP(I561,[1]Sheet1!$A:$A,[1]Sheet1!$B:$B,"")</f>
        <v>U0803008</v>
      </c>
      <c r="K561" s="88" t="s">
        <v>851</v>
      </c>
      <c r="L561" s="88" t="s">
        <v>852</v>
      </c>
      <c r="M561" s="92" t="s">
        <v>69</v>
      </c>
      <c r="N561" s="89" t="s">
        <v>843</v>
      </c>
      <c r="O561" s="165"/>
      <c r="P561" s="89" t="s">
        <v>197</v>
      </c>
      <c r="Q561" s="92" t="s">
        <v>690</v>
      </c>
      <c r="R561" s="92">
        <v>4</v>
      </c>
      <c r="S561" s="92" t="e">
        <v>#N/A</v>
      </c>
      <c r="T561" s="92">
        <v>8544700000</v>
      </c>
      <c r="U561" s="155">
        <v>0</v>
      </c>
      <c r="V561" s="207">
        <v>30</v>
      </c>
      <c r="W561" s="92">
        <v>45</v>
      </c>
      <c r="X561" s="92">
        <v>55</v>
      </c>
      <c r="Y561" s="92" t="s">
        <v>691</v>
      </c>
      <c r="Z561" s="133">
        <f t="shared" si="925"/>
        <v>493.15068493150687</v>
      </c>
      <c r="AA561" s="133"/>
      <c r="AB561" s="124">
        <f t="shared" si="940"/>
        <v>439.42307692307696</v>
      </c>
      <c r="AC561" s="124"/>
      <c r="AD561" s="213">
        <f t="shared" si="941"/>
        <v>0.1</v>
      </c>
      <c r="AE561" s="213">
        <v>0.1</v>
      </c>
      <c r="AF561" s="215">
        <v>0.25</v>
      </c>
      <c r="AG561" s="215" t="s">
        <v>9</v>
      </c>
      <c r="AH561" s="148">
        <f t="shared" si="936"/>
        <v>439.42307692307696</v>
      </c>
      <c r="AI561" s="122">
        <f t="shared" si="942"/>
        <v>0.25</v>
      </c>
      <c r="AJ561" s="444"/>
      <c r="AK561" s="150">
        <f>AW561/(1-AD561)</f>
        <v>400</v>
      </c>
      <c r="AL561" s="148">
        <f t="shared" si="944"/>
        <v>366.18589743589746</v>
      </c>
      <c r="AM561" s="125">
        <f t="shared" si="945"/>
        <v>0.18888888888888888</v>
      </c>
      <c r="AN561" s="125">
        <f t="shared" si="946"/>
        <v>0.16666666666666674</v>
      </c>
      <c r="AO561" s="136">
        <f t="shared" si="929"/>
        <v>0.28999999999999998</v>
      </c>
      <c r="AP561" s="17" t="s">
        <v>1292</v>
      </c>
      <c r="AQ561" s="141"/>
      <c r="AR561" s="141"/>
      <c r="AS561" s="141"/>
      <c r="AT561" s="141"/>
      <c r="AU561" s="141"/>
      <c r="AV561" s="141"/>
      <c r="AW561" s="142">
        <v>360</v>
      </c>
      <c r="AX561" s="126">
        <f t="shared" si="947"/>
        <v>329.56730769230774</v>
      </c>
      <c r="AY561" s="17"/>
      <c r="AZ561" s="128">
        <v>8544700000</v>
      </c>
      <c r="BB561" s="124">
        <f t="shared" si="931"/>
        <v>1464.7435897435898</v>
      </c>
      <c r="BC561" s="124">
        <f t="shared" si="932"/>
        <v>878.84615384615392</v>
      </c>
      <c r="BD561" s="124">
        <f t="shared" si="933"/>
        <v>732.37179487179492</v>
      </c>
      <c r="BE561" s="124">
        <f t="shared" si="934"/>
        <v>585.89743589743591</v>
      </c>
    </row>
    <row r="562" spans="1:57" s="129" customFormat="1" hidden="1">
      <c r="A562" s="88" t="s">
        <v>1302</v>
      </c>
      <c r="B562" s="88" t="s">
        <v>1317</v>
      </c>
      <c r="C562" s="88" t="s">
        <v>1317</v>
      </c>
      <c r="D562" s="88" t="s">
        <v>656</v>
      </c>
      <c r="E562" s="88" t="s">
        <v>684</v>
      </c>
      <c r="F562" s="89" t="s">
        <v>702</v>
      </c>
      <c r="G562" s="92" t="s">
        <v>839</v>
      </c>
      <c r="H562" s="320" t="s">
        <v>3398</v>
      </c>
      <c r="I562" s="167" t="s">
        <v>853</v>
      </c>
      <c r="J562" s="167" t="str">
        <f>_xlfn.XLOOKUP(I562,[1]Sheet1!$A:$A,[1]Sheet1!$B:$B,"")</f>
        <v>U0807012</v>
      </c>
      <c r="K562" s="88" t="s">
        <v>854</v>
      </c>
      <c r="L562" s="88" t="s">
        <v>855</v>
      </c>
      <c r="M562" s="92" t="s">
        <v>125</v>
      </c>
      <c r="N562" s="89" t="s">
        <v>843</v>
      </c>
      <c r="O562" s="165"/>
      <c r="P562" s="89" t="s">
        <v>197</v>
      </c>
      <c r="Q562" s="92" t="s">
        <v>690</v>
      </c>
      <c r="R562" s="92">
        <v>4</v>
      </c>
      <c r="S562" s="92" t="e">
        <v>#N/A</v>
      </c>
      <c r="T562" s="92">
        <v>8544700000</v>
      </c>
      <c r="U562" s="155">
        <v>0</v>
      </c>
      <c r="V562" s="207">
        <v>30</v>
      </c>
      <c r="W562" s="92">
        <v>45</v>
      </c>
      <c r="X562" s="92">
        <v>55</v>
      </c>
      <c r="Y562" s="92" t="s">
        <v>691</v>
      </c>
      <c r="Z562" s="133">
        <f t="shared" si="925"/>
        <v>357.14285714285717</v>
      </c>
      <c r="AA562" s="133"/>
      <c r="AB562" s="124">
        <f t="shared" si="938"/>
        <v>327.15307454890791</v>
      </c>
      <c r="AC562" s="124"/>
      <c r="AD562" s="213">
        <f t="shared" si="939"/>
        <v>0.1</v>
      </c>
      <c r="AE562" s="213">
        <v>0.1</v>
      </c>
      <c r="AF562" s="215">
        <v>0.28000000000000003</v>
      </c>
      <c r="AG562" s="215" t="s">
        <v>9</v>
      </c>
      <c r="AH562" s="148">
        <f t="shared" si="936"/>
        <v>327.15307454890791</v>
      </c>
      <c r="AI562" s="122">
        <f t="shared" si="926"/>
        <v>0.28000000000000003</v>
      </c>
      <c r="AJ562" s="444"/>
      <c r="AK562" s="150">
        <f t="shared" si="928"/>
        <v>277.77777777777777</v>
      </c>
      <c r="AL562" s="148">
        <f t="shared" si="928"/>
        <v>261.72245963912633</v>
      </c>
      <c r="AM562" s="125">
        <f t="shared" ref="AM562:AM593" si="948">1-(AK562/Z562)</f>
        <v>0.22222222222222232</v>
      </c>
      <c r="AN562" s="125">
        <f t="shared" ref="AN562:AN593" si="949">1-(AL562/AB562)</f>
        <v>0.19999999999999996</v>
      </c>
      <c r="AO562" s="136">
        <f t="shared" si="929"/>
        <v>0.32</v>
      </c>
      <c r="AP562" s="17" t="s">
        <v>1292</v>
      </c>
      <c r="AQ562" s="141"/>
      <c r="AR562" s="141"/>
      <c r="AS562" s="141"/>
      <c r="AT562" s="141"/>
      <c r="AU562" s="141"/>
      <c r="AV562" s="141"/>
      <c r="AW562" s="142">
        <v>250</v>
      </c>
      <c r="AX562" s="126">
        <f t="shared" si="935"/>
        <v>235.55021367521368</v>
      </c>
      <c r="AY562" s="17"/>
      <c r="AZ562" s="128">
        <v>8544700000</v>
      </c>
      <c r="BB562" s="124">
        <f t="shared" si="931"/>
        <v>1090.5102484963597</v>
      </c>
      <c r="BC562" s="124">
        <f t="shared" si="932"/>
        <v>654.30614909781582</v>
      </c>
      <c r="BD562" s="124">
        <f t="shared" si="933"/>
        <v>545.25512424817987</v>
      </c>
      <c r="BE562" s="124">
        <f t="shared" si="934"/>
        <v>436.20409939854392</v>
      </c>
    </row>
    <row r="563" spans="1:57" s="129" customFormat="1" hidden="1">
      <c r="A563" s="88" t="s">
        <v>1302</v>
      </c>
      <c r="B563" s="88" t="s">
        <v>1317</v>
      </c>
      <c r="C563" s="88" t="s">
        <v>1317</v>
      </c>
      <c r="D563" s="88" t="s">
        <v>656</v>
      </c>
      <c r="E563" s="88" t="s">
        <v>684</v>
      </c>
      <c r="F563" s="89" t="s">
        <v>702</v>
      </c>
      <c r="G563" s="92" t="s">
        <v>839</v>
      </c>
      <c r="H563" s="320" t="s">
        <v>3399</v>
      </c>
      <c r="I563" s="167" t="s">
        <v>856</v>
      </c>
      <c r="J563" s="167" t="str">
        <f>_xlfn.XLOOKUP(I563,[1]Sheet1!$A:$A,[1]Sheet1!$B:$B,"")</f>
        <v>U0807016</v>
      </c>
      <c r="K563" s="88" t="s">
        <v>857</v>
      </c>
      <c r="L563" s="88" t="s">
        <v>858</v>
      </c>
      <c r="M563" s="92" t="s">
        <v>125</v>
      </c>
      <c r="N563" s="89" t="s">
        <v>843</v>
      </c>
      <c r="O563" s="165"/>
      <c r="P563" s="89" t="s">
        <v>197</v>
      </c>
      <c r="Q563" s="92" t="s">
        <v>690</v>
      </c>
      <c r="R563" s="92">
        <v>4</v>
      </c>
      <c r="S563" s="92" t="e">
        <v>#N/A</v>
      </c>
      <c r="T563" s="92">
        <v>8544700000</v>
      </c>
      <c r="U563" s="155">
        <v>0</v>
      </c>
      <c r="V563" s="207">
        <v>30</v>
      </c>
      <c r="W563" s="92">
        <v>45</v>
      </c>
      <c r="X563" s="92">
        <v>55</v>
      </c>
      <c r="Y563" s="92" t="s">
        <v>691</v>
      </c>
      <c r="Z563" s="133">
        <f t="shared" si="925"/>
        <v>395.71428571428572</v>
      </c>
      <c r="AA563" s="133"/>
      <c r="AB563" s="124">
        <f t="shared" si="938"/>
        <v>359.20435660019001</v>
      </c>
      <c r="AC563" s="124"/>
      <c r="AD563" s="213">
        <f t="shared" si="939"/>
        <v>0.1</v>
      </c>
      <c r="AE563" s="213">
        <v>0.1</v>
      </c>
      <c r="AF563" s="215">
        <v>0.28000000000000003</v>
      </c>
      <c r="AG563" s="215" t="s">
        <v>9</v>
      </c>
      <c r="AH563" s="148">
        <f t="shared" si="936"/>
        <v>359.20435660019001</v>
      </c>
      <c r="AI563" s="122">
        <f t="shared" si="926"/>
        <v>0.28000000000000014</v>
      </c>
      <c r="AJ563" s="444"/>
      <c r="AK563" s="150">
        <f t="shared" si="928"/>
        <v>307.77777777777777</v>
      </c>
      <c r="AL563" s="148">
        <f t="shared" si="928"/>
        <v>287.36348528015196</v>
      </c>
      <c r="AM563" s="125">
        <f t="shared" si="948"/>
        <v>0.22222222222222221</v>
      </c>
      <c r="AN563" s="125">
        <f t="shared" si="949"/>
        <v>0.20000000000000018</v>
      </c>
      <c r="AO563" s="136">
        <f t="shared" si="929"/>
        <v>0.32</v>
      </c>
      <c r="AP563" s="17" t="s">
        <v>1292</v>
      </c>
      <c r="AQ563" s="141"/>
      <c r="AR563" s="141"/>
      <c r="AS563" s="141"/>
      <c r="AT563" s="141"/>
      <c r="AU563" s="141"/>
      <c r="AV563" s="141"/>
      <c r="AW563" s="142">
        <v>277</v>
      </c>
      <c r="AX563" s="126">
        <f t="shared" si="935"/>
        <v>258.62713675213678</v>
      </c>
      <c r="AY563" s="17"/>
      <c r="AZ563" s="128">
        <v>8544700000</v>
      </c>
      <c r="BB563" s="124">
        <f t="shared" si="931"/>
        <v>1197.3478553339667</v>
      </c>
      <c r="BC563" s="124">
        <f t="shared" si="932"/>
        <v>718.40871320038002</v>
      </c>
      <c r="BD563" s="124">
        <f t="shared" si="933"/>
        <v>598.67392766698333</v>
      </c>
      <c r="BE563" s="124">
        <f t="shared" si="934"/>
        <v>478.9391421335867</v>
      </c>
    </row>
    <row r="564" spans="1:57" s="129" customFormat="1" hidden="1">
      <c r="A564" s="88" t="s">
        <v>1302</v>
      </c>
      <c r="B564" s="88" t="s">
        <v>1317</v>
      </c>
      <c r="C564" s="88" t="s">
        <v>1317</v>
      </c>
      <c r="D564" s="88" t="s">
        <v>656</v>
      </c>
      <c r="E564" s="88" t="s">
        <v>684</v>
      </c>
      <c r="F564" s="89" t="s">
        <v>702</v>
      </c>
      <c r="G564" s="92" t="s">
        <v>839</v>
      </c>
      <c r="H564" s="320" t="s">
        <v>3400</v>
      </c>
      <c r="I564" s="167" t="s">
        <v>859</v>
      </c>
      <c r="J564" s="167" t="str">
        <f>_xlfn.XLOOKUP(I564,[1]Sheet1!$A:$A,[1]Sheet1!$B:$B,"")</f>
        <v>U0807004</v>
      </c>
      <c r="K564" s="88" t="s">
        <v>860</v>
      </c>
      <c r="L564" s="88" t="s">
        <v>861</v>
      </c>
      <c r="M564" s="92" t="s">
        <v>125</v>
      </c>
      <c r="N564" s="89" t="s">
        <v>843</v>
      </c>
      <c r="O564" s="165"/>
      <c r="P564" s="89" t="s">
        <v>197</v>
      </c>
      <c r="Q564" s="92" t="s">
        <v>690</v>
      </c>
      <c r="R564" s="92">
        <v>4</v>
      </c>
      <c r="S564" s="92" t="e">
        <v>#N/A</v>
      </c>
      <c r="T564" s="92">
        <v>8544700000</v>
      </c>
      <c r="U564" s="155">
        <v>0</v>
      </c>
      <c r="V564" s="207">
        <v>30</v>
      </c>
      <c r="W564" s="92">
        <v>45</v>
      </c>
      <c r="X564" s="92">
        <v>55</v>
      </c>
      <c r="Y564" s="92" t="s">
        <v>691</v>
      </c>
      <c r="Z564" s="133">
        <f t="shared" si="925"/>
        <v>450.00000000000006</v>
      </c>
      <c r="AA564" s="133"/>
      <c r="AB564" s="124">
        <f t="shared" si="938"/>
        <v>404.31356837606836</v>
      </c>
      <c r="AC564" s="124"/>
      <c r="AD564" s="213">
        <f t="shared" si="939"/>
        <v>0.1</v>
      </c>
      <c r="AE564" s="213">
        <v>0.1</v>
      </c>
      <c r="AF564" s="215">
        <v>0.28000000000000003</v>
      </c>
      <c r="AG564" s="215" t="s">
        <v>9</v>
      </c>
      <c r="AH564" s="148">
        <f t="shared" si="936"/>
        <v>404.31356837606836</v>
      </c>
      <c r="AI564" s="122">
        <f t="shared" si="926"/>
        <v>0.28000000000000003</v>
      </c>
      <c r="AJ564" s="444"/>
      <c r="AK564" s="150">
        <f t="shared" si="928"/>
        <v>350</v>
      </c>
      <c r="AL564" s="148">
        <f t="shared" si="928"/>
        <v>323.45085470085468</v>
      </c>
      <c r="AM564" s="125">
        <f t="shared" si="948"/>
        <v>0.22222222222222232</v>
      </c>
      <c r="AN564" s="125">
        <f t="shared" si="949"/>
        <v>0.20000000000000007</v>
      </c>
      <c r="AO564" s="136">
        <f t="shared" si="929"/>
        <v>0.32</v>
      </c>
      <c r="AP564" s="17" t="s">
        <v>1292</v>
      </c>
      <c r="AQ564" s="141"/>
      <c r="AR564" s="141"/>
      <c r="AS564" s="141"/>
      <c r="AT564" s="141"/>
      <c r="AU564" s="141"/>
      <c r="AV564" s="141"/>
      <c r="AW564" s="142">
        <v>315</v>
      </c>
      <c r="AX564" s="126">
        <f t="shared" si="935"/>
        <v>291.10576923076923</v>
      </c>
      <c r="AY564" s="17"/>
      <c r="AZ564" s="128">
        <v>8544700000</v>
      </c>
      <c r="BB564" s="124">
        <f t="shared" si="931"/>
        <v>1347.7118945868947</v>
      </c>
      <c r="BC564" s="124">
        <f t="shared" si="932"/>
        <v>808.62713675213683</v>
      </c>
      <c r="BD564" s="124">
        <f t="shared" si="933"/>
        <v>673.85594729344734</v>
      </c>
      <c r="BE564" s="124">
        <f t="shared" si="934"/>
        <v>539.08475783475785</v>
      </c>
    </row>
    <row r="565" spans="1:57" s="129" customFormat="1" hidden="1">
      <c r="A565" s="88" t="s">
        <v>1302</v>
      </c>
      <c r="B565" s="88" t="s">
        <v>1317</v>
      </c>
      <c r="C565" s="88" t="s">
        <v>1317</v>
      </c>
      <c r="D565" s="88" t="s">
        <v>656</v>
      </c>
      <c r="E565" s="88" t="s">
        <v>684</v>
      </c>
      <c r="F565" s="89" t="s">
        <v>702</v>
      </c>
      <c r="G565" s="92" t="s">
        <v>839</v>
      </c>
      <c r="H565" s="320" t="s">
        <v>3401</v>
      </c>
      <c r="I565" s="167" t="s">
        <v>862</v>
      </c>
      <c r="J565" s="167" t="str">
        <f>_xlfn.XLOOKUP(I565,[1]Sheet1!$A:$A,[1]Sheet1!$B:$B,"")</f>
        <v>U0807008</v>
      </c>
      <c r="K565" s="88" t="s">
        <v>863</v>
      </c>
      <c r="L565" s="88" t="s">
        <v>864</v>
      </c>
      <c r="M565" s="92" t="s">
        <v>125</v>
      </c>
      <c r="N565" s="89" t="s">
        <v>843</v>
      </c>
      <c r="O565" s="165"/>
      <c r="P565" s="89" t="s">
        <v>715</v>
      </c>
      <c r="Q565" s="92" t="s">
        <v>690</v>
      </c>
      <c r="R565" s="92">
        <v>4</v>
      </c>
      <c r="S565" s="92" t="e">
        <v>#N/A</v>
      </c>
      <c r="T565" s="92">
        <v>8544700000</v>
      </c>
      <c r="U565" s="155">
        <v>0</v>
      </c>
      <c r="V565" s="207">
        <v>30</v>
      </c>
      <c r="W565" s="92">
        <v>45</v>
      </c>
      <c r="X565" s="92">
        <v>55</v>
      </c>
      <c r="Y565" s="92" t="s">
        <v>691</v>
      </c>
      <c r="Z565" s="133">
        <f t="shared" si="925"/>
        <v>795.71428571428578</v>
      </c>
      <c r="AA565" s="133"/>
      <c r="AB565" s="124">
        <f t="shared" si="938"/>
        <v>691.58802231718903</v>
      </c>
      <c r="AC565" s="124"/>
      <c r="AD565" s="213">
        <f t="shared" si="939"/>
        <v>0.1</v>
      </c>
      <c r="AE565" s="213">
        <v>0.1</v>
      </c>
      <c r="AF565" s="215">
        <v>0.28000000000000003</v>
      </c>
      <c r="AG565" s="215" t="s">
        <v>9</v>
      </c>
      <c r="AH565" s="148">
        <f t="shared" si="936"/>
        <v>691.58802231718903</v>
      </c>
      <c r="AI565" s="122">
        <f t="shared" si="926"/>
        <v>0.28000000000000003</v>
      </c>
      <c r="AJ565" s="444"/>
      <c r="AK565" s="150">
        <f t="shared" si="928"/>
        <v>618.88888888888891</v>
      </c>
      <c r="AL565" s="148">
        <f t="shared" si="928"/>
        <v>553.27041785375116</v>
      </c>
      <c r="AM565" s="125">
        <f t="shared" si="948"/>
        <v>0.22222222222222221</v>
      </c>
      <c r="AN565" s="125">
        <f t="shared" si="949"/>
        <v>0.20000000000000007</v>
      </c>
      <c r="AO565" s="136">
        <f t="shared" si="929"/>
        <v>0.32</v>
      </c>
      <c r="AP565" s="17" t="s">
        <v>1292</v>
      </c>
      <c r="AQ565" s="141"/>
      <c r="AR565" s="141"/>
      <c r="AS565" s="141"/>
      <c r="AT565" s="141"/>
      <c r="AU565" s="141"/>
      <c r="AV565" s="141"/>
      <c r="AW565" s="142">
        <v>557</v>
      </c>
      <c r="AX565" s="126">
        <f t="shared" si="935"/>
        <v>497.9433760683761</v>
      </c>
      <c r="AY565" s="17"/>
      <c r="AZ565" s="128">
        <v>8544700000</v>
      </c>
      <c r="BB565" s="124">
        <f t="shared" si="931"/>
        <v>2305.2934077239634</v>
      </c>
      <c r="BC565" s="124">
        <f t="shared" si="932"/>
        <v>1383.1760446343781</v>
      </c>
      <c r="BD565" s="124">
        <f t="shared" si="933"/>
        <v>1152.6467038619817</v>
      </c>
      <c r="BE565" s="124">
        <f t="shared" si="934"/>
        <v>922.11736308958541</v>
      </c>
    </row>
    <row r="566" spans="1:57" s="129" customFormat="1" hidden="1">
      <c r="A566" s="88" t="s">
        <v>1302</v>
      </c>
      <c r="B566" s="88" t="s">
        <v>1317</v>
      </c>
      <c r="C566" s="88" t="s">
        <v>1317</v>
      </c>
      <c r="D566" s="88" t="s">
        <v>656</v>
      </c>
      <c r="E566" s="88" t="s">
        <v>684</v>
      </c>
      <c r="F566" s="89" t="s">
        <v>717</v>
      </c>
      <c r="G566" s="92" t="s">
        <v>839</v>
      </c>
      <c r="H566" s="320" t="s">
        <v>3398</v>
      </c>
      <c r="I566" s="167" t="s">
        <v>865</v>
      </c>
      <c r="J566" s="167" t="str">
        <f>_xlfn.XLOOKUP(I566,[1]Sheet1!$A:$A,[1]Sheet1!$B:$B,"")</f>
        <v>U0802006</v>
      </c>
      <c r="K566" s="88" t="s">
        <v>866</v>
      </c>
      <c r="L566" s="88" t="s">
        <v>867</v>
      </c>
      <c r="M566" s="92" t="s">
        <v>108</v>
      </c>
      <c r="N566" s="89" t="s">
        <v>843</v>
      </c>
      <c r="O566" s="165"/>
      <c r="P566" s="89" t="s">
        <v>197</v>
      </c>
      <c r="Q566" s="92" t="s">
        <v>690</v>
      </c>
      <c r="R566" s="92">
        <v>4</v>
      </c>
      <c r="S566" s="92" t="e">
        <v>#N/A</v>
      </c>
      <c r="T566" s="92">
        <v>8544700000</v>
      </c>
      <c r="U566" s="155">
        <v>0</v>
      </c>
      <c r="V566" s="207">
        <v>30</v>
      </c>
      <c r="W566" s="92">
        <v>45</v>
      </c>
      <c r="X566" s="92">
        <v>55</v>
      </c>
      <c r="Y566" s="92" t="s">
        <v>691</v>
      </c>
      <c r="Z566" s="133">
        <f t="shared" si="925"/>
        <v>300</v>
      </c>
      <c r="AA566" s="133"/>
      <c r="AB566" s="124">
        <f t="shared" si="938"/>
        <v>279.66969373219376</v>
      </c>
      <c r="AC566" s="124"/>
      <c r="AD566" s="213">
        <f t="shared" si="939"/>
        <v>0.1</v>
      </c>
      <c r="AE566" s="213">
        <v>0.1</v>
      </c>
      <c r="AF566" s="215">
        <v>0.28000000000000003</v>
      </c>
      <c r="AG566" s="215" t="s">
        <v>9</v>
      </c>
      <c r="AH566" s="148">
        <f t="shared" si="936"/>
        <v>279.66969373219376</v>
      </c>
      <c r="AI566" s="122">
        <f t="shared" si="926"/>
        <v>0.28000000000000003</v>
      </c>
      <c r="AJ566" s="444"/>
      <c r="AK566" s="150">
        <f t="shared" si="928"/>
        <v>233.33333333333331</v>
      </c>
      <c r="AL566" s="148">
        <f t="shared" si="928"/>
        <v>223.73575498575499</v>
      </c>
      <c r="AM566" s="125">
        <f t="shared" si="948"/>
        <v>0.22222222222222232</v>
      </c>
      <c r="AN566" s="125">
        <f t="shared" si="949"/>
        <v>0.20000000000000007</v>
      </c>
      <c r="AO566" s="136">
        <f t="shared" si="929"/>
        <v>0.32</v>
      </c>
      <c r="AP566" s="17" t="s">
        <v>1292</v>
      </c>
      <c r="AQ566" s="141"/>
      <c r="AR566" s="141"/>
      <c r="AS566" s="141"/>
      <c r="AT566" s="141"/>
      <c r="AU566" s="141"/>
      <c r="AV566" s="141"/>
      <c r="AW566" s="142">
        <v>210</v>
      </c>
      <c r="AX566" s="126">
        <f t="shared" si="935"/>
        <v>201.3621794871795</v>
      </c>
      <c r="AY566" s="17"/>
      <c r="AZ566" s="128">
        <v>8544700000</v>
      </c>
      <c r="BB566" s="124">
        <f t="shared" si="931"/>
        <v>932.23231244064596</v>
      </c>
      <c r="BC566" s="124">
        <f t="shared" si="932"/>
        <v>559.33938746438753</v>
      </c>
      <c r="BD566" s="124">
        <f t="shared" si="933"/>
        <v>466.11615622032298</v>
      </c>
      <c r="BE566" s="124">
        <f t="shared" si="934"/>
        <v>372.89292497625843</v>
      </c>
    </row>
    <row r="567" spans="1:57" s="129" customFormat="1" hidden="1">
      <c r="A567" s="88" t="s">
        <v>1302</v>
      </c>
      <c r="B567" s="88" t="s">
        <v>1317</v>
      </c>
      <c r="C567" s="88" t="s">
        <v>1317</v>
      </c>
      <c r="D567" s="88" t="s">
        <v>656</v>
      </c>
      <c r="E567" s="88" t="s">
        <v>684</v>
      </c>
      <c r="F567" s="89" t="s">
        <v>717</v>
      </c>
      <c r="G567" s="92" t="s">
        <v>839</v>
      </c>
      <c r="H567" s="320" t="s">
        <v>3399</v>
      </c>
      <c r="I567" s="167" t="s">
        <v>868</v>
      </c>
      <c r="J567" s="167" t="str">
        <f>_xlfn.XLOOKUP(I567,[1]Sheet1!$A:$A,[1]Sheet1!$B:$B,"")</f>
        <v>U0802008</v>
      </c>
      <c r="K567" s="88" t="s">
        <v>869</v>
      </c>
      <c r="L567" s="88" t="s">
        <v>870</v>
      </c>
      <c r="M567" s="92" t="s">
        <v>108</v>
      </c>
      <c r="N567" s="89" t="s">
        <v>843</v>
      </c>
      <c r="O567" s="165"/>
      <c r="P567" s="89" t="s">
        <v>197</v>
      </c>
      <c r="Q567" s="92" t="s">
        <v>690</v>
      </c>
      <c r="R567" s="92">
        <v>4</v>
      </c>
      <c r="S567" s="92" t="e">
        <v>#N/A</v>
      </c>
      <c r="T567" s="92">
        <v>8544700000</v>
      </c>
      <c r="U567" s="155">
        <v>0</v>
      </c>
      <c r="V567" s="207">
        <v>30</v>
      </c>
      <c r="W567" s="92">
        <v>45</v>
      </c>
      <c r="X567" s="92">
        <v>55</v>
      </c>
      <c r="Y567" s="92" t="s">
        <v>691</v>
      </c>
      <c r="Z567" s="133">
        <f t="shared" si="925"/>
        <v>322.85714285714289</v>
      </c>
      <c r="AA567" s="133"/>
      <c r="AB567" s="124">
        <f t="shared" si="938"/>
        <v>298.66304605887944</v>
      </c>
      <c r="AC567" s="124"/>
      <c r="AD567" s="213">
        <f t="shared" si="939"/>
        <v>0.1</v>
      </c>
      <c r="AE567" s="213">
        <v>0.1</v>
      </c>
      <c r="AF567" s="215">
        <v>0.28000000000000003</v>
      </c>
      <c r="AG567" s="215" t="s">
        <v>9</v>
      </c>
      <c r="AH567" s="148">
        <f t="shared" si="936"/>
        <v>298.66304605887944</v>
      </c>
      <c r="AI567" s="122">
        <f t="shared" si="926"/>
        <v>0.28000000000000003</v>
      </c>
      <c r="AJ567" s="444"/>
      <c r="AK567" s="150">
        <f t="shared" si="928"/>
        <v>251.11111111111111</v>
      </c>
      <c r="AL567" s="148">
        <f t="shared" si="928"/>
        <v>238.93043684710352</v>
      </c>
      <c r="AM567" s="125">
        <f t="shared" si="948"/>
        <v>0.22222222222222232</v>
      </c>
      <c r="AN567" s="125">
        <f t="shared" si="949"/>
        <v>0.20000000000000007</v>
      </c>
      <c r="AO567" s="136">
        <f t="shared" si="929"/>
        <v>0.32</v>
      </c>
      <c r="AP567" s="17" t="s">
        <v>1292</v>
      </c>
      <c r="AQ567" s="141"/>
      <c r="AR567" s="141"/>
      <c r="AS567" s="141"/>
      <c r="AT567" s="141"/>
      <c r="AU567" s="141"/>
      <c r="AV567" s="141"/>
      <c r="AW567" s="142">
        <v>226</v>
      </c>
      <c r="AX567" s="126">
        <f t="shared" si="935"/>
        <v>215.03739316239319</v>
      </c>
      <c r="AY567" s="17"/>
      <c r="AZ567" s="128">
        <v>8544700000</v>
      </c>
      <c r="BB567" s="124">
        <f t="shared" si="931"/>
        <v>995.54348686293156</v>
      </c>
      <c r="BC567" s="124">
        <f t="shared" si="932"/>
        <v>597.32609211775889</v>
      </c>
      <c r="BD567" s="124">
        <f t="shared" si="933"/>
        <v>497.77174343146578</v>
      </c>
      <c r="BE567" s="124">
        <f t="shared" si="934"/>
        <v>398.21739474517267</v>
      </c>
    </row>
    <row r="568" spans="1:57" s="129" customFormat="1" hidden="1">
      <c r="A568" s="88" t="s">
        <v>1302</v>
      </c>
      <c r="B568" s="88" t="s">
        <v>1317</v>
      </c>
      <c r="C568" s="88" t="s">
        <v>1317</v>
      </c>
      <c r="D568" s="88" t="s">
        <v>656</v>
      </c>
      <c r="E568" s="88" t="s">
        <v>684</v>
      </c>
      <c r="F568" s="89" t="s">
        <v>717</v>
      </c>
      <c r="G568" s="92" t="s">
        <v>839</v>
      </c>
      <c r="H568" s="320" t="s">
        <v>3400</v>
      </c>
      <c r="I568" s="167" t="s">
        <v>871</v>
      </c>
      <c r="J568" s="167" t="str">
        <f>_xlfn.XLOOKUP(I568,[1]Sheet1!$A:$A,[1]Sheet1!$B:$B,"")</f>
        <v>U0802002</v>
      </c>
      <c r="K568" s="88" t="s">
        <v>872</v>
      </c>
      <c r="L568" s="88" t="s">
        <v>873</v>
      </c>
      <c r="M568" s="92" t="s">
        <v>108</v>
      </c>
      <c r="N568" s="89" t="s">
        <v>843</v>
      </c>
      <c r="O568" s="165"/>
      <c r="P568" s="89" t="s">
        <v>197</v>
      </c>
      <c r="Q568" s="92" t="s">
        <v>690</v>
      </c>
      <c r="R568" s="92">
        <v>4</v>
      </c>
      <c r="S568" s="92" t="e">
        <v>#N/A</v>
      </c>
      <c r="T568" s="92">
        <v>8544700000</v>
      </c>
      <c r="U568" s="155">
        <v>0</v>
      </c>
      <c r="V568" s="207">
        <v>30</v>
      </c>
      <c r="W568" s="92">
        <v>45</v>
      </c>
      <c r="X568" s="92">
        <v>55</v>
      </c>
      <c r="Y568" s="92" t="s">
        <v>691</v>
      </c>
      <c r="Z568" s="133">
        <f t="shared" si="925"/>
        <v>345.71428571428572</v>
      </c>
      <c r="AA568" s="133"/>
      <c r="AB568" s="124">
        <f t="shared" si="938"/>
        <v>317.65639838556507</v>
      </c>
      <c r="AC568" s="124"/>
      <c r="AD568" s="213">
        <f t="shared" si="939"/>
        <v>0.1</v>
      </c>
      <c r="AE568" s="213">
        <v>0.1</v>
      </c>
      <c r="AF568" s="215">
        <v>0.28000000000000003</v>
      </c>
      <c r="AG568" s="215" t="s">
        <v>9</v>
      </c>
      <c r="AH568" s="148">
        <f t="shared" si="936"/>
        <v>317.65639838556507</v>
      </c>
      <c r="AI568" s="122">
        <f t="shared" si="926"/>
        <v>0.28000000000000003</v>
      </c>
      <c r="AJ568" s="444"/>
      <c r="AK568" s="150">
        <f t="shared" si="928"/>
        <v>268.88888888888886</v>
      </c>
      <c r="AL568" s="148">
        <f t="shared" si="928"/>
        <v>254.12511870845205</v>
      </c>
      <c r="AM568" s="125">
        <f t="shared" si="948"/>
        <v>0.22222222222222232</v>
      </c>
      <c r="AN568" s="125">
        <f t="shared" si="949"/>
        <v>0.20000000000000007</v>
      </c>
      <c r="AO568" s="136">
        <f t="shared" si="929"/>
        <v>0.32</v>
      </c>
      <c r="AP568" s="17" t="s">
        <v>1292</v>
      </c>
      <c r="AQ568" s="141"/>
      <c r="AR568" s="141"/>
      <c r="AS568" s="141"/>
      <c r="AT568" s="141"/>
      <c r="AU568" s="141"/>
      <c r="AV568" s="141"/>
      <c r="AW568" s="142">
        <v>242</v>
      </c>
      <c r="AX568" s="126">
        <f t="shared" si="935"/>
        <v>228.71260683760684</v>
      </c>
      <c r="AY568" s="17"/>
      <c r="AZ568" s="128">
        <v>8544700000</v>
      </c>
      <c r="BB568" s="124">
        <f t="shared" si="931"/>
        <v>1058.8546612852169</v>
      </c>
      <c r="BC568" s="124">
        <f t="shared" si="932"/>
        <v>635.31279677113014</v>
      </c>
      <c r="BD568" s="124">
        <f t="shared" si="933"/>
        <v>529.42733064260847</v>
      </c>
      <c r="BE568" s="124">
        <f t="shared" si="934"/>
        <v>423.5418645140868</v>
      </c>
    </row>
    <row r="569" spans="1:57" s="129" customFormat="1" hidden="1">
      <c r="A569" s="88" t="s">
        <v>1302</v>
      </c>
      <c r="B569" s="88" t="s">
        <v>1317</v>
      </c>
      <c r="C569" s="88" t="s">
        <v>1317</v>
      </c>
      <c r="D569" s="88" t="s">
        <v>656</v>
      </c>
      <c r="E569" s="88" t="s">
        <v>684</v>
      </c>
      <c r="F569" s="89" t="s">
        <v>717</v>
      </c>
      <c r="G569" s="92" t="s">
        <v>839</v>
      </c>
      <c r="H569" s="320" t="s">
        <v>3401</v>
      </c>
      <c r="I569" s="167" t="s">
        <v>874</v>
      </c>
      <c r="J569" s="167" t="str">
        <f>_xlfn.XLOOKUP(I569,[1]Sheet1!$A:$A,[1]Sheet1!$B:$B,"")</f>
        <v>U0802004</v>
      </c>
      <c r="K569" s="88" t="s">
        <v>875</v>
      </c>
      <c r="L569" s="88" t="s">
        <v>876</v>
      </c>
      <c r="M569" s="92" t="s">
        <v>108</v>
      </c>
      <c r="N569" s="89" t="s">
        <v>843</v>
      </c>
      <c r="O569" s="165"/>
      <c r="P569" s="89" t="s">
        <v>197</v>
      </c>
      <c r="Q569" s="92" t="s">
        <v>690</v>
      </c>
      <c r="R569" s="92">
        <v>4</v>
      </c>
      <c r="S569" s="92" t="e">
        <v>#N/A</v>
      </c>
      <c r="T569" s="92">
        <v>8544700000</v>
      </c>
      <c r="U569" s="155">
        <v>0</v>
      </c>
      <c r="V569" s="207">
        <v>30</v>
      </c>
      <c r="W569" s="92">
        <v>45</v>
      </c>
      <c r="X569" s="92">
        <v>55</v>
      </c>
      <c r="Y569" s="92" t="s">
        <v>691</v>
      </c>
      <c r="Z569" s="133">
        <f t="shared" si="925"/>
        <v>500.00000000000006</v>
      </c>
      <c r="AA569" s="133"/>
      <c r="AB569" s="124">
        <f>AX569/(1-AF569)</f>
        <v>445.86152659069336</v>
      </c>
      <c r="AC569" s="124"/>
      <c r="AD569" s="213">
        <f t="shared" si="939"/>
        <v>0.1</v>
      </c>
      <c r="AE569" s="213">
        <v>0.1</v>
      </c>
      <c r="AF569" s="215">
        <v>0.28000000000000003</v>
      </c>
      <c r="AG569" s="215" t="s">
        <v>9</v>
      </c>
      <c r="AH569" s="148">
        <f t="shared" si="936"/>
        <v>445.86152659069336</v>
      </c>
      <c r="AI569" s="122">
        <f t="shared" si="926"/>
        <v>0.28000000000000003</v>
      </c>
      <c r="AJ569" s="444"/>
      <c r="AK569" s="150">
        <f t="shared" si="928"/>
        <v>388.88888888888886</v>
      </c>
      <c r="AL569" s="148">
        <f t="shared" si="928"/>
        <v>356.68922127255468</v>
      </c>
      <c r="AM569" s="125">
        <f t="shared" si="948"/>
        <v>0.22222222222222232</v>
      </c>
      <c r="AN569" s="125">
        <f t="shared" si="949"/>
        <v>0.20000000000000007</v>
      </c>
      <c r="AO569" s="136">
        <f t="shared" si="929"/>
        <v>0.32</v>
      </c>
      <c r="AP569" s="17" t="s">
        <v>1292</v>
      </c>
      <c r="AQ569" s="141"/>
      <c r="AR569" s="141"/>
      <c r="AS569" s="141"/>
      <c r="AT569" s="141"/>
      <c r="AU569" s="141"/>
      <c r="AV569" s="141"/>
      <c r="AW569" s="142">
        <v>350</v>
      </c>
      <c r="AX569" s="126">
        <f t="shared" si="935"/>
        <v>321.02029914529919</v>
      </c>
      <c r="AY569" s="17"/>
      <c r="AZ569" s="128">
        <v>8544700000</v>
      </c>
      <c r="BB569" s="124">
        <f t="shared" si="931"/>
        <v>1486.2050886356446</v>
      </c>
      <c r="BC569" s="124">
        <f t="shared" si="932"/>
        <v>891.72305318138672</v>
      </c>
      <c r="BD569" s="124">
        <f t="shared" si="933"/>
        <v>743.10254431782232</v>
      </c>
      <c r="BE569" s="124">
        <f t="shared" si="934"/>
        <v>594.48203545425793</v>
      </c>
    </row>
    <row r="570" spans="1:57" s="129" customFormat="1" hidden="1">
      <c r="A570" s="88" t="s">
        <v>1302</v>
      </c>
      <c r="B570" s="88" t="s">
        <v>1317</v>
      </c>
      <c r="C570" s="88" t="s">
        <v>1317</v>
      </c>
      <c r="D570" s="88" t="s">
        <v>656</v>
      </c>
      <c r="E570" s="88" t="s">
        <v>684</v>
      </c>
      <c r="F570" s="89" t="s">
        <v>730</v>
      </c>
      <c r="G570" s="92" t="s">
        <v>839</v>
      </c>
      <c r="H570" s="320" t="s">
        <v>3398</v>
      </c>
      <c r="I570" s="167" t="s">
        <v>877</v>
      </c>
      <c r="J570" s="167" t="str">
        <f>_xlfn.XLOOKUP(I570,[1]Sheet1!$A:$A,[1]Sheet1!$B:$B,"")</f>
        <v>U0801006</v>
      </c>
      <c r="K570" s="88" t="s">
        <v>878</v>
      </c>
      <c r="L570" s="88" t="s">
        <v>879</v>
      </c>
      <c r="M570" s="92" t="s">
        <v>108</v>
      </c>
      <c r="N570" s="89" t="s">
        <v>60</v>
      </c>
      <c r="O570" s="165"/>
      <c r="P570" s="89" t="s">
        <v>197</v>
      </c>
      <c r="Q570" s="92" t="s">
        <v>690</v>
      </c>
      <c r="R570" s="92">
        <v>4</v>
      </c>
      <c r="S570" s="92" t="e">
        <v>#N/A</v>
      </c>
      <c r="T570" s="92">
        <v>8544700000</v>
      </c>
      <c r="U570" s="155">
        <v>0</v>
      </c>
      <c r="V570" s="207">
        <v>30</v>
      </c>
      <c r="W570" s="92">
        <v>45</v>
      </c>
      <c r="X570" s="92">
        <v>55</v>
      </c>
      <c r="Y570" s="92" t="s">
        <v>691</v>
      </c>
      <c r="Z570" s="133">
        <f t="shared" si="925"/>
        <v>332.24489795918373</v>
      </c>
      <c r="AA570" s="133"/>
      <c r="AB570" s="124">
        <f t="shared" si="938"/>
        <v>306.46388719305389</v>
      </c>
      <c r="AC570" s="124"/>
      <c r="AD570" s="213">
        <f t="shared" si="939"/>
        <v>0.1</v>
      </c>
      <c r="AE570" s="213">
        <v>0.1</v>
      </c>
      <c r="AF570" s="215">
        <v>0.28000000000000003</v>
      </c>
      <c r="AG570" s="215" t="s">
        <v>9</v>
      </c>
      <c r="AH570" s="148">
        <f t="shared" si="936"/>
        <v>306.46388719305389</v>
      </c>
      <c r="AI570" s="122">
        <f t="shared" si="926"/>
        <v>0.27999999999999992</v>
      </c>
      <c r="AJ570" s="444"/>
      <c r="AK570" s="150">
        <f t="shared" si="928"/>
        <v>258.41269841269843</v>
      </c>
      <c r="AL570" s="148">
        <f t="shared" si="928"/>
        <v>245.17110975444311</v>
      </c>
      <c r="AM570" s="125">
        <f t="shared" si="948"/>
        <v>0.22222222222222232</v>
      </c>
      <c r="AN570" s="125">
        <f t="shared" si="949"/>
        <v>0.20000000000000007</v>
      </c>
      <c r="AO570" s="136">
        <f t="shared" si="929"/>
        <v>0.32</v>
      </c>
      <c r="AP570" s="17" t="s">
        <v>747</v>
      </c>
      <c r="AQ570" s="141"/>
      <c r="AR570" s="141"/>
      <c r="AS570" s="141"/>
      <c r="AT570" s="141"/>
      <c r="AU570" s="141">
        <v>1628</v>
      </c>
      <c r="AV570" s="141">
        <f t="shared" ref="AV570:AV573" si="950">AT570+AU570</f>
        <v>1628</v>
      </c>
      <c r="AW570" s="142">
        <f t="shared" si="930"/>
        <v>232.57142857142858</v>
      </c>
      <c r="AX570" s="126">
        <f t="shared" si="935"/>
        <v>220.65399877899881</v>
      </c>
      <c r="AY570" s="17"/>
      <c r="AZ570" s="128">
        <v>8544700000</v>
      </c>
      <c r="BB570" s="124">
        <f t="shared" si="931"/>
        <v>1021.546290643513</v>
      </c>
      <c r="BC570" s="124">
        <f t="shared" si="932"/>
        <v>612.92777438610779</v>
      </c>
      <c r="BD570" s="124">
        <f t="shared" si="933"/>
        <v>510.77314532175649</v>
      </c>
      <c r="BE570" s="124">
        <f t="shared" si="934"/>
        <v>408.61851625740519</v>
      </c>
    </row>
    <row r="571" spans="1:57" s="129" customFormat="1" hidden="1">
      <c r="A571" s="88" t="s">
        <v>1302</v>
      </c>
      <c r="B571" s="88" t="s">
        <v>1317</v>
      </c>
      <c r="C571" s="88" t="s">
        <v>1317</v>
      </c>
      <c r="D571" s="88" t="s">
        <v>656</v>
      </c>
      <c r="E571" s="88" t="s">
        <v>684</v>
      </c>
      <c r="F571" s="89" t="s">
        <v>730</v>
      </c>
      <c r="G571" s="92" t="s">
        <v>839</v>
      </c>
      <c r="H571" s="320" t="s">
        <v>3399</v>
      </c>
      <c r="I571" s="167" t="s">
        <v>880</v>
      </c>
      <c r="J571" s="167" t="str">
        <f>_xlfn.XLOOKUP(I571,[1]Sheet1!$A:$A,[1]Sheet1!$B:$B,"")</f>
        <v>U0801008</v>
      </c>
      <c r="K571" s="88" t="s">
        <v>881</v>
      </c>
      <c r="L571" s="88" t="s">
        <v>882</v>
      </c>
      <c r="M571" s="92" t="s">
        <v>108</v>
      </c>
      <c r="N571" s="89" t="s">
        <v>60</v>
      </c>
      <c r="O571" s="165"/>
      <c r="P571" s="89" t="s">
        <v>197</v>
      </c>
      <c r="Q571" s="92" t="s">
        <v>690</v>
      </c>
      <c r="R571" s="92">
        <v>4</v>
      </c>
      <c r="S571" s="92" t="e">
        <v>#N/A</v>
      </c>
      <c r="T571" s="92">
        <v>8544700000</v>
      </c>
      <c r="U571" s="155">
        <v>0</v>
      </c>
      <c r="V571" s="207">
        <v>30</v>
      </c>
      <c r="W571" s="92">
        <v>45</v>
      </c>
      <c r="X571" s="92">
        <v>55</v>
      </c>
      <c r="Y571" s="92" t="s">
        <v>691</v>
      </c>
      <c r="Z571" s="133">
        <f t="shared" si="925"/>
        <v>344.89795918367349</v>
      </c>
      <c r="AA571" s="133"/>
      <c r="AB571" s="124">
        <f t="shared" si="938"/>
        <v>316.97806437389772</v>
      </c>
      <c r="AC571" s="124"/>
      <c r="AD571" s="213">
        <f t="shared" si="939"/>
        <v>0.1</v>
      </c>
      <c r="AE571" s="213">
        <v>0.1</v>
      </c>
      <c r="AF571" s="215">
        <v>0.28000000000000003</v>
      </c>
      <c r="AG571" s="215" t="s">
        <v>9</v>
      </c>
      <c r="AH571" s="148">
        <f t="shared" si="936"/>
        <v>316.97806437389772</v>
      </c>
      <c r="AI571" s="122">
        <f t="shared" si="926"/>
        <v>0.28000000000000003</v>
      </c>
      <c r="AJ571" s="444"/>
      <c r="AK571" s="150">
        <f t="shared" si="928"/>
        <v>268.25396825396825</v>
      </c>
      <c r="AL571" s="148">
        <f t="shared" si="928"/>
        <v>253.58245149911818</v>
      </c>
      <c r="AM571" s="125">
        <f t="shared" si="948"/>
        <v>0.22222222222222232</v>
      </c>
      <c r="AN571" s="125">
        <f t="shared" si="949"/>
        <v>0.19999999999999996</v>
      </c>
      <c r="AO571" s="136">
        <f t="shared" si="929"/>
        <v>0.32</v>
      </c>
      <c r="AP571" s="17" t="s">
        <v>747</v>
      </c>
      <c r="AQ571" s="141"/>
      <c r="AR571" s="141"/>
      <c r="AS571" s="141"/>
      <c r="AT571" s="141"/>
      <c r="AU571" s="141">
        <v>1690</v>
      </c>
      <c r="AV571" s="141">
        <f t="shared" si="950"/>
        <v>1690</v>
      </c>
      <c r="AW571" s="142">
        <f t="shared" si="930"/>
        <v>241.42857142857142</v>
      </c>
      <c r="AX571" s="126">
        <f t="shared" si="935"/>
        <v>228.22420634920636</v>
      </c>
      <c r="AY571" s="17"/>
      <c r="AZ571" s="128">
        <v>8544700000</v>
      </c>
      <c r="BB571" s="124">
        <f t="shared" si="931"/>
        <v>1056.5935479129926</v>
      </c>
      <c r="BC571" s="124">
        <f t="shared" si="932"/>
        <v>633.95612874779556</v>
      </c>
      <c r="BD571" s="124">
        <f t="shared" si="933"/>
        <v>528.29677395649628</v>
      </c>
      <c r="BE571" s="124">
        <f t="shared" si="934"/>
        <v>422.63741916519706</v>
      </c>
    </row>
    <row r="572" spans="1:57" s="129" customFormat="1" hidden="1">
      <c r="A572" s="88" t="s">
        <v>1302</v>
      </c>
      <c r="B572" s="88" t="s">
        <v>1317</v>
      </c>
      <c r="C572" s="88" t="s">
        <v>1317</v>
      </c>
      <c r="D572" s="88" t="s">
        <v>656</v>
      </c>
      <c r="E572" s="88" t="s">
        <v>684</v>
      </c>
      <c r="F572" s="89" t="s">
        <v>730</v>
      </c>
      <c r="G572" s="92" t="s">
        <v>839</v>
      </c>
      <c r="H572" s="320" t="s">
        <v>3400</v>
      </c>
      <c r="I572" s="167" t="s">
        <v>2409</v>
      </c>
      <c r="J572" s="167" t="str">
        <f>_xlfn.XLOOKUP(I572,[1]Sheet1!$A:$A,[1]Sheet1!$B:$B,"")</f>
        <v>U0801002</v>
      </c>
      <c r="K572" s="88" t="s">
        <v>884</v>
      </c>
      <c r="L572" s="88" t="s">
        <v>885</v>
      </c>
      <c r="M572" s="92" t="s">
        <v>108</v>
      </c>
      <c r="N572" s="89" t="s">
        <v>60</v>
      </c>
      <c r="O572" s="165"/>
      <c r="P572" s="89" t="s">
        <v>197</v>
      </c>
      <c r="Q572" s="92" t="s">
        <v>690</v>
      </c>
      <c r="R572" s="92">
        <v>4</v>
      </c>
      <c r="S572" s="92" t="e">
        <v>#N/A</v>
      </c>
      <c r="T572" s="92">
        <v>8544700000</v>
      </c>
      <c r="U572" s="155">
        <v>0</v>
      </c>
      <c r="V572" s="207">
        <v>30</v>
      </c>
      <c r="W572" s="92">
        <v>45</v>
      </c>
      <c r="X572" s="92">
        <v>55</v>
      </c>
      <c r="Y572" s="92" t="s">
        <v>691</v>
      </c>
      <c r="Z572" s="133">
        <f t="shared" si="925"/>
        <v>378.57142857142861</v>
      </c>
      <c r="AA572" s="133"/>
      <c r="AB572" s="124">
        <f t="shared" si="938"/>
        <v>344.95934235517569</v>
      </c>
      <c r="AC572" s="124"/>
      <c r="AD572" s="213">
        <f t="shared" si="939"/>
        <v>0.1</v>
      </c>
      <c r="AE572" s="213">
        <v>0.1</v>
      </c>
      <c r="AF572" s="215">
        <v>0.28000000000000003</v>
      </c>
      <c r="AG572" s="215" t="s">
        <v>9</v>
      </c>
      <c r="AH572" s="148">
        <f t="shared" si="936"/>
        <v>344.95934235517569</v>
      </c>
      <c r="AI572" s="122">
        <f t="shared" si="926"/>
        <v>0.28000000000000003</v>
      </c>
      <c r="AJ572" s="444"/>
      <c r="AK572" s="150">
        <f t="shared" si="928"/>
        <v>294.44444444444446</v>
      </c>
      <c r="AL572" s="148">
        <f t="shared" si="928"/>
        <v>275.96747388414053</v>
      </c>
      <c r="AM572" s="125">
        <f t="shared" si="948"/>
        <v>0.22222222222222232</v>
      </c>
      <c r="AN572" s="125">
        <f t="shared" si="949"/>
        <v>0.20000000000000007</v>
      </c>
      <c r="AO572" s="136">
        <f t="shared" si="929"/>
        <v>0.32</v>
      </c>
      <c r="AP572" s="17" t="s">
        <v>747</v>
      </c>
      <c r="AQ572" s="141"/>
      <c r="AR572" s="141"/>
      <c r="AS572" s="141"/>
      <c r="AT572" s="141"/>
      <c r="AU572" s="141">
        <v>1855</v>
      </c>
      <c r="AV572" s="141">
        <f t="shared" si="950"/>
        <v>1855</v>
      </c>
      <c r="AW572" s="142">
        <f t="shared" si="930"/>
        <v>265</v>
      </c>
      <c r="AX572" s="126">
        <f t="shared" si="935"/>
        <v>248.3707264957265</v>
      </c>
      <c r="AY572" s="17"/>
      <c r="AZ572" s="128">
        <v>8544700000</v>
      </c>
      <c r="BB572" s="124">
        <f t="shared" si="931"/>
        <v>1149.8644745172523</v>
      </c>
      <c r="BC572" s="124">
        <f t="shared" si="932"/>
        <v>689.91868471035139</v>
      </c>
      <c r="BD572" s="124">
        <f t="shared" si="933"/>
        <v>574.93223725862617</v>
      </c>
      <c r="BE572" s="124">
        <f t="shared" si="934"/>
        <v>459.94578980690096</v>
      </c>
    </row>
    <row r="573" spans="1:57" s="129" customFormat="1" hidden="1">
      <c r="A573" s="88" t="s">
        <v>1302</v>
      </c>
      <c r="B573" s="88" t="s">
        <v>1317</v>
      </c>
      <c r="C573" s="88" t="s">
        <v>1317</v>
      </c>
      <c r="D573" s="88" t="s">
        <v>656</v>
      </c>
      <c r="E573" s="88" t="s">
        <v>684</v>
      </c>
      <c r="F573" s="89" t="s">
        <v>730</v>
      </c>
      <c r="G573" s="92" t="s">
        <v>839</v>
      </c>
      <c r="H573" s="320" t="s">
        <v>3401</v>
      </c>
      <c r="I573" s="167" t="s">
        <v>2410</v>
      </c>
      <c r="J573" s="167" t="str">
        <f>_xlfn.XLOOKUP(I573,[1]Sheet1!$A:$A,[1]Sheet1!$B:$B,"")</f>
        <v>U0801004</v>
      </c>
      <c r="K573" s="88" t="s">
        <v>887</v>
      </c>
      <c r="L573" s="88" t="s">
        <v>888</v>
      </c>
      <c r="M573" s="92" t="s">
        <v>108</v>
      </c>
      <c r="N573" s="89" t="s">
        <v>60</v>
      </c>
      <c r="O573" s="165"/>
      <c r="P573" s="89" t="s">
        <v>197</v>
      </c>
      <c r="Q573" s="92" t="s">
        <v>690</v>
      </c>
      <c r="R573" s="92">
        <v>4</v>
      </c>
      <c r="S573" s="92" t="e">
        <v>#N/A</v>
      </c>
      <c r="T573" s="92">
        <v>8544700000</v>
      </c>
      <c r="U573" s="155">
        <v>0</v>
      </c>
      <c r="V573" s="207">
        <v>30</v>
      </c>
      <c r="W573" s="92">
        <v>45</v>
      </c>
      <c r="X573" s="92">
        <v>55</v>
      </c>
      <c r="Y573" s="92" t="s">
        <v>691</v>
      </c>
      <c r="Z573" s="133">
        <f t="shared" si="925"/>
        <v>531.63265306122457</v>
      </c>
      <c r="AA573" s="133"/>
      <c r="AB573" s="124">
        <f t="shared" si="938"/>
        <v>472.14696954280294</v>
      </c>
      <c r="AC573" s="124"/>
      <c r="AD573" s="213">
        <f t="shared" si="939"/>
        <v>0.1</v>
      </c>
      <c r="AE573" s="213">
        <v>0.1</v>
      </c>
      <c r="AF573" s="215">
        <v>0.28000000000000003</v>
      </c>
      <c r="AG573" s="215" t="s">
        <v>9</v>
      </c>
      <c r="AH573" s="148">
        <f t="shared" si="936"/>
        <v>472.14696954280294</v>
      </c>
      <c r="AI573" s="122">
        <f t="shared" si="926"/>
        <v>0.28000000000000003</v>
      </c>
      <c r="AJ573" s="444"/>
      <c r="AK573" s="150">
        <f t="shared" si="928"/>
        <v>413.49206349206349</v>
      </c>
      <c r="AL573" s="148">
        <f t="shared" si="928"/>
        <v>377.71757563424234</v>
      </c>
      <c r="AM573" s="125">
        <f t="shared" si="948"/>
        <v>0.22222222222222232</v>
      </c>
      <c r="AN573" s="125">
        <f t="shared" si="949"/>
        <v>0.20000000000000007</v>
      </c>
      <c r="AO573" s="136">
        <f t="shared" si="929"/>
        <v>0.32</v>
      </c>
      <c r="AP573" s="17" t="s">
        <v>747</v>
      </c>
      <c r="AQ573" s="141"/>
      <c r="AR573" s="141"/>
      <c r="AS573" s="141"/>
      <c r="AT573" s="141"/>
      <c r="AU573" s="141">
        <v>2605</v>
      </c>
      <c r="AV573" s="141">
        <f t="shared" si="950"/>
        <v>2605</v>
      </c>
      <c r="AW573" s="142">
        <f t="shared" si="930"/>
        <v>372.14285714285717</v>
      </c>
      <c r="AX573" s="126">
        <f t="shared" si="935"/>
        <v>339.94581807081812</v>
      </c>
      <c r="AY573" s="17"/>
      <c r="AZ573" s="128">
        <v>8544700000</v>
      </c>
      <c r="BB573" s="124">
        <f t="shared" si="931"/>
        <v>1573.8232318093433</v>
      </c>
      <c r="BC573" s="124">
        <f t="shared" si="932"/>
        <v>944.29393908560587</v>
      </c>
      <c r="BD573" s="124">
        <f t="shared" si="933"/>
        <v>786.91161590467163</v>
      </c>
      <c r="BE573" s="124">
        <f t="shared" si="934"/>
        <v>629.5292927237374</v>
      </c>
    </row>
    <row r="574" spans="1:57" s="129" customFormat="1" hidden="1">
      <c r="A574" s="88" t="s">
        <v>1302</v>
      </c>
      <c r="B574" s="88" t="s">
        <v>1317</v>
      </c>
      <c r="C574" s="88" t="s">
        <v>1317</v>
      </c>
      <c r="D574" s="88" t="s">
        <v>656</v>
      </c>
      <c r="E574" s="88" t="s">
        <v>684</v>
      </c>
      <c r="F574" s="89" t="s">
        <v>743</v>
      </c>
      <c r="G574" s="92" t="s">
        <v>839</v>
      </c>
      <c r="H574" s="320" t="s">
        <v>3402</v>
      </c>
      <c r="I574" s="167" t="s">
        <v>889</v>
      </c>
      <c r="J574" s="167" t="str">
        <f>_xlfn.XLOOKUP(I574,[1]Sheet1!$A:$A,[1]Sheet1!$B:$B,"")</f>
        <v>U0806004</v>
      </c>
      <c r="K574" s="88" t="s">
        <v>890</v>
      </c>
      <c r="L574" s="88" t="s">
        <v>891</v>
      </c>
      <c r="M574" s="92" t="s">
        <v>69</v>
      </c>
      <c r="N574" s="89" t="s">
        <v>843</v>
      </c>
      <c r="O574" s="165"/>
      <c r="P574" s="89" t="s">
        <v>197</v>
      </c>
      <c r="Q574" s="92" t="s">
        <v>690</v>
      </c>
      <c r="R574" s="92">
        <v>4</v>
      </c>
      <c r="S574" s="92" t="e">
        <v>#N/A</v>
      </c>
      <c r="T574" s="92">
        <v>8544700000</v>
      </c>
      <c r="U574" s="155">
        <v>0</v>
      </c>
      <c r="V574" s="207">
        <v>30</v>
      </c>
      <c r="W574" s="92">
        <v>45</v>
      </c>
      <c r="X574" s="92">
        <v>55</v>
      </c>
      <c r="Y574" s="92" t="s">
        <v>691</v>
      </c>
      <c r="Z574" s="133">
        <f t="shared" si="925"/>
        <v>1292.9577464788733</v>
      </c>
      <c r="AA574" s="133"/>
      <c r="AB574" s="124">
        <f t="shared" si="938"/>
        <v>1104.7813487881981</v>
      </c>
      <c r="AC574" s="124"/>
      <c r="AD574" s="213">
        <f t="shared" si="939"/>
        <v>0.1</v>
      </c>
      <c r="AE574" s="213">
        <v>0.1</v>
      </c>
      <c r="AF574" s="215">
        <v>0.27</v>
      </c>
      <c r="AG574" s="215" t="s">
        <v>9</v>
      </c>
      <c r="AH574" s="148">
        <f t="shared" si="936"/>
        <v>1104.7813487881981</v>
      </c>
      <c r="AI574" s="122">
        <f t="shared" si="926"/>
        <v>0.27</v>
      </c>
      <c r="AJ574" s="444"/>
      <c r="AK574" s="150">
        <f t="shared" si="928"/>
        <v>1020</v>
      </c>
      <c r="AL574" s="148">
        <f t="shared" si="928"/>
        <v>896.10042735042737</v>
      </c>
      <c r="AM574" s="125">
        <f t="shared" si="948"/>
        <v>0.21111111111111114</v>
      </c>
      <c r="AN574" s="125">
        <f t="shared" si="949"/>
        <v>0.18888888888888888</v>
      </c>
      <c r="AO574" s="136">
        <f t="shared" si="929"/>
        <v>0.31</v>
      </c>
      <c r="AP574" s="17" t="s">
        <v>1292</v>
      </c>
      <c r="AQ574" s="141"/>
      <c r="AR574" s="141"/>
      <c r="AS574" s="141"/>
      <c r="AT574" s="141"/>
      <c r="AU574" s="141"/>
      <c r="AV574" s="141"/>
      <c r="AW574" s="142">
        <v>918</v>
      </c>
      <c r="AX574" s="126">
        <f t="shared" si="935"/>
        <v>806.49038461538464</v>
      </c>
      <c r="AY574" s="17"/>
      <c r="AZ574" s="128">
        <v>8544700000</v>
      </c>
      <c r="BB574" s="124">
        <f t="shared" si="931"/>
        <v>3682.6044959606606</v>
      </c>
      <c r="BC574" s="124">
        <f t="shared" si="932"/>
        <v>2209.5626975763962</v>
      </c>
      <c r="BD574" s="124">
        <f t="shared" si="933"/>
        <v>1841.3022479803303</v>
      </c>
      <c r="BE574" s="124">
        <f t="shared" si="934"/>
        <v>1473.0417983842644</v>
      </c>
    </row>
    <row r="575" spans="1:57" s="129" customFormat="1" hidden="1">
      <c r="A575" s="88" t="s">
        <v>1302</v>
      </c>
      <c r="B575" s="88" t="s">
        <v>1317</v>
      </c>
      <c r="C575" s="88" t="s">
        <v>1317</v>
      </c>
      <c r="D575" s="88" t="s">
        <v>656</v>
      </c>
      <c r="E575" s="88" t="s">
        <v>684</v>
      </c>
      <c r="F575" s="89" t="s">
        <v>743</v>
      </c>
      <c r="G575" s="92" t="s">
        <v>839</v>
      </c>
      <c r="H575" s="320" t="s">
        <v>3403</v>
      </c>
      <c r="I575" s="167" t="s">
        <v>892</v>
      </c>
      <c r="J575" s="167" t="str">
        <f>_xlfn.XLOOKUP(I575,[1]Sheet1!$A:$A,[1]Sheet1!$B:$B,"")</f>
        <v>U0806008</v>
      </c>
      <c r="K575" s="88" t="s">
        <v>893</v>
      </c>
      <c r="L575" s="88" t="s">
        <v>894</v>
      </c>
      <c r="M575" s="92" t="s">
        <v>69</v>
      </c>
      <c r="N575" s="89" t="s">
        <v>843</v>
      </c>
      <c r="O575" s="165"/>
      <c r="P575" s="89" t="s">
        <v>197</v>
      </c>
      <c r="Q575" s="92" t="s">
        <v>690</v>
      </c>
      <c r="R575" s="92">
        <v>4</v>
      </c>
      <c r="S575" s="92" t="e">
        <v>#N/A</v>
      </c>
      <c r="T575" s="92">
        <v>8544700000</v>
      </c>
      <c r="U575" s="155">
        <v>0</v>
      </c>
      <c r="V575" s="207">
        <v>30</v>
      </c>
      <c r="W575" s="92">
        <v>45</v>
      </c>
      <c r="X575" s="92">
        <v>55</v>
      </c>
      <c r="Y575" s="92" t="s">
        <v>691</v>
      </c>
      <c r="Z575" s="133">
        <f t="shared" si="925"/>
        <v>1747.8873239436621</v>
      </c>
      <c r="AA575" s="133"/>
      <c r="AB575" s="124">
        <f t="shared" si="938"/>
        <v>1482.9572064161107</v>
      </c>
      <c r="AC575" s="124"/>
      <c r="AD575" s="213">
        <f t="shared" si="939"/>
        <v>0.1</v>
      </c>
      <c r="AE575" s="213">
        <v>0.1</v>
      </c>
      <c r="AF575" s="215">
        <v>0.27</v>
      </c>
      <c r="AG575" s="215" t="s">
        <v>9</v>
      </c>
      <c r="AH575" s="148">
        <f t="shared" si="936"/>
        <v>1482.9572064161107</v>
      </c>
      <c r="AI575" s="122">
        <f t="shared" si="926"/>
        <v>0.27</v>
      </c>
      <c r="AJ575" s="444"/>
      <c r="AK575" s="150">
        <f t="shared" si="928"/>
        <v>1378.8888888888889</v>
      </c>
      <c r="AL575" s="148">
        <f t="shared" si="928"/>
        <v>1202.8430674264007</v>
      </c>
      <c r="AM575" s="125">
        <f t="shared" si="948"/>
        <v>0.21111111111111114</v>
      </c>
      <c r="AN575" s="125">
        <f t="shared" si="949"/>
        <v>0.18888888888888899</v>
      </c>
      <c r="AO575" s="136">
        <f t="shared" si="929"/>
        <v>0.31</v>
      </c>
      <c r="AP575" s="17" t="s">
        <v>1292</v>
      </c>
      <c r="AQ575" s="141"/>
      <c r="AR575" s="141"/>
      <c r="AS575" s="141"/>
      <c r="AT575" s="141"/>
      <c r="AU575" s="141"/>
      <c r="AV575" s="141"/>
      <c r="AW575" s="142">
        <v>1241</v>
      </c>
      <c r="AX575" s="126">
        <f t="shared" si="935"/>
        <v>1082.5587606837607</v>
      </c>
      <c r="AY575" s="17"/>
      <c r="AZ575" s="128">
        <v>8544700000</v>
      </c>
      <c r="BB575" s="124">
        <f t="shared" si="931"/>
        <v>4943.1906880537026</v>
      </c>
      <c r="BC575" s="124">
        <f t="shared" si="932"/>
        <v>2965.9144128322214</v>
      </c>
      <c r="BD575" s="124">
        <f t="shared" si="933"/>
        <v>2471.5953440268513</v>
      </c>
      <c r="BE575" s="124">
        <f t="shared" si="934"/>
        <v>1977.2762752214812</v>
      </c>
    </row>
    <row r="576" spans="1:57" s="129" customFormat="1" hidden="1">
      <c r="A576" s="88" t="s">
        <v>1302</v>
      </c>
      <c r="B576" s="88" t="s">
        <v>1317</v>
      </c>
      <c r="C576" s="88" t="s">
        <v>1317</v>
      </c>
      <c r="D576" s="88" t="s">
        <v>656</v>
      </c>
      <c r="E576" s="88" t="s">
        <v>684</v>
      </c>
      <c r="F576" s="89" t="s">
        <v>751</v>
      </c>
      <c r="G576" s="92" t="s">
        <v>839</v>
      </c>
      <c r="H576" s="320" t="s">
        <v>3402</v>
      </c>
      <c r="I576" s="167" t="s">
        <v>895</v>
      </c>
      <c r="J576" s="167" t="str">
        <f>_xlfn.XLOOKUP(I576,[1]Sheet1!$A:$A,[1]Sheet1!$B:$B,"")</f>
        <v>U0805003</v>
      </c>
      <c r="K576" s="88" t="s">
        <v>896</v>
      </c>
      <c r="L576" s="88" t="s">
        <v>897</v>
      </c>
      <c r="M576" s="92" t="s">
        <v>69</v>
      </c>
      <c r="N576" s="89" t="s">
        <v>843</v>
      </c>
      <c r="O576" s="165"/>
      <c r="P576" s="89" t="s">
        <v>197</v>
      </c>
      <c r="Q576" s="92" t="s">
        <v>690</v>
      </c>
      <c r="R576" s="92">
        <v>4</v>
      </c>
      <c r="S576" s="92" t="e">
        <v>#N/A</v>
      </c>
      <c r="T576" s="92">
        <v>8544700000</v>
      </c>
      <c r="U576" s="155">
        <v>0</v>
      </c>
      <c r="V576" s="207">
        <v>30</v>
      </c>
      <c r="W576" s="92">
        <v>45</v>
      </c>
      <c r="X576" s="92">
        <v>55</v>
      </c>
      <c r="Y576" s="92" t="s">
        <v>691</v>
      </c>
      <c r="Z576" s="133">
        <f t="shared" si="925"/>
        <v>568.57142857142856</v>
      </c>
      <c r="AA576" s="133"/>
      <c r="AB576" s="124">
        <f t="shared" si="938"/>
        <v>502.84158357075029</v>
      </c>
      <c r="AC576" s="124"/>
      <c r="AD576" s="213">
        <f t="shared" si="939"/>
        <v>0.1</v>
      </c>
      <c r="AE576" s="213">
        <v>0.1</v>
      </c>
      <c r="AF576" s="215">
        <v>0.28000000000000003</v>
      </c>
      <c r="AG576" s="215" t="s">
        <v>9</v>
      </c>
      <c r="AH576" s="148">
        <f t="shared" si="936"/>
        <v>502.84158357075029</v>
      </c>
      <c r="AI576" s="122">
        <f t="shared" ref="AI576:AI639" si="951">1-(AX576/AH576)</f>
        <v>0.28000000000000003</v>
      </c>
      <c r="AJ576" s="444"/>
      <c r="AK576" s="150">
        <f t="shared" si="928"/>
        <v>442.22222222222223</v>
      </c>
      <c r="AL576" s="148">
        <f t="shared" si="928"/>
        <v>402.27326685660017</v>
      </c>
      <c r="AM576" s="125">
        <f t="shared" si="948"/>
        <v>0.22222222222222221</v>
      </c>
      <c r="AN576" s="125">
        <f t="shared" si="949"/>
        <v>0.20000000000000007</v>
      </c>
      <c r="AO576" s="136">
        <f t="shared" si="929"/>
        <v>0.32</v>
      </c>
      <c r="AP576" s="17" t="s">
        <v>1292</v>
      </c>
      <c r="AQ576" s="141"/>
      <c r="AR576" s="141"/>
      <c r="AS576" s="141"/>
      <c r="AT576" s="141"/>
      <c r="AU576" s="141"/>
      <c r="AV576" s="141"/>
      <c r="AW576" s="142">
        <v>398</v>
      </c>
      <c r="AX576" s="126">
        <f t="shared" si="935"/>
        <v>362.04594017094018</v>
      </c>
      <c r="AY576" s="17"/>
      <c r="AZ576" s="128">
        <v>8544700000</v>
      </c>
      <c r="BB576" s="124">
        <f t="shared" si="931"/>
        <v>1676.138611902501</v>
      </c>
      <c r="BC576" s="124">
        <f t="shared" si="932"/>
        <v>1005.6831671415006</v>
      </c>
      <c r="BD576" s="124">
        <f t="shared" si="933"/>
        <v>838.0693059512505</v>
      </c>
      <c r="BE576" s="124">
        <f t="shared" si="934"/>
        <v>670.45544476100042</v>
      </c>
    </row>
    <row r="577" spans="1:57" s="129" customFormat="1" hidden="1">
      <c r="A577" s="88" t="s">
        <v>1302</v>
      </c>
      <c r="B577" s="88" t="s">
        <v>1317</v>
      </c>
      <c r="C577" s="88" t="s">
        <v>1317</v>
      </c>
      <c r="D577" s="88" t="s">
        <v>656</v>
      </c>
      <c r="E577" s="88" t="s">
        <v>684</v>
      </c>
      <c r="F577" s="89" t="s">
        <v>751</v>
      </c>
      <c r="G577" s="92" t="s">
        <v>839</v>
      </c>
      <c r="H577" s="320" t="s">
        <v>3403</v>
      </c>
      <c r="I577" s="167" t="s">
        <v>898</v>
      </c>
      <c r="J577" s="167" t="str">
        <f>_xlfn.XLOOKUP(I577,[1]Sheet1!$A:$A,[1]Sheet1!$B:$B,"")</f>
        <v>U0805006</v>
      </c>
      <c r="K577" s="88" t="s">
        <v>899</v>
      </c>
      <c r="L577" s="88" t="s">
        <v>900</v>
      </c>
      <c r="M577" s="92" t="s">
        <v>69</v>
      </c>
      <c r="N577" s="89" t="s">
        <v>843</v>
      </c>
      <c r="O577" s="165"/>
      <c r="P577" s="89" t="s">
        <v>197</v>
      </c>
      <c r="Q577" s="92" t="s">
        <v>690</v>
      </c>
      <c r="R577" s="92">
        <v>4</v>
      </c>
      <c r="S577" s="92" t="e">
        <v>#N/A</v>
      </c>
      <c r="T577" s="92">
        <v>8544700000</v>
      </c>
      <c r="U577" s="155">
        <v>0</v>
      </c>
      <c r="V577" s="207">
        <v>30</v>
      </c>
      <c r="W577" s="92">
        <v>45</v>
      </c>
      <c r="X577" s="92">
        <v>55</v>
      </c>
      <c r="Y577" s="92" t="s">
        <v>691</v>
      </c>
      <c r="Z577" s="133">
        <f t="shared" ref="Z577:Z578" si="952">AW577/(1-(AF577+2%))</f>
        <v>994.28571428571433</v>
      </c>
      <c r="AA577" s="133"/>
      <c r="AB577" s="124">
        <f t="shared" si="938"/>
        <v>856.59277065527078</v>
      </c>
      <c r="AC577" s="124"/>
      <c r="AD577" s="213">
        <f t="shared" si="939"/>
        <v>0.1</v>
      </c>
      <c r="AE577" s="213">
        <v>0.1</v>
      </c>
      <c r="AF577" s="215">
        <v>0.28000000000000003</v>
      </c>
      <c r="AG577" s="215" t="s">
        <v>9</v>
      </c>
      <c r="AH577" s="148">
        <f t="shared" si="936"/>
        <v>856.59277065527078</v>
      </c>
      <c r="AI577" s="122">
        <f t="shared" si="951"/>
        <v>0.28000000000000003</v>
      </c>
      <c r="AJ577" s="444"/>
      <c r="AK577" s="150">
        <f t="shared" ref="AK577:AL592" si="953">AW577/(1-AD577)</f>
        <v>773.33333333333326</v>
      </c>
      <c r="AL577" s="148">
        <f t="shared" si="953"/>
        <v>685.27421652421651</v>
      </c>
      <c r="AM577" s="125">
        <f t="shared" si="948"/>
        <v>0.22222222222222232</v>
      </c>
      <c r="AN577" s="125">
        <f t="shared" si="949"/>
        <v>0.20000000000000018</v>
      </c>
      <c r="AO577" s="136">
        <f t="shared" ref="AO577:AO640" si="954">AF577+4%</f>
        <v>0.32</v>
      </c>
      <c r="AP577" s="17" t="s">
        <v>1292</v>
      </c>
      <c r="AQ577" s="141"/>
      <c r="AR577" s="141"/>
      <c r="AS577" s="141"/>
      <c r="AT577" s="141"/>
      <c r="AU577" s="141"/>
      <c r="AV577" s="141"/>
      <c r="AW577" s="142">
        <v>696</v>
      </c>
      <c r="AX577" s="126">
        <f t="shared" si="935"/>
        <v>616.74679487179492</v>
      </c>
      <c r="AY577" s="17"/>
      <c r="AZ577" s="128">
        <v>8544700000</v>
      </c>
      <c r="BB577" s="124">
        <f t="shared" si="931"/>
        <v>2855.3092355175695</v>
      </c>
      <c r="BC577" s="124">
        <f t="shared" si="932"/>
        <v>1713.1855413105416</v>
      </c>
      <c r="BD577" s="124">
        <f t="shared" si="933"/>
        <v>1427.6546177587848</v>
      </c>
      <c r="BE577" s="124">
        <f t="shared" si="934"/>
        <v>1142.1236942070279</v>
      </c>
    </row>
    <row r="578" spans="1:57" s="129" customFormat="1" hidden="1">
      <c r="A578" s="88" t="s">
        <v>1302</v>
      </c>
      <c r="B578" s="88" t="s">
        <v>1317</v>
      </c>
      <c r="C578" s="88" t="s">
        <v>1317</v>
      </c>
      <c r="D578" s="88" t="s">
        <v>656</v>
      </c>
      <c r="E578" s="88" t="s">
        <v>684</v>
      </c>
      <c r="F578" s="89" t="s">
        <v>758</v>
      </c>
      <c r="G578" s="92" t="s">
        <v>839</v>
      </c>
      <c r="H578" s="320" t="s">
        <v>3402</v>
      </c>
      <c r="I578" s="167" t="s">
        <v>901</v>
      </c>
      <c r="J578" s="167" t="str">
        <f>_xlfn.XLOOKUP(I578,[1]Sheet1!$A:$A,[1]Sheet1!$B:$B,"")</f>
        <v>U0804003</v>
      </c>
      <c r="K578" s="88" t="s">
        <v>902</v>
      </c>
      <c r="L578" s="88" t="s">
        <v>903</v>
      </c>
      <c r="M578" s="92" t="s">
        <v>69</v>
      </c>
      <c r="N578" s="89" t="s">
        <v>843</v>
      </c>
      <c r="O578" s="165"/>
      <c r="P578" s="89" t="s">
        <v>197</v>
      </c>
      <c r="Q578" s="92" t="s">
        <v>690</v>
      </c>
      <c r="R578" s="92">
        <v>4</v>
      </c>
      <c r="S578" s="92" t="e">
        <v>#N/A</v>
      </c>
      <c r="T578" s="92">
        <v>8544700000</v>
      </c>
      <c r="U578" s="155">
        <v>0</v>
      </c>
      <c r="V578" s="207">
        <v>30</v>
      </c>
      <c r="W578" s="92">
        <v>45</v>
      </c>
      <c r="X578" s="92">
        <v>55</v>
      </c>
      <c r="Y578" s="92" t="s">
        <v>691</v>
      </c>
      <c r="Z578" s="133">
        <f t="shared" si="952"/>
        <v>645.71428571428578</v>
      </c>
      <c r="AA578" s="133"/>
      <c r="AB578" s="124">
        <f t="shared" si="938"/>
        <v>566.94414767331443</v>
      </c>
      <c r="AC578" s="124"/>
      <c r="AD578" s="213">
        <f t="shared" si="939"/>
        <v>0.1</v>
      </c>
      <c r="AE578" s="213">
        <v>0.1</v>
      </c>
      <c r="AF578" s="215">
        <v>0.28000000000000003</v>
      </c>
      <c r="AG578" s="215" t="s">
        <v>9</v>
      </c>
      <c r="AH578" s="148">
        <f t="shared" si="936"/>
        <v>566.94414767331443</v>
      </c>
      <c r="AI578" s="122">
        <f t="shared" si="951"/>
        <v>0.28000000000000003</v>
      </c>
      <c r="AJ578" s="444"/>
      <c r="AK578" s="150">
        <f t="shared" si="953"/>
        <v>502.22222222222223</v>
      </c>
      <c r="AL578" s="148">
        <f t="shared" si="953"/>
        <v>453.5553181386515</v>
      </c>
      <c r="AM578" s="125">
        <f t="shared" si="948"/>
        <v>0.22222222222222232</v>
      </c>
      <c r="AN578" s="125">
        <f t="shared" si="949"/>
        <v>0.20000000000000007</v>
      </c>
      <c r="AO578" s="136">
        <f t="shared" si="954"/>
        <v>0.32</v>
      </c>
      <c r="AP578" s="17" t="s">
        <v>1292</v>
      </c>
      <c r="AQ578" s="141"/>
      <c r="AR578" s="141"/>
      <c r="AS578" s="141"/>
      <c r="AT578" s="141"/>
      <c r="AU578" s="141"/>
      <c r="AV578" s="141"/>
      <c r="AW578" s="142">
        <v>452</v>
      </c>
      <c r="AX578" s="126">
        <f t="shared" si="935"/>
        <v>408.19978632478637</v>
      </c>
      <c r="AY578" s="17"/>
      <c r="AZ578" s="128">
        <v>8544700000</v>
      </c>
      <c r="BB578" s="124">
        <f t="shared" ref="BB578:BB641" si="955">AB578/0.3</f>
        <v>1889.8138255777149</v>
      </c>
      <c r="BC578" s="124">
        <f t="shared" ref="BC578:BC641" si="956">BB578*0.6</f>
        <v>1133.8882953466289</v>
      </c>
      <c r="BD578" s="124">
        <f t="shared" ref="BD578:BD641" si="957">BB578*0.5</f>
        <v>944.90691278885743</v>
      </c>
      <c r="BE578" s="124">
        <f t="shared" ref="BE578:BE641" si="958">BB578*0.4</f>
        <v>755.92553023108599</v>
      </c>
    </row>
    <row r="579" spans="1:57" s="129" customFormat="1" hidden="1">
      <c r="A579" s="88" t="s">
        <v>1302</v>
      </c>
      <c r="B579" s="88" t="s">
        <v>1317</v>
      </c>
      <c r="C579" s="88" t="s">
        <v>1317</v>
      </c>
      <c r="D579" s="88" t="s">
        <v>656</v>
      </c>
      <c r="E579" s="88" t="s">
        <v>684</v>
      </c>
      <c r="F579" s="89" t="s">
        <v>758</v>
      </c>
      <c r="G579" s="92" t="s">
        <v>839</v>
      </c>
      <c r="H579" s="320" t="s">
        <v>3403</v>
      </c>
      <c r="I579" s="167" t="s">
        <v>904</v>
      </c>
      <c r="J579" s="167" t="str">
        <f>_xlfn.XLOOKUP(I579,[1]Sheet1!$A:$A,[1]Sheet1!$B:$B,"")</f>
        <v>U0804006</v>
      </c>
      <c r="K579" s="88" t="s">
        <v>905</v>
      </c>
      <c r="L579" s="88" t="s">
        <v>906</v>
      </c>
      <c r="M579" s="92" t="s">
        <v>69</v>
      </c>
      <c r="N579" s="89" t="s">
        <v>843</v>
      </c>
      <c r="O579" s="165"/>
      <c r="P579" s="89" t="s">
        <v>197</v>
      </c>
      <c r="Q579" s="92" t="s">
        <v>690</v>
      </c>
      <c r="R579" s="92">
        <v>4</v>
      </c>
      <c r="S579" s="92" t="e">
        <v>#N/A</v>
      </c>
      <c r="T579" s="92">
        <v>8544700000</v>
      </c>
      <c r="U579" s="155">
        <v>0</v>
      </c>
      <c r="V579" s="207">
        <v>30</v>
      </c>
      <c r="W579" s="92">
        <v>45</v>
      </c>
      <c r="X579" s="92">
        <v>55</v>
      </c>
      <c r="Y579" s="92" t="s">
        <v>691</v>
      </c>
      <c r="Z579" s="133">
        <f>AW579/(1-(AF579+2%))</f>
        <v>1074.2857142857144</v>
      </c>
      <c r="AA579" s="133"/>
      <c r="AB579" s="124">
        <f t="shared" si="938"/>
        <v>923.06950379867044</v>
      </c>
      <c r="AC579" s="124"/>
      <c r="AD579" s="213">
        <f t="shared" si="939"/>
        <v>0.1</v>
      </c>
      <c r="AE579" s="213">
        <v>0.1</v>
      </c>
      <c r="AF579" s="215">
        <v>0.28000000000000003</v>
      </c>
      <c r="AG579" s="215" t="s">
        <v>9</v>
      </c>
      <c r="AH579" s="148">
        <f t="shared" si="936"/>
        <v>923.06950379867044</v>
      </c>
      <c r="AI579" s="122">
        <f t="shared" si="951"/>
        <v>0.28000000000000003</v>
      </c>
      <c r="AJ579" s="444"/>
      <c r="AK579" s="150">
        <f t="shared" si="953"/>
        <v>835.55555555555554</v>
      </c>
      <c r="AL579" s="148">
        <f t="shared" si="953"/>
        <v>738.45560303893637</v>
      </c>
      <c r="AM579" s="125">
        <f t="shared" si="948"/>
        <v>0.22222222222222232</v>
      </c>
      <c r="AN579" s="125">
        <f t="shared" si="949"/>
        <v>0.19999999999999996</v>
      </c>
      <c r="AO579" s="136">
        <f t="shared" si="954"/>
        <v>0.32</v>
      </c>
      <c r="AP579" s="17" t="s">
        <v>1292</v>
      </c>
      <c r="AQ579" s="141"/>
      <c r="AR579" s="141"/>
      <c r="AS579" s="141"/>
      <c r="AT579" s="141"/>
      <c r="AU579" s="141"/>
      <c r="AV579" s="141"/>
      <c r="AW579" s="142">
        <v>752</v>
      </c>
      <c r="AX579" s="126">
        <f t="shared" si="935"/>
        <v>664.61004273504273</v>
      </c>
      <c r="AY579" s="17"/>
      <c r="AZ579" s="128">
        <v>8544700000</v>
      </c>
      <c r="BB579" s="124">
        <f t="shared" si="955"/>
        <v>3076.8983459955684</v>
      </c>
      <c r="BC579" s="124">
        <f t="shared" si="956"/>
        <v>1846.1390075973409</v>
      </c>
      <c r="BD579" s="124">
        <f t="shared" si="957"/>
        <v>1538.4491729977842</v>
      </c>
      <c r="BE579" s="124">
        <f t="shared" si="958"/>
        <v>1230.7593383982276</v>
      </c>
    </row>
    <row r="580" spans="1:57" s="129" customFormat="1" hidden="1">
      <c r="A580" s="88" t="s">
        <v>1276</v>
      </c>
      <c r="B580" s="88" t="s">
        <v>1317</v>
      </c>
      <c r="C580" s="88" t="s">
        <v>1317</v>
      </c>
      <c r="D580" s="88" t="s">
        <v>656</v>
      </c>
      <c r="E580" s="88" t="s">
        <v>684</v>
      </c>
      <c r="F580" s="89" t="s">
        <v>686</v>
      </c>
      <c r="G580" s="92" t="s">
        <v>685</v>
      </c>
      <c r="H580" s="320" t="s">
        <v>3398</v>
      </c>
      <c r="I580" s="167" t="s">
        <v>687</v>
      </c>
      <c r="J580" s="167" t="str">
        <f>_xlfn.XLOOKUP(I580,[1]Sheet1!$A:$A,[1]Sheet1!$B:$B,"")</f>
        <v>U0803009</v>
      </c>
      <c r="K580" s="88" t="s">
        <v>688</v>
      </c>
      <c r="L580" s="88" t="s">
        <v>689</v>
      </c>
      <c r="M580" s="92" t="s">
        <v>69</v>
      </c>
      <c r="N580" s="89" t="s">
        <v>158</v>
      </c>
      <c r="O580" s="165"/>
      <c r="P580" s="89" t="s">
        <v>715</v>
      </c>
      <c r="Q580" s="92" t="s">
        <v>690</v>
      </c>
      <c r="R580" s="92">
        <v>2</v>
      </c>
      <c r="S580" s="92" t="e">
        <v>#N/A</v>
      </c>
      <c r="T580" s="92">
        <v>8544700000</v>
      </c>
      <c r="U580" s="155">
        <v>0</v>
      </c>
      <c r="V580" s="207">
        <v>30</v>
      </c>
      <c r="W580" s="92">
        <v>45</v>
      </c>
      <c r="X580" s="92">
        <v>55</v>
      </c>
      <c r="Y580" s="92" t="s">
        <v>691</v>
      </c>
      <c r="Z580" s="133">
        <f t="shared" ref="Z580:Z643" si="959">(AW580/(1-(AF580+2%)))*$F$6</f>
        <v>548.4375</v>
      </c>
      <c r="AA580" s="133"/>
      <c r="AB580" s="124">
        <f t="shared" si="938"/>
        <v>500</v>
      </c>
      <c r="AC580" s="124"/>
      <c r="AD580" s="213">
        <f t="shared" si="939"/>
        <v>7.0000000000000007E-2</v>
      </c>
      <c r="AE580" s="213">
        <v>7.0000000000000007E-2</v>
      </c>
      <c r="AF580" s="215">
        <v>0.33999999999999997</v>
      </c>
      <c r="AG580" s="215" t="s">
        <v>9</v>
      </c>
      <c r="AH580" s="148">
        <f t="shared" si="936"/>
        <v>500</v>
      </c>
      <c r="AI580" s="122">
        <f t="shared" si="951"/>
        <v>0.33999999999999997</v>
      </c>
      <c r="AJ580" s="444"/>
      <c r="AK580" s="150">
        <f t="shared" ref="AK580:AK643" si="960">(AW580/(1-AD580))*$F$6</f>
        <v>377.41935483870969</v>
      </c>
      <c r="AL580" s="148">
        <f t="shared" si="953"/>
        <v>354.83870967741939</v>
      </c>
      <c r="AM580" s="125">
        <f t="shared" si="948"/>
        <v>0.31182795698924726</v>
      </c>
      <c r="AN580" s="125">
        <f t="shared" si="949"/>
        <v>0.29032258064516125</v>
      </c>
      <c r="AO580" s="136">
        <f t="shared" si="954"/>
        <v>0.37999999999999995</v>
      </c>
      <c r="AP580" s="17" t="s">
        <v>1291</v>
      </c>
      <c r="AQ580" s="141"/>
      <c r="AR580" s="141"/>
      <c r="AS580" s="141"/>
      <c r="AT580" s="141"/>
      <c r="AU580" s="141"/>
      <c r="AV580" s="141"/>
      <c r="AW580" s="225">
        <v>300</v>
      </c>
      <c r="AX580" s="126">
        <f t="shared" ref="AX580:AX643" si="961">AW580*1.1</f>
        <v>330</v>
      </c>
      <c r="AY580" s="198"/>
      <c r="AZ580" s="128"/>
      <c r="BB580" s="134">
        <f t="shared" si="955"/>
        <v>1666.6666666666667</v>
      </c>
      <c r="BC580" s="134">
        <f t="shared" si="956"/>
        <v>1000</v>
      </c>
      <c r="BD580" s="134">
        <f t="shared" si="957"/>
        <v>833.33333333333337</v>
      </c>
      <c r="BE580" s="134">
        <f t="shared" si="958"/>
        <v>666.66666666666674</v>
      </c>
    </row>
    <row r="581" spans="1:57" s="129" customFormat="1" hidden="1">
      <c r="A581" s="88" t="s">
        <v>1276</v>
      </c>
      <c r="B581" s="88" t="s">
        <v>1317</v>
      </c>
      <c r="C581" s="88" t="s">
        <v>1317</v>
      </c>
      <c r="D581" s="88" t="s">
        <v>656</v>
      </c>
      <c r="E581" s="88" t="s">
        <v>684</v>
      </c>
      <c r="F581" s="89" t="s">
        <v>686</v>
      </c>
      <c r="G581" s="92" t="s">
        <v>685</v>
      </c>
      <c r="H581" s="320" t="s">
        <v>3399</v>
      </c>
      <c r="I581" s="167" t="s">
        <v>693</v>
      </c>
      <c r="J581" s="167" t="str">
        <f>_xlfn.XLOOKUP(I581,[1]Sheet1!$A:$A,[1]Sheet1!$B:$B,"")</f>
        <v>U0803015</v>
      </c>
      <c r="K581" s="88" t="s">
        <v>694</v>
      </c>
      <c r="L581" s="88" t="s">
        <v>695</v>
      </c>
      <c r="M581" s="92" t="s">
        <v>69</v>
      </c>
      <c r="N581" s="89" t="s">
        <v>158</v>
      </c>
      <c r="O581" s="165"/>
      <c r="P581" s="89" t="s">
        <v>715</v>
      </c>
      <c r="Q581" s="92" t="s">
        <v>690</v>
      </c>
      <c r="R581" s="92">
        <v>2</v>
      </c>
      <c r="S581" s="92" t="e">
        <v>#N/A</v>
      </c>
      <c r="T581" s="92">
        <v>8544700000</v>
      </c>
      <c r="U581" s="155">
        <v>0</v>
      </c>
      <c r="V581" s="207">
        <v>30</v>
      </c>
      <c r="W581" s="92">
        <v>45</v>
      </c>
      <c r="X581" s="92">
        <v>55</v>
      </c>
      <c r="Y581" s="92" t="s">
        <v>691</v>
      </c>
      <c r="Z581" s="133">
        <f t="shared" si="959"/>
        <v>634.359375</v>
      </c>
      <c r="AA581" s="133"/>
      <c r="AB581" s="124">
        <f t="shared" si="938"/>
        <v>578.33333333333337</v>
      </c>
      <c r="AC581" s="124"/>
      <c r="AD581" s="213">
        <f t="shared" si="939"/>
        <v>7.0000000000000007E-2</v>
      </c>
      <c r="AE581" s="213">
        <v>7.0000000000000007E-2</v>
      </c>
      <c r="AF581" s="215">
        <v>0.33999999999999997</v>
      </c>
      <c r="AG581" s="215" t="s">
        <v>9</v>
      </c>
      <c r="AH581" s="148">
        <f t="shared" si="936"/>
        <v>578.33333333333337</v>
      </c>
      <c r="AI581" s="122">
        <f t="shared" si="951"/>
        <v>0.33999999999999997</v>
      </c>
      <c r="AJ581" s="444"/>
      <c r="AK581" s="150">
        <f t="shared" si="960"/>
        <v>436.54838709677415</v>
      </c>
      <c r="AL581" s="148">
        <f t="shared" si="953"/>
        <v>410.43010752688178</v>
      </c>
      <c r="AM581" s="125">
        <f t="shared" si="948"/>
        <v>0.31182795698924737</v>
      </c>
      <c r="AN581" s="125">
        <f t="shared" si="949"/>
        <v>0.29032258064516125</v>
      </c>
      <c r="AO581" s="136">
        <f t="shared" si="954"/>
        <v>0.37999999999999995</v>
      </c>
      <c r="AP581" s="17" t="s">
        <v>1291</v>
      </c>
      <c r="AQ581" s="141"/>
      <c r="AR581" s="141"/>
      <c r="AS581" s="141"/>
      <c r="AT581" s="141"/>
      <c r="AU581" s="141"/>
      <c r="AV581" s="141"/>
      <c r="AW581" s="225">
        <v>347</v>
      </c>
      <c r="AX581" s="126">
        <f t="shared" si="961"/>
        <v>381.70000000000005</v>
      </c>
      <c r="AY581" s="198"/>
      <c r="AZ581" s="128"/>
      <c r="BB581" s="134">
        <f t="shared" si="955"/>
        <v>1927.7777777777781</v>
      </c>
      <c r="BC581" s="134">
        <f t="shared" si="956"/>
        <v>1156.6666666666667</v>
      </c>
      <c r="BD581" s="134">
        <f t="shared" si="957"/>
        <v>963.88888888888903</v>
      </c>
      <c r="BE581" s="134">
        <f t="shared" si="958"/>
        <v>771.11111111111131</v>
      </c>
    </row>
    <row r="582" spans="1:57" s="129" customFormat="1" hidden="1">
      <c r="A582" s="88" t="s">
        <v>1276</v>
      </c>
      <c r="B582" s="88" t="s">
        <v>1317</v>
      </c>
      <c r="C582" s="88" t="s">
        <v>1317</v>
      </c>
      <c r="D582" s="88" t="s">
        <v>656</v>
      </c>
      <c r="E582" s="88" t="s">
        <v>684</v>
      </c>
      <c r="F582" s="89" t="s">
        <v>686</v>
      </c>
      <c r="G582" s="92" t="s">
        <v>685</v>
      </c>
      <c r="H582" s="320" t="s">
        <v>3400</v>
      </c>
      <c r="I582" s="167" t="s">
        <v>2418</v>
      </c>
      <c r="J582" s="167" t="str">
        <f>_xlfn.XLOOKUP(I582,[1]Sheet1!$A:$A,[1]Sheet1!$B:$B,"")</f>
        <v>U0803001</v>
      </c>
      <c r="K582" s="88" t="s">
        <v>697</v>
      </c>
      <c r="L582" s="88" t="s">
        <v>698</v>
      </c>
      <c r="M582" s="92" t="s">
        <v>69</v>
      </c>
      <c r="N582" s="89" t="s">
        <v>158</v>
      </c>
      <c r="O582" s="165"/>
      <c r="P582" s="89" t="s">
        <v>715</v>
      </c>
      <c r="Q582" s="92" t="s">
        <v>690</v>
      </c>
      <c r="R582" s="92">
        <v>2</v>
      </c>
      <c r="S582" s="92" t="e">
        <v>#N/A</v>
      </c>
      <c r="T582" s="92">
        <v>8544700000</v>
      </c>
      <c r="U582" s="155">
        <v>0</v>
      </c>
      <c r="V582" s="207">
        <v>30</v>
      </c>
      <c r="W582" s="92">
        <v>45</v>
      </c>
      <c r="X582" s="92">
        <v>55</v>
      </c>
      <c r="Y582" s="92" t="s">
        <v>691</v>
      </c>
      <c r="Z582" s="133">
        <f t="shared" si="959"/>
        <v>806.203125</v>
      </c>
      <c r="AA582" s="133"/>
      <c r="AB582" s="124">
        <f t="shared" si="938"/>
        <v>735</v>
      </c>
      <c r="AC582" s="124"/>
      <c r="AD582" s="213">
        <f t="shared" si="939"/>
        <v>7.0000000000000007E-2</v>
      </c>
      <c r="AE582" s="213">
        <v>7.0000000000000007E-2</v>
      </c>
      <c r="AF582" s="215">
        <v>0.33999999999999997</v>
      </c>
      <c r="AG582" s="215" t="s">
        <v>9</v>
      </c>
      <c r="AH582" s="148">
        <f t="shared" si="936"/>
        <v>735</v>
      </c>
      <c r="AI582" s="122">
        <f t="shared" si="951"/>
        <v>0.33999999999999997</v>
      </c>
      <c r="AJ582" s="444"/>
      <c r="AK582" s="150">
        <f t="shared" si="960"/>
        <v>554.80645161290329</v>
      </c>
      <c r="AL582" s="148">
        <f t="shared" si="953"/>
        <v>521.61290322580646</v>
      </c>
      <c r="AM582" s="125">
        <f t="shared" si="948"/>
        <v>0.31182795698924726</v>
      </c>
      <c r="AN582" s="125">
        <f t="shared" si="949"/>
        <v>0.29032258064516125</v>
      </c>
      <c r="AO582" s="136">
        <f t="shared" si="954"/>
        <v>0.37999999999999995</v>
      </c>
      <c r="AP582" s="17" t="s">
        <v>1291</v>
      </c>
      <c r="AQ582" s="141"/>
      <c r="AR582" s="141"/>
      <c r="AS582" s="141"/>
      <c r="AT582" s="141"/>
      <c r="AU582" s="141"/>
      <c r="AV582" s="141"/>
      <c r="AW582" s="225">
        <v>441</v>
      </c>
      <c r="AX582" s="126">
        <f t="shared" si="961"/>
        <v>485.1</v>
      </c>
      <c r="AY582" s="198"/>
      <c r="AZ582" s="128"/>
      <c r="BB582" s="134">
        <f t="shared" si="955"/>
        <v>2450</v>
      </c>
      <c r="BC582" s="134">
        <f t="shared" si="956"/>
        <v>1470</v>
      </c>
      <c r="BD582" s="134">
        <f t="shared" si="957"/>
        <v>1225</v>
      </c>
      <c r="BE582" s="134">
        <f t="shared" si="958"/>
        <v>980</v>
      </c>
    </row>
    <row r="583" spans="1:57" s="129" customFormat="1" hidden="1">
      <c r="A583" s="88" t="s">
        <v>1276</v>
      </c>
      <c r="B583" s="88" t="s">
        <v>1317</v>
      </c>
      <c r="C583" s="88" t="s">
        <v>1317</v>
      </c>
      <c r="D583" s="88" t="s">
        <v>656</v>
      </c>
      <c r="E583" s="88" t="s">
        <v>684</v>
      </c>
      <c r="F583" s="89" t="s">
        <v>686</v>
      </c>
      <c r="G583" s="92" t="s">
        <v>685</v>
      </c>
      <c r="H583" s="320" t="s">
        <v>3401</v>
      </c>
      <c r="I583" s="167" t="s">
        <v>699</v>
      </c>
      <c r="J583" s="167" t="str">
        <f>_xlfn.XLOOKUP(I583,[1]Sheet1!$A:$A,[1]Sheet1!$B:$B,"")</f>
        <v>U0803005</v>
      </c>
      <c r="K583" s="88" t="s">
        <v>700</v>
      </c>
      <c r="L583" s="88" t="s">
        <v>701</v>
      </c>
      <c r="M583" s="92" t="s">
        <v>69</v>
      </c>
      <c r="N583" s="89" t="s">
        <v>158</v>
      </c>
      <c r="O583" s="165"/>
      <c r="P583" s="89" t="s">
        <v>715</v>
      </c>
      <c r="Q583" s="92" t="s">
        <v>690</v>
      </c>
      <c r="R583" s="92">
        <v>2</v>
      </c>
      <c r="S583" s="92" t="e">
        <v>#N/A</v>
      </c>
      <c r="T583" s="92">
        <v>8544700000</v>
      </c>
      <c r="U583" s="155">
        <v>0</v>
      </c>
      <c r="V583" s="207">
        <v>30</v>
      </c>
      <c r="W583" s="92">
        <v>45</v>
      </c>
      <c r="X583" s="92">
        <v>55</v>
      </c>
      <c r="Y583" s="92" t="s">
        <v>691</v>
      </c>
      <c r="Z583" s="133">
        <f t="shared" si="959"/>
        <v>1360.125</v>
      </c>
      <c r="AA583" s="133"/>
      <c r="AB583" s="124">
        <f t="shared" si="938"/>
        <v>1240</v>
      </c>
      <c r="AC583" s="124"/>
      <c r="AD583" s="213">
        <f t="shared" si="939"/>
        <v>7.0000000000000007E-2</v>
      </c>
      <c r="AE583" s="213">
        <v>7.0000000000000007E-2</v>
      </c>
      <c r="AF583" s="215">
        <v>0.33999999999999997</v>
      </c>
      <c r="AG583" s="215" t="s">
        <v>9</v>
      </c>
      <c r="AH583" s="148">
        <f t="shared" si="936"/>
        <v>1240</v>
      </c>
      <c r="AI583" s="122">
        <f t="shared" si="951"/>
        <v>0.33999999999999997</v>
      </c>
      <c r="AJ583" s="444"/>
      <c r="AK583" s="150">
        <f t="shared" si="960"/>
        <v>936</v>
      </c>
      <c r="AL583" s="148">
        <f t="shared" si="953"/>
        <v>880.00000000000011</v>
      </c>
      <c r="AM583" s="125">
        <f t="shared" si="948"/>
        <v>0.31182795698924726</v>
      </c>
      <c r="AN583" s="125">
        <f t="shared" si="949"/>
        <v>0.29032258064516114</v>
      </c>
      <c r="AO583" s="136">
        <f t="shared" si="954"/>
        <v>0.37999999999999995</v>
      </c>
      <c r="AP583" s="17" t="s">
        <v>1291</v>
      </c>
      <c r="AQ583" s="141"/>
      <c r="AR583" s="141"/>
      <c r="AS583" s="141"/>
      <c r="AT583" s="141"/>
      <c r="AU583" s="141"/>
      <c r="AV583" s="141"/>
      <c r="AW583" s="225">
        <v>744</v>
      </c>
      <c r="AX583" s="126">
        <f t="shared" si="961"/>
        <v>818.40000000000009</v>
      </c>
      <c r="AY583" s="198"/>
      <c r="AZ583" s="128"/>
      <c r="BB583" s="134">
        <f t="shared" si="955"/>
        <v>4133.3333333333339</v>
      </c>
      <c r="BC583" s="134">
        <f t="shared" si="956"/>
        <v>2480.0000000000005</v>
      </c>
      <c r="BD583" s="134">
        <f t="shared" si="957"/>
        <v>2066.666666666667</v>
      </c>
      <c r="BE583" s="134">
        <f t="shared" si="958"/>
        <v>1653.3333333333337</v>
      </c>
    </row>
    <row r="584" spans="1:57" s="129" customFormat="1" hidden="1">
      <c r="A584" s="88" t="s">
        <v>1276</v>
      </c>
      <c r="B584" s="88" t="s">
        <v>1318</v>
      </c>
      <c r="C584" s="88" t="s">
        <v>1318</v>
      </c>
      <c r="D584" s="88" t="s">
        <v>656</v>
      </c>
      <c r="E584" s="88" t="s">
        <v>684</v>
      </c>
      <c r="F584" s="89" t="s">
        <v>686</v>
      </c>
      <c r="G584" s="92" t="s">
        <v>685</v>
      </c>
      <c r="H584" s="320" t="s">
        <v>3398</v>
      </c>
      <c r="I584" s="167" t="s">
        <v>2633</v>
      </c>
      <c r="J584" s="167" t="str">
        <f>_xlfn.XLOOKUP(I584,[1]Sheet1!$A:$A,[1]Sheet1!$B:$B,"")</f>
        <v/>
      </c>
      <c r="K584" s="88" t="s">
        <v>2634</v>
      </c>
      <c r="L584" s="88" t="s">
        <v>2635</v>
      </c>
      <c r="M584" s="92" t="s">
        <v>125</v>
      </c>
      <c r="N584" s="89" t="s">
        <v>1223</v>
      </c>
      <c r="O584" s="165"/>
      <c r="P584" s="89" t="s">
        <v>715</v>
      </c>
      <c r="Q584" s="92" t="s">
        <v>690</v>
      </c>
      <c r="R584" s="92">
        <v>2</v>
      </c>
      <c r="S584" s="92" t="e">
        <v>#N/A</v>
      </c>
      <c r="T584" s="92">
        <v>8544700000</v>
      </c>
      <c r="U584" s="155">
        <v>0</v>
      </c>
      <c r="V584" s="207">
        <v>30</v>
      </c>
      <c r="W584" s="92">
        <v>45</v>
      </c>
      <c r="X584" s="92">
        <v>55</v>
      </c>
      <c r="Y584" s="92" t="s">
        <v>691</v>
      </c>
      <c r="Z584" s="133">
        <f t="shared" si="959"/>
        <v>581.34375</v>
      </c>
      <c r="AA584" s="133"/>
      <c r="AB584" s="124">
        <f t="shared" si="938"/>
        <v>530</v>
      </c>
      <c r="AC584" s="124"/>
      <c r="AD584" s="213">
        <f t="shared" si="939"/>
        <v>7.0000000000000007E-2</v>
      </c>
      <c r="AE584" s="213">
        <v>7.0000000000000007E-2</v>
      </c>
      <c r="AF584" s="215">
        <v>0.33999999999999997</v>
      </c>
      <c r="AG584" s="215" t="s">
        <v>9</v>
      </c>
      <c r="AH584" s="148">
        <f t="shared" si="936"/>
        <v>530</v>
      </c>
      <c r="AI584" s="122">
        <f t="shared" si="951"/>
        <v>0.33999999999999997</v>
      </c>
      <c r="AJ584" s="444"/>
      <c r="AK584" s="150">
        <f t="shared" si="960"/>
        <v>400.06451612903226</v>
      </c>
      <c r="AL584" s="148">
        <f t="shared" si="953"/>
        <v>376.12903225806457</v>
      </c>
      <c r="AM584" s="125">
        <f t="shared" si="948"/>
        <v>0.31182795698924737</v>
      </c>
      <c r="AN584" s="125">
        <f t="shared" si="949"/>
        <v>0.29032258064516114</v>
      </c>
      <c r="AO584" s="136">
        <f t="shared" si="954"/>
        <v>0.37999999999999995</v>
      </c>
      <c r="AP584" s="17" t="s">
        <v>1291</v>
      </c>
      <c r="AQ584" s="141"/>
      <c r="AR584" s="141"/>
      <c r="AS584" s="141"/>
      <c r="AT584" s="141"/>
      <c r="AU584" s="141"/>
      <c r="AV584" s="141"/>
      <c r="AW584" s="225">
        <v>318</v>
      </c>
      <c r="AX584" s="126">
        <f t="shared" si="961"/>
        <v>349.8</v>
      </c>
      <c r="AY584" s="198"/>
      <c r="AZ584" s="128"/>
      <c r="BB584" s="134">
        <f t="shared" si="955"/>
        <v>1766.6666666666667</v>
      </c>
      <c r="BC584" s="134">
        <f t="shared" si="956"/>
        <v>1060</v>
      </c>
      <c r="BD584" s="134">
        <f t="shared" si="957"/>
        <v>883.33333333333337</v>
      </c>
      <c r="BE584" s="134">
        <f t="shared" si="958"/>
        <v>706.66666666666674</v>
      </c>
    </row>
    <row r="585" spans="1:57" s="129" customFormat="1" hidden="1">
      <c r="A585" s="88" t="s">
        <v>1276</v>
      </c>
      <c r="B585" s="88" t="s">
        <v>1318</v>
      </c>
      <c r="C585" s="88" t="s">
        <v>1318</v>
      </c>
      <c r="D585" s="88" t="s">
        <v>656</v>
      </c>
      <c r="E585" s="88" t="s">
        <v>684</v>
      </c>
      <c r="F585" s="89" t="s">
        <v>686</v>
      </c>
      <c r="G585" s="92" t="s">
        <v>685</v>
      </c>
      <c r="H585" s="320" t="s">
        <v>3399</v>
      </c>
      <c r="I585" s="167" t="s">
        <v>3276</v>
      </c>
      <c r="J585" s="167" t="str">
        <f>_xlfn.XLOOKUP(I585,[1]Sheet1!$A:$A,[1]Sheet1!$B:$B,"")</f>
        <v/>
      </c>
      <c r="K585" s="88" t="s">
        <v>3277</v>
      </c>
      <c r="L585" s="88" t="s">
        <v>3278</v>
      </c>
      <c r="M585" s="92" t="s">
        <v>125</v>
      </c>
      <c r="N585" s="89" t="s">
        <v>1223</v>
      </c>
      <c r="O585" s="165"/>
      <c r="P585" s="89" t="s">
        <v>715</v>
      </c>
      <c r="Q585" s="92" t="s">
        <v>690</v>
      </c>
      <c r="R585" s="92">
        <v>2</v>
      </c>
      <c r="S585" s="92" t="e">
        <v>#N/A</v>
      </c>
      <c r="T585" s="92">
        <v>8544700000</v>
      </c>
      <c r="U585" s="155">
        <v>0</v>
      </c>
      <c r="V585" s="207">
        <v>30</v>
      </c>
      <c r="W585" s="92">
        <v>45</v>
      </c>
      <c r="X585" s="92">
        <v>55</v>
      </c>
      <c r="Y585" s="92" t="s">
        <v>691</v>
      </c>
      <c r="Z585" s="133">
        <f t="shared" si="959"/>
        <v>722.109375</v>
      </c>
      <c r="AA585" s="133"/>
      <c r="AB585" s="124">
        <f t="shared" si="938"/>
        <v>658.33333333333337</v>
      </c>
      <c r="AC585" s="124"/>
      <c r="AD585" s="213">
        <f t="shared" si="939"/>
        <v>7.0000000000000007E-2</v>
      </c>
      <c r="AE585" s="213">
        <v>7.0000000000000007E-2</v>
      </c>
      <c r="AF585" s="215">
        <v>0.33999999999999997</v>
      </c>
      <c r="AG585" s="215" t="s">
        <v>9</v>
      </c>
      <c r="AH585" s="148">
        <f t="shared" si="936"/>
        <v>658.33333333333337</v>
      </c>
      <c r="AI585" s="122">
        <f t="shared" si="951"/>
        <v>0.33999999999999997</v>
      </c>
      <c r="AJ585" s="444"/>
      <c r="AK585" s="150">
        <f t="shared" si="960"/>
        <v>496.93548387096774</v>
      </c>
      <c r="AL585" s="148">
        <f t="shared" si="953"/>
        <v>467.20430107526892</v>
      </c>
      <c r="AM585" s="125">
        <f t="shared" si="948"/>
        <v>0.31182795698924726</v>
      </c>
      <c r="AN585" s="125">
        <f t="shared" si="949"/>
        <v>0.29032258064516114</v>
      </c>
      <c r="AO585" s="136">
        <f t="shared" si="954"/>
        <v>0.37999999999999995</v>
      </c>
      <c r="AP585" s="17" t="s">
        <v>1291</v>
      </c>
      <c r="AQ585" s="141"/>
      <c r="AR585" s="141"/>
      <c r="AS585" s="141"/>
      <c r="AT585" s="141"/>
      <c r="AU585" s="141"/>
      <c r="AV585" s="141"/>
      <c r="AW585" s="225">
        <v>395</v>
      </c>
      <c r="AX585" s="126">
        <f t="shared" si="961"/>
        <v>434.50000000000006</v>
      </c>
      <c r="AY585" s="198"/>
      <c r="AZ585" s="128"/>
      <c r="BB585" s="134">
        <f t="shared" si="955"/>
        <v>2194.4444444444448</v>
      </c>
      <c r="BC585" s="134">
        <f t="shared" si="956"/>
        <v>1316.6666666666667</v>
      </c>
      <c r="BD585" s="134">
        <f t="shared" si="957"/>
        <v>1097.2222222222224</v>
      </c>
      <c r="BE585" s="134">
        <f t="shared" si="958"/>
        <v>877.77777777777794</v>
      </c>
    </row>
    <row r="586" spans="1:57" s="129" customFormat="1" hidden="1">
      <c r="A586" s="88" t="s">
        <v>1276</v>
      </c>
      <c r="B586" s="88" t="s">
        <v>1318</v>
      </c>
      <c r="C586" s="88" t="s">
        <v>1318</v>
      </c>
      <c r="D586" s="88" t="s">
        <v>656</v>
      </c>
      <c r="E586" s="88" t="s">
        <v>684</v>
      </c>
      <c r="F586" s="89" t="s">
        <v>686</v>
      </c>
      <c r="G586" s="92" t="s">
        <v>685</v>
      </c>
      <c r="H586" s="320" t="s">
        <v>3400</v>
      </c>
      <c r="I586" s="167" t="s">
        <v>1671</v>
      </c>
      <c r="J586" s="167" t="str">
        <f>_xlfn.XLOOKUP(I586,[1]Sheet1!$A:$A,[1]Sheet1!$B:$B,"")</f>
        <v>U0803019</v>
      </c>
      <c r="K586" s="88" t="s">
        <v>1673</v>
      </c>
      <c r="L586" s="88" t="s">
        <v>1675</v>
      </c>
      <c r="M586" s="92" t="s">
        <v>125</v>
      </c>
      <c r="N586" s="89" t="s">
        <v>1223</v>
      </c>
      <c r="O586" s="165"/>
      <c r="P586" s="89" t="s">
        <v>715</v>
      </c>
      <c r="Q586" s="92" t="s">
        <v>690</v>
      </c>
      <c r="R586" s="92">
        <v>2</v>
      </c>
      <c r="S586" s="92" t="e">
        <v>#N/A</v>
      </c>
      <c r="T586" s="92">
        <v>8544700000</v>
      </c>
      <c r="U586" s="155">
        <v>0</v>
      </c>
      <c r="V586" s="207">
        <v>30</v>
      </c>
      <c r="W586" s="92">
        <v>45</v>
      </c>
      <c r="X586" s="92">
        <v>55</v>
      </c>
      <c r="Y586" s="92" t="s">
        <v>691</v>
      </c>
      <c r="Z586" s="133">
        <f t="shared" si="959"/>
        <v>828.140625</v>
      </c>
      <c r="AA586" s="133"/>
      <c r="AB586" s="124">
        <f t="shared" si="938"/>
        <v>755.00000000000011</v>
      </c>
      <c r="AC586" s="124"/>
      <c r="AD586" s="213">
        <f t="shared" si="939"/>
        <v>7.0000000000000007E-2</v>
      </c>
      <c r="AE586" s="213">
        <v>7.0000000000000007E-2</v>
      </c>
      <c r="AF586" s="215">
        <v>0.33999999999999997</v>
      </c>
      <c r="AG586" s="215" t="s">
        <v>9</v>
      </c>
      <c r="AH586" s="148">
        <f t="shared" si="936"/>
        <v>755.00000000000011</v>
      </c>
      <c r="AI586" s="122">
        <f t="shared" si="951"/>
        <v>0.33999999999999997</v>
      </c>
      <c r="AJ586" s="444"/>
      <c r="AK586" s="150">
        <f t="shared" si="960"/>
        <v>569.90322580645159</v>
      </c>
      <c r="AL586" s="148">
        <f t="shared" si="953"/>
        <v>535.80645161290329</v>
      </c>
      <c r="AM586" s="125">
        <f t="shared" si="948"/>
        <v>0.31182795698924737</v>
      </c>
      <c r="AN586" s="125">
        <f t="shared" si="949"/>
        <v>0.29032258064516137</v>
      </c>
      <c r="AO586" s="136">
        <f t="shared" si="954"/>
        <v>0.37999999999999995</v>
      </c>
      <c r="AP586" s="17" t="s">
        <v>1291</v>
      </c>
      <c r="AQ586" s="141"/>
      <c r="AR586" s="141"/>
      <c r="AS586" s="141"/>
      <c r="AT586" s="141"/>
      <c r="AU586" s="141"/>
      <c r="AV586" s="141"/>
      <c r="AW586" s="225">
        <v>453</v>
      </c>
      <c r="AX586" s="126">
        <f t="shared" si="961"/>
        <v>498.30000000000007</v>
      </c>
      <c r="AY586" s="17"/>
      <c r="AZ586" s="128">
        <v>8544700000</v>
      </c>
      <c r="BB586" s="134">
        <f t="shared" si="955"/>
        <v>2516.666666666667</v>
      </c>
      <c r="BC586" s="134">
        <f t="shared" si="956"/>
        <v>1510.0000000000002</v>
      </c>
      <c r="BD586" s="134">
        <f t="shared" si="957"/>
        <v>1258.3333333333335</v>
      </c>
      <c r="BE586" s="134">
        <f t="shared" si="958"/>
        <v>1006.6666666666669</v>
      </c>
    </row>
    <row r="587" spans="1:57" s="129" customFormat="1" hidden="1">
      <c r="A587" s="88" t="s">
        <v>1276</v>
      </c>
      <c r="B587" s="88" t="s">
        <v>1318</v>
      </c>
      <c r="C587" s="88" t="s">
        <v>1318</v>
      </c>
      <c r="D587" s="88" t="s">
        <v>656</v>
      </c>
      <c r="E587" s="88" t="s">
        <v>684</v>
      </c>
      <c r="F587" s="89" t="s">
        <v>686</v>
      </c>
      <c r="G587" s="92" t="s">
        <v>685</v>
      </c>
      <c r="H587" s="320" t="s">
        <v>3401</v>
      </c>
      <c r="I587" s="167" t="s">
        <v>1672</v>
      </c>
      <c r="J587" s="167" t="str">
        <f>_xlfn.XLOOKUP(I587,[1]Sheet1!$A:$A,[1]Sheet1!$B:$B,"")</f>
        <v>U0803021</v>
      </c>
      <c r="K587" s="88" t="s">
        <v>1674</v>
      </c>
      <c r="L587" s="88" t="s">
        <v>1676</v>
      </c>
      <c r="M587" s="92" t="s">
        <v>125</v>
      </c>
      <c r="N587" s="89" t="s">
        <v>1223</v>
      </c>
      <c r="O587" s="165"/>
      <c r="P587" s="89" t="s">
        <v>715</v>
      </c>
      <c r="Q587" s="92" t="s">
        <v>690</v>
      </c>
      <c r="R587" s="92">
        <v>2</v>
      </c>
      <c r="S587" s="92" t="e">
        <v>#N/A</v>
      </c>
      <c r="T587" s="92">
        <v>8544700000</v>
      </c>
      <c r="U587" s="155">
        <v>0</v>
      </c>
      <c r="V587" s="207">
        <v>30</v>
      </c>
      <c r="W587" s="92">
        <v>45</v>
      </c>
      <c r="X587" s="92">
        <v>55</v>
      </c>
      <c r="Y587" s="92" t="s">
        <v>691</v>
      </c>
      <c r="Z587" s="133">
        <f t="shared" si="959"/>
        <v>1464.328125</v>
      </c>
      <c r="AA587" s="133"/>
      <c r="AB587" s="124">
        <f t="shared" si="938"/>
        <v>1335</v>
      </c>
      <c r="AC587" s="124"/>
      <c r="AD587" s="213">
        <f t="shared" si="939"/>
        <v>7.0000000000000007E-2</v>
      </c>
      <c r="AE587" s="213">
        <v>7.0000000000000007E-2</v>
      </c>
      <c r="AF587" s="215">
        <v>0.33999999999999997</v>
      </c>
      <c r="AG587" s="215" t="s">
        <v>9</v>
      </c>
      <c r="AH587" s="148">
        <f t="shared" si="936"/>
        <v>1335</v>
      </c>
      <c r="AI587" s="122">
        <f t="shared" si="951"/>
        <v>0.33999999999999997</v>
      </c>
      <c r="AJ587" s="444"/>
      <c r="AK587" s="150">
        <f t="shared" si="960"/>
        <v>1007.7096774193549</v>
      </c>
      <c r="AL587" s="148">
        <f t="shared" si="953"/>
        <v>947.41935483870975</v>
      </c>
      <c r="AM587" s="125">
        <f t="shared" si="948"/>
        <v>0.31182795698924726</v>
      </c>
      <c r="AN587" s="125">
        <f t="shared" si="949"/>
        <v>0.29032258064516125</v>
      </c>
      <c r="AO587" s="136">
        <f t="shared" si="954"/>
        <v>0.37999999999999995</v>
      </c>
      <c r="AP587" s="17" t="s">
        <v>1291</v>
      </c>
      <c r="AQ587" s="141"/>
      <c r="AR587" s="141"/>
      <c r="AS587" s="141"/>
      <c r="AT587" s="141"/>
      <c r="AU587" s="141"/>
      <c r="AV587" s="141"/>
      <c r="AW587" s="225">
        <v>801</v>
      </c>
      <c r="AX587" s="126">
        <f t="shared" si="961"/>
        <v>881.1</v>
      </c>
      <c r="AY587" s="17"/>
      <c r="AZ587" s="128">
        <v>8544700000</v>
      </c>
      <c r="BB587" s="134">
        <f t="shared" si="955"/>
        <v>4450</v>
      </c>
      <c r="BC587" s="134">
        <f t="shared" si="956"/>
        <v>2670</v>
      </c>
      <c r="BD587" s="134">
        <f t="shared" si="957"/>
        <v>2225</v>
      </c>
      <c r="BE587" s="134">
        <f t="shared" si="958"/>
        <v>1780</v>
      </c>
    </row>
    <row r="588" spans="1:57" s="129" customFormat="1" hidden="1">
      <c r="A588" s="88" t="s">
        <v>1276</v>
      </c>
      <c r="B588" s="88" t="s">
        <v>1318</v>
      </c>
      <c r="C588" s="88" t="s">
        <v>1318</v>
      </c>
      <c r="D588" s="88" t="s">
        <v>656</v>
      </c>
      <c r="E588" s="88" t="s">
        <v>684</v>
      </c>
      <c r="F588" s="89" t="s">
        <v>702</v>
      </c>
      <c r="G588" s="92" t="s">
        <v>685</v>
      </c>
      <c r="H588" s="320" t="s">
        <v>3398</v>
      </c>
      <c r="I588" s="167" t="s">
        <v>703</v>
      </c>
      <c r="J588" s="167" t="str">
        <f>_xlfn.XLOOKUP(I588,[1]Sheet1!$A:$A,[1]Sheet1!$B:$B,"")</f>
        <v>U0807009</v>
      </c>
      <c r="K588" s="88" t="s">
        <v>704</v>
      </c>
      <c r="L588" s="88" t="s">
        <v>705</v>
      </c>
      <c r="M588" s="92" t="s">
        <v>125</v>
      </c>
      <c r="N588" s="89" t="s">
        <v>158</v>
      </c>
      <c r="O588" s="165"/>
      <c r="P588" s="89" t="s">
        <v>715</v>
      </c>
      <c r="Q588" s="92" t="s">
        <v>690</v>
      </c>
      <c r="R588" s="92">
        <v>2</v>
      </c>
      <c r="S588" s="92" t="e">
        <v>#N/A</v>
      </c>
      <c r="T588" s="92">
        <v>8544700000</v>
      </c>
      <c r="U588" s="155">
        <v>0</v>
      </c>
      <c r="V588" s="207">
        <v>30</v>
      </c>
      <c r="W588" s="92">
        <v>45</v>
      </c>
      <c r="X588" s="92">
        <v>55</v>
      </c>
      <c r="Y588" s="92" t="s">
        <v>691</v>
      </c>
      <c r="Z588" s="133">
        <f t="shared" si="959"/>
        <v>564.57142857142856</v>
      </c>
      <c r="AA588" s="133"/>
      <c r="AB588" s="124">
        <f t="shared" si="938"/>
        <v>514.46153846153845</v>
      </c>
      <c r="AC588" s="124"/>
      <c r="AD588" s="213">
        <f t="shared" si="939"/>
        <v>7.0000000000000007E-2</v>
      </c>
      <c r="AE588" s="213">
        <v>7.0000000000000007E-2</v>
      </c>
      <c r="AF588" s="215">
        <v>0.35</v>
      </c>
      <c r="AG588" s="215" t="s">
        <v>9</v>
      </c>
      <c r="AH588" s="148">
        <f t="shared" si="936"/>
        <v>514.46153846153845</v>
      </c>
      <c r="AI588" s="122">
        <f t="shared" si="951"/>
        <v>0.35</v>
      </c>
      <c r="AJ588" s="444"/>
      <c r="AK588" s="150">
        <f t="shared" si="960"/>
        <v>382.45161290322579</v>
      </c>
      <c r="AL588" s="148">
        <f t="shared" si="953"/>
        <v>359.56989247311833</v>
      </c>
      <c r="AM588" s="125">
        <f t="shared" si="948"/>
        <v>0.32258064516129037</v>
      </c>
      <c r="AN588" s="125">
        <f t="shared" si="949"/>
        <v>0.30107526881720414</v>
      </c>
      <c r="AO588" s="136">
        <f t="shared" si="954"/>
        <v>0.38999999999999996</v>
      </c>
      <c r="AP588" s="17" t="s">
        <v>1291</v>
      </c>
      <c r="AQ588" s="141"/>
      <c r="AR588" s="141"/>
      <c r="AS588" s="141"/>
      <c r="AT588" s="141"/>
      <c r="AU588" s="141"/>
      <c r="AV588" s="141"/>
      <c r="AW588" s="225">
        <v>304</v>
      </c>
      <c r="AX588" s="126">
        <f t="shared" si="961"/>
        <v>334.40000000000003</v>
      </c>
      <c r="AY588" s="198"/>
      <c r="AZ588" s="128"/>
      <c r="BB588" s="134">
        <f t="shared" si="955"/>
        <v>1714.8717948717949</v>
      </c>
      <c r="BC588" s="134">
        <f t="shared" si="956"/>
        <v>1028.9230769230769</v>
      </c>
      <c r="BD588" s="134">
        <f t="shared" si="957"/>
        <v>857.43589743589746</v>
      </c>
      <c r="BE588" s="134">
        <f t="shared" si="958"/>
        <v>685.94871794871801</v>
      </c>
    </row>
    <row r="589" spans="1:57" s="129" customFormat="1" hidden="1">
      <c r="A589" s="88" t="s">
        <v>1276</v>
      </c>
      <c r="B589" s="88" t="s">
        <v>1318</v>
      </c>
      <c r="C589" s="88" t="s">
        <v>1318</v>
      </c>
      <c r="D589" s="88" t="s">
        <v>656</v>
      </c>
      <c r="E589" s="88" t="s">
        <v>684</v>
      </c>
      <c r="F589" s="89" t="s">
        <v>702</v>
      </c>
      <c r="G589" s="92" t="s">
        <v>685</v>
      </c>
      <c r="H589" s="320" t="s">
        <v>3399</v>
      </c>
      <c r="I589" s="167" t="s">
        <v>706</v>
      </c>
      <c r="J589" s="167" t="str">
        <f>_xlfn.XLOOKUP(I589,[1]Sheet1!$A:$A,[1]Sheet1!$B:$B,"")</f>
        <v>U0807013</v>
      </c>
      <c r="K589" s="88" t="s">
        <v>707</v>
      </c>
      <c r="L589" s="88" t="s">
        <v>708</v>
      </c>
      <c r="M589" s="92" t="s">
        <v>125</v>
      </c>
      <c r="N589" s="89" t="s">
        <v>158</v>
      </c>
      <c r="O589" s="165"/>
      <c r="P589" s="89" t="s">
        <v>715</v>
      </c>
      <c r="Q589" s="92" t="s">
        <v>690</v>
      </c>
      <c r="R589" s="92">
        <v>2</v>
      </c>
      <c r="S589" s="92" t="e">
        <v>#N/A</v>
      </c>
      <c r="T589" s="92">
        <v>8544700000</v>
      </c>
      <c r="U589" s="155">
        <v>0</v>
      </c>
      <c r="V589" s="207">
        <v>30</v>
      </c>
      <c r="W589" s="92">
        <v>45</v>
      </c>
      <c r="X589" s="92">
        <v>55</v>
      </c>
      <c r="Y589" s="92" t="s">
        <v>691</v>
      </c>
      <c r="Z589" s="133">
        <f t="shared" si="959"/>
        <v>664.85714285714278</v>
      </c>
      <c r="AA589" s="133"/>
      <c r="AB589" s="124">
        <f t="shared" si="938"/>
        <v>605.84615384615381</v>
      </c>
      <c r="AC589" s="124"/>
      <c r="AD589" s="213">
        <f t="shared" si="939"/>
        <v>7.0000000000000007E-2</v>
      </c>
      <c r="AE589" s="213">
        <v>7.0000000000000007E-2</v>
      </c>
      <c r="AF589" s="215">
        <v>0.35</v>
      </c>
      <c r="AG589" s="215" t="s">
        <v>9</v>
      </c>
      <c r="AH589" s="148">
        <f t="shared" si="936"/>
        <v>605.84615384615381</v>
      </c>
      <c r="AI589" s="122">
        <f t="shared" si="951"/>
        <v>0.35</v>
      </c>
      <c r="AJ589" s="444"/>
      <c r="AK589" s="150">
        <f t="shared" si="960"/>
        <v>450.38709677419359</v>
      </c>
      <c r="AL589" s="148">
        <f t="shared" si="953"/>
        <v>423.44086021505382</v>
      </c>
      <c r="AM589" s="125">
        <f t="shared" si="948"/>
        <v>0.32258064516129015</v>
      </c>
      <c r="AN589" s="125">
        <f t="shared" si="949"/>
        <v>0.30107526881720414</v>
      </c>
      <c r="AO589" s="136">
        <f t="shared" si="954"/>
        <v>0.38999999999999996</v>
      </c>
      <c r="AP589" s="17" t="s">
        <v>1291</v>
      </c>
      <c r="AQ589" s="141"/>
      <c r="AR589" s="141"/>
      <c r="AS589" s="141"/>
      <c r="AT589" s="141"/>
      <c r="AU589" s="141"/>
      <c r="AV589" s="141"/>
      <c r="AW589" s="225">
        <v>358</v>
      </c>
      <c r="AX589" s="126">
        <f t="shared" si="961"/>
        <v>393.8</v>
      </c>
      <c r="AY589" s="198"/>
      <c r="AZ589" s="128"/>
      <c r="BB589" s="134">
        <f t="shared" si="955"/>
        <v>2019.4871794871794</v>
      </c>
      <c r="BC589" s="134">
        <f t="shared" si="956"/>
        <v>1211.6923076923076</v>
      </c>
      <c r="BD589" s="134">
        <f t="shared" si="957"/>
        <v>1009.7435897435897</v>
      </c>
      <c r="BE589" s="134">
        <f t="shared" si="958"/>
        <v>807.79487179487182</v>
      </c>
    </row>
    <row r="590" spans="1:57" s="129" customFormat="1" hidden="1">
      <c r="A590" s="88" t="s">
        <v>1276</v>
      </c>
      <c r="B590" s="88" t="s">
        <v>1318</v>
      </c>
      <c r="C590" s="88" t="s">
        <v>1318</v>
      </c>
      <c r="D590" s="88" t="s">
        <v>656</v>
      </c>
      <c r="E590" s="88" t="s">
        <v>684</v>
      </c>
      <c r="F590" s="89" t="s">
        <v>702</v>
      </c>
      <c r="G590" s="92" t="s">
        <v>685</v>
      </c>
      <c r="H590" s="320" t="s">
        <v>3400</v>
      </c>
      <c r="I590" s="167" t="s">
        <v>709</v>
      </c>
      <c r="J590" s="167" t="str">
        <f>_xlfn.XLOOKUP(I590,[1]Sheet1!$A:$A,[1]Sheet1!$B:$B,"")</f>
        <v>U0807001</v>
      </c>
      <c r="K590" s="88" t="s">
        <v>710</v>
      </c>
      <c r="L590" s="88" t="s">
        <v>711</v>
      </c>
      <c r="M590" s="92" t="s">
        <v>125</v>
      </c>
      <c r="N590" s="89" t="s">
        <v>158</v>
      </c>
      <c r="O590" s="165"/>
      <c r="P590" s="89" t="s">
        <v>715</v>
      </c>
      <c r="Q590" s="92" t="s">
        <v>690</v>
      </c>
      <c r="R590" s="92">
        <v>2</v>
      </c>
      <c r="S590" s="92" t="e">
        <v>#N/A</v>
      </c>
      <c r="T590" s="92">
        <v>8544700000</v>
      </c>
      <c r="U590" s="155">
        <v>0</v>
      </c>
      <c r="V590" s="207">
        <v>30</v>
      </c>
      <c r="W590" s="92">
        <v>45</v>
      </c>
      <c r="X590" s="92">
        <v>55</v>
      </c>
      <c r="Y590" s="92" t="s">
        <v>691</v>
      </c>
      <c r="Z590" s="133">
        <f t="shared" si="959"/>
        <v>893.28571428571422</v>
      </c>
      <c r="AA590" s="133"/>
      <c r="AB590" s="124">
        <f t="shared" si="938"/>
        <v>814</v>
      </c>
      <c r="AC590" s="124"/>
      <c r="AD590" s="213">
        <f t="shared" si="939"/>
        <v>7.0000000000000007E-2</v>
      </c>
      <c r="AE590" s="213">
        <v>7.0000000000000007E-2</v>
      </c>
      <c r="AF590" s="215">
        <v>0.35</v>
      </c>
      <c r="AG590" s="215" t="s">
        <v>9</v>
      </c>
      <c r="AH590" s="148">
        <f t="shared" si="936"/>
        <v>814</v>
      </c>
      <c r="AI590" s="122">
        <f t="shared" si="951"/>
        <v>0.35</v>
      </c>
      <c r="AJ590" s="444"/>
      <c r="AK590" s="150">
        <f t="shared" si="960"/>
        <v>605.12903225806451</v>
      </c>
      <c r="AL590" s="148">
        <f t="shared" si="953"/>
        <v>568.92473118279577</v>
      </c>
      <c r="AM590" s="125">
        <f t="shared" si="948"/>
        <v>0.32258064516129026</v>
      </c>
      <c r="AN590" s="125">
        <f t="shared" si="949"/>
        <v>0.30107526881720426</v>
      </c>
      <c r="AO590" s="136">
        <f t="shared" si="954"/>
        <v>0.38999999999999996</v>
      </c>
      <c r="AP590" s="17" t="s">
        <v>1291</v>
      </c>
      <c r="AQ590" s="141"/>
      <c r="AR590" s="141"/>
      <c r="AS590" s="141"/>
      <c r="AT590" s="141"/>
      <c r="AU590" s="141"/>
      <c r="AV590" s="141"/>
      <c r="AW590" s="225">
        <v>481</v>
      </c>
      <c r="AX590" s="126">
        <f t="shared" si="961"/>
        <v>529.1</v>
      </c>
      <c r="AY590" s="198"/>
      <c r="AZ590" s="128"/>
      <c r="BB590" s="134">
        <f t="shared" si="955"/>
        <v>2713.3333333333335</v>
      </c>
      <c r="BC590" s="134">
        <f t="shared" si="956"/>
        <v>1628</v>
      </c>
      <c r="BD590" s="134">
        <f t="shared" si="957"/>
        <v>1356.6666666666667</v>
      </c>
      <c r="BE590" s="134">
        <f t="shared" si="958"/>
        <v>1085.3333333333335</v>
      </c>
    </row>
    <row r="591" spans="1:57" s="129" customFormat="1" hidden="1">
      <c r="A591" s="88" t="s">
        <v>1276</v>
      </c>
      <c r="B591" s="88" t="s">
        <v>1318</v>
      </c>
      <c r="C591" s="88" t="s">
        <v>1318</v>
      </c>
      <c r="D591" s="88" t="s">
        <v>656</v>
      </c>
      <c r="E591" s="88" t="s">
        <v>684</v>
      </c>
      <c r="F591" s="89" t="s">
        <v>702</v>
      </c>
      <c r="G591" s="92" t="s">
        <v>685</v>
      </c>
      <c r="H591" s="320" t="s">
        <v>3401</v>
      </c>
      <c r="I591" s="167" t="s">
        <v>712</v>
      </c>
      <c r="J591" s="167" t="str">
        <f>_xlfn.XLOOKUP(I591,[1]Sheet1!$A:$A,[1]Sheet1!$B:$B,"")</f>
        <v>U0807005</v>
      </c>
      <c r="K591" s="88" t="s">
        <v>713</v>
      </c>
      <c r="L591" s="88" t="s">
        <v>714</v>
      </c>
      <c r="M591" s="92" t="s">
        <v>125</v>
      </c>
      <c r="N591" s="89" t="s">
        <v>158</v>
      </c>
      <c r="O591" s="165"/>
      <c r="P591" s="89" t="s">
        <v>715</v>
      </c>
      <c r="Q591" s="92" t="s">
        <v>690</v>
      </c>
      <c r="R591" s="92">
        <v>2</v>
      </c>
      <c r="S591" s="92" t="e">
        <v>#N/A</v>
      </c>
      <c r="T591" s="92">
        <v>8544700000</v>
      </c>
      <c r="U591" s="155">
        <v>0</v>
      </c>
      <c r="V591" s="207">
        <v>30</v>
      </c>
      <c r="W591" s="92">
        <v>45</v>
      </c>
      <c r="X591" s="92">
        <v>55</v>
      </c>
      <c r="Y591" s="92" t="s">
        <v>691</v>
      </c>
      <c r="Z591" s="133">
        <f t="shared" si="959"/>
        <v>1480.1428571428571</v>
      </c>
      <c r="AA591" s="133"/>
      <c r="AB591" s="124">
        <f t="shared" si="938"/>
        <v>1348.7692307692307</v>
      </c>
      <c r="AC591" s="124"/>
      <c r="AD591" s="213">
        <f t="shared" si="939"/>
        <v>7.0000000000000007E-2</v>
      </c>
      <c r="AE591" s="213">
        <v>7.0000000000000007E-2</v>
      </c>
      <c r="AF591" s="215">
        <v>0.35</v>
      </c>
      <c r="AG591" s="215" t="s">
        <v>9</v>
      </c>
      <c r="AH591" s="148">
        <f t="shared" si="936"/>
        <v>1348.7692307692307</v>
      </c>
      <c r="AI591" s="122">
        <f t="shared" si="951"/>
        <v>0.35</v>
      </c>
      <c r="AJ591" s="444"/>
      <c r="AK591" s="150">
        <f t="shared" si="960"/>
        <v>1002.6774193548387</v>
      </c>
      <c r="AL591" s="148">
        <f t="shared" si="953"/>
        <v>942.68817204301081</v>
      </c>
      <c r="AM591" s="125">
        <f t="shared" si="948"/>
        <v>0.32258064516129037</v>
      </c>
      <c r="AN591" s="125">
        <f t="shared" si="949"/>
        <v>0.30107526881720426</v>
      </c>
      <c r="AO591" s="136">
        <f t="shared" si="954"/>
        <v>0.38999999999999996</v>
      </c>
      <c r="AP591" s="17" t="s">
        <v>1291</v>
      </c>
      <c r="AQ591" s="141"/>
      <c r="AR591" s="141"/>
      <c r="AS591" s="141"/>
      <c r="AT591" s="141"/>
      <c r="AU591" s="141"/>
      <c r="AV591" s="141"/>
      <c r="AW591" s="225">
        <v>797</v>
      </c>
      <c r="AX591" s="126">
        <f t="shared" si="961"/>
        <v>876.7</v>
      </c>
      <c r="AY591" s="198"/>
      <c r="AZ591" s="128"/>
      <c r="BB591" s="134">
        <f t="shared" si="955"/>
        <v>4495.8974358974356</v>
      </c>
      <c r="BC591" s="134">
        <f t="shared" si="956"/>
        <v>2697.5384615384614</v>
      </c>
      <c r="BD591" s="134">
        <f t="shared" si="957"/>
        <v>2247.9487179487178</v>
      </c>
      <c r="BE591" s="134">
        <f t="shared" si="958"/>
        <v>1798.3589743589744</v>
      </c>
    </row>
    <row r="592" spans="1:57" s="129" customFormat="1" hidden="1">
      <c r="A592" s="88" t="s">
        <v>1276</v>
      </c>
      <c r="B592" s="88" t="s">
        <v>1318</v>
      </c>
      <c r="C592" s="88" t="s">
        <v>1318</v>
      </c>
      <c r="D592" s="88" t="s">
        <v>656</v>
      </c>
      <c r="E592" s="88" t="s">
        <v>684</v>
      </c>
      <c r="F592" s="89" t="s">
        <v>717</v>
      </c>
      <c r="G592" s="92" t="s">
        <v>685</v>
      </c>
      <c r="H592" s="320" t="s">
        <v>3398</v>
      </c>
      <c r="I592" s="167" t="s">
        <v>718</v>
      </c>
      <c r="J592" s="167" t="str">
        <f>_xlfn.XLOOKUP(I592,[1]Sheet1!$A:$A,[1]Sheet1!$B:$B,"")</f>
        <v>U0802005</v>
      </c>
      <c r="K592" s="88" t="s">
        <v>719</v>
      </c>
      <c r="L592" s="88" t="s">
        <v>720</v>
      </c>
      <c r="M592" s="92" t="s">
        <v>108</v>
      </c>
      <c r="N592" s="89" t="s">
        <v>158</v>
      </c>
      <c r="O592" s="165"/>
      <c r="P592" s="89" t="s">
        <v>715</v>
      </c>
      <c r="Q592" s="92" t="s">
        <v>690</v>
      </c>
      <c r="R592" s="92">
        <v>2</v>
      </c>
      <c r="S592" s="92" t="e">
        <v>#N/A</v>
      </c>
      <c r="T592" s="92">
        <v>8544700000</v>
      </c>
      <c r="U592" s="155">
        <v>0</v>
      </c>
      <c r="V592" s="207">
        <v>30</v>
      </c>
      <c r="W592" s="92">
        <v>45</v>
      </c>
      <c r="X592" s="92">
        <v>55</v>
      </c>
      <c r="Y592" s="92" t="s">
        <v>691</v>
      </c>
      <c r="Z592" s="133">
        <f t="shared" si="959"/>
        <v>484.98387096774189</v>
      </c>
      <c r="AA592" s="133"/>
      <c r="AB592" s="124">
        <f t="shared" si="938"/>
        <v>441.71875000000006</v>
      </c>
      <c r="AC592" s="124"/>
      <c r="AD592" s="213">
        <f t="shared" si="939"/>
        <v>7.0000000000000007E-2</v>
      </c>
      <c r="AE592" s="213">
        <v>7.0000000000000007E-2</v>
      </c>
      <c r="AF592" s="215">
        <v>0.36</v>
      </c>
      <c r="AG592" s="215" t="s">
        <v>9</v>
      </c>
      <c r="AH592" s="148">
        <f t="shared" si="936"/>
        <v>441.71875000000006</v>
      </c>
      <c r="AI592" s="122">
        <f t="shared" si="951"/>
        <v>0.36</v>
      </c>
      <c r="AJ592" s="444"/>
      <c r="AK592" s="150">
        <f t="shared" si="960"/>
        <v>323.32258064516128</v>
      </c>
      <c r="AL592" s="148">
        <f t="shared" si="953"/>
        <v>303.97849462365599</v>
      </c>
      <c r="AM592" s="125">
        <f t="shared" si="948"/>
        <v>0.33333333333333326</v>
      </c>
      <c r="AN592" s="125">
        <f t="shared" si="949"/>
        <v>0.31182795698924726</v>
      </c>
      <c r="AO592" s="136">
        <f t="shared" si="954"/>
        <v>0.39999999999999997</v>
      </c>
      <c r="AP592" s="17" t="s">
        <v>1291</v>
      </c>
      <c r="AQ592" s="141"/>
      <c r="AR592" s="141"/>
      <c r="AS592" s="141"/>
      <c r="AT592" s="141"/>
      <c r="AU592" s="141"/>
      <c r="AV592" s="141"/>
      <c r="AW592" s="225">
        <v>257</v>
      </c>
      <c r="AX592" s="126">
        <f t="shared" si="961"/>
        <v>282.70000000000005</v>
      </c>
      <c r="AY592" s="198"/>
      <c r="AZ592" s="128"/>
      <c r="BB592" s="134">
        <f t="shared" si="955"/>
        <v>1472.3958333333335</v>
      </c>
      <c r="BC592" s="134">
        <f t="shared" si="956"/>
        <v>883.43750000000011</v>
      </c>
      <c r="BD592" s="134">
        <f t="shared" si="957"/>
        <v>736.19791666666674</v>
      </c>
      <c r="BE592" s="134">
        <f t="shared" si="958"/>
        <v>588.95833333333337</v>
      </c>
    </row>
    <row r="593" spans="1:57" s="129" customFormat="1" hidden="1">
      <c r="A593" s="88" t="s">
        <v>1276</v>
      </c>
      <c r="B593" s="88" t="s">
        <v>1318</v>
      </c>
      <c r="C593" s="88" t="s">
        <v>1318</v>
      </c>
      <c r="D593" s="88" t="s">
        <v>656</v>
      </c>
      <c r="E593" s="88" t="s">
        <v>684</v>
      </c>
      <c r="F593" s="89" t="s">
        <v>717</v>
      </c>
      <c r="G593" s="92" t="s">
        <v>685</v>
      </c>
      <c r="H593" s="320" t="s">
        <v>3399</v>
      </c>
      <c r="I593" s="167" t="s">
        <v>721</v>
      </c>
      <c r="J593" s="167" t="str">
        <f>_xlfn.XLOOKUP(I593,[1]Sheet1!$A:$A,[1]Sheet1!$B:$B,"")</f>
        <v>U0802007</v>
      </c>
      <c r="K593" s="88" t="s">
        <v>722</v>
      </c>
      <c r="L593" s="88" t="s">
        <v>723</v>
      </c>
      <c r="M593" s="92" t="s">
        <v>108</v>
      </c>
      <c r="N593" s="89" t="s">
        <v>158</v>
      </c>
      <c r="O593" s="165"/>
      <c r="P593" s="89" t="s">
        <v>715</v>
      </c>
      <c r="Q593" s="92" t="s">
        <v>690</v>
      </c>
      <c r="R593" s="92">
        <v>2</v>
      </c>
      <c r="S593" s="92" t="e">
        <v>#N/A</v>
      </c>
      <c r="T593" s="92">
        <v>8544700000</v>
      </c>
      <c r="U593" s="155">
        <v>0</v>
      </c>
      <c r="V593" s="207">
        <v>30</v>
      </c>
      <c r="W593" s="92">
        <v>45</v>
      </c>
      <c r="X593" s="92">
        <v>55</v>
      </c>
      <c r="Y593" s="92" t="s">
        <v>691</v>
      </c>
      <c r="Z593" s="133">
        <f t="shared" si="959"/>
        <v>581.22580645161281</v>
      </c>
      <c r="AA593" s="133"/>
      <c r="AB593" s="124">
        <f t="shared" si="938"/>
        <v>529.375</v>
      </c>
      <c r="AC593" s="124"/>
      <c r="AD593" s="213">
        <f t="shared" si="939"/>
        <v>7.0000000000000007E-2</v>
      </c>
      <c r="AE593" s="213">
        <v>7.0000000000000007E-2</v>
      </c>
      <c r="AF593" s="215">
        <v>0.36</v>
      </c>
      <c r="AG593" s="215" t="s">
        <v>9</v>
      </c>
      <c r="AH593" s="148">
        <f t="shared" si="936"/>
        <v>529.375</v>
      </c>
      <c r="AI593" s="122">
        <f t="shared" si="951"/>
        <v>0.36</v>
      </c>
      <c r="AJ593" s="444"/>
      <c r="AK593" s="150">
        <f t="shared" si="960"/>
        <v>387.48387096774189</v>
      </c>
      <c r="AL593" s="148">
        <f t="shared" ref="AL593:AL680" si="962">AX593/(1-AE593)</f>
        <v>364.30107526881721</v>
      </c>
      <c r="AM593" s="125">
        <f t="shared" si="948"/>
        <v>0.33333333333333326</v>
      </c>
      <c r="AN593" s="125">
        <f t="shared" si="949"/>
        <v>0.31182795698924726</v>
      </c>
      <c r="AO593" s="136">
        <f t="shared" si="954"/>
        <v>0.39999999999999997</v>
      </c>
      <c r="AP593" s="17" t="s">
        <v>1291</v>
      </c>
      <c r="AQ593" s="141"/>
      <c r="AR593" s="141"/>
      <c r="AS593" s="141"/>
      <c r="AT593" s="141"/>
      <c r="AU593" s="141"/>
      <c r="AV593" s="141"/>
      <c r="AW593" s="225">
        <v>308</v>
      </c>
      <c r="AX593" s="126">
        <f t="shared" si="961"/>
        <v>338.8</v>
      </c>
      <c r="AY593" s="198"/>
      <c r="AZ593" s="128"/>
      <c r="BB593" s="134">
        <f t="shared" si="955"/>
        <v>1764.5833333333335</v>
      </c>
      <c r="BC593" s="134">
        <f t="shared" si="956"/>
        <v>1058.75</v>
      </c>
      <c r="BD593" s="134">
        <f t="shared" si="957"/>
        <v>882.29166666666674</v>
      </c>
      <c r="BE593" s="134">
        <f t="shared" si="958"/>
        <v>705.83333333333348</v>
      </c>
    </row>
    <row r="594" spans="1:57" s="129" customFormat="1" hidden="1">
      <c r="A594" s="88" t="s">
        <v>1276</v>
      </c>
      <c r="B594" s="88" t="s">
        <v>1318</v>
      </c>
      <c r="C594" s="88" t="s">
        <v>1318</v>
      </c>
      <c r="D594" s="88" t="s">
        <v>656</v>
      </c>
      <c r="E594" s="88" t="s">
        <v>684</v>
      </c>
      <c r="F594" s="89" t="s">
        <v>717</v>
      </c>
      <c r="G594" s="92" t="s">
        <v>685</v>
      </c>
      <c r="H594" s="320" t="s">
        <v>3400</v>
      </c>
      <c r="I594" s="167" t="s">
        <v>724</v>
      </c>
      <c r="J594" s="167" t="str">
        <f>_xlfn.XLOOKUP(I594,[1]Sheet1!$A:$A,[1]Sheet1!$B:$B,"")</f>
        <v>U0802001</v>
      </c>
      <c r="K594" s="88" t="s">
        <v>3279</v>
      </c>
      <c r="L594" s="88" t="s">
        <v>726</v>
      </c>
      <c r="M594" s="92" t="s">
        <v>108</v>
      </c>
      <c r="N594" s="89" t="s">
        <v>158</v>
      </c>
      <c r="O594" s="165"/>
      <c r="P594" s="89" t="s">
        <v>715</v>
      </c>
      <c r="Q594" s="92" t="s">
        <v>690</v>
      </c>
      <c r="R594" s="92">
        <v>2</v>
      </c>
      <c r="S594" s="92" t="e">
        <v>#N/A</v>
      </c>
      <c r="T594" s="92">
        <v>8544700000</v>
      </c>
      <c r="U594" s="155">
        <v>0</v>
      </c>
      <c r="V594" s="207">
        <v>30</v>
      </c>
      <c r="W594" s="92">
        <v>45</v>
      </c>
      <c r="X594" s="92">
        <v>55</v>
      </c>
      <c r="Y594" s="92" t="s">
        <v>691</v>
      </c>
      <c r="Z594" s="133">
        <f t="shared" si="959"/>
        <v>742.21875</v>
      </c>
      <c r="AA594" s="133"/>
      <c r="AB594" s="124">
        <f t="shared" si="938"/>
        <v>676.66666666666663</v>
      </c>
      <c r="AC594" s="124"/>
      <c r="AD594" s="213">
        <f t="shared" si="939"/>
        <v>7.0000000000000007E-2</v>
      </c>
      <c r="AE594" s="213">
        <v>7.0000000000000007E-2</v>
      </c>
      <c r="AF594" s="215">
        <v>0.33999999999999997</v>
      </c>
      <c r="AG594" s="215" t="s">
        <v>9</v>
      </c>
      <c r="AH594" s="148">
        <f t="shared" si="936"/>
        <v>676.66666666666663</v>
      </c>
      <c r="AI594" s="122">
        <f t="shared" si="951"/>
        <v>0.33999999999999997</v>
      </c>
      <c r="AJ594" s="444"/>
      <c r="AK594" s="150">
        <f t="shared" si="960"/>
        <v>510.77419354838707</v>
      </c>
      <c r="AL594" s="148">
        <f t="shared" si="962"/>
        <v>480.21505376344089</v>
      </c>
      <c r="AM594" s="125">
        <f t="shared" ref="AM594:AM625" si="963">1-(AK594/Z594)</f>
        <v>0.31182795698924737</v>
      </c>
      <c r="AN594" s="125">
        <f t="shared" ref="AN594:AN625" si="964">1-(AL594/AB594)</f>
        <v>0.29032258064516125</v>
      </c>
      <c r="AO594" s="136">
        <f t="shared" si="954"/>
        <v>0.37999999999999995</v>
      </c>
      <c r="AP594" s="17" t="s">
        <v>1291</v>
      </c>
      <c r="AQ594" s="141"/>
      <c r="AR594" s="141"/>
      <c r="AS594" s="141"/>
      <c r="AT594" s="141"/>
      <c r="AU594" s="141"/>
      <c r="AV594" s="141"/>
      <c r="AW594" s="225">
        <v>406</v>
      </c>
      <c r="AX594" s="126">
        <f t="shared" si="961"/>
        <v>446.6</v>
      </c>
      <c r="AY594" s="198"/>
      <c r="AZ594" s="128"/>
      <c r="BB594" s="134">
        <f t="shared" si="955"/>
        <v>2255.5555555555557</v>
      </c>
      <c r="BC594" s="134">
        <f t="shared" si="956"/>
        <v>1353.3333333333333</v>
      </c>
      <c r="BD594" s="134">
        <f t="shared" si="957"/>
        <v>1127.7777777777778</v>
      </c>
      <c r="BE594" s="134">
        <f t="shared" si="958"/>
        <v>902.22222222222229</v>
      </c>
    </row>
    <row r="595" spans="1:57" s="129" customFormat="1" hidden="1">
      <c r="A595" s="88" t="s">
        <v>1276</v>
      </c>
      <c r="B595" s="88" t="s">
        <v>1318</v>
      </c>
      <c r="C595" s="88" t="s">
        <v>1318</v>
      </c>
      <c r="D595" s="88" t="s">
        <v>656</v>
      </c>
      <c r="E595" s="88" t="s">
        <v>684</v>
      </c>
      <c r="F595" s="89" t="s">
        <v>717</v>
      </c>
      <c r="G595" s="92" t="s">
        <v>685</v>
      </c>
      <c r="H595" s="320" t="s">
        <v>3401</v>
      </c>
      <c r="I595" s="167" t="s">
        <v>727</v>
      </c>
      <c r="J595" s="167" t="str">
        <f>_xlfn.XLOOKUP(I595,[1]Sheet1!$A:$A,[1]Sheet1!$B:$B,"")</f>
        <v>U0802003</v>
      </c>
      <c r="K595" s="88" t="s">
        <v>728</v>
      </c>
      <c r="L595" s="88" t="s">
        <v>729</v>
      </c>
      <c r="M595" s="92" t="s">
        <v>108</v>
      </c>
      <c r="N595" s="89" t="s">
        <v>158</v>
      </c>
      <c r="O595" s="165"/>
      <c r="P595" s="89" t="s">
        <v>715</v>
      </c>
      <c r="Q595" s="92" t="s">
        <v>690</v>
      </c>
      <c r="R595" s="92">
        <v>2</v>
      </c>
      <c r="S595" s="92" t="e">
        <v>#N/A</v>
      </c>
      <c r="T595" s="92">
        <v>8544700000</v>
      </c>
      <c r="U595" s="155">
        <v>0</v>
      </c>
      <c r="V595" s="207">
        <v>30</v>
      </c>
      <c r="W595" s="92">
        <v>45</v>
      </c>
      <c r="X595" s="92">
        <v>55</v>
      </c>
      <c r="Y595" s="92" t="s">
        <v>691</v>
      </c>
      <c r="Z595" s="133">
        <f t="shared" si="959"/>
        <v>1274.203125</v>
      </c>
      <c r="AA595" s="133"/>
      <c r="AB595" s="124">
        <f t="shared" si="938"/>
        <v>1161.6666666666667</v>
      </c>
      <c r="AC595" s="124"/>
      <c r="AD595" s="213">
        <f t="shared" si="939"/>
        <v>7.0000000000000007E-2</v>
      </c>
      <c r="AE595" s="213">
        <v>7.0000000000000007E-2</v>
      </c>
      <c r="AF595" s="215">
        <v>0.33999999999999997</v>
      </c>
      <c r="AG595" s="215" t="s">
        <v>9</v>
      </c>
      <c r="AH595" s="148">
        <f t="shared" si="936"/>
        <v>1161.6666666666667</v>
      </c>
      <c r="AI595" s="122">
        <f t="shared" si="951"/>
        <v>0.33999999999999997</v>
      </c>
      <c r="AJ595" s="444"/>
      <c r="AK595" s="150">
        <f t="shared" si="960"/>
        <v>876.87096774193549</v>
      </c>
      <c r="AL595" s="148">
        <f t="shared" si="962"/>
        <v>824.40860215053772</v>
      </c>
      <c r="AM595" s="125">
        <f t="shared" si="963"/>
        <v>0.31182795698924726</v>
      </c>
      <c r="AN595" s="125">
        <f t="shared" si="964"/>
        <v>0.29032258064516125</v>
      </c>
      <c r="AO595" s="136">
        <f t="shared" si="954"/>
        <v>0.37999999999999995</v>
      </c>
      <c r="AP595" s="17" t="s">
        <v>1291</v>
      </c>
      <c r="AQ595" s="141"/>
      <c r="AR595" s="141"/>
      <c r="AS595" s="141"/>
      <c r="AT595" s="141"/>
      <c r="AU595" s="141"/>
      <c r="AV595" s="141"/>
      <c r="AW595" s="225">
        <v>697</v>
      </c>
      <c r="AX595" s="126">
        <f t="shared" si="961"/>
        <v>766.7</v>
      </c>
      <c r="AY595" s="198"/>
      <c r="AZ595" s="128"/>
      <c r="BB595" s="134">
        <f t="shared" si="955"/>
        <v>3872.2222222222226</v>
      </c>
      <c r="BC595" s="134">
        <f t="shared" si="956"/>
        <v>2323.3333333333335</v>
      </c>
      <c r="BD595" s="134">
        <f t="shared" si="957"/>
        <v>1936.1111111111113</v>
      </c>
      <c r="BE595" s="134">
        <f t="shared" si="958"/>
        <v>1548.8888888888891</v>
      </c>
    </row>
    <row r="596" spans="1:57" s="129" customFormat="1" hidden="1">
      <c r="A596" s="88" t="s">
        <v>1276</v>
      </c>
      <c r="B596" s="88" t="s">
        <v>1318</v>
      </c>
      <c r="C596" s="88" t="s">
        <v>1318</v>
      </c>
      <c r="D596" s="88" t="s">
        <v>656</v>
      </c>
      <c r="E596" s="88" t="s">
        <v>684</v>
      </c>
      <c r="F596" s="89" t="s">
        <v>730</v>
      </c>
      <c r="G596" s="92" t="s">
        <v>685</v>
      </c>
      <c r="H596" s="320" t="s">
        <v>3398</v>
      </c>
      <c r="I596" s="167" t="s">
        <v>731</v>
      </c>
      <c r="J596" s="167" t="str">
        <f>_xlfn.XLOOKUP(I596,[1]Sheet1!$A:$A,[1]Sheet1!$B:$B,"")</f>
        <v>U0801005</v>
      </c>
      <c r="K596" s="88" t="s">
        <v>732</v>
      </c>
      <c r="L596" s="88" t="s">
        <v>733</v>
      </c>
      <c r="M596" s="92" t="s">
        <v>108</v>
      </c>
      <c r="N596" s="89" t="s">
        <v>158</v>
      </c>
      <c r="O596" s="165"/>
      <c r="P596" s="89" t="s">
        <v>715</v>
      </c>
      <c r="Q596" s="92" t="s">
        <v>690</v>
      </c>
      <c r="R596" s="92">
        <v>2</v>
      </c>
      <c r="S596" s="92" t="e">
        <v>#N/A</v>
      </c>
      <c r="T596" s="92">
        <v>8544700000</v>
      </c>
      <c r="U596" s="155">
        <v>0</v>
      </c>
      <c r="V596" s="207">
        <v>30</v>
      </c>
      <c r="W596" s="92">
        <v>45</v>
      </c>
      <c r="X596" s="92">
        <v>55</v>
      </c>
      <c r="Y596" s="92" t="s">
        <v>691</v>
      </c>
      <c r="Z596" s="133">
        <f t="shared" si="959"/>
        <v>583.171875</v>
      </c>
      <c r="AA596" s="133"/>
      <c r="AB596" s="124">
        <f t="shared" si="938"/>
        <v>531.66666666666674</v>
      </c>
      <c r="AC596" s="124"/>
      <c r="AD596" s="213">
        <f t="shared" si="939"/>
        <v>7.0000000000000007E-2</v>
      </c>
      <c r="AE596" s="213">
        <v>7.0000000000000007E-2</v>
      </c>
      <c r="AF596" s="215">
        <v>0.33999999999999997</v>
      </c>
      <c r="AG596" s="215" t="s">
        <v>9</v>
      </c>
      <c r="AH596" s="148">
        <f t="shared" si="936"/>
        <v>531.66666666666674</v>
      </c>
      <c r="AI596" s="122">
        <f t="shared" si="951"/>
        <v>0.34000000000000008</v>
      </c>
      <c r="AJ596" s="444"/>
      <c r="AK596" s="150">
        <f t="shared" si="960"/>
        <v>401.32258064516134</v>
      </c>
      <c r="AL596" s="148">
        <f t="shared" si="962"/>
        <v>377.3118279569893</v>
      </c>
      <c r="AM596" s="125">
        <f t="shared" si="963"/>
        <v>0.31182795698924726</v>
      </c>
      <c r="AN596" s="125">
        <f t="shared" si="964"/>
        <v>0.29032258064516125</v>
      </c>
      <c r="AO596" s="136">
        <f t="shared" si="954"/>
        <v>0.37999999999999995</v>
      </c>
      <c r="AP596" s="17" t="s">
        <v>1291</v>
      </c>
      <c r="AQ596" s="141"/>
      <c r="AR596" s="141"/>
      <c r="AS596" s="141"/>
      <c r="AT596" s="141"/>
      <c r="AU596" s="141"/>
      <c r="AV596" s="141"/>
      <c r="AW596" s="225">
        <v>319</v>
      </c>
      <c r="AX596" s="126">
        <f t="shared" si="961"/>
        <v>350.90000000000003</v>
      </c>
      <c r="AY596" s="198"/>
      <c r="AZ596" s="128"/>
      <c r="BB596" s="134">
        <f t="shared" si="955"/>
        <v>1772.2222222222226</v>
      </c>
      <c r="BC596" s="134">
        <f t="shared" si="956"/>
        <v>1063.3333333333335</v>
      </c>
      <c r="BD596" s="134">
        <f t="shared" si="957"/>
        <v>886.11111111111131</v>
      </c>
      <c r="BE596" s="134">
        <f t="shared" si="958"/>
        <v>708.88888888888914</v>
      </c>
    </row>
    <row r="597" spans="1:57" s="129" customFormat="1" hidden="1">
      <c r="A597" s="88" t="s">
        <v>1276</v>
      </c>
      <c r="B597" s="88" t="s">
        <v>1318</v>
      </c>
      <c r="C597" s="88" t="s">
        <v>1318</v>
      </c>
      <c r="D597" s="88" t="s">
        <v>656</v>
      </c>
      <c r="E597" s="88" t="s">
        <v>684</v>
      </c>
      <c r="F597" s="89" t="s">
        <v>730</v>
      </c>
      <c r="G597" s="92" t="s">
        <v>685</v>
      </c>
      <c r="H597" s="320" t="s">
        <v>3399</v>
      </c>
      <c r="I597" s="167" t="s">
        <v>734</v>
      </c>
      <c r="J597" s="167" t="str">
        <f>_xlfn.XLOOKUP(I597,[1]Sheet1!$A:$A,[1]Sheet1!$B:$B,"")</f>
        <v>U0801007</v>
      </c>
      <c r="K597" s="88" t="s">
        <v>735</v>
      </c>
      <c r="L597" s="88" t="s">
        <v>736</v>
      </c>
      <c r="M597" s="92" t="s">
        <v>108</v>
      </c>
      <c r="N597" s="89" t="s">
        <v>158</v>
      </c>
      <c r="O597" s="165"/>
      <c r="P597" s="89" t="s">
        <v>715</v>
      </c>
      <c r="Q597" s="92" t="s">
        <v>690</v>
      </c>
      <c r="R597" s="92">
        <v>2</v>
      </c>
      <c r="S597" s="92" t="e">
        <v>#N/A</v>
      </c>
      <c r="T597" s="92">
        <v>8544700000</v>
      </c>
      <c r="U597" s="155">
        <v>0</v>
      </c>
      <c r="V597" s="207">
        <v>30</v>
      </c>
      <c r="W597" s="92">
        <v>45</v>
      </c>
      <c r="X597" s="92">
        <v>55</v>
      </c>
      <c r="Y597" s="92" t="s">
        <v>691</v>
      </c>
      <c r="Z597" s="133">
        <f t="shared" si="959"/>
        <v>670.921875</v>
      </c>
      <c r="AA597" s="133"/>
      <c r="AB597" s="124">
        <f t="shared" si="938"/>
        <v>611.66666666666674</v>
      </c>
      <c r="AC597" s="124"/>
      <c r="AD597" s="213">
        <f t="shared" si="939"/>
        <v>7.0000000000000007E-2</v>
      </c>
      <c r="AE597" s="213">
        <v>7.0000000000000007E-2</v>
      </c>
      <c r="AF597" s="215">
        <v>0.33999999999999997</v>
      </c>
      <c r="AG597" s="215" t="s">
        <v>9</v>
      </c>
      <c r="AH597" s="148">
        <f t="shared" si="936"/>
        <v>611.66666666666674</v>
      </c>
      <c r="AI597" s="122">
        <f t="shared" si="951"/>
        <v>0.33999999999999997</v>
      </c>
      <c r="AJ597" s="444"/>
      <c r="AK597" s="150">
        <f t="shared" si="960"/>
        <v>461.70967741935482</v>
      </c>
      <c r="AL597" s="148">
        <f t="shared" si="962"/>
        <v>434.08602150537644</v>
      </c>
      <c r="AM597" s="125">
        <f t="shared" si="963"/>
        <v>0.31182795698924737</v>
      </c>
      <c r="AN597" s="125">
        <f t="shared" si="964"/>
        <v>0.29032258064516125</v>
      </c>
      <c r="AO597" s="136">
        <f t="shared" si="954"/>
        <v>0.37999999999999995</v>
      </c>
      <c r="AP597" s="17" t="s">
        <v>1291</v>
      </c>
      <c r="AQ597" s="141"/>
      <c r="AR597" s="141"/>
      <c r="AS597" s="141"/>
      <c r="AT597" s="141"/>
      <c r="AU597" s="141"/>
      <c r="AV597" s="141"/>
      <c r="AW597" s="225">
        <v>367</v>
      </c>
      <c r="AX597" s="126">
        <f t="shared" si="961"/>
        <v>403.70000000000005</v>
      </c>
      <c r="AY597" s="198"/>
      <c r="AZ597" s="128"/>
      <c r="BB597" s="134">
        <f t="shared" si="955"/>
        <v>2038.8888888888891</v>
      </c>
      <c r="BC597" s="134">
        <f t="shared" si="956"/>
        <v>1223.3333333333335</v>
      </c>
      <c r="BD597" s="134">
        <f t="shared" si="957"/>
        <v>1019.4444444444446</v>
      </c>
      <c r="BE597" s="134">
        <f t="shared" si="958"/>
        <v>815.55555555555566</v>
      </c>
    </row>
    <row r="598" spans="1:57" s="129" customFormat="1" hidden="1">
      <c r="A598" s="88" t="s">
        <v>1276</v>
      </c>
      <c r="B598" s="88" t="s">
        <v>1318</v>
      </c>
      <c r="C598" s="88" t="s">
        <v>1318</v>
      </c>
      <c r="D598" s="88" t="s">
        <v>656</v>
      </c>
      <c r="E598" s="88" t="s">
        <v>684</v>
      </c>
      <c r="F598" s="89" t="s">
        <v>730</v>
      </c>
      <c r="G598" s="92" t="s">
        <v>685</v>
      </c>
      <c r="H598" s="320" t="s">
        <v>3400</v>
      </c>
      <c r="I598" s="167" t="s">
        <v>737</v>
      </c>
      <c r="J598" s="167" t="str">
        <f>_xlfn.XLOOKUP(I598,[1]Sheet1!$A:$A,[1]Sheet1!$B:$B,"")</f>
        <v>U0801001</v>
      </c>
      <c r="K598" s="88" t="s">
        <v>738</v>
      </c>
      <c r="L598" s="88" t="s">
        <v>739</v>
      </c>
      <c r="M598" s="92" t="s">
        <v>108</v>
      </c>
      <c r="N598" s="89" t="s">
        <v>158</v>
      </c>
      <c r="O598" s="165"/>
      <c r="P598" s="89" t="s">
        <v>715</v>
      </c>
      <c r="Q598" s="92" t="s">
        <v>690</v>
      </c>
      <c r="R598" s="92">
        <v>2</v>
      </c>
      <c r="S598" s="92" t="e">
        <v>#N/A</v>
      </c>
      <c r="T598" s="92">
        <v>8544700000</v>
      </c>
      <c r="U598" s="155">
        <v>0</v>
      </c>
      <c r="V598" s="207">
        <v>30</v>
      </c>
      <c r="W598" s="92">
        <v>45</v>
      </c>
      <c r="X598" s="92">
        <v>55</v>
      </c>
      <c r="Y598" s="92" t="s">
        <v>691</v>
      </c>
      <c r="Z598" s="133">
        <f t="shared" si="959"/>
        <v>819</v>
      </c>
      <c r="AA598" s="133"/>
      <c r="AB598" s="124">
        <f t="shared" si="938"/>
        <v>746.66666666666674</v>
      </c>
      <c r="AC598" s="124"/>
      <c r="AD598" s="213">
        <f t="shared" si="939"/>
        <v>7.0000000000000007E-2</v>
      </c>
      <c r="AE598" s="213">
        <v>7.0000000000000007E-2</v>
      </c>
      <c r="AF598" s="215">
        <v>0.33999999999999997</v>
      </c>
      <c r="AG598" s="215" t="s">
        <v>9</v>
      </c>
      <c r="AH598" s="148">
        <f t="shared" si="936"/>
        <v>746.66666666666674</v>
      </c>
      <c r="AI598" s="122">
        <f t="shared" si="951"/>
        <v>0.33999999999999997</v>
      </c>
      <c r="AJ598" s="444"/>
      <c r="AK598" s="150">
        <f t="shared" si="960"/>
        <v>563.61290322580646</v>
      </c>
      <c r="AL598" s="148">
        <f t="shared" si="962"/>
        <v>529.89247311827967</v>
      </c>
      <c r="AM598" s="125">
        <f t="shared" si="963"/>
        <v>0.31182795698924726</v>
      </c>
      <c r="AN598" s="125">
        <f t="shared" si="964"/>
        <v>0.29032258064516125</v>
      </c>
      <c r="AO598" s="136">
        <f t="shared" si="954"/>
        <v>0.37999999999999995</v>
      </c>
      <c r="AP598" s="17" t="s">
        <v>1291</v>
      </c>
      <c r="AQ598" s="141"/>
      <c r="AR598" s="141"/>
      <c r="AS598" s="141"/>
      <c r="AT598" s="141"/>
      <c r="AU598" s="141"/>
      <c r="AV598" s="141"/>
      <c r="AW598" s="225">
        <v>448</v>
      </c>
      <c r="AX598" s="126">
        <f t="shared" si="961"/>
        <v>492.80000000000007</v>
      </c>
      <c r="AY598" s="198"/>
      <c r="AZ598" s="128"/>
      <c r="BB598" s="134">
        <f t="shared" si="955"/>
        <v>2488.8888888888891</v>
      </c>
      <c r="BC598" s="134">
        <f t="shared" si="956"/>
        <v>1493.3333333333335</v>
      </c>
      <c r="BD598" s="134">
        <f t="shared" si="957"/>
        <v>1244.4444444444446</v>
      </c>
      <c r="BE598" s="134">
        <f t="shared" si="958"/>
        <v>995.55555555555566</v>
      </c>
    </row>
    <row r="599" spans="1:57" s="129" customFormat="1" hidden="1">
      <c r="A599" s="88" t="s">
        <v>1276</v>
      </c>
      <c r="B599" s="88" t="s">
        <v>1318</v>
      </c>
      <c r="C599" s="88" t="s">
        <v>1318</v>
      </c>
      <c r="D599" s="88" t="s">
        <v>656</v>
      </c>
      <c r="E599" s="88" t="s">
        <v>684</v>
      </c>
      <c r="F599" s="89" t="s">
        <v>730</v>
      </c>
      <c r="G599" s="92" t="s">
        <v>685</v>
      </c>
      <c r="H599" s="320" t="s">
        <v>3401</v>
      </c>
      <c r="I599" s="167" t="s">
        <v>740</v>
      </c>
      <c r="J599" s="167" t="str">
        <f>_xlfn.XLOOKUP(I599,[1]Sheet1!$A:$A,[1]Sheet1!$B:$B,"")</f>
        <v>U0801003</v>
      </c>
      <c r="K599" s="88" t="s">
        <v>741</v>
      </c>
      <c r="L599" s="88" t="s">
        <v>742</v>
      </c>
      <c r="M599" s="92" t="s">
        <v>108</v>
      </c>
      <c r="N599" s="89" t="s">
        <v>158</v>
      </c>
      <c r="O599" s="165"/>
      <c r="P599" s="89" t="s">
        <v>715</v>
      </c>
      <c r="Q599" s="92" t="s">
        <v>690</v>
      </c>
      <c r="R599" s="92">
        <v>2</v>
      </c>
      <c r="S599" s="92" t="e">
        <v>#N/A</v>
      </c>
      <c r="T599" s="92">
        <v>8544700000</v>
      </c>
      <c r="U599" s="155">
        <v>0</v>
      </c>
      <c r="V599" s="207">
        <v>30</v>
      </c>
      <c r="W599" s="92">
        <v>45</v>
      </c>
      <c r="X599" s="92">
        <v>55</v>
      </c>
      <c r="Y599" s="92" t="s">
        <v>691</v>
      </c>
      <c r="Z599" s="133">
        <f t="shared" si="959"/>
        <v>1378.40625</v>
      </c>
      <c r="AA599" s="133"/>
      <c r="AB599" s="124">
        <f t="shared" si="938"/>
        <v>1256.6666666666667</v>
      </c>
      <c r="AC599" s="124"/>
      <c r="AD599" s="213">
        <f t="shared" si="939"/>
        <v>7.0000000000000007E-2</v>
      </c>
      <c r="AE599" s="213">
        <v>7.0000000000000007E-2</v>
      </c>
      <c r="AF599" s="215">
        <v>0.33999999999999997</v>
      </c>
      <c r="AG599" s="215" t="s">
        <v>9</v>
      </c>
      <c r="AH599" s="148">
        <f t="shared" si="936"/>
        <v>1256.6666666666667</v>
      </c>
      <c r="AI599" s="122">
        <f t="shared" si="951"/>
        <v>0.33999999999999997</v>
      </c>
      <c r="AJ599" s="444"/>
      <c r="AK599" s="150">
        <f t="shared" si="960"/>
        <v>948.58064516129025</v>
      </c>
      <c r="AL599" s="148">
        <f t="shared" si="962"/>
        <v>891.82795698924747</v>
      </c>
      <c r="AM599" s="125">
        <f t="shared" si="963"/>
        <v>0.31182795698924737</v>
      </c>
      <c r="AN599" s="125">
        <f t="shared" si="964"/>
        <v>0.29032258064516125</v>
      </c>
      <c r="AO599" s="136">
        <f t="shared" si="954"/>
        <v>0.37999999999999995</v>
      </c>
      <c r="AP599" s="17" t="s">
        <v>1291</v>
      </c>
      <c r="AQ599" s="141"/>
      <c r="AR599" s="141"/>
      <c r="AS599" s="141"/>
      <c r="AT599" s="141"/>
      <c r="AU599" s="141"/>
      <c r="AV599" s="141"/>
      <c r="AW599" s="225">
        <v>754</v>
      </c>
      <c r="AX599" s="126">
        <f t="shared" si="961"/>
        <v>829.40000000000009</v>
      </c>
      <c r="AY599" s="198"/>
      <c r="AZ599" s="128"/>
      <c r="BB599" s="134">
        <f t="shared" si="955"/>
        <v>4188.8888888888896</v>
      </c>
      <c r="BC599" s="134">
        <f t="shared" si="956"/>
        <v>2513.3333333333335</v>
      </c>
      <c r="BD599" s="134">
        <f t="shared" si="957"/>
        <v>2094.4444444444448</v>
      </c>
      <c r="BE599" s="134">
        <f t="shared" si="958"/>
        <v>1675.5555555555559</v>
      </c>
    </row>
    <row r="600" spans="1:57" s="129" customFormat="1" hidden="1">
      <c r="A600" s="88" t="s">
        <v>1276</v>
      </c>
      <c r="B600" s="88" t="s">
        <v>1318</v>
      </c>
      <c r="C600" s="88" t="s">
        <v>1318</v>
      </c>
      <c r="D600" s="88" t="s">
        <v>656</v>
      </c>
      <c r="E600" s="88" t="s">
        <v>684</v>
      </c>
      <c r="F600" s="89" t="s">
        <v>730</v>
      </c>
      <c r="G600" s="92" t="s">
        <v>685</v>
      </c>
      <c r="H600" s="320" t="s">
        <v>3400</v>
      </c>
      <c r="I600" s="167" t="s">
        <v>2272</v>
      </c>
      <c r="J600" s="167" t="str">
        <f>_xlfn.XLOOKUP(I600,[1]Sheet1!$A:$A,[1]Sheet1!$B:$B,"")</f>
        <v/>
      </c>
      <c r="K600" s="88" t="s">
        <v>2274</v>
      </c>
      <c r="L600" s="88" t="s">
        <v>2277</v>
      </c>
      <c r="M600" s="92" t="s">
        <v>1584</v>
      </c>
      <c r="N600" s="89" t="s">
        <v>158</v>
      </c>
      <c r="O600" s="165"/>
      <c r="P600" s="89" t="s">
        <v>715</v>
      </c>
      <c r="Q600" s="92" t="s">
        <v>690</v>
      </c>
      <c r="R600" s="92">
        <v>2</v>
      </c>
      <c r="S600" s="92" t="e">
        <v>#N/A</v>
      </c>
      <c r="T600" s="92">
        <v>8544700000</v>
      </c>
      <c r="U600" s="155">
        <v>0</v>
      </c>
      <c r="V600" s="207">
        <v>30</v>
      </c>
      <c r="W600" s="92">
        <v>45</v>
      </c>
      <c r="X600" s="92">
        <v>55</v>
      </c>
      <c r="Y600" s="92" t="s">
        <v>691</v>
      </c>
      <c r="Z600" s="133">
        <f t="shared" si="959"/>
        <v>1106.015625</v>
      </c>
      <c r="AA600" s="133"/>
      <c r="AB600" s="124">
        <f t="shared" si="938"/>
        <v>1008.3333333333333</v>
      </c>
      <c r="AC600" s="124"/>
      <c r="AD600" s="213">
        <f t="shared" si="939"/>
        <v>7.0000000000000007E-2</v>
      </c>
      <c r="AE600" s="213">
        <v>7.0000000000000007E-2</v>
      </c>
      <c r="AF600" s="215">
        <v>0.33999999999999997</v>
      </c>
      <c r="AG600" s="215" t="s">
        <v>9</v>
      </c>
      <c r="AH600" s="148">
        <f t="shared" si="936"/>
        <v>1008.3333333333333</v>
      </c>
      <c r="AI600" s="122">
        <f t="shared" si="951"/>
        <v>0.33999999999999997</v>
      </c>
      <c r="AJ600" s="444"/>
      <c r="AK600" s="150">
        <f t="shared" si="960"/>
        <v>761.12903225806451</v>
      </c>
      <c r="AL600" s="148">
        <f t="shared" si="962"/>
        <v>715.5913978494624</v>
      </c>
      <c r="AM600" s="125">
        <f t="shared" si="963"/>
        <v>0.31182795698924737</v>
      </c>
      <c r="AN600" s="125">
        <f t="shared" si="964"/>
        <v>0.29032258064516125</v>
      </c>
      <c r="AO600" s="136">
        <f t="shared" si="954"/>
        <v>0.37999999999999995</v>
      </c>
      <c r="AP600" s="17" t="s">
        <v>1291</v>
      </c>
      <c r="AQ600" s="141"/>
      <c r="AR600" s="141"/>
      <c r="AS600" s="141"/>
      <c r="AT600" s="141"/>
      <c r="AU600" s="141"/>
      <c r="AV600" s="141"/>
      <c r="AW600" s="225">
        <v>605</v>
      </c>
      <c r="AX600" s="126">
        <f t="shared" si="961"/>
        <v>665.5</v>
      </c>
      <c r="AY600" s="198"/>
      <c r="AZ600" s="128"/>
      <c r="BB600" s="134">
        <f t="shared" si="955"/>
        <v>3361.1111111111109</v>
      </c>
      <c r="BC600" s="134">
        <f t="shared" si="956"/>
        <v>2016.6666666666665</v>
      </c>
      <c r="BD600" s="134">
        <f t="shared" si="957"/>
        <v>1680.5555555555554</v>
      </c>
      <c r="BE600" s="134">
        <f t="shared" si="958"/>
        <v>1344.4444444444443</v>
      </c>
    </row>
    <row r="601" spans="1:57" s="129" customFormat="1" hidden="1">
      <c r="A601" s="88" t="s">
        <v>1276</v>
      </c>
      <c r="B601" s="88" t="s">
        <v>1318</v>
      </c>
      <c r="C601" s="88" t="s">
        <v>1318</v>
      </c>
      <c r="D601" s="88" t="s">
        <v>656</v>
      </c>
      <c r="E601" s="88" t="s">
        <v>684</v>
      </c>
      <c r="F601" s="89" t="s">
        <v>730</v>
      </c>
      <c r="G601" s="92" t="s">
        <v>685</v>
      </c>
      <c r="H601" s="320" t="s">
        <v>3401</v>
      </c>
      <c r="I601" s="167" t="s">
        <v>2273</v>
      </c>
      <c r="J601" s="167" t="str">
        <f>_xlfn.XLOOKUP(I601,[1]Sheet1!$A:$A,[1]Sheet1!$B:$B,"")</f>
        <v/>
      </c>
      <c r="K601" s="88" t="s">
        <v>2275</v>
      </c>
      <c r="L601" s="88" t="s">
        <v>2278</v>
      </c>
      <c r="M601" s="92" t="s">
        <v>1584</v>
      </c>
      <c r="N601" s="89" t="s">
        <v>158</v>
      </c>
      <c r="O601" s="165"/>
      <c r="P601" s="89" t="s">
        <v>715</v>
      </c>
      <c r="Q601" s="92" t="s">
        <v>690</v>
      </c>
      <c r="R601" s="92">
        <v>2</v>
      </c>
      <c r="S601" s="92" t="e">
        <v>#N/A</v>
      </c>
      <c r="T601" s="92">
        <v>8544700000</v>
      </c>
      <c r="U601" s="155">
        <v>0</v>
      </c>
      <c r="V601" s="207">
        <v>30</v>
      </c>
      <c r="W601" s="92">
        <v>45</v>
      </c>
      <c r="X601" s="92">
        <v>55</v>
      </c>
      <c r="Y601" s="92" t="s">
        <v>691</v>
      </c>
      <c r="Z601" s="133">
        <f t="shared" si="959"/>
        <v>1720.265625</v>
      </c>
      <c r="AA601" s="133"/>
      <c r="AB601" s="124">
        <f t="shared" si="938"/>
        <v>1568.3333333333335</v>
      </c>
      <c r="AC601" s="124"/>
      <c r="AD601" s="213">
        <f t="shared" si="939"/>
        <v>7.0000000000000007E-2</v>
      </c>
      <c r="AE601" s="213">
        <v>7.0000000000000007E-2</v>
      </c>
      <c r="AF601" s="215">
        <v>0.33999999999999997</v>
      </c>
      <c r="AG601" s="215" t="s">
        <v>9</v>
      </c>
      <c r="AH601" s="148">
        <f t="shared" si="936"/>
        <v>1568.3333333333335</v>
      </c>
      <c r="AI601" s="122">
        <f t="shared" si="951"/>
        <v>0.33999999999999997</v>
      </c>
      <c r="AJ601" s="444"/>
      <c r="AK601" s="150">
        <f t="shared" si="960"/>
        <v>1183.8387096774193</v>
      </c>
      <c r="AL601" s="148">
        <f t="shared" si="962"/>
        <v>1113.0107526881723</v>
      </c>
      <c r="AM601" s="125">
        <f t="shared" si="963"/>
        <v>0.31182795698924737</v>
      </c>
      <c r="AN601" s="125">
        <f t="shared" si="964"/>
        <v>0.29032258064516125</v>
      </c>
      <c r="AO601" s="136">
        <f t="shared" si="954"/>
        <v>0.37999999999999995</v>
      </c>
      <c r="AP601" s="17" t="s">
        <v>1291</v>
      </c>
      <c r="AQ601" s="141"/>
      <c r="AR601" s="141"/>
      <c r="AS601" s="141"/>
      <c r="AT601" s="141"/>
      <c r="AU601" s="141"/>
      <c r="AV601" s="141"/>
      <c r="AW601" s="225">
        <v>941</v>
      </c>
      <c r="AX601" s="126">
        <f t="shared" si="961"/>
        <v>1035.1000000000001</v>
      </c>
      <c r="AY601" s="198"/>
      <c r="AZ601" s="128"/>
      <c r="BB601" s="134">
        <f t="shared" si="955"/>
        <v>5227.7777777777783</v>
      </c>
      <c r="BC601" s="134">
        <f t="shared" si="956"/>
        <v>3136.666666666667</v>
      </c>
      <c r="BD601" s="134">
        <f t="shared" si="957"/>
        <v>2613.8888888888891</v>
      </c>
      <c r="BE601" s="134">
        <f t="shared" si="958"/>
        <v>2091.1111111111113</v>
      </c>
    </row>
    <row r="602" spans="1:57" s="129" customFormat="1" hidden="1">
      <c r="A602" s="88" t="s">
        <v>1276</v>
      </c>
      <c r="B602" s="88" t="s">
        <v>1318</v>
      </c>
      <c r="C602" s="88" t="s">
        <v>1318</v>
      </c>
      <c r="D602" s="88" t="s">
        <v>656</v>
      </c>
      <c r="E602" s="88" t="s">
        <v>684</v>
      </c>
      <c r="F602" s="89" t="s">
        <v>730</v>
      </c>
      <c r="G602" s="92" t="s">
        <v>685</v>
      </c>
      <c r="H602" s="320" t="s">
        <v>3404</v>
      </c>
      <c r="I602" s="167" t="s">
        <v>2279</v>
      </c>
      <c r="J602" s="167" t="str">
        <f>_xlfn.XLOOKUP(I602,[1]Sheet1!$A:$A,[1]Sheet1!$B:$B,"")</f>
        <v/>
      </c>
      <c r="K602" s="88" t="s">
        <v>2284</v>
      </c>
      <c r="L602" s="88" t="s">
        <v>2289</v>
      </c>
      <c r="M602" s="92" t="s">
        <v>1584</v>
      </c>
      <c r="N602" s="89" t="s">
        <v>158</v>
      </c>
      <c r="O602" s="165"/>
      <c r="P602" s="89" t="s">
        <v>715</v>
      </c>
      <c r="Q602" s="92" t="s">
        <v>690</v>
      </c>
      <c r="R602" s="92">
        <v>2</v>
      </c>
      <c r="S602" s="92" t="e">
        <v>#N/A</v>
      </c>
      <c r="T602" s="92">
        <v>8544700000</v>
      </c>
      <c r="U602" s="155">
        <v>0</v>
      </c>
      <c r="V602" s="207">
        <v>30</v>
      </c>
      <c r="W602" s="92">
        <v>45</v>
      </c>
      <c r="X602" s="92">
        <v>55</v>
      </c>
      <c r="Y602" s="92" t="s">
        <v>691</v>
      </c>
      <c r="Z602" s="133">
        <f t="shared" si="959"/>
        <v>725.765625</v>
      </c>
      <c r="AA602" s="133"/>
      <c r="AB602" s="124">
        <f t="shared" si="938"/>
        <v>661.66666666666674</v>
      </c>
      <c r="AC602" s="124"/>
      <c r="AD602" s="213">
        <f t="shared" si="939"/>
        <v>7.0000000000000007E-2</v>
      </c>
      <c r="AE602" s="213">
        <v>7.0000000000000007E-2</v>
      </c>
      <c r="AF602" s="215">
        <v>0.33999999999999997</v>
      </c>
      <c r="AG602" s="215" t="s">
        <v>9</v>
      </c>
      <c r="AH602" s="148">
        <f t="shared" si="936"/>
        <v>661.66666666666674</v>
      </c>
      <c r="AI602" s="122">
        <f t="shared" si="951"/>
        <v>0.33999999999999997</v>
      </c>
      <c r="AJ602" s="444"/>
      <c r="AK602" s="150">
        <f t="shared" si="960"/>
        <v>499.45161290322585</v>
      </c>
      <c r="AL602" s="148">
        <f t="shared" si="962"/>
        <v>469.56989247311839</v>
      </c>
      <c r="AM602" s="125">
        <f t="shared" si="963"/>
        <v>0.31182795698924726</v>
      </c>
      <c r="AN602" s="125">
        <f t="shared" si="964"/>
        <v>0.29032258064516125</v>
      </c>
      <c r="AO602" s="136">
        <f t="shared" si="954"/>
        <v>0.37999999999999995</v>
      </c>
      <c r="AP602" s="17" t="s">
        <v>1291</v>
      </c>
      <c r="AQ602" s="141"/>
      <c r="AR602" s="141"/>
      <c r="AS602" s="141"/>
      <c r="AT602" s="141"/>
      <c r="AU602" s="141"/>
      <c r="AV602" s="141"/>
      <c r="AW602" s="225">
        <v>397</v>
      </c>
      <c r="AX602" s="126">
        <f t="shared" si="961"/>
        <v>436.70000000000005</v>
      </c>
      <c r="AY602" s="198"/>
      <c r="AZ602" s="128"/>
      <c r="BB602" s="134">
        <f t="shared" si="955"/>
        <v>2205.5555555555561</v>
      </c>
      <c r="BC602" s="134">
        <f t="shared" si="956"/>
        <v>1323.3333333333337</v>
      </c>
      <c r="BD602" s="134">
        <f t="shared" si="957"/>
        <v>1102.7777777777781</v>
      </c>
      <c r="BE602" s="134">
        <f t="shared" si="958"/>
        <v>882.22222222222251</v>
      </c>
    </row>
    <row r="603" spans="1:57" s="129" customFormat="1" hidden="1">
      <c r="A603" s="88" t="s">
        <v>1276</v>
      </c>
      <c r="B603" s="88" t="s">
        <v>1318</v>
      </c>
      <c r="C603" s="88" t="s">
        <v>1318</v>
      </c>
      <c r="D603" s="88" t="s">
        <v>656</v>
      </c>
      <c r="E603" s="88" t="s">
        <v>684</v>
      </c>
      <c r="F603" s="89" t="s">
        <v>730</v>
      </c>
      <c r="G603" s="92" t="s">
        <v>685</v>
      </c>
      <c r="H603" s="320" t="s">
        <v>3398</v>
      </c>
      <c r="I603" s="167" t="s">
        <v>2280</v>
      </c>
      <c r="J603" s="167" t="str">
        <f>_xlfn.XLOOKUP(I603,[1]Sheet1!$A:$A,[1]Sheet1!$B:$B,"")</f>
        <v/>
      </c>
      <c r="K603" s="88" t="s">
        <v>2285</v>
      </c>
      <c r="L603" s="88" t="s">
        <v>2290</v>
      </c>
      <c r="M603" s="92" t="s">
        <v>1584</v>
      </c>
      <c r="N603" s="89" t="s">
        <v>158</v>
      </c>
      <c r="O603" s="165"/>
      <c r="P603" s="89" t="s">
        <v>715</v>
      </c>
      <c r="Q603" s="92" t="s">
        <v>690</v>
      </c>
      <c r="R603" s="92">
        <v>2</v>
      </c>
      <c r="S603" s="92" t="e">
        <v>#N/A</v>
      </c>
      <c r="T603" s="92">
        <v>8544700000</v>
      </c>
      <c r="U603" s="155">
        <v>0</v>
      </c>
      <c r="V603" s="207">
        <v>30</v>
      </c>
      <c r="W603" s="92">
        <v>45</v>
      </c>
      <c r="X603" s="92">
        <v>55</v>
      </c>
      <c r="Y603" s="92" t="s">
        <v>691</v>
      </c>
      <c r="Z603" s="133">
        <f t="shared" si="959"/>
        <v>815.34375</v>
      </c>
      <c r="AA603" s="133"/>
      <c r="AB603" s="124">
        <f t="shared" si="938"/>
        <v>743.33333333333337</v>
      </c>
      <c r="AC603" s="124"/>
      <c r="AD603" s="213">
        <f t="shared" si="939"/>
        <v>7.0000000000000007E-2</v>
      </c>
      <c r="AE603" s="213">
        <v>7.0000000000000007E-2</v>
      </c>
      <c r="AF603" s="215">
        <v>0.33999999999999997</v>
      </c>
      <c r="AG603" s="215" t="s">
        <v>9</v>
      </c>
      <c r="AH603" s="148">
        <f t="shared" ref="AH603:AH667" si="965">AB603</f>
        <v>743.33333333333337</v>
      </c>
      <c r="AI603" s="122">
        <f t="shared" si="951"/>
        <v>0.33999999999999997</v>
      </c>
      <c r="AJ603" s="444"/>
      <c r="AK603" s="150">
        <f t="shared" si="960"/>
        <v>561.09677419354841</v>
      </c>
      <c r="AL603" s="148">
        <f t="shared" si="962"/>
        <v>527.5268817204302</v>
      </c>
      <c r="AM603" s="125">
        <f t="shared" si="963"/>
        <v>0.31182795698924726</v>
      </c>
      <c r="AN603" s="125">
        <f t="shared" si="964"/>
        <v>0.29032258064516125</v>
      </c>
      <c r="AO603" s="136">
        <f t="shared" si="954"/>
        <v>0.37999999999999995</v>
      </c>
      <c r="AP603" s="17" t="s">
        <v>1291</v>
      </c>
      <c r="AQ603" s="141"/>
      <c r="AR603" s="141"/>
      <c r="AS603" s="141"/>
      <c r="AT603" s="141"/>
      <c r="AU603" s="141"/>
      <c r="AV603" s="141"/>
      <c r="AW603" s="225">
        <v>446</v>
      </c>
      <c r="AX603" s="126">
        <f t="shared" si="961"/>
        <v>490.6</v>
      </c>
      <c r="AY603" s="198"/>
      <c r="AZ603" s="128"/>
      <c r="BB603" s="134">
        <f t="shared" si="955"/>
        <v>2477.7777777777778</v>
      </c>
      <c r="BC603" s="134">
        <f t="shared" si="956"/>
        <v>1486.6666666666667</v>
      </c>
      <c r="BD603" s="134">
        <f t="shared" si="957"/>
        <v>1238.8888888888889</v>
      </c>
      <c r="BE603" s="134">
        <f t="shared" si="958"/>
        <v>991.1111111111112</v>
      </c>
    </row>
    <row r="604" spans="1:57" s="129" customFormat="1" hidden="1">
      <c r="A604" s="88" t="s">
        <v>1276</v>
      </c>
      <c r="B604" s="88" t="s">
        <v>1318</v>
      </c>
      <c r="C604" s="88" t="s">
        <v>1318</v>
      </c>
      <c r="D604" s="88" t="s">
        <v>656</v>
      </c>
      <c r="E604" s="88" t="s">
        <v>684</v>
      </c>
      <c r="F604" s="89" t="s">
        <v>730</v>
      </c>
      <c r="G604" s="92" t="s">
        <v>685</v>
      </c>
      <c r="H604" s="320" t="s">
        <v>3399</v>
      </c>
      <c r="I604" s="167" t="s">
        <v>2281</v>
      </c>
      <c r="J604" s="167" t="str">
        <f>_xlfn.XLOOKUP(I604,[1]Sheet1!$A:$A,[1]Sheet1!$B:$B,"")</f>
        <v/>
      </c>
      <c r="K604" s="88" t="s">
        <v>2286</v>
      </c>
      <c r="L604" s="88" t="s">
        <v>2291</v>
      </c>
      <c r="M604" s="92" t="s">
        <v>1584</v>
      </c>
      <c r="N604" s="89" t="s">
        <v>158</v>
      </c>
      <c r="O604" s="165"/>
      <c r="P604" s="89" t="s">
        <v>715</v>
      </c>
      <c r="Q604" s="92" t="s">
        <v>690</v>
      </c>
      <c r="R604" s="92">
        <v>2</v>
      </c>
      <c r="S604" s="92" t="e">
        <v>#N/A</v>
      </c>
      <c r="T604" s="92">
        <v>8544700000</v>
      </c>
      <c r="U604" s="155">
        <v>0</v>
      </c>
      <c r="V604" s="207">
        <v>30</v>
      </c>
      <c r="W604" s="92">
        <v>45</v>
      </c>
      <c r="X604" s="92">
        <v>55</v>
      </c>
      <c r="Y604" s="92" t="s">
        <v>691</v>
      </c>
      <c r="Z604" s="133">
        <f t="shared" si="959"/>
        <v>921.375</v>
      </c>
      <c r="AA604" s="133"/>
      <c r="AB604" s="124">
        <f t="shared" si="938"/>
        <v>840.00000000000011</v>
      </c>
      <c r="AC604" s="124"/>
      <c r="AD604" s="213">
        <f t="shared" si="939"/>
        <v>7.0000000000000007E-2</v>
      </c>
      <c r="AE604" s="213">
        <v>7.0000000000000007E-2</v>
      </c>
      <c r="AF604" s="215">
        <v>0.33999999999999997</v>
      </c>
      <c r="AG604" s="215" t="s">
        <v>9</v>
      </c>
      <c r="AH604" s="148">
        <f t="shared" si="965"/>
        <v>840.00000000000011</v>
      </c>
      <c r="AI604" s="122">
        <f t="shared" si="951"/>
        <v>0.33999999999999997</v>
      </c>
      <c r="AJ604" s="444"/>
      <c r="AK604" s="150">
        <f t="shared" si="960"/>
        <v>634.06451612903231</v>
      </c>
      <c r="AL604" s="148">
        <f t="shared" si="962"/>
        <v>596.12903225806463</v>
      </c>
      <c r="AM604" s="125">
        <f t="shared" si="963"/>
        <v>0.31182795698924726</v>
      </c>
      <c r="AN604" s="125">
        <f t="shared" si="964"/>
        <v>0.29032258064516125</v>
      </c>
      <c r="AO604" s="136">
        <f t="shared" si="954"/>
        <v>0.37999999999999995</v>
      </c>
      <c r="AP604" s="17" t="s">
        <v>1291</v>
      </c>
      <c r="AQ604" s="141"/>
      <c r="AR604" s="141"/>
      <c r="AS604" s="141"/>
      <c r="AT604" s="141"/>
      <c r="AU604" s="141"/>
      <c r="AV604" s="141"/>
      <c r="AW604" s="225">
        <v>504</v>
      </c>
      <c r="AX604" s="126">
        <f t="shared" si="961"/>
        <v>554.40000000000009</v>
      </c>
      <c r="AY604" s="198"/>
      <c r="AZ604" s="128"/>
      <c r="BB604" s="134">
        <f t="shared" si="955"/>
        <v>2800.0000000000005</v>
      </c>
      <c r="BC604" s="134">
        <f t="shared" si="956"/>
        <v>1680.0000000000002</v>
      </c>
      <c r="BD604" s="134">
        <f t="shared" si="957"/>
        <v>1400.0000000000002</v>
      </c>
      <c r="BE604" s="134">
        <f t="shared" si="958"/>
        <v>1120.0000000000002</v>
      </c>
    </row>
    <row r="605" spans="1:57" s="129" customFormat="1" hidden="1">
      <c r="A605" s="88" t="s">
        <v>1276</v>
      </c>
      <c r="B605" s="88" t="s">
        <v>1318</v>
      </c>
      <c r="C605" s="88" t="s">
        <v>1318</v>
      </c>
      <c r="D605" s="88" t="s">
        <v>656</v>
      </c>
      <c r="E605" s="88" t="s">
        <v>684</v>
      </c>
      <c r="F605" s="89" t="s">
        <v>730</v>
      </c>
      <c r="G605" s="92" t="s">
        <v>685</v>
      </c>
      <c r="H605" s="320" t="s">
        <v>3400</v>
      </c>
      <c r="I605" s="167" t="s">
        <v>2282</v>
      </c>
      <c r="J605" s="167" t="str">
        <f>_xlfn.XLOOKUP(I605,[1]Sheet1!$A:$A,[1]Sheet1!$B:$B,"")</f>
        <v/>
      </c>
      <c r="K605" s="88" t="s">
        <v>2287</v>
      </c>
      <c r="L605" s="88" t="s">
        <v>2292</v>
      </c>
      <c r="M605" s="92" t="s">
        <v>1584</v>
      </c>
      <c r="N605" s="89" t="s">
        <v>158</v>
      </c>
      <c r="O605" s="165"/>
      <c r="P605" s="89" t="s">
        <v>715</v>
      </c>
      <c r="Q605" s="92" t="s">
        <v>690</v>
      </c>
      <c r="R605" s="92">
        <v>2</v>
      </c>
      <c r="S605" s="92" t="e">
        <v>#N/A</v>
      </c>
      <c r="T605" s="92">
        <v>8544700000</v>
      </c>
      <c r="U605" s="155">
        <v>0</v>
      </c>
      <c r="V605" s="207">
        <v>30</v>
      </c>
      <c r="W605" s="92">
        <v>45</v>
      </c>
      <c r="X605" s="92">
        <v>55</v>
      </c>
      <c r="Y605" s="92" t="s">
        <v>691</v>
      </c>
      <c r="Z605" s="133">
        <f t="shared" si="959"/>
        <v>1116.984375</v>
      </c>
      <c r="AA605" s="133"/>
      <c r="AB605" s="124">
        <f t="shared" si="938"/>
        <v>1018.3333333333334</v>
      </c>
      <c r="AC605" s="124"/>
      <c r="AD605" s="213">
        <f t="shared" si="939"/>
        <v>7.0000000000000007E-2</v>
      </c>
      <c r="AE605" s="213">
        <v>7.0000000000000007E-2</v>
      </c>
      <c r="AF605" s="215">
        <v>0.33999999999999997</v>
      </c>
      <c r="AG605" s="215" t="s">
        <v>9</v>
      </c>
      <c r="AH605" s="148">
        <f t="shared" si="965"/>
        <v>1018.3333333333334</v>
      </c>
      <c r="AI605" s="122">
        <f t="shared" si="951"/>
        <v>0.33999999999999997</v>
      </c>
      <c r="AJ605" s="444"/>
      <c r="AK605" s="150">
        <f t="shared" si="960"/>
        <v>768.67741935483866</v>
      </c>
      <c r="AL605" s="148">
        <f t="shared" si="962"/>
        <v>722.68817204301081</v>
      </c>
      <c r="AM605" s="125">
        <f t="shared" si="963"/>
        <v>0.31182795698924737</v>
      </c>
      <c r="AN605" s="125">
        <f t="shared" si="964"/>
        <v>0.29032258064516125</v>
      </c>
      <c r="AO605" s="136">
        <f t="shared" si="954"/>
        <v>0.37999999999999995</v>
      </c>
      <c r="AP605" s="17" t="s">
        <v>1291</v>
      </c>
      <c r="AQ605" s="141"/>
      <c r="AR605" s="141"/>
      <c r="AS605" s="141"/>
      <c r="AT605" s="141"/>
      <c r="AU605" s="141"/>
      <c r="AV605" s="141"/>
      <c r="AW605" s="225">
        <v>611</v>
      </c>
      <c r="AX605" s="126">
        <f t="shared" si="961"/>
        <v>672.1</v>
      </c>
      <c r="AY605" s="198"/>
      <c r="AZ605" s="128"/>
      <c r="BB605" s="134">
        <f t="shared" si="955"/>
        <v>3394.4444444444448</v>
      </c>
      <c r="BC605" s="134">
        <f t="shared" si="956"/>
        <v>2036.6666666666667</v>
      </c>
      <c r="BD605" s="134">
        <f t="shared" si="957"/>
        <v>1697.2222222222224</v>
      </c>
      <c r="BE605" s="134">
        <f t="shared" si="958"/>
        <v>1357.7777777777781</v>
      </c>
    </row>
    <row r="606" spans="1:57" s="129" customFormat="1" hidden="1">
      <c r="A606" s="88" t="s">
        <v>1276</v>
      </c>
      <c r="B606" s="88" t="s">
        <v>1318</v>
      </c>
      <c r="C606" s="88" t="s">
        <v>1318</v>
      </c>
      <c r="D606" s="88" t="s">
        <v>656</v>
      </c>
      <c r="E606" s="88" t="s">
        <v>684</v>
      </c>
      <c r="F606" s="89" t="s">
        <v>730</v>
      </c>
      <c r="G606" s="92" t="s">
        <v>685</v>
      </c>
      <c r="H606" s="320" t="s">
        <v>3401</v>
      </c>
      <c r="I606" s="167" t="s">
        <v>2283</v>
      </c>
      <c r="J606" s="167" t="str">
        <f>_xlfn.XLOOKUP(I606,[1]Sheet1!$A:$A,[1]Sheet1!$B:$B,"")</f>
        <v/>
      </c>
      <c r="K606" s="88" t="s">
        <v>2288</v>
      </c>
      <c r="L606" s="88" t="s">
        <v>2293</v>
      </c>
      <c r="M606" s="92" t="s">
        <v>1584</v>
      </c>
      <c r="N606" s="89" t="s">
        <v>158</v>
      </c>
      <c r="O606" s="165"/>
      <c r="P606" s="89" t="s">
        <v>715</v>
      </c>
      <c r="Q606" s="92" t="s">
        <v>690</v>
      </c>
      <c r="R606" s="92">
        <v>2</v>
      </c>
      <c r="S606" s="92" t="e">
        <v>#N/A</v>
      </c>
      <c r="T606" s="92">
        <v>8544700000</v>
      </c>
      <c r="U606" s="155">
        <v>0</v>
      </c>
      <c r="V606" s="207">
        <v>30</v>
      </c>
      <c r="W606" s="92">
        <v>45</v>
      </c>
      <c r="X606" s="92">
        <v>55</v>
      </c>
      <c r="Y606" s="92" t="s">
        <v>691</v>
      </c>
      <c r="Z606" s="133">
        <f t="shared" si="959"/>
        <v>1747.6875</v>
      </c>
      <c r="AA606" s="133"/>
      <c r="AB606" s="124">
        <f t="shared" si="938"/>
        <v>1593.3333333333335</v>
      </c>
      <c r="AC606" s="124"/>
      <c r="AD606" s="213">
        <f t="shared" si="939"/>
        <v>7.0000000000000007E-2</v>
      </c>
      <c r="AE606" s="213">
        <v>7.0000000000000007E-2</v>
      </c>
      <c r="AF606" s="215">
        <v>0.33999999999999997</v>
      </c>
      <c r="AG606" s="215" t="s">
        <v>9</v>
      </c>
      <c r="AH606" s="148">
        <f t="shared" si="965"/>
        <v>1593.3333333333335</v>
      </c>
      <c r="AI606" s="122">
        <f t="shared" si="951"/>
        <v>0.33999999999999997</v>
      </c>
      <c r="AJ606" s="444"/>
      <c r="AK606" s="150">
        <f t="shared" si="960"/>
        <v>1202.7096774193549</v>
      </c>
      <c r="AL606" s="148">
        <f t="shared" si="962"/>
        <v>1130.7526881720432</v>
      </c>
      <c r="AM606" s="125">
        <f t="shared" si="963"/>
        <v>0.31182795698924726</v>
      </c>
      <c r="AN606" s="125">
        <f t="shared" si="964"/>
        <v>0.29032258064516125</v>
      </c>
      <c r="AO606" s="136">
        <f t="shared" si="954"/>
        <v>0.37999999999999995</v>
      </c>
      <c r="AP606" s="17" t="s">
        <v>1291</v>
      </c>
      <c r="AQ606" s="141"/>
      <c r="AR606" s="141"/>
      <c r="AS606" s="141"/>
      <c r="AT606" s="141"/>
      <c r="AU606" s="141"/>
      <c r="AV606" s="141"/>
      <c r="AW606" s="225">
        <v>956</v>
      </c>
      <c r="AX606" s="126">
        <f t="shared" si="961"/>
        <v>1051.6000000000001</v>
      </c>
      <c r="AY606" s="198"/>
      <c r="AZ606" s="128"/>
      <c r="BB606" s="134">
        <f t="shared" si="955"/>
        <v>5311.1111111111122</v>
      </c>
      <c r="BC606" s="134">
        <f t="shared" si="956"/>
        <v>3186.6666666666674</v>
      </c>
      <c r="BD606" s="134">
        <f t="shared" si="957"/>
        <v>2655.5555555555561</v>
      </c>
      <c r="BE606" s="134">
        <f t="shared" si="958"/>
        <v>2124.4444444444448</v>
      </c>
    </row>
    <row r="607" spans="1:57" s="129" customFormat="1" hidden="1">
      <c r="A607" s="88" t="s">
        <v>1276</v>
      </c>
      <c r="B607" s="88" t="s">
        <v>1317</v>
      </c>
      <c r="C607" s="88" t="s">
        <v>1317</v>
      </c>
      <c r="D607" s="88" t="s">
        <v>656</v>
      </c>
      <c r="E607" s="88" t="s">
        <v>684</v>
      </c>
      <c r="F607" s="89" t="s">
        <v>743</v>
      </c>
      <c r="G607" s="92" t="s">
        <v>685</v>
      </c>
      <c r="H607" s="320" t="s">
        <v>3400</v>
      </c>
      <c r="I607" s="167" t="s">
        <v>3280</v>
      </c>
      <c r="J607" s="167" t="str">
        <f>_xlfn.XLOOKUP(I607,[1]Sheet1!$A:$A,[1]Sheet1!$B:$B,"")</f>
        <v/>
      </c>
      <c r="K607" s="310" t="s">
        <v>3281</v>
      </c>
      <c r="L607" s="310" t="s">
        <v>3282</v>
      </c>
      <c r="M607" s="92" t="s">
        <v>69</v>
      </c>
      <c r="N607" s="89" t="s">
        <v>158</v>
      </c>
      <c r="O607" s="165"/>
      <c r="P607" s="89" t="s">
        <v>715</v>
      </c>
      <c r="Q607" s="92" t="s">
        <v>690</v>
      </c>
      <c r="R607" s="92">
        <v>2</v>
      </c>
      <c r="S607" s="311" t="e">
        <v>#N/A</v>
      </c>
      <c r="T607" s="311">
        <v>8544700000</v>
      </c>
      <c r="U607" s="312">
        <v>0</v>
      </c>
      <c r="V607" s="313">
        <v>30</v>
      </c>
      <c r="W607" s="311">
        <v>45</v>
      </c>
      <c r="X607" s="311">
        <v>55</v>
      </c>
      <c r="Y607" s="311" t="s">
        <v>691</v>
      </c>
      <c r="Z607" s="314">
        <f t="shared" si="959"/>
        <v>1349.15625</v>
      </c>
      <c r="AA607" s="314"/>
      <c r="AB607" s="315">
        <f t="shared" si="938"/>
        <v>1230</v>
      </c>
      <c r="AC607" s="315"/>
      <c r="AD607" s="316">
        <f t="shared" si="939"/>
        <v>7.0000000000000007E-2</v>
      </c>
      <c r="AE607" s="316">
        <v>7.0000000000000007E-2</v>
      </c>
      <c r="AF607" s="316">
        <v>0.33999999999999997</v>
      </c>
      <c r="AG607" s="316" t="s">
        <v>9</v>
      </c>
      <c r="AH607" s="317">
        <f t="shared" si="965"/>
        <v>1230</v>
      </c>
      <c r="AI607" s="316">
        <f t="shared" si="951"/>
        <v>0.33999999999999997</v>
      </c>
      <c r="AJ607" s="444"/>
      <c r="AK607" s="318">
        <f t="shared" si="960"/>
        <v>928.45161290322585</v>
      </c>
      <c r="AL607" s="317">
        <f t="shared" si="962"/>
        <v>872.9032258064517</v>
      </c>
      <c r="AM607" s="319">
        <f t="shared" si="963"/>
        <v>0.31182795698924726</v>
      </c>
      <c r="AN607" s="319">
        <f t="shared" si="964"/>
        <v>0.29032258064516125</v>
      </c>
      <c r="AO607" s="136">
        <f t="shared" si="954"/>
        <v>0.37999999999999995</v>
      </c>
      <c r="AP607" s="17" t="s">
        <v>1291</v>
      </c>
      <c r="AQ607" s="141"/>
      <c r="AR607" s="141"/>
      <c r="AS607" s="141"/>
      <c r="AT607" s="141"/>
      <c r="AU607" s="141"/>
      <c r="AV607" s="141"/>
      <c r="AW607" s="225">
        <v>738</v>
      </c>
      <c r="AX607" s="126">
        <f t="shared" si="961"/>
        <v>811.80000000000007</v>
      </c>
      <c r="AY607" s="198"/>
      <c r="AZ607" s="128"/>
      <c r="BB607" s="134">
        <f t="shared" si="955"/>
        <v>4100</v>
      </c>
      <c r="BC607" s="134">
        <f t="shared" si="956"/>
        <v>2460</v>
      </c>
      <c r="BD607" s="134">
        <f t="shared" si="957"/>
        <v>2050</v>
      </c>
      <c r="BE607" s="134">
        <f t="shared" si="958"/>
        <v>1640</v>
      </c>
    </row>
    <row r="608" spans="1:57" s="129" customFormat="1" hidden="1">
      <c r="A608" s="88" t="s">
        <v>1276</v>
      </c>
      <c r="B608" s="88" t="s">
        <v>1317</v>
      </c>
      <c r="C608" s="88" t="s">
        <v>1317</v>
      </c>
      <c r="D608" s="88" t="s">
        <v>656</v>
      </c>
      <c r="E608" s="88" t="s">
        <v>684</v>
      </c>
      <c r="F608" s="89" t="s">
        <v>743</v>
      </c>
      <c r="G608" s="92" t="s">
        <v>685</v>
      </c>
      <c r="H608" s="320" t="s">
        <v>3401</v>
      </c>
      <c r="I608" s="167" t="s">
        <v>3283</v>
      </c>
      <c r="J608" s="167" t="str">
        <f>_xlfn.XLOOKUP(I608,[1]Sheet1!$A:$A,[1]Sheet1!$B:$B,"")</f>
        <v/>
      </c>
      <c r="K608" s="310" t="s">
        <v>3284</v>
      </c>
      <c r="L608" s="310" t="s">
        <v>3285</v>
      </c>
      <c r="M608" s="92" t="s">
        <v>69</v>
      </c>
      <c r="N608" s="89" t="s">
        <v>158</v>
      </c>
      <c r="O608" s="165"/>
      <c r="P608" s="89" t="s">
        <v>715</v>
      </c>
      <c r="Q608" s="92" t="s">
        <v>690</v>
      </c>
      <c r="R608" s="92">
        <v>2</v>
      </c>
      <c r="S608" s="311" t="e">
        <v>#N/A</v>
      </c>
      <c r="T608" s="311">
        <v>8544700000</v>
      </c>
      <c r="U608" s="312">
        <v>0</v>
      </c>
      <c r="V608" s="313">
        <v>30</v>
      </c>
      <c r="W608" s="311">
        <v>45</v>
      </c>
      <c r="X608" s="311">
        <v>55</v>
      </c>
      <c r="Y608" s="311" t="s">
        <v>691</v>
      </c>
      <c r="Z608" s="314">
        <f t="shared" si="959"/>
        <v>1925.0156249999998</v>
      </c>
      <c r="AA608" s="314"/>
      <c r="AB608" s="315">
        <f t="shared" si="938"/>
        <v>1755.0000000000002</v>
      </c>
      <c r="AC608" s="315"/>
      <c r="AD608" s="316">
        <f t="shared" si="939"/>
        <v>7.0000000000000007E-2</v>
      </c>
      <c r="AE608" s="316">
        <v>7.0000000000000007E-2</v>
      </c>
      <c r="AF608" s="316">
        <v>0.33999999999999997</v>
      </c>
      <c r="AG608" s="316" t="s">
        <v>9</v>
      </c>
      <c r="AH608" s="317">
        <f t="shared" si="965"/>
        <v>1755.0000000000002</v>
      </c>
      <c r="AI608" s="316">
        <f t="shared" si="951"/>
        <v>0.33999999999999997</v>
      </c>
      <c r="AJ608" s="444"/>
      <c r="AK608" s="318">
        <f t="shared" si="960"/>
        <v>1324.741935483871</v>
      </c>
      <c r="AL608" s="317">
        <f t="shared" si="962"/>
        <v>1245.4838709677422</v>
      </c>
      <c r="AM608" s="319">
        <f t="shared" si="963"/>
        <v>0.31182795698924726</v>
      </c>
      <c r="AN608" s="319">
        <f t="shared" si="964"/>
        <v>0.29032258064516125</v>
      </c>
      <c r="AO608" s="136">
        <f t="shared" si="954"/>
        <v>0.37999999999999995</v>
      </c>
      <c r="AP608" s="17" t="s">
        <v>1291</v>
      </c>
      <c r="AQ608" s="141"/>
      <c r="AR608" s="141"/>
      <c r="AS608" s="141"/>
      <c r="AT608" s="141"/>
      <c r="AU608" s="141"/>
      <c r="AV608" s="141"/>
      <c r="AW608" s="225">
        <v>1053</v>
      </c>
      <c r="AX608" s="126">
        <f t="shared" si="961"/>
        <v>1158.3000000000002</v>
      </c>
      <c r="AY608" s="198"/>
      <c r="AZ608" s="128"/>
      <c r="BB608" s="134">
        <f t="shared" si="955"/>
        <v>5850.0000000000009</v>
      </c>
      <c r="BC608" s="134">
        <f t="shared" si="956"/>
        <v>3510.0000000000005</v>
      </c>
      <c r="BD608" s="134">
        <f t="shared" si="957"/>
        <v>2925.0000000000005</v>
      </c>
      <c r="BE608" s="134">
        <f t="shared" si="958"/>
        <v>2340.0000000000005</v>
      </c>
    </row>
    <row r="609" spans="1:57" s="129" customFormat="1" hidden="1">
      <c r="A609" s="88" t="s">
        <v>1276</v>
      </c>
      <c r="B609" s="88" t="s">
        <v>1317</v>
      </c>
      <c r="C609" s="88" t="s">
        <v>1317</v>
      </c>
      <c r="D609" s="88" t="s">
        <v>656</v>
      </c>
      <c r="E609" s="88" t="s">
        <v>684</v>
      </c>
      <c r="F609" s="89" t="s">
        <v>743</v>
      </c>
      <c r="G609" s="92" t="s">
        <v>685</v>
      </c>
      <c r="H609" s="320" t="s">
        <v>3402</v>
      </c>
      <c r="I609" s="167" t="s">
        <v>744</v>
      </c>
      <c r="J609" s="167" t="str">
        <f>_xlfn.XLOOKUP(I609,[1]Sheet1!$A:$A,[1]Sheet1!$B:$B,"")</f>
        <v>U0806001</v>
      </c>
      <c r="K609" s="88" t="s">
        <v>745</v>
      </c>
      <c r="L609" s="88" t="s">
        <v>2276</v>
      </c>
      <c r="M609" s="92" t="s">
        <v>69</v>
      </c>
      <c r="N609" s="89" t="s">
        <v>158</v>
      </c>
      <c r="O609" s="165"/>
      <c r="P609" s="89" t="s">
        <v>715</v>
      </c>
      <c r="Q609" s="92" t="s">
        <v>690</v>
      </c>
      <c r="R609" s="92">
        <v>2</v>
      </c>
      <c r="S609" s="92" t="e">
        <v>#N/A</v>
      </c>
      <c r="T609" s="92">
        <v>8544700000</v>
      </c>
      <c r="U609" s="155">
        <v>0</v>
      </c>
      <c r="V609" s="207">
        <v>30</v>
      </c>
      <c r="W609" s="92">
        <v>45</v>
      </c>
      <c r="X609" s="92">
        <v>55</v>
      </c>
      <c r="Y609" s="92" t="s">
        <v>691</v>
      </c>
      <c r="Z609" s="133">
        <f t="shared" si="959"/>
        <v>2714.765625</v>
      </c>
      <c r="AA609" s="133"/>
      <c r="AB609" s="124">
        <f t="shared" si="938"/>
        <v>2475.0000000000005</v>
      </c>
      <c r="AC609" s="124"/>
      <c r="AD609" s="213">
        <f t="shared" si="939"/>
        <v>7.0000000000000007E-2</v>
      </c>
      <c r="AE609" s="213">
        <v>7.0000000000000007E-2</v>
      </c>
      <c r="AF609" s="215">
        <v>0.33999999999999997</v>
      </c>
      <c r="AG609" s="215" t="s">
        <v>9</v>
      </c>
      <c r="AH609" s="148">
        <f t="shared" si="965"/>
        <v>2475.0000000000005</v>
      </c>
      <c r="AI609" s="122">
        <f t="shared" si="951"/>
        <v>0.34000000000000008</v>
      </c>
      <c r="AJ609" s="444"/>
      <c r="AK609" s="150">
        <f t="shared" si="960"/>
        <v>1868.2258064516129</v>
      </c>
      <c r="AL609" s="148">
        <f t="shared" si="962"/>
        <v>1756.4516129032261</v>
      </c>
      <c r="AM609" s="125">
        <f t="shared" si="963"/>
        <v>0.31182795698924726</v>
      </c>
      <c r="AN609" s="125">
        <f t="shared" si="964"/>
        <v>0.29032258064516137</v>
      </c>
      <c r="AO609" s="136">
        <f t="shared" si="954"/>
        <v>0.37999999999999995</v>
      </c>
      <c r="AP609" s="17" t="s">
        <v>1291</v>
      </c>
      <c r="AQ609" s="141"/>
      <c r="AR609" s="141"/>
      <c r="AS609" s="141"/>
      <c r="AT609" s="141"/>
      <c r="AU609" s="141"/>
      <c r="AV609" s="141"/>
      <c r="AW609" s="225">
        <v>1485</v>
      </c>
      <c r="AX609" s="126">
        <f t="shared" si="961"/>
        <v>1633.5000000000002</v>
      </c>
      <c r="AY609" s="198"/>
      <c r="AZ609" s="128"/>
      <c r="BB609" s="134">
        <f t="shared" si="955"/>
        <v>8250.0000000000018</v>
      </c>
      <c r="BC609" s="134">
        <f t="shared" si="956"/>
        <v>4950.0000000000009</v>
      </c>
      <c r="BD609" s="134">
        <f t="shared" si="957"/>
        <v>4125.0000000000009</v>
      </c>
      <c r="BE609" s="134">
        <f t="shared" si="958"/>
        <v>3300.0000000000009</v>
      </c>
    </row>
    <row r="610" spans="1:57" s="129" customFormat="1" hidden="1">
      <c r="A610" s="88" t="s">
        <v>1276</v>
      </c>
      <c r="B610" s="88" t="s">
        <v>1317</v>
      </c>
      <c r="C610" s="88" t="s">
        <v>1317</v>
      </c>
      <c r="D610" s="88" t="s">
        <v>656</v>
      </c>
      <c r="E610" s="88" t="s">
        <v>684</v>
      </c>
      <c r="F610" s="89" t="s">
        <v>743</v>
      </c>
      <c r="G610" s="92" t="s">
        <v>685</v>
      </c>
      <c r="H610" s="320" t="s">
        <v>3405</v>
      </c>
      <c r="I610" s="167" t="s">
        <v>3286</v>
      </c>
      <c r="J610" s="167" t="str">
        <f>_xlfn.XLOOKUP(I610,[1]Sheet1!$A:$A,[1]Sheet1!$B:$B,"")</f>
        <v/>
      </c>
      <c r="K610" s="310" t="s">
        <v>3287</v>
      </c>
      <c r="L610" s="310" t="s">
        <v>3288</v>
      </c>
      <c r="M610" s="92" t="s">
        <v>69</v>
      </c>
      <c r="N610" s="89" t="s">
        <v>158</v>
      </c>
      <c r="O610" s="165"/>
      <c r="P610" s="89" t="s">
        <v>715</v>
      </c>
      <c r="Q610" s="92" t="s">
        <v>690</v>
      </c>
      <c r="R610" s="92">
        <v>2</v>
      </c>
      <c r="S610" s="311" t="e">
        <v>#N/A</v>
      </c>
      <c r="T610" s="311">
        <v>8544700000</v>
      </c>
      <c r="U610" s="312">
        <v>0</v>
      </c>
      <c r="V610" s="313">
        <v>30</v>
      </c>
      <c r="W610" s="311">
        <v>45</v>
      </c>
      <c r="X610" s="311">
        <v>55</v>
      </c>
      <c r="Y610" s="311" t="s">
        <v>691</v>
      </c>
      <c r="Z610" s="314">
        <f t="shared" si="959"/>
        <v>4215.65625</v>
      </c>
      <c r="AA610" s="314"/>
      <c r="AB610" s="315">
        <f t="shared" si="938"/>
        <v>3843.3333333333335</v>
      </c>
      <c r="AC610" s="315"/>
      <c r="AD610" s="316">
        <f t="shared" si="939"/>
        <v>7.0000000000000007E-2</v>
      </c>
      <c r="AE610" s="316">
        <v>7.0000000000000007E-2</v>
      </c>
      <c r="AF610" s="316">
        <v>0.33999999999999997</v>
      </c>
      <c r="AG610" s="316" t="s">
        <v>9</v>
      </c>
      <c r="AH610" s="317">
        <f t="shared" si="965"/>
        <v>3843.3333333333335</v>
      </c>
      <c r="AI610" s="316">
        <f t="shared" si="951"/>
        <v>0.33999999999999997</v>
      </c>
      <c r="AJ610" s="444"/>
      <c r="AK610" s="318">
        <f t="shared" si="960"/>
        <v>2901.0967741935488</v>
      </c>
      <c r="AL610" s="317">
        <f t="shared" si="962"/>
        <v>2727.5268817204305</v>
      </c>
      <c r="AM610" s="319">
        <f t="shared" si="963"/>
        <v>0.31182795698924726</v>
      </c>
      <c r="AN610" s="319">
        <f t="shared" si="964"/>
        <v>0.29032258064516125</v>
      </c>
      <c r="AO610" s="136">
        <f t="shared" si="954"/>
        <v>0.37999999999999995</v>
      </c>
      <c r="AP610" s="17" t="s">
        <v>1291</v>
      </c>
      <c r="AQ610" s="141"/>
      <c r="AR610" s="141"/>
      <c r="AS610" s="141"/>
      <c r="AT610" s="141"/>
      <c r="AU610" s="141"/>
      <c r="AV610" s="141"/>
      <c r="AW610" s="225">
        <v>2306</v>
      </c>
      <c r="AX610" s="126">
        <f t="shared" si="961"/>
        <v>2536.6000000000004</v>
      </c>
      <c r="AY610" s="198"/>
      <c r="AZ610" s="128"/>
      <c r="BB610" s="134">
        <f t="shared" si="955"/>
        <v>12811.111111111111</v>
      </c>
      <c r="BC610" s="134">
        <f t="shared" si="956"/>
        <v>7686.6666666666661</v>
      </c>
      <c r="BD610" s="134">
        <f t="shared" si="957"/>
        <v>6405.5555555555557</v>
      </c>
      <c r="BE610" s="134">
        <f t="shared" si="958"/>
        <v>5124.4444444444453</v>
      </c>
    </row>
    <row r="611" spans="1:57" s="129" customFormat="1" hidden="1">
      <c r="A611" s="88" t="s">
        <v>1276</v>
      </c>
      <c r="B611" s="88" t="s">
        <v>1317</v>
      </c>
      <c r="C611" s="88" t="s">
        <v>1317</v>
      </c>
      <c r="D611" s="88" t="s">
        <v>656</v>
      </c>
      <c r="E611" s="88" t="s">
        <v>684</v>
      </c>
      <c r="F611" s="89" t="s">
        <v>743</v>
      </c>
      <c r="G611" s="92" t="s">
        <v>685</v>
      </c>
      <c r="H611" s="320" t="s">
        <v>3403</v>
      </c>
      <c r="I611" s="167" t="s">
        <v>748</v>
      </c>
      <c r="J611" s="167" t="str">
        <f>_xlfn.XLOOKUP(I611,[1]Sheet1!$A:$A,[1]Sheet1!$B:$B,"")</f>
        <v>U0806005</v>
      </c>
      <c r="K611" s="88" t="s">
        <v>749</v>
      </c>
      <c r="L611" s="88" t="s">
        <v>750</v>
      </c>
      <c r="M611" s="92" t="s">
        <v>69</v>
      </c>
      <c r="N611" s="89" t="s">
        <v>158</v>
      </c>
      <c r="O611" s="165"/>
      <c r="P611" s="89" t="s">
        <v>715</v>
      </c>
      <c r="Q611" s="92" t="s">
        <v>690</v>
      </c>
      <c r="R611" s="92">
        <v>2</v>
      </c>
      <c r="S611" s="92" t="e">
        <v>#N/A</v>
      </c>
      <c r="T611" s="92">
        <v>8544700000</v>
      </c>
      <c r="U611" s="155">
        <v>0</v>
      </c>
      <c r="V611" s="207">
        <v>30</v>
      </c>
      <c r="W611" s="92">
        <v>45</v>
      </c>
      <c r="X611" s="92">
        <v>55</v>
      </c>
      <c r="Y611" s="92" t="s">
        <v>691</v>
      </c>
      <c r="Z611" s="133">
        <f t="shared" si="959"/>
        <v>5036.484375</v>
      </c>
      <c r="AA611" s="133"/>
      <c r="AB611" s="124">
        <f t="shared" si="938"/>
        <v>4591.666666666667</v>
      </c>
      <c r="AC611" s="124"/>
      <c r="AD611" s="213">
        <f t="shared" si="939"/>
        <v>7.0000000000000007E-2</v>
      </c>
      <c r="AE611" s="213">
        <v>7.0000000000000007E-2</v>
      </c>
      <c r="AF611" s="215">
        <v>0.33999999999999997</v>
      </c>
      <c r="AG611" s="215" t="s">
        <v>9</v>
      </c>
      <c r="AH611" s="148">
        <f t="shared" si="965"/>
        <v>4591.666666666667</v>
      </c>
      <c r="AI611" s="122">
        <f t="shared" si="951"/>
        <v>0.33999999999999997</v>
      </c>
      <c r="AJ611" s="444"/>
      <c r="AK611" s="150">
        <f t="shared" si="960"/>
        <v>3465.9677419354839</v>
      </c>
      <c r="AL611" s="148">
        <f t="shared" si="962"/>
        <v>3258.6021505376352</v>
      </c>
      <c r="AM611" s="125">
        <f t="shared" si="963"/>
        <v>0.31182795698924726</v>
      </c>
      <c r="AN611" s="125">
        <f t="shared" si="964"/>
        <v>0.29032258064516114</v>
      </c>
      <c r="AO611" s="136">
        <f t="shared" si="954"/>
        <v>0.37999999999999995</v>
      </c>
      <c r="AP611" s="17" t="s">
        <v>1291</v>
      </c>
      <c r="AQ611" s="141"/>
      <c r="AR611" s="141"/>
      <c r="AS611" s="141"/>
      <c r="AT611" s="141"/>
      <c r="AU611" s="141"/>
      <c r="AV611" s="141"/>
      <c r="AW611" s="225">
        <v>2755</v>
      </c>
      <c r="AX611" s="126">
        <f t="shared" si="961"/>
        <v>3030.5000000000005</v>
      </c>
      <c r="AY611" s="198"/>
      <c r="AZ611" s="128"/>
      <c r="BB611" s="134">
        <f t="shared" si="955"/>
        <v>15305.555555555557</v>
      </c>
      <c r="BC611" s="134">
        <f t="shared" si="956"/>
        <v>9183.3333333333339</v>
      </c>
      <c r="BD611" s="134">
        <f t="shared" si="957"/>
        <v>7652.7777777777783</v>
      </c>
      <c r="BE611" s="134">
        <f t="shared" si="958"/>
        <v>6122.2222222222226</v>
      </c>
    </row>
    <row r="612" spans="1:57" s="129" customFormat="1" hidden="1">
      <c r="A612" s="88" t="s">
        <v>1276</v>
      </c>
      <c r="B612" s="88" t="s">
        <v>1317</v>
      </c>
      <c r="C612" s="88" t="s">
        <v>1317</v>
      </c>
      <c r="D612" s="88" t="s">
        <v>656</v>
      </c>
      <c r="E612" s="88" t="s">
        <v>684</v>
      </c>
      <c r="F612" s="89" t="s">
        <v>743</v>
      </c>
      <c r="G612" s="92" t="s">
        <v>685</v>
      </c>
      <c r="H612" s="320" t="s">
        <v>3406</v>
      </c>
      <c r="I612" s="167" t="s">
        <v>3289</v>
      </c>
      <c r="J612" s="167" t="str">
        <f>_xlfn.XLOOKUP(I612,[1]Sheet1!$A:$A,[1]Sheet1!$B:$B,"")</f>
        <v/>
      </c>
      <c r="K612" s="310" t="s">
        <v>3290</v>
      </c>
      <c r="L612" s="310" t="s">
        <v>3291</v>
      </c>
      <c r="M612" s="92" t="s">
        <v>69</v>
      </c>
      <c r="N612" s="89" t="s">
        <v>158</v>
      </c>
      <c r="O612" s="165"/>
      <c r="P612" s="89" t="s">
        <v>715</v>
      </c>
      <c r="Q612" s="92" t="s">
        <v>690</v>
      </c>
      <c r="R612" s="92">
        <v>2</v>
      </c>
      <c r="S612" s="311" t="e">
        <v>#N/A</v>
      </c>
      <c r="T612" s="311">
        <v>8544700000</v>
      </c>
      <c r="U612" s="312">
        <v>0</v>
      </c>
      <c r="V612" s="313">
        <v>30</v>
      </c>
      <c r="W612" s="311">
        <v>45</v>
      </c>
      <c r="X612" s="311">
        <v>55</v>
      </c>
      <c r="Y612" s="311" t="s">
        <v>691</v>
      </c>
      <c r="Z612" s="314">
        <f t="shared" si="959"/>
        <v>8021.8124999999991</v>
      </c>
      <c r="AA612" s="314"/>
      <c r="AB612" s="315">
        <f t="shared" si="938"/>
        <v>7313.333333333333</v>
      </c>
      <c r="AC612" s="315"/>
      <c r="AD612" s="316">
        <f t="shared" si="939"/>
        <v>7.0000000000000007E-2</v>
      </c>
      <c r="AE612" s="316">
        <v>7.0000000000000007E-2</v>
      </c>
      <c r="AF612" s="316">
        <v>0.33999999999999997</v>
      </c>
      <c r="AG612" s="316" t="s">
        <v>9</v>
      </c>
      <c r="AH612" s="317">
        <f t="shared" si="965"/>
        <v>7313.333333333333</v>
      </c>
      <c r="AI612" s="316">
        <f t="shared" si="951"/>
        <v>0.33999999999999997</v>
      </c>
      <c r="AJ612" s="444"/>
      <c r="AK612" s="318">
        <f t="shared" si="960"/>
        <v>5520.3870967741941</v>
      </c>
      <c r="AL612" s="317">
        <f t="shared" si="962"/>
        <v>5190.1075268817212</v>
      </c>
      <c r="AM612" s="319">
        <f t="shared" si="963"/>
        <v>0.31182795698924715</v>
      </c>
      <c r="AN612" s="319">
        <f t="shared" si="964"/>
        <v>0.29032258064516114</v>
      </c>
      <c r="AO612" s="136">
        <f t="shared" si="954"/>
        <v>0.37999999999999995</v>
      </c>
      <c r="AP612" s="17" t="s">
        <v>1291</v>
      </c>
      <c r="AQ612" s="141"/>
      <c r="AR612" s="141"/>
      <c r="AS612" s="141"/>
      <c r="AT612" s="141"/>
      <c r="AU612" s="141"/>
      <c r="AV612" s="141"/>
      <c r="AW612" s="225">
        <v>4388</v>
      </c>
      <c r="AX612" s="126">
        <f t="shared" si="961"/>
        <v>4826.8</v>
      </c>
      <c r="AY612" s="198"/>
      <c r="AZ612" s="128"/>
      <c r="BB612" s="134">
        <f t="shared" si="955"/>
        <v>24377.777777777777</v>
      </c>
      <c r="BC612" s="134">
        <f t="shared" si="956"/>
        <v>14626.666666666666</v>
      </c>
      <c r="BD612" s="134">
        <f t="shared" si="957"/>
        <v>12188.888888888889</v>
      </c>
      <c r="BE612" s="134">
        <f t="shared" si="958"/>
        <v>9751.1111111111113</v>
      </c>
    </row>
    <row r="613" spans="1:57" s="129" customFormat="1" hidden="1">
      <c r="A613" s="88" t="s">
        <v>1276</v>
      </c>
      <c r="B613" s="88" t="s">
        <v>1317</v>
      </c>
      <c r="C613" s="88" t="s">
        <v>1317</v>
      </c>
      <c r="D613" s="88" t="s">
        <v>656</v>
      </c>
      <c r="E613" s="88" t="s">
        <v>684</v>
      </c>
      <c r="F613" s="89" t="s">
        <v>743</v>
      </c>
      <c r="G613" s="92" t="s">
        <v>685</v>
      </c>
      <c r="H613" s="320" t="s">
        <v>3407</v>
      </c>
      <c r="I613" s="167" t="s">
        <v>3292</v>
      </c>
      <c r="J613" s="167" t="str">
        <f>_xlfn.XLOOKUP(I613,[1]Sheet1!$A:$A,[1]Sheet1!$B:$B,"")</f>
        <v/>
      </c>
      <c r="K613" s="310" t="s">
        <v>3293</v>
      </c>
      <c r="L613" s="310" t="s">
        <v>3294</v>
      </c>
      <c r="M613" s="92" t="s">
        <v>69</v>
      </c>
      <c r="N613" s="89" t="s">
        <v>158</v>
      </c>
      <c r="O613" s="165"/>
      <c r="P613" s="89" t="s">
        <v>715</v>
      </c>
      <c r="Q613" s="92" t="s">
        <v>690</v>
      </c>
      <c r="R613" s="92">
        <v>2</v>
      </c>
      <c r="S613" s="311" t="e">
        <v>#N/A</v>
      </c>
      <c r="T613" s="311">
        <v>8544700000</v>
      </c>
      <c r="U613" s="312">
        <v>0</v>
      </c>
      <c r="V613" s="313">
        <v>30</v>
      </c>
      <c r="W613" s="311">
        <v>45</v>
      </c>
      <c r="X613" s="311">
        <v>55</v>
      </c>
      <c r="Y613" s="311" t="s">
        <v>691</v>
      </c>
      <c r="Z613" s="314">
        <f t="shared" si="959"/>
        <v>15328.828124999998</v>
      </c>
      <c r="AA613" s="314"/>
      <c r="AB613" s="315">
        <f t="shared" si="938"/>
        <v>13975</v>
      </c>
      <c r="AC613" s="315"/>
      <c r="AD613" s="316">
        <f t="shared" si="939"/>
        <v>7.0000000000000007E-2</v>
      </c>
      <c r="AE613" s="316">
        <v>7.0000000000000007E-2</v>
      </c>
      <c r="AF613" s="316">
        <v>0.33999999999999997</v>
      </c>
      <c r="AG613" s="316" t="s">
        <v>9</v>
      </c>
      <c r="AH613" s="317">
        <f t="shared" si="965"/>
        <v>13975</v>
      </c>
      <c r="AI613" s="316">
        <f t="shared" si="951"/>
        <v>0.33999999999999997</v>
      </c>
      <c r="AJ613" s="444"/>
      <c r="AK613" s="318">
        <f t="shared" si="960"/>
        <v>10548.870967741936</v>
      </c>
      <c r="AL613" s="317">
        <f t="shared" si="962"/>
        <v>9917.7419354838712</v>
      </c>
      <c r="AM613" s="319">
        <f t="shared" si="963"/>
        <v>0.31182795698924726</v>
      </c>
      <c r="AN613" s="319">
        <f t="shared" si="964"/>
        <v>0.29032258064516125</v>
      </c>
      <c r="AO613" s="136">
        <f t="shared" si="954"/>
        <v>0.37999999999999995</v>
      </c>
      <c r="AP613" s="17" t="s">
        <v>1291</v>
      </c>
      <c r="AQ613" s="141"/>
      <c r="AR613" s="141"/>
      <c r="AS613" s="141"/>
      <c r="AT613" s="141"/>
      <c r="AU613" s="141"/>
      <c r="AV613" s="141"/>
      <c r="AW613" s="225">
        <v>8385</v>
      </c>
      <c r="AX613" s="126">
        <f t="shared" si="961"/>
        <v>9223.5</v>
      </c>
      <c r="AY613" s="198"/>
      <c r="AZ613" s="128"/>
      <c r="BB613" s="134">
        <f t="shared" si="955"/>
        <v>46583.333333333336</v>
      </c>
      <c r="BC613" s="134">
        <f t="shared" si="956"/>
        <v>27950</v>
      </c>
      <c r="BD613" s="134">
        <f t="shared" si="957"/>
        <v>23291.666666666668</v>
      </c>
      <c r="BE613" s="134">
        <f t="shared" si="958"/>
        <v>18633.333333333336</v>
      </c>
    </row>
    <row r="614" spans="1:57" s="129" customFormat="1" hidden="1">
      <c r="A614" s="88" t="s">
        <v>1276</v>
      </c>
      <c r="B614" s="88" t="s">
        <v>1318</v>
      </c>
      <c r="C614" s="88" t="s">
        <v>1318</v>
      </c>
      <c r="D614" s="88" t="s">
        <v>656</v>
      </c>
      <c r="E614" s="88" t="s">
        <v>684</v>
      </c>
      <c r="F614" s="89" t="s">
        <v>743</v>
      </c>
      <c r="G614" s="92" t="s">
        <v>685</v>
      </c>
      <c r="H614" s="320" t="s">
        <v>3400</v>
      </c>
      <c r="I614" s="167" t="s">
        <v>3295</v>
      </c>
      <c r="J614" s="167" t="str">
        <f>_xlfn.XLOOKUP(I614,[1]Sheet1!$A:$A,[1]Sheet1!$B:$B,"")</f>
        <v/>
      </c>
      <c r="K614" s="310" t="s">
        <v>3296</v>
      </c>
      <c r="L614" s="310" t="s">
        <v>3297</v>
      </c>
      <c r="M614" s="92" t="s">
        <v>1666</v>
      </c>
      <c r="N614" s="89" t="s">
        <v>158</v>
      </c>
      <c r="O614" s="165"/>
      <c r="P614" s="89" t="s">
        <v>715</v>
      </c>
      <c r="Q614" s="92" t="s">
        <v>690</v>
      </c>
      <c r="R614" s="92">
        <v>2</v>
      </c>
      <c r="S614" s="311" t="e">
        <v>#N/A</v>
      </c>
      <c r="T614" s="311">
        <v>8544700000</v>
      </c>
      <c r="U614" s="312">
        <v>0</v>
      </c>
      <c r="V614" s="313">
        <v>30</v>
      </c>
      <c r="W614" s="311">
        <v>45</v>
      </c>
      <c r="X614" s="311">
        <v>55</v>
      </c>
      <c r="Y614" s="311" t="s">
        <v>691</v>
      </c>
      <c r="Z614" s="314">
        <f t="shared" si="959"/>
        <v>1482.609375</v>
      </c>
      <c r="AA614" s="314"/>
      <c r="AB614" s="315">
        <f t="shared" si="938"/>
        <v>1351.6666666666667</v>
      </c>
      <c r="AC614" s="315"/>
      <c r="AD614" s="316">
        <f t="shared" si="939"/>
        <v>7.0000000000000007E-2</v>
      </c>
      <c r="AE614" s="316">
        <v>7.0000000000000007E-2</v>
      </c>
      <c r="AF614" s="316">
        <v>0.33999999999999997</v>
      </c>
      <c r="AG614" s="316" t="s">
        <v>9</v>
      </c>
      <c r="AH614" s="317">
        <f t="shared" si="965"/>
        <v>1351.6666666666667</v>
      </c>
      <c r="AI614" s="316">
        <f t="shared" si="951"/>
        <v>0.33999999999999997</v>
      </c>
      <c r="AJ614" s="444"/>
      <c r="AK614" s="318">
        <f t="shared" si="960"/>
        <v>1020.2903225806452</v>
      </c>
      <c r="AL614" s="317">
        <f t="shared" si="962"/>
        <v>959.24731182795711</v>
      </c>
      <c r="AM614" s="319">
        <f t="shared" si="963"/>
        <v>0.31182795698924726</v>
      </c>
      <c r="AN614" s="319">
        <f t="shared" si="964"/>
        <v>0.29032258064516125</v>
      </c>
      <c r="AO614" s="136">
        <f t="shared" si="954"/>
        <v>0.37999999999999995</v>
      </c>
      <c r="AP614" s="17" t="s">
        <v>1291</v>
      </c>
      <c r="AQ614" s="141"/>
      <c r="AR614" s="141"/>
      <c r="AS614" s="141"/>
      <c r="AT614" s="141"/>
      <c r="AU614" s="141"/>
      <c r="AV614" s="141"/>
      <c r="AW614" s="225">
        <v>811</v>
      </c>
      <c r="AX614" s="126">
        <f t="shared" si="961"/>
        <v>892.1</v>
      </c>
      <c r="AY614" s="198"/>
      <c r="AZ614" s="128"/>
      <c r="BB614" s="134">
        <f t="shared" si="955"/>
        <v>4505.5555555555557</v>
      </c>
      <c r="BC614" s="134">
        <f t="shared" si="956"/>
        <v>2703.3333333333335</v>
      </c>
      <c r="BD614" s="134">
        <f t="shared" si="957"/>
        <v>2252.7777777777778</v>
      </c>
      <c r="BE614" s="134">
        <f t="shared" si="958"/>
        <v>1802.2222222222224</v>
      </c>
    </row>
    <row r="615" spans="1:57" s="129" customFormat="1" hidden="1">
      <c r="A615" s="88" t="s">
        <v>1276</v>
      </c>
      <c r="B615" s="88" t="s">
        <v>1318</v>
      </c>
      <c r="C615" s="88" t="s">
        <v>1318</v>
      </c>
      <c r="D615" s="88" t="s">
        <v>656</v>
      </c>
      <c r="E615" s="88" t="s">
        <v>684</v>
      </c>
      <c r="F615" s="89" t="s">
        <v>743</v>
      </c>
      <c r="G615" s="92" t="s">
        <v>685</v>
      </c>
      <c r="H615" s="320" t="s">
        <v>3401</v>
      </c>
      <c r="I615" s="167" t="s">
        <v>3298</v>
      </c>
      <c r="J615" s="167" t="str">
        <f>_xlfn.XLOOKUP(I615,[1]Sheet1!$A:$A,[1]Sheet1!$B:$B,"")</f>
        <v/>
      </c>
      <c r="K615" s="310" t="s">
        <v>3299</v>
      </c>
      <c r="L615" s="310" t="s">
        <v>3300</v>
      </c>
      <c r="M615" s="92" t="s">
        <v>1666</v>
      </c>
      <c r="N615" s="89" t="s">
        <v>158</v>
      </c>
      <c r="O615" s="165"/>
      <c r="P615" s="89" t="s">
        <v>715</v>
      </c>
      <c r="Q615" s="92" t="s">
        <v>690</v>
      </c>
      <c r="R615" s="92">
        <v>2</v>
      </c>
      <c r="S615" s="311" t="e">
        <v>#N/A</v>
      </c>
      <c r="T615" s="311">
        <v>8544700000</v>
      </c>
      <c r="U615" s="312">
        <v>0</v>
      </c>
      <c r="V615" s="313">
        <v>30</v>
      </c>
      <c r="W615" s="311">
        <v>45</v>
      </c>
      <c r="X615" s="311">
        <v>55</v>
      </c>
      <c r="Y615" s="311" t="s">
        <v>691</v>
      </c>
      <c r="Z615" s="314">
        <f t="shared" si="959"/>
        <v>2078.578125</v>
      </c>
      <c r="AA615" s="314"/>
      <c r="AB615" s="315">
        <f t="shared" si="938"/>
        <v>1895</v>
      </c>
      <c r="AC615" s="315"/>
      <c r="AD615" s="316">
        <f t="shared" si="939"/>
        <v>7.0000000000000007E-2</v>
      </c>
      <c r="AE615" s="316">
        <v>7.0000000000000007E-2</v>
      </c>
      <c r="AF615" s="316">
        <v>0.33999999999999997</v>
      </c>
      <c r="AG615" s="316" t="s">
        <v>9</v>
      </c>
      <c r="AH615" s="317">
        <f t="shared" si="965"/>
        <v>1895</v>
      </c>
      <c r="AI615" s="316">
        <f t="shared" si="951"/>
        <v>0.33999999999999997</v>
      </c>
      <c r="AJ615" s="444"/>
      <c r="AK615" s="318">
        <f t="shared" si="960"/>
        <v>1430.4193548387098</v>
      </c>
      <c r="AL615" s="317">
        <f t="shared" si="962"/>
        <v>1344.8387096774195</v>
      </c>
      <c r="AM615" s="319">
        <f t="shared" si="963"/>
        <v>0.31182795698924726</v>
      </c>
      <c r="AN615" s="319">
        <f t="shared" si="964"/>
        <v>0.29032258064516125</v>
      </c>
      <c r="AO615" s="136">
        <f t="shared" si="954"/>
        <v>0.37999999999999995</v>
      </c>
      <c r="AP615" s="17" t="s">
        <v>1291</v>
      </c>
      <c r="AQ615" s="141"/>
      <c r="AR615" s="141"/>
      <c r="AS615" s="141"/>
      <c r="AT615" s="141"/>
      <c r="AU615" s="141"/>
      <c r="AV615" s="141"/>
      <c r="AW615" s="225">
        <v>1137</v>
      </c>
      <c r="AX615" s="126">
        <f t="shared" si="961"/>
        <v>1250.7</v>
      </c>
      <c r="AY615" s="198"/>
      <c r="AZ615" s="128"/>
      <c r="BB615" s="134">
        <f t="shared" si="955"/>
        <v>6316.666666666667</v>
      </c>
      <c r="BC615" s="134">
        <f t="shared" si="956"/>
        <v>3790</v>
      </c>
      <c r="BD615" s="134">
        <f t="shared" si="957"/>
        <v>3158.3333333333335</v>
      </c>
      <c r="BE615" s="134">
        <f t="shared" si="958"/>
        <v>2526.666666666667</v>
      </c>
    </row>
    <row r="616" spans="1:57" s="129" customFormat="1" hidden="1">
      <c r="A616" s="88" t="s">
        <v>1276</v>
      </c>
      <c r="B616" s="88" t="s">
        <v>1318</v>
      </c>
      <c r="C616" s="88" t="s">
        <v>1318</v>
      </c>
      <c r="D616" s="88" t="s">
        <v>656</v>
      </c>
      <c r="E616" s="88" t="s">
        <v>684</v>
      </c>
      <c r="F616" s="89" t="s">
        <v>743</v>
      </c>
      <c r="G616" s="92" t="s">
        <v>685</v>
      </c>
      <c r="H616" s="320" t="s">
        <v>3402</v>
      </c>
      <c r="I616" s="167" t="s">
        <v>2419</v>
      </c>
      <c r="J616" s="167" t="str">
        <f>_xlfn.XLOOKUP(I616,[1]Sheet1!$A:$A,[1]Sheet1!$B:$B,"")</f>
        <v/>
      </c>
      <c r="K616" s="88" t="s">
        <v>1677</v>
      </c>
      <c r="L616" s="88" t="s">
        <v>1678</v>
      </c>
      <c r="M616" s="92" t="s">
        <v>1666</v>
      </c>
      <c r="N616" s="89" t="s">
        <v>158</v>
      </c>
      <c r="O616" s="165"/>
      <c r="P616" s="89" t="s">
        <v>715</v>
      </c>
      <c r="Q616" s="92" t="s">
        <v>690</v>
      </c>
      <c r="R616" s="92">
        <v>2</v>
      </c>
      <c r="S616" s="92" t="e">
        <v>#N/A</v>
      </c>
      <c r="T616" s="92">
        <v>8544700000</v>
      </c>
      <c r="U616" s="155">
        <v>0</v>
      </c>
      <c r="V616" s="207">
        <v>30</v>
      </c>
      <c r="W616" s="92">
        <v>45</v>
      </c>
      <c r="X616" s="92">
        <v>55</v>
      </c>
      <c r="Y616" s="92" t="s">
        <v>691</v>
      </c>
      <c r="Z616" s="133">
        <f t="shared" si="959"/>
        <v>2884.78125</v>
      </c>
      <c r="AA616" s="133"/>
      <c r="AB616" s="124">
        <f t="shared" si="938"/>
        <v>2630</v>
      </c>
      <c r="AC616" s="124"/>
      <c r="AD616" s="213">
        <f t="shared" si="939"/>
        <v>7.0000000000000007E-2</v>
      </c>
      <c r="AE616" s="213">
        <v>7.0000000000000007E-2</v>
      </c>
      <c r="AF616" s="215">
        <v>0.33999999999999997</v>
      </c>
      <c r="AG616" s="215" t="s">
        <v>9</v>
      </c>
      <c r="AH616" s="148">
        <f t="shared" si="965"/>
        <v>2630</v>
      </c>
      <c r="AI616" s="122">
        <f t="shared" si="951"/>
        <v>0.33999999999999997</v>
      </c>
      <c r="AJ616" s="444"/>
      <c r="AK616" s="150">
        <f t="shared" si="960"/>
        <v>1985.2258064516129</v>
      </c>
      <c r="AL616" s="148">
        <f t="shared" si="962"/>
        <v>1866.4516129032261</v>
      </c>
      <c r="AM616" s="125">
        <f t="shared" si="963"/>
        <v>0.31182795698924726</v>
      </c>
      <c r="AN616" s="125">
        <f t="shared" si="964"/>
        <v>0.29032258064516114</v>
      </c>
      <c r="AO616" s="136">
        <f t="shared" si="954"/>
        <v>0.37999999999999995</v>
      </c>
      <c r="AP616" s="17" t="s">
        <v>1291</v>
      </c>
      <c r="AQ616" s="141"/>
      <c r="AR616" s="141"/>
      <c r="AS616" s="141"/>
      <c r="AT616" s="141"/>
      <c r="AU616" s="141"/>
      <c r="AV616" s="141"/>
      <c r="AW616" s="225">
        <v>1578</v>
      </c>
      <c r="AX616" s="126">
        <f t="shared" si="961"/>
        <v>1735.8000000000002</v>
      </c>
      <c r="AY616" s="198"/>
      <c r="AZ616" s="128"/>
      <c r="BB616" s="134">
        <f t="shared" si="955"/>
        <v>8766.6666666666679</v>
      </c>
      <c r="BC616" s="134">
        <f t="shared" si="956"/>
        <v>5260.0000000000009</v>
      </c>
      <c r="BD616" s="134">
        <f t="shared" si="957"/>
        <v>4383.3333333333339</v>
      </c>
      <c r="BE616" s="134">
        <f t="shared" si="958"/>
        <v>3506.6666666666674</v>
      </c>
    </row>
    <row r="617" spans="1:57" s="129" customFormat="1" hidden="1">
      <c r="A617" s="88" t="s">
        <v>1276</v>
      </c>
      <c r="B617" s="88" t="s">
        <v>1318</v>
      </c>
      <c r="C617" s="88" t="s">
        <v>1318</v>
      </c>
      <c r="D617" s="88" t="s">
        <v>656</v>
      </c>
      <c r="E617" s="88" t="s">
        <v>684</v>
      </c>
      <c r="F617" s="89" t="s">
        <v>743</v>
      </c>
      <c r="G617" s="92" t="s">
        <v>685</v>
      </c>
      <c r="H617" s="320" t="s">
        <v>3405</v>
      </c>
      <c r="I617" s="167" t="s">
        <v>3301</v>
      </c>
      <c r="J617" s="167" t="str">
        <f>_xlfn.XLOOKUP(I617,[1]Sheet1!$A:$A,[1]Sheet1!$B:$B,"")</f>
        <v/>
      </c>
      <c r="K617" s="310" t="s">
        <v>3302</v>
      </c>
      <c r="L617" s="310" t="s">
        <v>3303</v>
      </c>
      <c r="M617" s="92" t="s">
        <v>1666</v>
      </c>
      <c r="N617" s="89" t="s">
        <v>158</v>
      </c>
      <c r="O617" s="165"/>
      <c r="P617" s="89" t="s">
        <v>715</v>
      </c>
      <c r="Q617" s="92" t="s">
        <v>690</v>
      </c>
      <c r="R617" s="92">
        <v>2</v>
      </c>
      <c r="S617" s="311" t="e">
        <v>#N/A</v>
      </c>
      <c r="T617" s="311">
        <v>8544700000</v>
      </c>
      <c r="U617" s="312">
        <v>0</v>
      </c>
      <c r="V617" s="313">
        <v>30</v>
      </c>
      <c r="W617" s="311">
        <v>45</v>
      </c>
      <c r="X617" s="311">
        <v>55</v>
      </c>
      <c r="Y617" s="311" t="s">
        <v>691</v>
      </c>
      <c r="Z617" s="314">
        <f t="shared" si="959"/>
        <v>4460.625</v>
      </c>
      <c r="AA617" s="314"/>
      <c r="AB617" s="315">
        <f t="shared" si="938"/>
        <v>4066.6666666666665</v>
      </c>
      <c r="AC617" s="315"/>
      <c r="AD617" s="316">
        <f t="shared" si="939"/>
        <v>7.0000000000000007E-2</v>
      </c>
      <c r="AE617" s="316">
        <v>7.0000000000000007E-2</v>
      </c>
      <c r="AF617" s="316">
        <v>0.33999999999999997</v>
      </c>
      <c r="AG617" s="316" t="s">
        <v>9</v>
      </c>
      <c r="AH617" s="317">
        <f t="shared" si="965"/>
        <v>4066.6666666666665</v>
      </c>
      <c r="AI617" s="316">
        <f t="shared" si="951"/>
        <v>0.33999999999999997</v>
      </c>
      <c r="AJ617" s="444"/>
      <c r="AK617" s="318">
        <f t="shared" si="960"/>
        <v>3069.677419354839</v>
      </c>
      <c r="AL617" s="317">
        <f t="shared" si="962"/>
        <v>2886.0215053763441</v>
      </c>
      <c r="AM617" s="319">
        <f t="shared" si="963"/>
        <v>0.31182795698924726</v>
      </c>
      <c r="AN617" s="319">
        <f t="shared" si="964"/>
        <v>0.29032258064516125</v>
      </c>
      <c r="AO617" s="136">
        <f t="shared" si="954"/>
        <v>0.37999999999999995</v>
      </c>
      <c r="AP617" s="17" t="s">
        <v>1291</v>
      </c>
      <c r="AQ617" s="141"/>
      <c r="AR617" s="141"/>
      <c r="AS617" s="141"/>
      <c r="AT617" s="141"/>
      <c r="AU617" s="141"/>
      <c r="AV617" s="141"/>
      <c r="AW617" s="225">
        <v>2440</v>
      </c>
      <c r="AX617" s="126">
        <f t="shared" si="961"/>
        <v>2684</v>
      </c>
      <c r="AY617" s="198"/>
      <c r="AZ617" s="128"/>
      <c r="BB617" s="134">
        <f t="shared" si="955"/>
        <v>13555.555555555555</v>
      </c>
      <c r="BC617" s="134">
        <f t="shared" si="956"/>
        <v>8133.3333333333321</v>
      </c>
      <c r="BD617" s="134">
        <f t="shared" si="957"/>
        <v>6777.7777777777774</v>
      </c>
      <c r="BE617" s="134">
        <f t="shared" si="958"/>
        <v>5422.2222222222226</v>
      </c>
    </row>
    <row r="618" spans="1:57" s="129" customFormat="1" hidden="1">
      <c r="A618" s="88" t="s">
        <v>1276</v>
      </c>
      <c r="B618" s="88" t="s">
        <v>1318</v>
      </c>
      <c r="C618" s="88" t="s">
        <v>1318</v>
      </c>
      <c r="D618" s="88" t="s">
        <v>656</v>
      </c>
      <c r="E618" s="88" t="s">
        <v>684</v>
      </c>
      <c r="F618" s="89" t="s">
        <v>743</v>
      </c>
      <c r="G618" s="92" t="s">
        <v>685</v>
      </c>
      <c r="H618" s="320" t="s">
        <v>3403</v>
      </c>
      <c r="I618" s="167" t="s">
        <v>3304</v>
      </c>
      <c r="J618" s="167" t="str">
        <f>_xlfn.XLOOKUP(I618,[1]Sheet1!$A:$A,[1]Sheet1!$B:$B,"")</f>
        <v/>
      </c>
      <c r="K618" s="310" t="s">
        <v>3305</v>
      </c>
      <c r="L618" s="310" t="s">
        <v>3306</v>
      </c>
      <c r="M618" s="92" t="s">
        <v>1666</v>
      </c>
      <c r="N618" s="89" t="s">
        <v>158</v>
      </c>
      <c r="O618" s="165"/>
      <c r="P618" s="89" t="s">
        <v>715</v>
      </c>
      <c r="Q618" s="92" t="s">
        <v>690</v>
      </c>
      <c r="R618" s="92">
        <v>2</v>
      </c>
      <c r="S618" s="311" t="e">
        <v>#N/A</v>
      </c>
      <c r="T618" s="311">
        <v>8544700000</v>
      </c>
      <c r="U618" s="312">
        <v>0</v>
      </c>
      <c r="V618" s="313">
        <v>30</v>
      </c>
      <c r="W618" s="311">
        <v>45</v>
      </c>
      <c r="X618" s="311">
        <v>55</v>
      </c>
      <c r="Y618" s="311" t="s">
        <v>691</v>
      </c>
      <c r="Z618" s="314">
        <f t="shared" si="959"/>
        <v>5881.078125</v>
      </c>
      <c r="AA618" s="314"/>
      <c r="AB618" s="315">
        <f t="shared" si="938"/>
        <v>5361.666666666667</v>
      </c>
      <c r="AC618" s="315"/>
      <c r="AD618" s="316">
        <f t="shared" si="939"/>
        <v>7.0000000000000007E-2</v>
      </c>
      <c r="AE618" s="316">
        <v>7.0000000000000007E-2</v>
      </c>
      <c r="AF618" s="316">
        <v>0.33999999999999997</v>
      </c>
      <c r="AG618" s="316" t="s">
        <v>9</v>
      </c>
      <c r="AH618" s="317">
        <f t="shared" si="965"/>
        <v>5361.666666666667</v>
      </c>
      <c r="AI618" s="316">
        <f t="shared" si="951"/>
        <v>0.33999999999999997</v>
      </c>
      <c r="AJ618" s="444"/>
      <c r="AK618" s="318">
        <f t="shared" si="960"/>
        <v>4047.1935483870971</v>
      </c>
      <c r="AL618" s="317">
        <f t="shared" si="962"/>
        <v>3805.0537634408606</v>
      </c>
      <c r="AM618" s="319">
        <f t="shared" si="963"/>
        <v>0.31182795698924726</v>
      </c>
      <c r="AN618" s="319">
        <f t="shared" si="964"/>
        <v>0.29032258064516125</v>
      </c>
      <c r="AO618" s="136">
        <f t="shared" si="954"/>
        <v>0.37999999999999995</v>
      </c>
      <c r="AP618" s="17" t="s">
        <v>1291</v>
      </c>
      <c r="AQ618" s="141"/>
      <c r="AR618" s="141"/>
      <c r="AS618" s="141"/>
      <c r="AT618" s="141"/>
      <c r="AU618" s="141"/>
      <c r="AV618" s="141"/>
      <c r="AW618" s="225">
        <v>3217</v>
      </c>
      <c r="AX618" s="126">
        <f t="shared" si="961"/>
        <v>3538.7000000000003</v>
      </c>
      <c r="AY618" s="198"/>
      <c r="AZ618" s="128"/>
      <c r="BB618" s="134">
        <f t="shared" si="955"/>
        <v>17872.222222222223</v>
      </c>
      <c r="BC618" s="134">
        <f t="shared" si="956"/>
        <v>10723.333333333334</v>
      </c>
      <c r="BD618" s="134">
        <f t="shared" si="957"/>
        <v>8936.1111111111113</v>
      </c>
      <c r="BE618" s="134">
        <f t="shared" si="958"/>
        <v>7148.8888888888896</v>
      </c>
    </row>
    <row r="619" spans="1:57" s="129" customFormat="1" hidden="1">
      <c r="A619" s="88" t="s">
        <v>1276</v>
      </c>
      <c r="B619" s="88" t="s">
        <v>1318</v>
      </c>
      <c r="C619" s="88" t="s">
        <v>1318</v>
      </c>
      <c r="D619" s="88" t="s">
        <v>656</v>
      </c>
      <c r="E619" s="88" t="s">
        <v>684</v>
      </c>
      <c r="F619" s="89" t="s">
        <v>743</v>
      </c>
      <c r="G619" s="92" t="s">
        <v>685</v>
      </c>
      <c r="H619" s="320" t="s">
        <v>3406</v>
      </c>
      <c r="I619" s="167" t="s">
        <v>3307</v>
      </c>
      <c r="J619" s="167" t="str">
        <f>_xlfn.XLOOKUP(I619,[1]Sheet1!$A:$A,[1]Sheet1!$B:$B,"")</f>
        <v/>
      </c>
      <c r="K619" s="310" t="s">
        <v>3308</v>
      </c>
      <c r="L619" s="310" t="s">
        <v>3309</v>
      </c>
      <c r="M619" s="92" t="s">
        <v>1666</v>
      </c>
      <c r="N619" s="89" t="s">
        <v>158</v>
      </c>
      <c r="O619" s="165"/>
      <c r="P619" s="89" t="s">
        <v>715</v>
      </c>
      <c r="Q619" s="92" t="s">
        <v>690</v>
      </c>
      <c r="R619" s="92">
        <v>2</v>
      </c>
      <c r="S619" s="311" t="e">
        <v>#N/A</v>
      </c>
      <c r="T619" s="311">
        <v>8544700000</v>
      </c>
      <c r="U619" s="312">
        <v>0</v>
      </c>
      <c r="V619" s="313">
        <v>30</v>
      </c>
      <c r="W619" s="311">
        <v>45</v>
      </c>
      <c r="X619" s="311">
        <v>55</v>
      </c>
      <c r="Y619" s="311" t="s">
        <v>691</v>
      </c>
      <c r="Z619" s="314">
        <f t="shared" si="959"/>
        <v>8449.59375</v>
      </c>
      <c r="AA619" s="314"/>
      <c r="AB619" s="315">
        <f t="shared" si="938"/>
        <v>7703.3333333333339</v>
      </c>
      <c r="AC619" s="315"/>
      <c r="AD619" s="316">
        <f t="shared" si="939"/>
        <v>7.0000000000000007E-2</v>
      </c>
      <c r="AE619" s="316">
        <v>7.0000000000000007E-2</v>
      </c>
      <c r="AF619" s="316">
        <v>0.33999999999999997</v>
      </c>
      <c r="AG619" s="316" t="s">
        <v>9</v>
      </c>
      <c r="AH619" s="317">
        <f t="shared" si="965"/>
        <v>7703.3333333333339</v>
      </c>
      <c r="AI619" s="316">
        <f t="shared" si="951"/>
        <v>0.33999999999999997</v>
      </c>
      <c r="AJ619" s="444"/>
      <c r="AK619" s="318">
        <f t="shared" si="960"/>
        <v>5814.7741935483873</v>
      </c>
      <c r="AL619" s="317">
        <f t="shared" si="962"/>
        <v>5466.8817204301085</v>
      </c>
      <c r="AM619" s="319">
        <f t="shared" si="963"/>
        <v>0.31182795698924726</v>
      </c>
      <c r="AN619" s="319">
        <f t="shared" si="964"/>
        <v>0.29032258064516125</v>
      </c>
      <c r="AO619" s="136">
        <f t="shared" si="954"/>
        <v>0.37999999999999995</v>
      </c>
      <c r="AP619" s="17" t="s">
        <v>1291</v>
      </c>
      <c r="AQ619" s="141"/>
      <c r="AR619" s="141"/>
      <c r="AS619" s="141"/>
      <c r="AT619" s="141"/>
      <c r="AU619" s="141"/>
      <c r="AV619" s="141"/>
      <c r="AW619" s="225">
        <v>4622</v>
      </c>
      <c r="AX619" s="126">
        <f t="shared" si="961"/>
        <v>5084.2000000000007</v>
      </c>
      <c r="AY619" s="198"/>
      <c r="AZ619" s="128"/>
      <c r="BB619" s="134">
        <f t="shared" si="955"/>
        <v>25677.777777777781</v>
      </c>
      <c r="BC619" s="134">
        <f t="shared" si="956"/>
        <v>15406.666666666668</v>
      </c>
      <c r="BD619" s="134">
        <f t="shared" si="957"/>
        <v>12838.888888888891</v>
      </c>
      <c r="BE619" s="134">
        <f t="shared" si="958"/>
        <v>10271.111111111113</v>
      </c>
    </row>
    <row r="620" spans="1:57" s="129" customFormat="1" hidden="1">
      <c r="A620" s="88" t="s">
        <v>1276</v>
      </c>
      <c r="B620" s="88" t="s">
        <v>1318</v>
      </c>
      <c r="C620" s="88" t="s">
        <v>1318</v>
      </c>
      <c r="D620" s="88" t="s">
        <v>656</v>
      </c>
      <c r="E620" s="88" t="s">
        <v>684</v>
      </c>
      <c r="F620" s="89" t="s">
        <v>743</v>
      </c>
      <c r="G620" s="92" t="s">
        <v>685</v>
      </c>
      <c r="H620" s="320" t="s">
        <v>3407</v>
      </c>
      <c r="I620" s="167" t="s">
        <v>3310</v>
      </c>
      <c r="J620" s="167" t="str">
        <f>_xlfn.XLOOKUP(I620,[1]Sheet1!$A:$A,[1]Sheet1!$B:$B,"")</f>
        <v/>
      </c>
      <c r="K620" s="310" t="s">
        <v>3311</v>
      </c>
      <c r="L620" s="310" t="s">
        <v>3312</v>
      </c>
      <c r="M620" s="92" t="s">
        <v>1666</v>
      </c>
      <c r="N620" s="89" t="s">
        <v>158</v>
      </c>
      <c r="O620" s="165"/>
      <c r="P620" s="89" t="s">
        <v>715</v>
      </c>
      <c r="Q620" s="92" t="s">
        <v>690</v>
      </c>
      <c r="R620" s="92">
        <v>2</v>
      </c>
      <c r="S620" s="311" t="e">
        <v>#N/A</v>
      </c>
      <c r="T620" s="311">
        <v>8544700000</v>
      </c>
      <c r="U620" s="312">
        <v>0</v>
      </c>
      <c r="V620" s="313">
        <v>30</v>
      </c>
      <c r="W620" s="311">
        <v>45</v>
      </c>
      <c r="X620" s="311">
        <v>55</v>
      </c>
      <c r="Y620" s="311" t="s">
        <v>691</v>
      </c>
      <c r="Z620" s="314">
        <f t="shared" si="959"/>
        <v>16069.218749999998</v>
      </c>
      <c r="AA620" s="314"/>
      <c r="AB620" s="315">
        <f t="shared" si="938"/>
        <v>14650</v>
      </c>
      <c r="AC620" s="315"/>
      <c r="AD620" s="316">
        <f t="shared" si="939"/>
        <v>7.0000000000000007E-2</v>
      </c>
      <c r="AE620" s="316">
        <v>7.0000000000000007E-2</v>
      </c>
      <c r="AF620" s="316">
        <v>0.33999999999999997</v>
      </c>
      <c r="AG620" s="316" t="s">
        <v>9</v>
      </c>
      <c r="AH620" s="317">
        <f t="shared" si="965"/>
        <v>14650</v>
      </c>
      <c r="AI620" s="316">
        <f t="shared" si="951"/>
        <v>0.33999999999999997</v>
      </c>
      <c r="AJ620" s="444"/>
      <c r="AK620" s="318">
        <f t="shared" si="960"/>
        <v>11058.387096774193</v>
      </c>
      <c r="AL620" s="317">
        <f t="shared" si="962"/>
        <v>10396.774193548388</v>
      </c>
      <c r="AM620" s="319">
        <f t="shared" si="963"/>
        <v>0.31182795698924726</v>
      </c>
      <c r="AN620" s="319">
        <f t="shared" si="964"/>
        <v>0.29032258064516125</v>
      </c>
      <c r="AO620" s="136">
        <f t="shared" si="954"/>
        <v>0.37999999999999995</v>
      </c>
      <c r="AP620" s="17" t="s">
        <v>1291</v>
      </c>
      <c r="AQ620" s="141"/>
      <c r="AR620" s="141"/>
      <c r="AS620" s="141"/>
      <c r="AT620" s="141"/>
      <c r="AU620" s="141"/>
      <c r="AV620" s="141"/>
      <c r="AW620" s="225">
        <v>8790</v>
      </c>
      <c r="AX620" s="126">
        <f t="shared" si="961"/>
        <v>9669</v>
      </c>
      <c r="AY620" s="198"/>
      <c r="AZ620" s="128"/>
      <c r="BB620" s="134">
        <f t="shared" si="955"/>
        <v>48833.333333333336</v>
      </c>
      <c r="BC620" s="134">
        <f t="shared" si="956"/>
        <v>29300</v>
      </c>
      <c r="BD620" s="134">
        <f t="shared" si="957"/>
        <v>24416.666666666668</v>
      </c>
      <c r="BE620" s="134">
        <f t="shared" si="958"/>
        <v>19533.333333333336</v>
      </c>
    </row>
    <row r="621" spans="1:57" s="129" customFormat="1" hidden="1">
      <c r="A621" s="88" t="s">
        <v>1276</v>
      </c>
      <c r="B621" s="88" t="s">
        <v>1318</v>
      </c>
      <c r="C621" s="88" t="s">
        <v>1318</v>
      </c>
      <c r="D621" s="88" t="s">
        <v>656</v>
      </c>
      <c r="E621" s="88" t="s">
        <v>684</v>
      </c>
      <c r="F621" s="89" t="s">
        <v>751</v>
      </c>
      <c r="G621" s="92" t="s">
        <v>685</v>
      </c>
      <c r="H621" s="320" t="s">
        <v>3402</v>
      </c>
      <c r="I621" s="167" t="s">
        <v>752</v>
      </c>
      <c r="J621" s="167" t="str">
        <f>_xlfn.XLOOKUP(I621,[1]Sheet1!$A:$A,[1]Sheet1!$B:$B,"")</f>
        <v>U0805001</v>
      </c>
      <c r="K621" s="88" t="s">
        <v>753</v>
      </c>
      <c r="L621" s="88" t="s">
        <v>754</v>
      </c>
      <c r="M621" s="92" t="s">
        <v>2403</v>
      </c>
      <c r="N621" s="89" t="s">
        <v>158</v>
      </c>
      <c r="O621" s="165"/>
      <c r="P621" s="89" t="s">
        <v>715</v>
      </c>
      <c r="Q621" s="92" t="s">
        <v>690</v>
      </c>
      <c r="R621" s="92">
        <v>2</v>
      </c>
      <c r="S621" s="92" t="e">
        <v>#N/A</v>
      </c>
      <c r="T621" s="92">
        <v>8544700000</v>
      </c>
      <c r="U621" s="155">
        <v>0</v>
      </c>
      <c r="V621" s="207">
        <v>30</v>
      </c>
      <c r="W621" s="92">
        <v>45</v>
      </c>
      <c r="X621" s="92">
        <v>55</v>
      </c>
      <c r="Y621" s="92" t="s">
        <v>691</v>
      </c>
      <c r="Z621" s="133">
        <f t="shared" si="959"/>
        <v>2581.3125</v>
      </c>
      <c r="AA621" s="133"/>
      <c r="AB621" s="124">
        <f t="shared" si="938"/>
        <v>2353.3333333333335</v>
      </c>
      <c r="AC621" s="124"/>
      <c r="AD621" s="213">
        <f t="shared" si="939"/>
        <v>7.0000000000000007E-2</v>
      </c>
      <c r="AE621" s="213">
        <v>7.0000000000000007E-2</v>
      </c>
      <c r="AF621" s="215">
        <v>0.33999999999999997</v>
      </c>
      <c r="AG621" s="215" t="s">
        <v>9</v>
      </c>
      <c r="AH621" s="148">
        <f t="shared" si="965"/>
        <v>2353.3333333333335</v>
      </c>
      <c r="AI621" s="122">
        <f t="shared" si="951"/>
        <v>0.33999999999999997</v>
      </c>
      <c r="AJ621" s="444"/>
      <c r="AK621" s="150">
        <f t="shared" si="960"/>
        <v>1776.3870967741937</v>
      </c>
      <c r="AL621" s="148">
        <f t="shared" si="962"/>
        <v>1670.1075268817206</v>
      </c>
      <c r="AM621" s="125">
        <f t="shared" si="963"/>
        <v>0.31182795698924726</v>
      </c>
      <c r="AN621" s="125">
        <f t="shared" si="964"/>
        <v>0.29032258064516125</v>
      </c>
      <c r="AO621" s="136">
        <f t="shared" si="954"/>
        <v>0.37999999999999995</v>
      </c>
      <c r="AP621" s="17" t="s">
        <v>1291</v>
      </c>
      <c r="AQ621" s="141"/>
      <c r="AR621" s="141"/>
      <c r="AS621" s="141"/>
      <c r="AT621" s="141"/>
      <c r="AU621" s="141"/>
      <c r="AV621" s="141"/>
      <c r="AW621" s="225">
        <v>1412</v>
      </c>
      <c r="AX621" s="126">
        <f t="shared" si="961"/>
        <v>1553.2</v>
      </c>
      <c r="AY621" s="198"/>
      <c r="AZ621" s="128"/>
      <c r="BB621" s="134">
        <f t="shared" si="955"/>
        <v>7844.4444444444453</v>
      </c>
      <c r="BC621" s="134">
        <f t="shared" si="956"/>
        <v>4706.666666666667</v>
      </c>
      <c r="BD621" s="134">
        <f t="shared" si="957"/>
        <v>3922.2222222222226</v>
      </c>
      <c r="BE621" s="134">
        <f t="shared" si="958"/>
        <v>3137.7777777777783</v>
      </c>
    </row>
    <row r="622" spans="1:57" s="129" customFormat="1" hidden="1">
      <c r="A622" s="88" t="s">
        <v>1276</v>
      </c>
      <c r="B622" s="88" t="s">
        <v>1318</v>
      </c>
      <c r="C622" s="88" t="s">
        <v>1318</v>
      </c>
      <c r="D622" s="88" t="s">
        <v>656</v>
      </c>
      <c r="E622" s="88" t="s">
        <v>684</v>
      </c>
      <c r="F622" s="89" t="s">
        <v>751</v>
      </c>
      <c r="G622" s="92" t="s">
        <v>685</v>
      </c>
      <c r="H622" s="320" t="s">
        <v>3403</v>
      </c>
      <c r="I622" s="167" t="s">
        <v>755</v>
      </c>
      <c r="J622" s="167" t="str">
        <f>_xlfn.XLOOKUP(I622,[1]Sheet1!$A:$A,[1]Sheet1!$B:$B,"")</f>
        <v>U0805004</v>
      </c>
      <c r="K622" s="88" t="s">
        <v>756</v>
      </c>
      <c r="L622" s="88" t="s">
        <v>757</v>
      </c>
      <c r="M622" s="92" t="s">
        <v>2403</v>
      </c>
      <c r="N622" s="89" t="s">
        <v>158</v>
      </c>
      <c r="O622" s="165"/>
      <c r="P622" s="89" t="s">
        <v>715</v>
      </c>
      <c r="Q622" s="92" t="s">
        <v>690</v>
      </c>
      <c r="R622" s="92">
        <v>2</v>
      </c>
      <c r="S622" s="92" t="e">
        <v>#N/A</v>
      </c>
      <c r="T622" s="92">
        <v>8544700000</v>
      </c>
      <c r="U622" s="155">
        <v>0</v>
      </c>
      <c r="V622" s="207">
        <v>30</v>
      </c>
      <c r="W622" s="92">
        <v>45</v>
      </c>
      <c r="X622" s="92">
        <v>55</v>
      </c>
      <c r="Y622" s="92" t="s">
        <v>691</v>
      </c>
      <c r="Z622" s="133">
        <f t="shared" si="959"/>
        <v>4661.71875</v>
      </c>
      <c r="AA622" s="133"/>
      <c r="AB622" s="124">
        <f t="shared" si="938"/>
        <v>4250</v>
      </c>
      <c r="AC622" s="124"/>
      <c r="AD622" s="213">
        <f t="shared" si="939"/>
        <v>7.0000000000000007E-2</v>
      </c>
      <c r="AE622" s="213">
        <v>7.0000000000000007E-2</v>
      </c>
      <c r="AF622" s="215">
        <v>0.33999999999999997</v>
      </c>
      <c r="AG622" s="215" t="s">
        <v>9</v>
      </c>
      <c r="AH622" s="148">
        <f t="shared" si="965"/>
        <v>4250</v>
      </c>
      <c r="AI622" s="122">
        <f t="shared" si="951"/>
        <v>0.33999999999999997</v>
      </c>
      <c r="AJ622" s="444"/>
      <c r="AK622" s="150">
        <f t="shared" si="960"/>
        <v>3208.0645161290322</v>
      </c>
      <c r="AL622" s="148">
        <f t="shared" si="962"/>
        <v>3016.1290322580649</v>
      </c>
      <c r="AM622" s="125">
        <f t="shared" si="963"/>
        <v>0.31182795698924737</v>
      </c>
      <c r="AN622" s="125">
        <f t="shared" si="964"/>
        <v>0.29032258064516125</v>
      </c>
      <c r="AO622" s="136">
        <f t="shared" si="954"/>
        <v>0.37999999999999995</v>
      </c>
      <c r="AP622" s="17" t="s">
        <v>1291</v>
      </c>
      <c r="AQ622" s="141"/>
      <c r="AR622" s="141"/>
      <c r="AS622" s="141"/>
      <c r="AT622" s="141"/>
      <c r="AU622" s="141"/>
      <c r="AV622" s="141"/>
      <c r="AW622" s="225">
        <v>2550</v>
      </c>
      <c r="AX622" s="126">
        <f t="shared" si="961"/>
        <v>2805</v>
      </c>
      <c r="AY622" s="198"/>
      <c r="AZ622" s="128"/>
      <c r="BB622" s="134">
        <f t="shared" si="955"/>
        <v>14166.666666666668</v>
      </c>
      <c r="BC622" s="134">
        <f t="shared" si="956"/>
        <v>8500</v>
      </c>
      <c r="BD622" s="134">
        <f t="shared" si="957"/>
        <v>7083.3333333333339</v>
      </c>
      <c r="BE622" s="134">
        <f t="shared" si="958"/>
        <v>5666.6666666666679</v>
      </c>
    </row>
    <row r="623" spans="1:57" s="129" customFormat="1" hidden="1">
      <c r="A623" s="88" t="s">
        <v>1276</v>
      </c>
      <c r="B623" s="88" t="s">
        <v>1318</v>
      </c>
      <c r="C623" s="88" t="s">
        <v>1318</v>
      </c>
      <c r="D623" s="88" t="s">
        <v>656</v>
      </c>
      <c r="E623" s="88" t="s">
        <v>684</v>
      </c>
      <c r="F623" s="89" t="s">
        <v>758</v>
      </c>
      <c r="G623" s="92" t="s">
        <v>685</v>
      </c>
      <c r="H623" s="320" t="s">
        <v>3402</v>
      </c>
      <c r="I623" s="167" t="s">
        <v>759</v>
      </c>
      <c r="J623" s="167" t="str">
        <f>_xlfn.XLOOKUP(I623,[1]Sheet1!$A:$A,[1]Sheet1!$B:$B,"")</f>
        <v>U0804001</v>
      </c>
      <c r="K623" s="88" t="s">
        <v>760</v>
      </c>
      <c r="L623" s="88" t="s">
        <v>761</v>
      </c>
      <c r="M623" s="92" t="s">
        <v>2403</v>
      </c>
      <c r="N623" s="89" t="s">
        <v>158</v>
      </c>
      <c r="O623" s="165"/>
      <c r="P623" s="89" t="s">
        <v>715</v>
      </c>
      <c r="Q623" s="92" t="s">
        <v>690</v>
      </c>
      <c r="R623" s="92">
        <v>2</v>
      </c>
      <c r="S623" s="92" t="e">
        <v>#N/A</v>
      </c>
      <c r="T623" s="92">
        <v>8544700000</v>
      </c>
      <c r="U623" s="155">
        <v>0</v>
      </c>
      <c r="V623" s="207">
        <v>30</v>
      </c>
      <c r="W623" s="92">
        <v>45</v>
      </c>
      <c r="X623" s="92">
        <v>55</v>
      </c>
      <c r="Y623" s="92" t="s">
        <v>691</v>
      </c>
      <c r="Z623" s="133">
        <f t="shared" si="959"/>
        <v>2831.0454545454545</v>
      </c>
      <c r="AA623" s="133"/>
      <c r="AB623" s="124">
        <f t="shared" ref="AB623:AB715" si="966">AX623/(1-AF623)</f>
        <v>2583.3823529411766</v>
      </c>
      <c r="AC623" s="124"/>
      <c r="AD623" s="213">
        <f t="shared" ref="AD623:AD713" si="967">AE623</f>
        <v>7.0000000000000007E-2</v>
      </c>
      <c r="AE623" s="213">
        <v>7.0000000000000007E-2</v>
      </c>
      <c r="AF623" s="215">
        <v>0.32</v>
      </c>
      <c r="AG623" s="215" t="s">
        <v>9</v>
      </c>
      <c r="AH623" s="148">
        <f t="shared" si="965"/>
        <v>2583.3823529411766</v>
      </c>
      <c r="AI623" s="122">
        <f t="shared" si="951"/>
        <v>0.32000000000000006</v>
      </c>
      <c r="AJ623" s="444"/>
      <c r="AK623" s="150">
        <f t="shared" si="960"/>
        <v>2009.1290322580644</v>
      </c>
      <c r="AL623" s="148">
        <f t="shared" si="962"/>
        <v>1888.9247311827958</v>
      </c>
      <c r="AM623" s="125">
        <f t="shared" si="963"/>
        <v>0.29032258064516137</v>
      </c>
      <c r="AN623" s="125">
        <f t="shared" si="964"/>
        <v>0.26881720430107525</v>
      </c>
      <c r="AO623" s="136">
        <f t="shared" si="954"/>
        <v>0.36</v>
      </c>
      <c r="AP623" s="17" t="s">
        <v>1291</v>
      </c>
      <c r="AQ623" s="141"/>
      <c r="AR623" s="141"/>
      <c r="AS623" s="141"/>
      <c r="AT623" s="141"/>
      <c r="AU623" s="141"/>
      <c r="AV623" s="141"/>
      <c r="AW623" s="225">
        <v>1597</v>
      </c>
      <c r="AX623" s="126">
        <f t="shared" si="961"/>
        <v>1756.7</v>
      </c>
      <c r="AY623" s="198"/>
      <c r="AZ623" s="128"/>
      <c r="BB623" s="134">
        <f t="shared" si="955"/>
        <v>8611.2745098039231</v>
      </c>
      <c r="BC623" s="134">
        <f t="shared" si="956"/>
        <v>5166.7647058823541</v>
      </c>
      <c r="BD623" s="134">
        <f t="shared" si="957"/>
        <v>4305.6372549019616</v>
      </c>
      <c r="BE623" s="134">
        <f t="shared" si="958"/>
        <v>3444.5098039215695</v>
      </c>
    </row>
    <row r="624" spans="1:57" s="129" customFormat="1" hidden="1">
      <c r="A624" s="88" t="s">
        <v>1276</v>
      </c>
      <c r="B624" s="88" t="s">
        <v>1318</v>
      </c>
      <c r="C624" s="88" t="s">
        <v>1318</v>
      </c>
      <c r="D624" s="88" t="s">
        <v>656</v>
      </c>
      <c r="E624" s="88" t="s">
        <v>684</v>
      </c>
      <c r="F624" s="89" t="s">
        <v>758</v>
      </c>
      <c r="G624" s="92" t="s">
        <v>685</v>
      </c>
      <c r="H624" s="320" t="s">
        <v>3403</v>
      </c>
      <c r="I624" s="167" t="s">
        <v>762</v>
      </c>
      <c r="J624" s="167" t="str">
        <f>_xlfn.XLOOKUP(I624,[1]Sheet1!$A:$A,[1]Sheet1!$B:$B,"")</f>
        <v>U0804004</v>
      </c>
      <c r="K624" s="88" t="s">
        <v>763</v>
      </c>
      <c r="L624" s="88" t="s">
        <v>764</v>
      </c>
      <c r="M624" s="92" t="s">
        <v>2403</v>
      </c>
      <c r="N624" s="89" t="s">
        <v>158</v>
      </c>
      <c r="O624" s="165"/>
      <c r="P624" s="89" t="s">
        <v>715</v>
      </c>
      <c r="Q624" s="92" t="s">
        <v>690</v>
      </c>
      <c r="R624" s="92">
        <v>2</v>
      </c>
      <c r="S624" s="92" t="e">
        <v>#N/A</v>
      </c>
      <c r="T624" s="92">
        <v>8544700000</v>
      </c>
      <c r="U624" s="155">
        <v>0</v>
      </c>
      <c r="V624" s="207">
        <v>30</v>
      </c>
      <c r="W624" s="92">
        <v>45</v>
      </c>
      <c r="X624" s="92">
        <v>55</v>
      </c>
      <c r="Y624" s="92" t="s">
        <v>691</v>
      </c>
      <c r="Z624" s="133">
        <f t="shared" si="959"/>
        <v>4906.909090909091</v>
      </c>
      <c r="AA624" s="133"/>
      <c r="AB624" s="124">
        <f t="shared" si="966"/>
        <v>4477.6470588235297</v>
      </c>
      <c r="AC624" s="124"/>
      <c r="AD624" s="213">
        <f t="shared" si="967"/>
        <v>7.0000000000000007E-2</v>
      </c>
      <c r="AE624" s="213">
        <v>7.0000000000000007E-2</v>
      </c>
      <c r="AF624" s="215">
        <v>0.32</v>
      </c>
      <c r="AG624" s="215" t="s">
        <v>9</v>
      </c>
      <c r="AH624" s="148">
        <f t="shared" si="965"/>
        <v>4477.6470588235297</v>
      </c>
      <c r="AI624" s="122">
        <f t="shared" si="951"/>
        <v>0.32000000000000006</v>
      </c>
      <c r="AJ624" s="444"/>
      <c r="AK624" s="150">
        <f t="shared" si="960"/>
        <v>3482.3225806451615</v>
      </c>
      <c r="AL624" s="148">
        <f t="shared" si="962"/>
        <v>3273.9784946236564</v>
      </c>
      <c r="AM624" s="125">
        <f t="shared" si="963"/>
        <v>0.29032258064516125</v>
      </c>
      <c r="AN624" s="125">
        <f t="shared" si="964"/>
        <v>0.26881720430107525</v>
      </c>
      <c r="AO624" s="136">
        <f t="shared" si="954"/>
        <v>0.36</v>
      </c>
      <c r="AP624" s="17" t="s">
        <v>1291</v>
      </c>
      <c r="AQ624" s="141"/>
      <c r="AR624" s="141"/>
      <c r="AS624" s="141"/>
      <c r="AT624" s="141"/>
      <c r="AU624" s="141"/>
      <c r="AV624" s="141"/>
      <c r="AW624" s="225">
        <v>2768</v>
      </c>
      <c r="AX624" s="126">
        <f t="shared" si="961"/>
        <v>3044.8</v>
      </c>
      <c r="AY624" s="198"/>
      <c r="AZ624" s="128"/>
      <c r="BB624" s="134">
        <f t="shared" si="955"/>
        <v>14925.490196078434</v>
      </c>
      <c r="BC624" s="134">
        <f t="shared" si="956"/>
        <v>8955.2941176470595</v>
      </c>
      <c r="BD624" s="134">
        <f t="shared" si="957"/>
        <v>7462.7450980392168</v>
      </c>
      <c r="BE624" s="134">
        <f t="shared" si="958"/>
        <v>5970.1960784313742</v>
      </c>
    </row>
    <row r="625" spans="1:57" s="129" customFormat="1" hidden="1">
      <c r="A625" s="88" t="s">
        <v>1276</v>
      </c>
      <c r="B625" s="88" t="s">
        <v>1318</v>
      </c>
      <c r="C625" s="88" t="s">
        <v>1318</v>
      </c>
      <c r="D625" s="88" t="s">
        <v>656</v>
      </c>
      <c r="E625" s="88" t="s">
        <v>684</v>
      </c>
      <c r="F625" s="89" t="s">
        <v>2294</v>
      </c>
      <c r="G625" s="92" t="s">
        <v>1679</v>
      </c>
      <c r="H625" s="320" t="s">
        <v>3400</v>
      </c>
      <c r="I625" s="167" t="s">
        <v>2295</v>
      </c>
      <c r="J625" s="167" t="str">
        <f>_xlfn.XLOOKUP(I625,[1]Sheet1!$A:$A,[1]Sheet1!$B:$B,"")</f>
        <v/>
      </c>
      <c r="K625" s="88" t="s">
        <v>2301</v>
      </c>
      <c r="L625" s="88" t="s">
        <v>2298</v>
      </c>
      <c r="M625" s="92" t="s">
        <v>1584</v>
      </c>
      <c r="N625" s="89" t="s">
        <v>1223</v>
      </c>
      <c r="O625" s="165"/>
      <c r="P625" s="89" t="s">
        <v>715</v>
      </c>
      <c r="Q625" s="92" t="s">
        <v>690</v>
      </c>
      <c r="R625" s="92">
        <v>2</v>
      </c>
      <c r="S625" s="92" t="e">
        <v>#N/A</v>
      </c>
      <c r="T625" s="92">
        <v>8544700000</v>
      </c>
      <c r="U625" s="155">
        <v>0</v>
      </c>
      <c r="V625" s="207">
        <v>30</v>
      </c>
      <c r="W625" s="92">
        <v>45</v>
      </c>
      <c r="X625" s="92">
        <v>55</v>
      </c>
      <c r="Y625" s="92" t="s">
        <v>691</v>
      </c>
      <c r="Z625" s="133">
        <f t="shared" si="959"/>
        <v>1596.0895522388062</v>
      </c>
      <c r="AA625" s="133"/>
      <c r="AB625" s="124">
        <f t="shared" si="966"/>
        <v>1457.1014492753625</v>
      </c>
      <c r="AC625" s="124"/>
      <c r="AD625" s="213">
        <f t="shared" si="967"/>
        <v>7.0000000000000007E-2</v>
      </c>
      <c r="AE625" s="213">
        <v>7.0000000000000007E-2</v>
      </c>
      <c r="AF625" s="215">
        <v>0.31</v>
      </c>
      <c r="AG625" s="215" t="s">
        <v>9</v>
      </c>
      <c r="AH625" s="148">
        <f t="shared" si="965"/>
        <v>1457.1014492753625</v>
      </c>
      <c r="AI625" s="122">
        <f t="shared" si="951"/>
        <v>0.31000000000000005</v>
      </c>
      <c r="AJ625" s="444"/>
      <c r="AK625" s="150">
        <f t="shared" si="960"/>
        <v>1149.8709677419356</v>
      </c>
      <c r="AL625" s="148">
        <f t="shared" si="962"/>
        <v>1081.0752688172045</v>
      </c>
      <c r="AM625" s="125">
        <f t="shared" si="963"/>
        <v>0.27956989247311825</v>
      </c>
      <c r="AN625" s="125">
        <f t="shared" si="964"/>
        <v>0.25806451612903225</v>
      </c>
      <c r="AO625" s="136">
        <f t="shared" si="954"/>
        <v>0.35</v>
      </c>
      <c r="AP625" s="17" t="s">
        <v>1291</v>
      </c>
      <c r="AQ625" s="141"/>
      <c r="AR625" s="141"/>
      <c r="AS625" s="141"/>
      <c r="AT625" s="141"/>
      <c r="AU625" s="141"/>
      <c r="AV625" s="141"/>
      <c r="AW625" s="225">
        <v>914</v>
      </c>
      <c r="AX625" s="126">
        <f t="shared" si="961"/>
        <v>1005.4000000000001</v>
      </c>
      <c r="AY625" s="198"/>
      <c r="AZ625" s="128"/>
      <c r="BB625" s="199">
        <f t="shared" si="955"/>
        <v>4857.0048309178756</v>
      </c>
      <c r="BC625" s="199">
        <f t="shared" si="956"/>
        <v>2914.2028985507254</v>
      </c>
      <c r="BD625" s="199">
        <f t="shared" si="957"/>
        <v>2428.5024154589378</v>
      </c>
      <c r="BE625" s="199">
        <f t="shared" si="958"/>
        <v>1942.8019323671504</v>
      </c>
    </row>
    <row r="626" spans="1:57" s="129" customFormat="1" hidden="1">
      <c r="A626" s="88" t="s">
        <v>1276</v>
      </c>
      <c r="B626" s="88" t="s">
        <v>1318</v>
      </c>
      <c r="C626" s="88" t="s">
        <v>1318</v>
      </c>
      <c r="D626" s="88" t="s">
        <v>656</v>
      </c>
      <c r="E626" s="88" t="s">
        <v>684</v>
      </c>
      <c r="F626" s="89" t="s">
        <v>2294</v>
      </c>
      <c r="G626" s="92" t="s">
        <v>1679</v>
      </c>
      <c r="H626" s="320" t="s">
        <v>3401</v>
      </c>
      <c r="I626" s="167" t="s">
        <v>2296</v>
      </c>
      <c r="J626" s="167" t="str">
        <f>_xlfn.XLOOKUP(I626,[1]Sheet1!$A:$A,[1]Sheet1!$B:$B,"")</f>
        <v/>
      </c>
      <c r="K626" s="88" t="s">
        <v>2302</v>
      </c>
      <c r="L626" s="88" t="s">
        <v>2299</v>
      </c>
      <c r="M626" s="92" t="s">
        <v>1584</v>
      </c>
      <c r="N626" s="89" t="s">
        <v>1223</v>
      </c>
      <c r="O626" s="165"/>
      <c r="P626" s="89" t="s">
        <v>715</v>
      </c>
      <c r="Q626" s="92" t="s">
        <v>690</v>
      </c>
      <c r="R626" s="92">
        <v>2</v>
      </c>
      <c r="S626" s="92" t="e">
        <v>#N/A</v>
      </c>
      <c r="T626" s="92">
        <v>8544700000</v>
      </c>
      <c r="U626" s="155">
        <v>0</v>
      </c>
      <c r="V626" s="207">
        <v>30</v>
      </c>
      <c r="W626" s="92">
        <v>45</v>
      </c>
      <c r="X626" s="92">
        <v>55</v>
      </c>
      <c r="Y626" s="92" t="s">
        <v>691</v>
      </c>
      <c r="Z626" s="133">
        <f t="shared" si="959"/>
        <v>2154.8955223880598</v>
      </c>
      <c r="AA626" s="133"/>
      <c r="AB626" s="124">
        <f t="shared" si="966"/>
        <v>1967.2463768115945</v>
      </c>
      <c r="AC626" s="124"/>
      <c r="AD626" s="213">
        <f t="shared" si="967"/>
        <v>7.0000000000000007E-2</v>
      </c>
      <c r="AE626" s="213">
        <v>7.0000000000000007E-2</v>
      </c>
      <c r="AF626" s="215">
        <v>0.31</v>
      </c>
      <c r="AG626" s="215" t="s">
        <v>9</v>
      </c>
      <c r="AH626" s="148">
        <f t="shared" si="965"/>
        <v>1967.2463768115945</v>
      </c>
      <c r="AI626" s="122">
        <f t="shared" si="951"/>
        <v>0.31000000000000005</v>
      </c>
      <c r="AJ626" s="444"/>
      <c r="AK626" s="150">
        <f t="shared" si="960"/>
        <v>1552.4516129032259</v>
      </c>
      <c r="AL626" s="148">
        <f t="shared" si="962"/>
        <v>1459.5698924731184</v>
      </c>
      <c r="AM626" s="125">
        <f t="shared" ref="AM626:AM657" si="968">1-(AK626/Z626)</f>
        <v>0.27956989247311825</v>
      </c>
      <c r="AN626" s="125">
        <f t="shared" ref="AN626:AN657" si="969">1-(AL626/AB626)</f>
        <v>0.25806451612903225</v>
      </c>
      <c r="AO626" s="136">
        <f t="shared" si="954"/>
        <v>0.35</v>
      </c>
      <c r="AP626" s="17" t="s">
        <v>1291</v>
      </c>
      <c r="AQ626" s="141"/>
      <c r="AR626" s="141"/>
      <c r="AS626" s="141"/>
      <c r="AT626" s="141"/>
      <c r="AU626" s="141"/>
      <c r="AV626" s="141"/>
      <c r="AW626" s="225">
        <v>1234</v>
      </c>
      <c r="AX626" s="126">
        <f t="shared" si="961"/>
        <v>1357.4</v>
      </c>
      <c r="AY626" s="198"/>
      <c r="AZ626" s="128"/>
      <c r="BB626" s="199">
        <f t="shared" si="955"/>
        <v>6557.4879227053152</v>
      </c>
      <c r="BC626" s="199">
        <f t="shared" si="956"/>
        <v>3934.4927536231889</v>
      </c>
      <c r="BD626" s="199">
        <f t="shared" si="957"/>
        <v>3278.7439613526576</v>
      </c>
      <c r="BE626" s="199">
        <f t="shared" si="958"/>
        <v>2622.9951690821263</v>
      </c>
    </row>
    <row r="627" spans="1:57" s="129" customFormat="1" hidden="1">
      <c r="A627" s="88" t="s">
        <v>1276</v>
      </c>
      <c r="B627" s="88" t="s">
        <v>1318</v>
      </c>
      <c r="C627" s="88" t="s">
        <v>1318</v>
      </c>
      <c r="D627" s="88" t="s">
        <v>656</v>
      </c>
      <c r="E627" s="88" t="s">
        <v>684</v>
      </c>
      <c r="F627" s="89" t="s">
        <v>2294</v>
      </c>
      <c r="G627" s="92" t="s">
        <v>1679</v>
      </c>
      <c r="H627" s="320" t="s">
        <v>3402</v>
      </c>
      <c r="I627" s="167" t="s">
        <v>2297</v>
      </c>
      <c r="J627" s="167" t="str">
        <f>_xlfn.XLOOKUP(I627,[1]Sheet1!$A:$A,[1]Sheet1!$B:$B,"")</f>
        <v/>
      </c>
      <c r="K627" s="88" t="s">
        <v>2303</v>
      </c>
      <c r="L627" s="88" t="s">
        <v>2300</v>
      </c>
      <c r="M627" s="92" t="s">
        <v>1584</v>
      </c>
      <c r="N627" s="89" t="s">
        <v>1223</v>
      </c>
      <c r="O627" s="165"/>
      <c r="P627" s="89" t="s">
        <v>715</v>
      </c>
      <c r="Q627" s="92" t="s">
        <v>690</v>
      </c>
      <c r="R627" s="92">
        <v>2</v>
      </c>
      <c r="S627" s="92" t="e">
        <v>#N/A</v>
      </c>
      <c r="T627" s="92">
        <v>8544700000</v>
      </c>
      <c r="U627" s="155">
        <v>0</v>
      </c>
      <c r="V627" s="207">
        <v>30</v>
      </c>
      <c r="W627" s="92">
        <v>45</v>
      </c>
      <c r="X627" s="92">
        <v>55</v>
      </c>
      <c r="Y627" s="92" t="s">
        <v>691</v>
      </c>
      <c r="Z627" s="133">
        <f t="shared" si="959"/>
        <v>3221.8656716417909</v>
      </c>
      <c r="AA627" s="133"/>
      <c r="AB627" s="124">
        <f t="shared" si="966"/>
        <v>2941.3043478260875</v>
      </c>
      <c r="AC627" s="124"/>
      <c r="AD627" s="213">
        <f t="shared" si="967"/>
        <v>7.0000000000000007E-2</v>
      </c>
      <c r="AE627" s="213">
        <v>7.0000000000000007E-2</v>
      </c>
      <c r="AF627" s="215">
        <v>0.31</v>
      </c>
      <c r="AG627" s="215" t="s">
        <v>9</v>
      </c>
      <c r="AH627" s="148">
        <f t="shared" si="965"/>
        <v>2941.3043478260875</v>
      </c>
      <c r="AI627" s="122">
        <f t="shared" si="951"/>
        <v>0.31000000000000005</v>
      </c>
      <c r="AJ627" s="444"/>
      <c r="AK627" s="150">
        <f t="shared" si="960"/>
        <v>2321.1290322580644</v>
      </c>
      <c r="AL627" s="148">
        <f t="shared" si="962"/>
        <v>2182.2580645161293</v>
      </c>
      <c r="AM627" s="125">
        <f t="shared" si="968"/>
        <v>0.27956989247311825</v>
      </c>
      <c r="AN627" s="125">
        <f t="shared" si="969"/>
        <v>0.25806451612903236</v>
      </c>
      <c r="AO627" s="136">
        <f t="shared" si="954"/>
        <v>0.35</v>
      </c>
      <c r="AP627" s="17" t="s">
        <v>1291</v>
      </c>
      <c r="AQ627" s="141"/>
      <c r="AR627" s="141"/>
      <c r="AS627" s="141"/>
      <c r="AT627" s="141"/>
      <c r="AU627" s="141"/>
      <c r="AV627" s="141"/>
      <c r="AW627" s="225">
        <v>1845</v>
      </c>
      <c r="AX627" s="126">
        <f t="shared" si="961"/>
        <v>2029.5000000000002</v>
      </c>
      <c r="AY627" s="198"/>
      <c r="AZ627" s="128"/>
      <c r="BB627" s="199">
        <f t="shared" si="955"/>
        <v>9804.3478260869579</v>
      </c>
      <c r="BC627" s="199">
        <f t="shared" si="956"/>
        <v>5882.6086956521749</v>
      </c>
      <c r="BD627" s="199">
        <f t="shared" si="957"/>
        <v>4902.1739130434789</v>
      </c>
      <c r="BE627" s="199">
        <f t="shared" si="958"/>
        <v>3921.7391304347834</v>
      </c>
    </row>
    <row r="628" spans="1:57" s="129" customFormat="1" hidden="1">
      <c r="A628" s="88" t="s">
        <v>1276</v>
      </c>
      <c r="B628" s="88" t="s">
        <v>1318</v>
      </c>
      <c r="C628" s="88" t="s">
        <v>1318</v>
      </c>
      <c r="D628" s="88" t="s">
        <v>656</v>
      </c>
      <c r="E628" s="88" t="s">
        <v>684</v>
      </c>
      <c r="F628" s="89" t="s">
        <v>1670</v>
      </c>
      <c r="G628" s="92" t="s">
        <v>1679</v>
      </c>
      <c r="H628" s="320" t="s">
        <v>3400</v>
      </c>
      <c r="I628" s="167" t="s">
        <v>2344</v>
      </c>
      <c r="J628" s="167" t="str">
        <f>_xlfn.XLOOKUP(I628,[1]Sheet1!$A:$A,[1]Sheet1!$B:$B,"")</f>
        <v/>
      </c>
      <c r="K628" s="88" t="s">
        <v>2306</v>
      </c>
      <c r="L628" s="88" t="s">
        <v>2338</v>
      </c>
      <c r="M628" s="92" t="s">
        <v>1584</v>
      </c>
      <c r="N628" s="89" t="s">
        <v>1223</v>
      </c>
      <c r="O628" s="165"/>
      <c r="P628" s="89" t="s">
        <v>715</v>
      </c>
      <c r="Q628" s="92" t="s">
        <v>690</v>
      </c>
      <c r="R628" s="92">
        <v>2</v>
      </c>
      <c r="S628" s="92" t="e">
        <v>#N/A</v>
      </c>
      <c r="T628" s="92">
        <v>8544700000</v>
      </c>
      <c r="U628" s="155">
        <v>0</v>
      </c>
      <c r="V628" s="207">
        <v>30</v>
      </c>
      <c r="W628" s="92">
        <v>45</v>
      </c>
      <c r="X628" s="92">
        <v>55</v>
      </c>
      <c r="Y628" s="92" t="s">
        <v>691</v>
      </c>
      <c r="Z628" s="133">
        <f t="shared" si="959"/>
        <v>1840.5671641791046</v>
      </c>
      <c r="AA628" s="133"/>
      <c r="AB628" s="124">
        <f t="shared" si="966"/>
        <v>1680.289855072464</v>
      </c>
      <c r="AC628" s="124"/>
      <c r="AD628" s="213">
        <f t="shared" si="967"/>
        <v>7.0000000000000007E-2</v>
      </c>
      <c r="AE628" s="213">
        <v>7.0000000000000007E-2</v>
      </c>
      <c r="AF628" s="215">
        <v>0.31</v>
      </c>
      <c r="AG628" s="215" t="s">
        <v>9</v>
      </c>
      <c r="AH628" s="148">
        <f t="shared" si="965"/>
        <v>1680.289855072464</v>
      </c>
      <c r="AI628" s="122">
        <f t="shared" si="951"/>
        <v>0.31000000000000005</v>
      </c>
      <c r="AJ628" s="444"/>
      <c r="AK628" s="150">
        <f t="shared" si="960"/>
        <v>1326</v>
      </c>
      <c r="AL628" s="148">
        <f t="shared" si="962"/>
        <v>1246.6666666666667</v>
      </c>
      <c r="AM628" s="125">
        <f t="shared" si="968"/>
        <v>0.27956989247311836</v>
      </c>
      <c r="AN628" s="125">
        <f t="shared" si="969"/>
        <v>0.25806451612903225</v>
      </c>
      <c r="AO628" s="136">
        <f t="shared" si="954"/>
        <v>0.35</v>
      </c>
      <c r="AP628" s="17" t="s">
        <v>1291</v>
      </c>
      <c r="AQ628" s="141"/>
      <c r="AR628" s="141"/>
      <c r="AS628" s="141"/>
      <c r="AT628" s="141"/>
      <c r="AU628" s="141"/>
      <c r="AV628" s="141"/>
      <c r="AW628" s="225">
        <v>1054</v>
      </c>
      <c r="AX628" s="126">
        <f t="shared" si="961"/>
        <v>1159.4000000000001</v>
      </c>
      <c r="AY628" s="198"/>
      <c r="AZ628" s="128"/>
      <c r="BB628" s="199">
        <f t="shared" si="955"/>
        <v>5600.9661835748802</v>
      </c>
      <c r="BC628" s="199">
        <f t="shared" si="956"/>
        <v>3360.579710144928</v>
      </c>
      <c r="BD628" s="199">
        <f t="shared" si="957"/>
        <v>2800.4830917874401</v>
      </c>
      <c r="BE628" s="199">
        <f t="shared" si="958"/>
        <v>2240.3864734299523</v>
      </c>
    </row>
    <row r="629" spans="1:57" s="129" customFormat="1" hidden="1">
      <c r="A629" s="88" t="s">
        <v>1276</v>
      </c>
      <c r="B629" s="88" t="s">
        <v>1318</v>
      </c>
      <c r="C629" s="88" t="s">
        <v>1318</v>
      </c>
      <c r="D629" s="88" t="s">
        <v>656</v>
      </c>
      <c r="E629" s="88" t="s">
        <v>684</v>
      </c>
      <c r="F629" s="89" t="s">
        <v>1670</v>
      </c>
      <c r="G629" s="92" t="s">
        <v>1679</v>
      </c>
      <c r="H629" s="320" t="s">
        <v>3401</v>
      </c>
      <c r="I629" s="167" t="s">
        <v>2304</v>
      </c>
      <c r="J629" s="167" t="str">
        <f>_xlfn.XLOOKUP(I629,[1]Sheet1!$A:$A,[1]Sheet1!$B:$B,"")</f>
        <v/>
      </c>
      <c r="K629" s="88" t="s">
        <v>2307</v>
      </c>
      <c r="L629" s="88" t="s">
        <v>2339</v>
      </c>
      <c r="M629" s="92" t="s">
        <v>1584</v>
      </c>
      <c r="N629" s="89" t="s">
        <v>1223</v>
      </c>
      <c r="O629" s="165"/>
      <c r="P629" s="89" t="s">
        <v>715</v>
      </c>
      <c r="Q629" s="92" t="s">
        <v>690</v>
      </c>
      <c r="R629" s="92">
        <v>2</v>
      </c>
      <c r="S629" s="92" t="e">
        <v>#N/A</v>
      </c>
      <c r="T629" s="92">
        <v>8544700000</v>
      </c>
      <c r="U629" s="155">
        <v>0</v>
      </c>
      <c r="V629" s="207">
        <v>30</v>
      </c>
      <c r="W629" s="92">
        <v>45</v>
      </c>
      <c r="X629" s="92">
        <v>55</v>
      </c>
      <c r="Y629" s="92" t="s">
        <v>691</v>
      </c>
      <c r="Z629" s="133">
        <f t="shared" si="959"/>
        <v>2406.3582089552237</v>
      </c>
      <c r="AA629" s="133"/>
      <c r="AB629" s="124">
        <f t="shared" si="966"/>
        <v>2196.811594202899</v>
      </c>
      <c r="AC629" s="124"/>
      <c r="AD629" s="213">
        <f t="shared" si="967"/>
        <v>7.0000000000000007E-2</v>
      </c>
      <c r="AE629" s="213">
        <v>7.0000000000000007E-2</v>
      </c>
      <c r="AF629" s="215">
        <v>0.31</v>
      </c>
      <c r="AG629" s="215" t="s">
        <v>9</v>
      </c>
      <c r="AH629" s="148">
        <f t="shared" si="965"/>
        <v>2196.811594202899</v>
      </c>
      <c r="AI629" s="122">
        <f t="shared" si="951"/>
        <v>0.31000000000000005</v>
      </c>
      <c r="AJ629" s="444"/>
      <c r="AK629" s="150">
        <f t="shared" si="960"/>
        <v>1733.6129032258063</v>
      </c>
      <c r="AL629" s="148">
        <f t="shared" si="962"/>
        <v>1629.8924731182799</v>
      </c>
      <c r="AM629" s="125">
        <f t="shared" si="968"/>
        <v>0.27956989247311825</v>
      </c>
      <c r="AN629" s="125">
        <f t="shared" si="969"/>
        <v>0.25806451612903225</v>
      </c>
      <c r="AO629" s="136">
        <f t="shared" si="954"/>
        <v>0.35</v>
      </c>
      <c r="AP629" s="17" t="s">
        <v>1291</v>
      </c>
      <c r="AQ629" s="141"/>
      <c r="AR629" s="141"/>
      <c r="AS629" s="141"/>
      <c r="AT629" s="141"/>
      <c r="AU629" s="141"/>
      <c r="AV629" s="141"/>
      <c r="AW629" s="225">
        <v>1378</v>
      </c>
      <c r="AX629" s="126">
        <f t="shared" si="961"/>
        <v>1515.8000000000002</v>
      </c>
      <c r="AY629" s="198"/>
      <c r="AZ629" s="128"/>
      <c r="BB629" s="199">
        <f t="shared" si="955"/>
        <v>7322.7053140096632</v>
      </c>
      <c r="BC629" s="199">
        <f t="shared" si="956"/>
        <v>4393.6231884057979</v>
      </c>
      <c r="BD629" s="199">
        <f t="shared" si="957"/>
        <v>3661.3526570048316</v>
      </c>
      <c r="BE629" s="199">
        <f t="shared" si="958"/>
        <v>2929.0821256038653</v>
      </c>
    </row>
    <row r="630" spans="1:57" s="129" customFormat="1" hidden="1">
      <c r="A630" s="88" t="s">
        <v>1276</v>
      </c>
      <c r="B630" s="88" t="s">
        <v>1318</v>
      </c>
      <c r="C630" s="88" t="s">
        <v>1318</v>
      </c>
      <c r="D630" s="88" t="s">
        <v>656</v>
      </c>
      <c r="E630" s="88" t="s">
        <v>684</v>
      </c>
      <c r="F630" s="89" t="s">
        <v>1670</v>
      </c>
      <c r="G630" s="92" t="s">
        <v>1679</v>
      </c>
      <c r="H630" s="320" t="s">
        <v>3402</v>
      </c>
      <c r="I630" s="167" t="s">
        <v>2305</v>
      </c>
      <c r="J630" s="167" t="str">
        <f>_xlfn.XLOOKUP(I630,[1]Sheet1!$A:$A,[1]Sheet1!$B:$B,"")</f>
        <v/>
      </c>
      <c r="K630" s="88" t="s">
        <v>2308</v>
      </c>
      <c r="L630" s="88" t="s">
        <v>2340</v>
      </c>
      <c r="M630" s="92" t="s">
        <v>1584</v>
      </c>
      <c r="N630" s="89" t="s">
        <v>1223</v>
      </c>
      <c r="O630" s="165"/>
      <c r="P630" s="89" t="s">
        <v>715</v>
      </c>
      <c r="Q630" s="92" t="s">
        <v>690</v>
      </c>
      <c r="R630" s="92">
        <v>2</v>
      </c>
      <c r="S630" s="92" t="e">
        <v>#N/A</v>
      </c>
      <c r="T630" s="92">
        <v>8544700000</v>
      </c>
      <c r="U630" s="155">
        <v>0</v>
      </c>
      <c r="V630" s="207">
        <v>30</v>
      </c>
      <c r="W630" s="92">
        <v>45</v>
      </c>
      <c r="X630" s="92">
        <v>55</v>
      </c>
      <c r="Y630" s="92" t="s">
        <v>691</v>
      </c>
      <c r="Z630" s="133">
        <f t="shared" si="959"/>
        <v>3523.9701492537315</v>
      </c>
      <c r="AA630" s="133"/>
      <c r="AB630" s="124">
        <f t="shared" si="966"/>
        <v>3217.1014492753629</v>
      </c>
      <c r="AC630" s="124"/>
      <c r="AD630" s="213">
        <f t="shared" si="967"/>
        <v>7.0000000000000007E-2</v>
      </c>
      <c r="AE630" s="213">
        <v>7.0000000000000007E-2</v>
      </c>
      <c r="AF630" s="215">
        <v>0.31</v>
      </c>
      <c r="AG630" s="215" t="s">
        <v>9</v>
      </c>
      <c r="AH630" s="148">
        <f t="shared" si="965"/>
        <v>3217.1014492753629</v>
      </c>
      <c r="AI630" s="122">
        <f t="shared" si="951"/>
        <v>0.31000000000000005</v>
      </c>
      <c r="AJ630" s="444"/>
      <c r="AK630" s="150">
        <f t="shared" si="960"/>
        <v>2538.7741935483868</v>
      </c>
      <c r="AL630" s="148">
        <f t="shared" si="962"/>
        <v>2386.8817204301081</v>
      </c>
      <c r="AM630" s="125">
        <f t="shared" si="968"/>
        <v>0.27956989247311836</v>
      </c>
      <c r="AN630" s="125">
        <f t="shared" si="969"/>
        <v>0.25806451612903225</v>
      </c>
      <c r="AO630" s="136">
        <f t="shared" si="954"/>
        <v>0.35</v>
      </c>
      <c r="AP630" s="17" t="s">
        <v>1291</v>
      </c>
      <c r="AQ630" s="141"/>
      <c r="AR630" s="141"/>
      <c r="AS630" s="141"/>
      <c r="AT630" s="141"/>
      <c r="AU630" s="141"/>
      <c r="AV630" s="141"/>
      <c r="AW630" s="225">
        <v>2018</v>
      </c>
      <c r="AX630" s="126">
        <f t="shared" si="961"/>
        <v>2219.8000000000002</v>
      </c>
      <c r="AY630" s="198"/>
      <c r="AZ630" s="128"/>
      <c r="BB630" s="199">
        <f t="shared" si="955"/>
        <v>10723.671497584544</v>
      </c>
      <c r="BC630" s="199">
        <f t="shared" si="956"/>
        <v>6434.2028985507268</v>
      </c>
      <c r="BD630" s="199">
        <f t="shared" si="957"/>
        <v>5361.8357487922722</v>
      </c>
      <c r="BE630" s="199">
        <f t="shared" si="958"/>
        <v>4289.4685990338176</v>
      </c>
    </row>
    <row r="631" spans="1:57" s="129" customFormat="1" hidden="1">
      <c r="A631" s="88" t="s">
        <v>1276</v>
      </c>
      <c r="B631" s="88" t="s">
        <v>1317</v>
      </c>
      <c r="C631" s="88" t="s">
        <v>1317</v>
      </c>
      <c r="D631" s="88" t="s">
        <v>656</v>
      </c>
      <c r="E631" s="88" t="s">
        <v>684</v>
      </c>
      <c r="F631" s="89" t="s">
        <v>686</v>
      </c>
      <c r="G631" s="92" t="s">
        <v>765</v>
      </c>
      <c r="H631" s="320" t="s">
        <v>3398</v>
      </c>
      <c r="I631" s="167" t="s">
        <v>766</v>
      </c>
      <c r="J631" s="167" t="str">
        <f>_xlfn.XLOOKUP(I631,[1]Sheet1!$A:$A,[1]Sheet1!$B:$B,"")</f>
        <v>U0803011</v>
      </c>
      <c r="K631" s="88" t="s">
        <v>2310</v>
      </c>
      <c r="L631" s="88" t="s">
        <v>2309</v>
      </c>
      <c r="M631" s="92" t="s">
        <v>69</v>
      </c>
      <c r="N631" s="89" t="s">
        <v>158</v>
      </c>
      <c r="O631" s="165"/>
      <c r="P631" s="89" t="s">
        <v>715</v>
      </c>
      <c r="Q631" s="92" t="s">
        <v>690</v>
      </c>
      <c r="R631" s="92">
        <v>2</v>
      </c>
      <c r="S631" s="92" t="e">
        <v>#N/A</v>
      </c>
      <c r="T631" s="92">
        <v>8544700000</v>
      </c>
      <c r="U631" s="155">
        <v>0</v>
      </c>
      <c r="V631" s="207">
        <v>30</v>
      </c>
      <c r="W631" s="92">
        <v>45</v>
      </c>
      <c r="X631" s="92">
        <v>55</v>
      </c>
      <c r="Y631" s="92" t="s">
        <v>691</v>
      </c>
      <c r="Z631" s="133">
        <f t="shared" si="959"/>
        <v>765</v>
      </c>
      <c r="AA631" s="133"/>
      <c r="AB631" s="124">
        <f t="shared" si="966"/>
        <v>697.76119402985091</v>
      </c>
      <c r="AC631" s="124"/>
      <c r="AD631" s="213">
        <f t="shared" si="967"/>
        <v>7.0000000000000007E-2</v>
      </c>
      <c r="AE631" s="213">
        <v>7.0000000000000007E-2</v>
      </c>
      <c r="AF631" s="215">
        <v>0.33</v>
      </c>
      <c r="AG631" s="215" t="s">
        <v>9</v>
      </c>
      <c r="AH631" s="148">
        <f t="shared" si="965"/>
        <v>697.76119402985091</v>
      </c>
      <c r="AI631" s="122">
        <f t="shared" si="951"/>
        <v>0.33000000000000007</v>
      </c>
      <c r="AJ631" s="444"/>
      <c r="AK631" s="150">
        <f t="shared" si="960"/>
        <v>534.67741935483866</v>
      </c>
      <c r="AL631" s="148">
        <f t="shared" si="962"/>
        <v>502.68817204301087</v>
      </c>
      <c r="AM631" s="125">
        <f t="shared" si="968"/>
        <v>0.30107526881720437</v>
      </c>
      <c r="AN631" s="125">
        <f t="shared" si="969"/>
        <v>0.27956989247311825</v>
      </c>
      <c r="AO631" s="136">
        <f t="shared" si="954"/>
        <v>0.37</v>
      </c>
      <c r="AP631" s="17" t="s">
        <v>1291</v>
      </c>
      <c r="AQ631" s="141"/>
      <c r="AR631" s="141"/>
      <c r="AS631" s="141"/>
      <c r="AT631" s="141"/>
      <c r="AU631" s="141"/>
      <c r="AV631" s="141"/>
      <c r="AW631" s="225">
        <v>425</v>
      </c>
      <c r="AX631" s="126">
        <f t="shared" si="961"/>
        <v>467.50000000000006</v>
      </c>
      <c r="AY631" s="198"/>
      <c r="AZ631" s="128"/>
      <c r="BB631" s="134">
        <f t="shared" si="955"/>
        <v>2325.87064676617</v>
      </c>
      <c r="BC631" s="134">
        <f t="shared" si="956"/>
        <v>1395.5223880597021</v>
      </c>
      <c r="BD631" s="134">
        <f t="shared" si="957"/>
        <v>1162.935323383085</v>
      </c>
      <c r="BE631" s="134">
        <f t="shared" si="958"/>
        <v>930.34825870646807</v>
      </c>
    </row>
    <row r="632" spans="1:57" s="129" customFormat="1" hidden="1">
      <c r="A632" s="88" t="s">
        <v>1276</v>
      </c>
      <c r="B632" s="88" t="s">
        <v>1317</v>
      </c>
      <c r="C632" s="88" t="s">
        <v>1317</v>
      </c>
      <c r="D632" s="88" t="s">
        <v>656</v>
      </c>
      <c r="E632" s="88" t="s">
        <v>684</v>
      </c>
      <c r="F632" s="89" t="s">
        <v>686</v>
      </c>
      <c r="G632" s="92" t="s">
        <v>765</v>
      </c>
      <c r="H632" s="320" t="s">
        <v>3399</v>
      </c>
      <c r="I632" s="167" t="s">
        <v>2415</v>
      </c>
      <c r="J632" s="167" t="str">
        <f>_xlfn.XLOOKUP(I632,[1]Sheet1!$A:$A,[1]Sheet1!$B:$B,"")</f>
        <v>U0803016</v>
      </c>
      <c r="K632" s="88" t="s">
        <v>770</v>
      </c>
      <c r="L632" s="88" t="s">
        <v>771</v>
      </c>
      <c r="M632" s="92" t="s">
        <v>69</v>
      </c>
      <c r="N632" s="89" t="s">
        <v>158</v>
      </c>
      <c r="O632" s="165"/>
      <c r="P632" s="89" t="s">
        <v>715</v>
      </c>
      <c r="Q632" s="92" t="s">
        <v>690</v>
      </c>
      <c r="R632" s="92">
        <v>2</v>
      </c>
      <c r="S632" s="92" t="e">
        <v>#N/A</v>
      </c>
      <c r="T632" s="92">
        <v>8544700000</v>
      </c>
      <c r="U632" s="155">
        <v>0</v>
      </c>
      <c r="V632" s="207">
        <v>30</v>
      </c>
      <c r="W632" s="92">
        <v>45</v>
      </c>
      <c r="X632" s="92">
        <v>55</v>
      </c>
      <c r="Y632" s="92" t="s">
        <v>691</v>
      </c>
      <c r="Z632" s="133">
        <f t="shared" si="959"/>
        <v>1072.8</v>
      </c>
      <c r="AA632" s="133"/>
      <c r="AB632" s="124">
        <f t="shared" si="966"/>
        <v>978.50746268656735</v>
      </c>
      <c r="AC632" s="124"/>
      <c r="AD632" s="213">
        <f t="shared" si="967"/>
        <v>7.0000000000000007E-2</v>
      </c>
      <c r="AE632" s="213">
        <v>7.0000000000000007E-2</v>
      </c>
      <c r="AF632" s="215">
        <v>0.33</v>
      </c>
      <c r="AG632" s="215" t="s">
        <v>9</v>
      </c>
      <c r="AH632" s="148">
        <f t="shared" si="965"/>
        <v>978.50746268656735</v>
      </c>
      <c r="AI632" s="122">
        <f t="shared" si="951"/>
        <v>0.33000000000000007</v>
      </c>
      <c r="AJ632" s="444"/>
      <c r="AK632" s="150">
        <f t="shared" si="960"/>
        <v>749.80645161290317</v>
      </c>
      <c r="AL632" s="148">
        <f t="shared" si="962"/>
        <v>704.94623655913983</v>
      </c>
      <c r="AM632" s="125">
        <f t="shared" si="968"/>
        <v>0.30107526881720437</v>
      </c>
      <c r="AN632" s="125">
        <f t="shared" si="969"/>
        <v>0.27956989247311836</v>
      </c>
      <c r="AO632" s="136">
        <f t="shared" si="954"/>
        <v>0.37</v>
      </c>
      <c r="AP632" s="17" t="s">
        <v>1291</v>
      </c>
      <c r="AQ632" s="141"/>
      <c r="AR632" s="141"/>
      <c r="AS632" s="141"/>
      <c r="AT632" s="141"/>
      <c r="AU632" s="141"/>
      <c r="AV632" s="141"/>
      <c r="AW632" s="225">
        <v>596</v>
      </c>
      <c r="AX632" s="126">
        <f t="shared" si="961"/>
        <v>655.6</v>
      </c>
      <c r="AY632" s="198"/>
      <c r="AZ632" s="128"/>
      <c r="BB632" s="134">
        <f t="shared" si="955"/>
        <v>3261.6915422885581</v>
      </c>
      <c r="BC632" s="134">
        <f t="shared" si="956"/>
        <v>1957.0149253731347</v>
      </c>
      <c r="BD632" s="134">
        <f t="shared" si="957"/>
        <v>1630.8457711442791</v>
      </c>
      <c r="BE632" s="134">
        <f t="shared" si="958"/>
        <v>1304.6766169154234</v>
      </c>
    </row>
    <row r="633" spans="1:57" s="129" customFormat="1" hidden="1">
      <c r="A633" s="88" t="s">
        <v>1276</v>
      </c>
      <c r="B633" s="88" t="s">
        <v>1317</v>
      </c>
      <c r="C633" s="88" t="s">
        <v>1317</v>
      </c>
      <c r="D633" s="88" t="s">
        <v>656</v>
      </c>
      <c r="E633" s="88" t="s">
        <v>684</v>
      </c>
      <c r="F633" s="89" t="s">
        <v>686</v>
      </c>
      <c r="G633" s="92" t="s">
        <v>765</v>
      </c>
      <c r="H633" s="320" t="s">
        <v>3400</v>
      </c>
      <c r="I633" s="167" t="s">
        <v>2416</v>
      </c>
      <c r="J633" s="167" t="str">
        <f>_xlfn.XLOOKUP(I633,[1]Sheet1!$A:$A,[1]Sheet1!$B:$B,"")</f>
        <v>U0803002</v>
      </c>
      <c r="K633" s="88" t="s">
        <v>773</v>
      </c>
      <c r="L633" s="88" t="s">
        <v>774</v>
      </c>
      <c r="M633" s="92" t="s">
        <v>69</v>
      </c>
      <c r="N633" s="89" t="s">
        <v>158</v>
      </c>
      <c r="O633" s="165"/>
      <c r="P633" s="89" t="s">
        <v>715</v>
      </c>
      <c r="Q633" s="92" t="s">
        <v>690</v>
      </c>
      <c r="R633" s="92">
        <v>2</v>
      </c>
      <c r="S633" s="92" t="e">
        <v>#N/A</v>
      </c>
      <c r="T633" s="92">
        <v>8544700000</v>
      </c>
      <c r="U633" s="155">
        <v>0</v>
      </c>
      <c r="V633" s="207">
        <v>30</v>
      </c>
      <c r="W633" s="92">
        <v>45</v>
      </c>
      <c r="X633" s="92">
        <v>55</v>
      </c>
      <c r="Y633" s="92" t="s">
        <v>691</v>
      </c>
      <c r="Z633" s="133">
        <f t="shared" si="959"/>
        <v>1470.6000000000001</v>
      </c>
      <c r="AA633" s="133"/>
      <c r="AB633" s="124">
        <f t="shared" si="966"/>
        <v>1341.3432835820897</v>
      </c>
      <c r="AC633" s="124"/>
      <c r="AD633" s="213">
        <f t="shared" si="967"/>
        <v>7.0000000000000007E-2</v>
      </c>
      <c r="AE633" s="213">
        <v>7.0000000000000007E-2</v>
      </c>
      <c r="AF633" s="215">
        <v>0.33</v>
      </c>
      <c r="AG633" s="215" t="s">
        <v>9</v>
      </c>
      <c r="AH633" s="148">
        <f t="shared" si="965"/>
        <v>1341.3432835820897</v>
      </c>
      <c r="AI633" s="122">
        <f t="shared" si="951"/>
        <v>0.33000000000000007</v>
      </c>
      <c r="AJ633" s="444"/>
      <c r="AK633" s="150">
        <f t="shared" si="960"/>
        <v>1027.8387096774193</v>
      </c>
      <c r="AL633" s="148">
        <f t="shared" si="962"/>
        <v>966.34408602150552</v>
      </c>
      <c r="AM633" s="125">
        <f t="shared" si="968"/>
        <v>0.30107526881720437</v>
      </c>
      <c r="AN633" s="125">
        <f t="shared" si="969"/>
        <v>0.27956989247311825</v>
      </c>
      <c r="AO633" s="136">
        <f t="shared" si="954"/>
        <v>0.37</v>
      </c>
      <c r="AP633" s="17" t="s">
        <v>1291</v>
      </c>
      <c r="AQ633" s="141"/>
      <c r="AR633" s="141"/>
      <c r="AS633" s="141"/>
      <c r="AT633" s="141"/>
      <c r="AU633" s="141"/>
      <c r="AV633" s="141"/>
      <c r="AW633" s="225">
        <v>817</v>
      </c>
      <c r="AX633" s="126">
        <f t="shared" si="961"/>
        <v>898.7</v>
      </c>
      <c r="AY633" s="198"/>
      <c r="AZ633" s="128"/>
      <c r="BB633" s="134">
        <f t="shared" si="955"/>
        <v>4471.1442786069656</v>
      </c>
      <c r="BC633" s="134">
        <f t="shared" si="956"/>
        <v>2682.6865671641795</v>
      </c>
      <c r="BD633" s="134">
        <f t="shared" si="957"/>
        <v>2235.5721393034828</v>
      </c>
      <c r="BE633" s="134">
        <f t="shared" si="958"/>
        <v>1788.4577114427864</v>
      </c>
    </row>
    <row r="634" spans="1:57" s="129" customFormat="1" hidden="1">
      <c r="A634" s="88" t="s">
        <v>1276</v>
      </c>
      <c r="B634" s="88" t="s">
        <v>1317</v>
      </c>
      <c r="C634" s="88" t="s">
        <v>1317</v>
      </c>
      <c r="D634" s="88" t="s">
        <v>656</v>
      </c>
      <c r="E634" s="88" t="s">
        <v>684</v>
      </c>
      <c r="F634" s="89" t="s">
        <v>686</v>
      </c>
      <c r="G634" s="92" t="s">
        <v>765</v>
      </c>
      <c r="H634" s="320" t="s">
        <v>3401</v>
      </c>
      <c r="I634" s="167" t="s">
        <v>2417</v>
      </c>
      <c r="J634" s="167" t="str">
        <f>_xlfn.XLOOKUP(I634,[1]Sheet1!$A:$A,[1]Sheet1!$B:$B,"")</f>
        <v>U0803006</v>
      </c>
      <c r="K634" s="88" t="s">
        <v>2313</v>
      </c>
      <c r="L634" s="88" t="s">
        <v>777</v>
      </c>
      <c r="M634" s="92" t="s">
        <v>69</v>
      </c>
      <c r="N634" s="89" t="s">
        <v>158</v>
      </c>
      <c r="O634" s="165"/>
      <c r="P634" s="89" t="s">
        <v>715</v>
      </c>
      <c r="Q634" s="92" t="s">
        <v>690</v>
      </c>
      <c r="R634" s="92">
        <v>2</v>
      </c>
      <c r="S634" s="92" t="e">
        <v>#N/A</v>
      </c>
      <c r="T634" s="92">
        <v>8544700000</v>
      </c>
      <c r="U634" s="155">
        <v>0</v>
      </c>
      <c r="V634" s="207">
        <v>30</v>
      </c>
      <c r="W634" s="92">
        <v>45</v>
      </c>
      <c r="X634" s="92">
        <v>55</v>
      </c>
      <c r="Y634" s="92" t="s">
        <v>691</v>
      </c>
      <c r="Z634" s="133">
        <f t="shared" si="959"/>
        <v>2741.4</v>
      </c>
      <c r="AA634" s="133"/>
      <c r="AB634" s="124">
        <f t="shared" si="966"/>
        <v>2500.4477611940306</v>
      </c>
      <c r="AC634" s="124"/>
      <c r="AD634" s="213">
        <f t="shared" si="967"/>
        <v>7.0000000000000007E-2</v>
      </c>
      <c r="AE634" s="213">
        <v>7.0000000000000007E-2</v>
      </c>
      <c r="AF634" s="215">
        <v>0.33</v>
      </c>
      <c r="AG634" s="215" t="s">
        <v>9</v>
      </c>
      <c r="AH634" s="148">
        <f t="shared" si="965"/>
        <v>2500.4477611940306</v>
      </c>
      <c r="AI634" s="122">
        <f t="shared" si="951"/>
        <v>0.33000000000000007</v>
      </c>
      <c r="AJ634" s="444"/>
      <c r="AK634" s="150">
        <f t="shared" si="960"/>
        <v>1916.0322580645161</v>
      </c>
      <c r="AL634" s="148">
        <f t="shared" si="962"/>
        <v>1801.3978494623659</v>
      </c>
      <c r="AM634" s="125">
        <f t="shared" si="968"/>
        <v>0.30107526881720437</v>
      </c>
      <c r="AN634" s="125">
        <f t="shared" si="969"/>
        <v>0.27956989247311836</v>
      </c>
      <c r="AO634" s="136">
        <f t="shared" si="954"/>
        <v>0.37</v>
      </c>
      <c r="AP634" s="17" t="s">
        <v>1291</v>
      </c>
      <c r="AQ634" s="141"/>
      <c r="AR634" s="141"/>
      <c r="AS634" s="141"/>
      <c r="AT634" s="141"/>
      <c r="AU634" s="141"/>
      <c r="AV634" s="141"/>
      <c r="AW634" s="225">
        <v>1523</v>
      </c>
      <c r="AX634" s="126">
        <f t="shared" si="961"/>
        <v>1675.3000000000002</v>
      </c>
      <c r="AY634" s="198"/>
      <c r="AZ634" s="128"/>
      <c r="BB634" s="134">
        <f t="shared" si="955"/>
        <v>8334.8258706467695</v>
      </c>
      <c r="BC634" s="134">
        <f t="shared" si="956"/>
        <v>5000.8955223880612</v>
      </c>
      <c r="BD634" s="134">
        <f t="shared" si="957"/>
        <v>4167.4129353233848</v>
      </c>
      <c r="BE634" s="134">
        <f t="shared" si="958"/>
        <v>3333.9303482587079</v>
      </c>
    </row>
    <row r="635" spans="1:57" s="129" customFormat="1" hidden="1">
      <c r="A635" s="88" t="s">
        <v>1276</v>
      </c>
      <c r="B635" s="88" t="s">
        <v>1318</v>
      </c>
      <c r="C635" s="88" t="s">
        <v>1318</v>
      </c>
      <c r="D635" s="88" t="s">
        <v>656</v>
      </c>
      <c r="E635" s="88" t="s">
        <v>684</v>
      </c>
      <c r="F635" s="89" t="s">
        <v>730</v>
      </c>
      <c r="G635" s="92" t="s">
        <v>765</v>
      </c>
      <c r="H635" s="320" t="s">
        <v>3400</v>
      </c>
      <c r="I635" s="167" t="s">
        <v>2311</v>
      </c>
      <c r="J635" s="167" t="str">
        <f>_xlfn.XLOOKUP(I635,[1]Sheet1!$A:$A,[1]Sheet1!$B:$B,"")</f>
        <v/>
      </c>
      <c r="K635" s="88" t="s">
        <v>2314</v>
      </c>
      <c r="L635" s="88" t="s">
        <v>2318</v>
      </c>
      <c r="M635" s="92" t="s">
        <v>1584</v>
      </c>
      <c r="N635" s="89" t="s">
        <v>158</v>
      </c>
      <c r="O635" s="165"/>
      <c r="P635" s="89" t="s">
        <v>715</v>
      </c>
      <c r="Q635" s="92" t="s">
        <v>690</v>
      </c>
      <c r="R635" s="92">
        <v>2</v>
      </c>
      <c r="S635" s="92" t="e">
        <v>#N/A</v>
      </c>
      <c r="T635" s="92">
        <v>8544700000</v>
      </c>
      <c r="U635" s="155">
        <v>0</v>
      </c>
      <c r="V635" s="207">
        <v>30</v>
      </c>
      <c r="W635" s="92">
        <v>45</v>
      </c>
      <c r="X635" s="92">
        <v>55</v>
      </c>
      <c r="Y635" s="92" t="s">
        <v>691</v>
      </c>
      <c r="Z635" s="133">
        <f t="shared" si="959"/>
        <v>1622.9032258064515</v>
      </c>
      <c r="AA635" s="133"/>
      <c r="AB635" s="124">
        <f t="shared" si="966"/>
        <v>1478.1250000000002</v>
      </c>
      <c r="AC635" s="124"/>
      <c r="AD635" s="213">
        <f t="shared" si="967"/>
        <v>7.0000000000000007E-2</v>
      </c>
      <c r="AE635" s="213">
        <v>7.0000000000000007E-2</v>
      </c>
      <c r="AF635" s="215">
        <v>0.36</v>
      </c>
      <c r="AG635" s="215" t="s">
        <v>9</v>
      </c>
      <c r="AH635" s="148">
        <f t="shared" si="965"/>
        <v>1478.1250000000002</v>
      </c>
      <c r="AI635" s="122">
        <f t="shared" si="951"/>
        <v>0.36</v>
      </c>
      <c r="AJ635" s="444"/>
      <c r="AK635" s="150">
        <f t="shared" si="960"/>
        <v>1081.9354838709678</v>
      </c>
      <c r="AL635" s="148">
        <f t="shared" si="962"/>
        <v>1017.204301075269</v>
      </c>
      <c r="AM635" s="125">
        <f t="shared" si="968"/>
        <v>0.33333333333333326</v>
      </c>
      <c r="AN635" s="125">
        <f t="shared" si="969"/>
        <v>0.31182795698924737</v>
      </c>
      <c r="AO635" s="136">
        <f t="shared" si="954"/>
        <v>0.39999999999999997</v>
      </c>
      <c r="AP635" s="17" t="s">
        <v>1291</v>
      </c>
      <c r="AQ635" s="141"/>
      <c r="AR635" s="141"/>
      <c r="AS635" s="141"/>
      <c r="AT635" s="141"/>
      <c r="AU635" s="141"/>
      <c r="AV635" s="141"/>
      <c r="AW635" s="225">
        <v>860</v>
      </c>
      <c r="AX635" s="126">
        <f t="shared" si="961"/>
        <v>946.00000000000011</v>
      </c>
      <c r="BB635" s="134">
        <f t="shared" si="955"/>
        <v>4927.0833333333339</v>
      </c>
      <c r="BC635" s="134">
        <f t="shared" si="956"/>
        <v>2956.2500000000005</v>
      </c>
      <c r="BD635" s="134">
        <f t="shared" si="957"/>
        <v>2463.541666666667</v>
      </c>
      <c r="BE635" s="134">
        <f t="shared" si="958"/>
        <v>1970.8333333333337</v>
      </c>
    </row>
    <row r="636" spans="1:57" s="129" customFormat="1" hidden="1">
      <c r="A636" s="88" t="s">
        <v>1276</v>
      </c>
      <c r="B636" s="88" t="s">
        <v>1318</v>
      </c>
      <c r="C636" s="88" t="s">
        <v>1318</v>
      </c>
      <c r="D636" s="88" t="s">
        <v>656</v>
      </c>
      <c r="E636" s="88" t="s">
        <v>684</v>
      </c>
      <c r="F636" s="89" t="s">
        <v>730</v>
      </c>
      <c r="G636" s="92" t="s">
        <v>765</v>
      </c>
      <c r="H636" s="320" t="s">
        <v>3401</v>
      </c>
      <c r="I636" s="167" t="s">
        <v>2312</v>
      </c>
      <c r="J636" s="167" t="str">
        <f>_xlfn.XLOOKUP(I636,[1]Sheet1!$A:$A,[1]Sheet1!$B:$B,"")</f>
        <v/>
      </c>
      <c r="K636" s="88" t="s">
        <v>2315</v>
      </c>
      <c r="L636" s="88" t="s">
        <v>2319</v>
      </c>
      <c r="M636" s="92" t="s">
        <v>1584</v>
      </c>
      <c r="N636" s="89" t="s">
        <v>158</v>
      </c>
      <c r="O636" s="165"/>
      <c r="P636" s="89" t="s">
        <v>715</v>
      </c>
      <c r="Q636" s="92" t="s">
        <v>690</v>
      </c>
      <c r="R636" s="92">
        <v>2</v>
      </c>
      <c r="S636" s="92" t="e">
        <v>#N/A</v>
      </c>
      <c r="T636" s="92">
        <v>8544700000</v>
      </c>
      <c r="U636" s="155">
        <v>0</v>
      </c>
      <c r="V636" s="207">
        <v>30</v>
      </c>
      <c r="W636" s="92">
        <v>45</v>
      </c>
      <c r="X636" s="92">
        <v>55</v>
      </c>
      <c r="Y636" s="92" t="s">
        <v>691</v>
      </c>
      <c r="Z636" s="133">
        <f t="shared" si="959"/>
        <v>2972.1774193548385</v>
      </c>
      <c r="AA636" s="133"/>
      <c r="AB636" s="124">
        <f t="shared" si="966"/>
        <v>2707.0312500000005</v>
      </c>
      <c r="AC636" s="124"/>
      <c r="AD636" s="213">
        <f t="shared" si="967"/>
        <v>7.0000000000000007E-2</v>
      </c>
      <c r="AE636" s="213">
        <v>7.0000000000000007E-2</v>
      </c>
      <c r="AF636" s="215">
        <v>0.36</v>
      </c>
      <c r="AG636" s="215" t="s">
        <v>9</v>
      </c>
      <c r="AH636" s="148">
        <f t="shared" si="965"/>
        <v>2707.0312500000005</v>
      </c>
      <c r="AI636" s="122">
        <f t="shared" si="951"/>
        <v>0.36</v>
      </c>
      <c r="AJ636" s="444"/>
      <c r="AK636" s="150">
        <f t="shared" si="960"/>
        <v>1981.4516129032259</v>
      </c>
      <c r="AL636" s="148">
        <f t="shared" si="962"/>
        <v>1862.9032258064519</v>
      </c>
      <c r="AM636" s="125">
        <f t="shared" si="968"/>
        <v>0.33333333333333326</v>
      </c>
      <c r="AN636" s="125">
        <f t="shared" si="969"/>
        <v>0.31182795698924726</v>
      </c>
      <c r="AO636" s="136">
        <f t="shared" si="954"/>
        <v>0.39999999999999997</v>
      </c>
      <c r="AP636" s="17" t="s">
        <v>1291</v>
      </c>
      <c r="AQ636" s="141"/>
      <c r="AR636" s="141"/>
      <c r="AS636" s="141"/>
      <c r="AT636" s="141"/>
      <c r="AU636" s="141"/>
      <c r="AV636" s="141"/>
      <c r="AW636" s="225">
        <v>1575</v>
      </c>
      <c r="AX636" s="126">
        <f t="shared" si="961"/>
        <v>1732.5000000000002</v>
      </c>
      <c r="AY636" s="198"/>
      <c r="AZ636" s="128"/>
      <c r="BB636" s="134">
        <f t="shared" si="955"/>
        <v>9023.4375000000018</v>
      </c>
      <c r="BC636" s="134">
        <f t="shared" si="956"/>
        <v>5414.0625000000009</v>
      </c>
      <c r="BD636" s="134">
        <f t="shared" si="957"/>
        <v>4511.7187500000009</v>
      </c>
      <c r="BE636" s="134">
        <f t="shared" si="958"/>
        <v>3609.3750000000009</v>
      </c>
    </row>
    <row r="637" spans="1:57" s="129" customFormat="1" hidden="1">
      <c r="A637" s="88" t="s">
        <v>1276</v>
      </c>
      <c r="B637" s="88" t="s">
        <v>1317</v>
      </c>
      <c r="C637" s="88" t="s">
        <v>1317</v>
      </c>
      <c r="D637" s="88" t="s">
        <v>656</v>
      </c>
      <c r="E637" s="88" t="s">
        <v>684</v>
      </c>
      <c r="F637" s="89" t="s">
        <v>743</v>
      </c>
      <c r="G637" s="92" t="s">
        <v>765</v>
      </c>
      <c r="H637" s="320" t="s">
        <v>3400</v>
      </c>
      <c r="I637" s="167" t="s">
        <v>3313</v>
      </c>
      <c r="J637" s="167" t="str">
        <f>_xlfn.XLOOKUP(I637,[1]Sheet1!$A:$A,[1]Sheet1!$B:$B,"")</f>
        <v/>
      </c>
      <c r="K637" s="310" t="s">
        <v>3314</v>
      </c>
      <c r="L637" s="310" t="s">
        <v>3315</v>
      </c>
      <c r="M637" s="92" t="s">
        <v>69</v>
      </c>
      <c r="N637" s="89" t="s">
        <v>158</v>
      </c>
      <c r="O637" s="165"/>
      <c r="P637" s="89" t="s">
        <v>715</v>
      </c>
      <c r="Q637" s="92" t="s">
        <v>690</v>
      </c>
      <c r="R637" s="92">
        <v>2</v>
      </c>
      <c r="S637" s="311" t="e">
        <v>#N/A</v>
      </c>
      <c r="T637" s="311">
        <v>8544700000</v>
      </c>
      <c r="U637" s="312">
        <v>0</v>
      </c>
      <c r="V637" s="313">
        <v>30</v>
      </c>
      <c r="W637" s="311">
        <v>45</v>
      </c>
      <c r="X637" s="311">
        <v>55</v>
      </c>
      <c r="Y637" s="311" t="s">
        <v>691</v>
      </c>
      <c r="Z637" s="314">
        <f t="shared" si="959"/>
        <v>2423.0322580645161</v>
      </c>
      <c r="AA637" s="314"/>
      <c r="AB637" s="315">
        <f t="shared" si="966"/>
        <v>2206.875</v>
      </c>
      <c r="AC637" s="315"/>
      <c r="AD637" s="316">
        <f t="shared" si="967"/>
        <v>7.0000000000000007E-2</v>
      </c>
      <c r="AE637" s="316">
        <v>7.0000000000000007E-2</v>
      </c>
      <c r="AF637" s="316">
        <v>0.36</v>
      </c>
      <c r="AG637" s="316" t="s">
        <v>9</v>
      </c>
      <c r="AH637" s="317">
        <f t="shared" si="965"/>
        <v>2206.875</v>
      </c>
      <c r="AI637" s="316">
        <f t="shared" si="951"/>
        <v>0.36</v>
      </c>
      <c r="AJ637" s="444"/>
      <c r="AK637" s="318">
        <f t="shared" si="960"/>
        <v>1615.3548387096773</v>
      </c>
      <c r="AL637" s="317">
        <f t="shared" si="962"/>
        <v>1518.7096774193551</v>
      </c>
      <c r="AM637" s="319">
        <f t="shared" si="968"/>
        <v>0.33333333333333337</v>
      </c>
      <c r="AN637" s="319">
        <f t="shared" si="969"/>
        <v>0.31182795698924715</v>
      </c>
      <c r="AO637" s="136">
        <f t="shared" si="954"/>
        <v>0.39999999999999997</v>
      </c>
      <c r="AP637" s="17" t="s">
        <v>1291</v>
      </c>
      <c r="AQ637" s="141"/>
      <c r="AR637" s="141"/>
      <c r="AS637" s="141"/>
      <c r="AT637" s="141"/>
      <c r="AU637" s="141"/>
      <c r="AV637" s="141"/>
      <c r="AW637" s="225">
        <v>1284</v>
      </c>
      <c r="AX637" s="126">
        <f t="shared" si="961"/>
        <v>1412.4</v>
      </c>
      <c r="AY637" s="198"/>
      <c r="AZ637" s="128"/>
      <c r="BB637" s="134">
        <f t="shared" si="955"/>
        <v>7356.25</v>
      </c>
      <c r="BC637" s="134">
        <f t="shared" si="956"/>
        <v>4413.75</v>
      </c>
      <c r="BD637" s="134">
        <f t="shared" si="957"/>
        <v>3678.125</v>
      </c>
      <c r="BE637" s="134">
        <f t="shared" si="958"/>
        <v>2942.5</v>
      </c>
    </row>
    <row r="638" spans="1:57" s="129" customFormat="1" hidden="1">
      <c r="A638" s="88" t="s">
        <v>1276</v>
      </c>
      <c r="B638" s="88" t="s">
        <v>1317</v>
      </c>
      <c r="C638" s="88" t="s">
        <v>1317</v>
      </c>
      <c r="D638" s="88" t="s">
        <v>656</v>
      </c>
      <c r="E638" s="88" t="s">
        <v>684</v>
      </c>
      <c r="F638" s="89" t="s">
        <v>743</v>
      </c>
      <c r="G638" s="92" t="s">
        <v>765</v>
      </c>
      <c r="H638" s="320" t="s">
        <v>3401</v>
      </c>
      <c r="I638" s="167" t="s">
        <v>3316</v>
      </c>
      <c r="J638" s="167" t="str">
        <f>_xlfn.XLOOKUP(I638,[1]Sheet1!$A:$A,[1]Sheet1!$B:$B,"")</f>
        <v/>
      </c>
      <c r="K638" s="310" t="s">
        <v>3317</v>
      </c>
      <c r="L638" s="310" t="s">
        <v>3318</v>
      </c>
      <c r="M638" s="92" t="s">
        <v>69</v>
      </c>
      <c r="N638" s="89" t="s">
        <v>158</v>
      </c>
      <c r="O638" s="165"/>
      <c r="P638" s="89" t="s">
        <v>715</v>
      </c>
      <c r="Q638" s="92" t="s">
        <v>690</v>
      </c>
      <c r="R638" s="92">
        <v>2</v>
      </c>
      <c r="S638" s="311" t="e">
        <v>#N/A</v>
      </c>
      <c r="T638" s="311">
        <v>8544700000</v>
      </c>
      <c r="U638" s="312">
        <v>0</v>
      </c>
      <c r="V638" s="313">
        <v>30</v>
      </c>
      <c r="W638" s="311">
        <v>45</v>
      </c>
      <c r="X638" s="311">
        <v>55</v>
      </c>
      <c r="Y638" s="311" t="s">
        <v>691</v>
      </c>
      <c r="Z638" s="314">
        <f t="shared" si="959"/>
        <v>4047.822580645161</v>
      </c>
      <c r="AA638" s="314"/>
      <c r="AB638" s="315">
        <f t="shared" si="966"/>
        <v>3686.71875</v>
      </c>
      <c r="AC638" s="315"/>
      <c r="AD638" s="316">
        <f t="shared" si="967"/>
        <v>7.0000000000000007E-2</v>
      </c>
      <c r="AE638" s="316">
        <v>7.0000000000000007E-2</v>
      </c>
      <c r="AF638" s="316">
        <v>0.36</v>
      </c>
      <c r="AG638" s="316" t="s">
        <v>9</v>
      </c>
      <c r="AH638" s="317">
        <f t="shared" si="965"/>
        <v>3686.71875</v>
      </c>
      <c r="AI638" s="316">
        <f t="shared" si="951"/>
        <v>0.36</v>
      </c>
      <c r="AJ638" s="444"/>
      <c r="AK638" s="318">
        <f t="shared" si="960"/>
        <v>2698.5483870967741</v>
      </c>
      <c r="AL638" s="317">
        <f t="shared" si="962"/>
        <v>2537.0967741935488</v>
      </c>
      <c r="AM638" s="319">
        <f t="shared" si="968"/>
        <v>0.33333333333333326</v>
      </c>
      <c r="AN638" s="319">
        <f t="shared" si="969"/>
        <v>0.31182795698924726</v>
      </c>
      <c r="AO638" s="136">
        <f t="shared" si="954"/>
        <v>0.39999999999999997</v>
      </c>
      <c r="AP638" s="17" t="s">
        <v>1291</v>
      </c>
      <c r="AQ638" s="141"/>
      <c r="AR638" s="141"/>
      <c r="AS638" s="141"/>
      <c r="AT638" s="141"/>
      <c r="AU638" s="141"/>
      <c r="AV638" s="141"/>
      <c r="AW638" s="225">
        <v>2145</v>
      </c>
      <c r="AX638" s="126">
        <f t="shared" si="961"/>
        <v>2359.5</v>
      </c>
      <c r="AY638" s="198"/>
      <c r="AZ638" s="128"/>
      <c r="BB638" s="134">
        <f t="shared" si="955"/>
        <v>12289.0625</v>
      </c>
      <c r="BC638" s="134">
        <f t="shared" si="956"/>
        <v>7373.4375</v>
      </c>
      <c r="BD638" s="134">
        <f t="shared" si="957"/>
        <v>6144.53125</v>
      </c>
      <c r="BE638" s="134">
        <f t="shared" si="958"/>
        <v>4915.625</v>
      </c>
    </row>
    <row r="639" spans="1:57" s="129" customFormat="1" hidden="1">
      <c r="A639" s="88" t="s">
        <v>1276</v>
      </c>
      <c r="B639" s="88" t="s">
        <v>1317</v>
      </c>
      <c r="C639" s="88" t="s">
        <v>1317</v>
      </c>
      <c r="D639" s="88" t="s">
        <v>656</v>
      </c>
      <c r="E639" s="88" t="s">
        <v>684</v>
      </c>
      <c r="F639" s="89" t="s">
        <v>743</v>
      </c>
      <c r="G639" s="92" t="s">
        <v>765</v>
      </c>
      <c r="H639" s="320" t="s">
        <v>3402</v>
      </c>
      <c r="I639" s="167" t="s">
        <v>778</v>
      </c>
      <c r="J639" s="167" t="str">
        <f>_xlfn.XLOOKUP(I639,[1]Sheet1!$A:$A,[1]Sheet1!$B:$B,"")</f>
        <v>U0806002</v>
      </c>
      <c r="K639" s="88" t="s">
        <v>779</v>
      </c>
      <c r="L639" s="88" t="s">
        <v>780</v>
      </c>
      <c r="M639" s="92" t="s">
        <v>69</v>
      </c>
      <c r="N639" s="89" t="s">
        <v>158</v>
      </c>
      <c r="O639" s="165"/>
      <c r="P639" s="89" t="s">
        <v>715</v>
      </c>
      <c r="Q639" s="92" t="s">
        <v>690</v>
      </c>
      <c r="R639" s="92">
        <v>2</v>
      </c>
      <c r="S639" s="92" t="e">
        <v>#N/A</v>
      </c>
      <c r="T639" s="92">
        <v>8544700000</v>
      </c>
      <c r="U639" s="155">
        <v>0</v>
      </c>
      <c r="V639" s="207">
        <v>30</v>
      </c>
      <c r="W639" s="92">
        <v>45</v>
      </c>
      <c r="X639" s="92">
        <v>55</v>
      </c>
      <c r="Y639" s="92" t="s">
        <v>691</v>
      </c>
      <c r="Z639" s="133">
        <f t="shared" si="959"/>
        <v>5632.9838709677424</v>
      </c>
      <c r="AA639" s="133"/>
      <c r="AB639" s="124">
        <f t="shared" si="966"/>
        <v>5130.4687500000009</v>
      </c>
      <c r="AC639" s="124"/>
      <c r="AD639" s="213">
        <f t="shared" si="967"/>
        <v>7.0000000000000007E-2</v>
      </c>
      <c r="AE639" s="213">
        <v>7.0000000000000007E-2</v>
      </c>
      <c r="AF639" s="215">
        <v>0.36</v>
      </c>
      <c r="AG639" s="215" t="s">
        <v>9</v>
      </c>
      <c r="AH639" s="148">
        <f t="shared" si="965"/>
        <v>5130.4687500000009</v>
      </c>
      <c r="AI639" s="122">
        <f t="shared" si="951"/>
        <v>0.36</v>
      </c>
      <c r="AJ639" s="444"/>
      <c r="AK639" s="150">
        <f t="shared" si="960"/>
        <v>3755.3225806451615</v>
      </c>
      <c r="AL639" s="148">
        <f t="shared" si="962"/>
        <v>3530.6451612903234</v>
      </c>
      <c r="AM639" s="125">
        <f t="shared" si="968"/>
        <v>0.33333333333333337</v>
      </c>
      <c r="AN639" s="125">
        <f t="shared" si="969"/>
        <v>0.31182795698924726</v>
      </c>
      <c r="AO639" s="136">
        <f t="shared" si="954"/>
        <v>0.39999999999999997</v>
      </c>
      <c r="AP639" s="17" t="s">
        <v>1291</v>
      </c>
      <c r="AQ639" s="141"/>
      <c r="AR639" s="141"/>
      <c r="AS639" s="141"/>
      <c r="AT639" s="141"/>
      <c r="AU639" s="141"/>
      <c r="AV639" s="141"/>
      <c r="AW639" s="225">
        <v>2985</v>
      </c>
      <c r="AX639" s="126">
        <f t="shared" si="961"/>
        <v>3283.5000000000005</v>
      </c>
      <c r="AY639" s="198"/>
      <c r="AZ639" s="128"/>
      <c r="BB639" s="134">
        <f t="shared" si="955"/>
        <v>17101.562500000004</v>
      </c>
      <c r="BC639" s="134">
        <f t="shared" si="956"/>
        <v>10260.937500000002</v>
      </c>
      <c r="BD639" s="134">
        <f t="shared" si="957"/>
        <v>8550.7812500000018</v>
      </c>
      <c r="BE639" s="134">
        <f t="shared" si="958"/>
        <v>6840.6250000000018</v>
      </c>
    </row>
    <row r="640" spans="1:57" s="129" customFormat="1" hidden="1">
      <c r="A640" s="88" t="s">
        <v>1276</v>
      </c>
      <c r="B640" s="88" t="s">
        <v>1317</v>
      </c>
      <c r="C640" s="88" t="s">
        <v>1317</v>
      </c>
      <c r="D640" s="88" t="s">
        <v>656</v>
      </c>
      <c r="E640" s="88" t="s">
        <v>684</v>
      </c>
      <c r="F640" s="89" t="s">
        <v>743</v>
      </c>
      <c r="G640" s="92" t="s">
        <v>765</v>
      </c>
      <c r="H640" s="320" t="s">
        <v>3405</v>
      </c>
      <c r="I640" s="167" t="s">
        <v>3319</v>
      </c>
      <c r="J640" s="167" t="str">
        <f>_xlfn.XLOOKUP(I640,[1]Sheet1!$A:$A,[1]Sheet1!$B:$B,"")</f>
        <v/>
      </c>
      <c r="K640" s="310" t="s">
        <v>3320</v>
      </c>
      <c r="L640" s="310" t="s">
        <v>3321</v>
      </c>
      <c r="M640" s="92" t="s">
        <v>69</v>
      </c>
      <c r="N640" s="89" t="s">
        <v>158</v>
      </c>
      <c r="O640" s="165"/>
      <c r="P640" s="89" t="s">
        <v>715</v>
      </c>
      <c r="Q640" s="92" t="s">
        <v>690</v>
      </c>
      <c r="R640" s="92">
        <v>2</v>
      </c>
      <c r="S640" s="311" t="e">
        <v>#N/A</v>
      </c>
      <c r="T640" s="311">
        <v>8544700000</v>
      </c>
      <c r="U640" s="312">
        <v>0</v>
      </c>
      <c r="V640" s="313">
        <v>30</v>
      </c>
      <c r="W640" s="311">
        <v>45</v>
      </c>
      <c r="X640" s="311">
        <v>55</v>
      </c>
      <c r="Y640" s="311" t="s">
        <v>691</v>
      </c>
      <c r="Z640" s="314">
        <f t="shared" si="959"/>
        <v>10533.774193548386</v>
      </c>
      <c r="AA640" s="314"/>
      <c r="AB640" s="315">
        <f t="shared" si="966"/>
        <v>9594.0625000000018</v>
      </c>
      <c r="AC640" s="315"/>
      <c r="AD640" s="316">
        <f t="shared" si="967"/>
        <v>7.0000000000000007E-2</v>
      </c>
      <c r="AE640" s="316">
        <v>7.0000000000000007E-2</v>
      </c>
      <c r="AF640" s="316">
        <v>0.36</v>
      </c>
      <c r="AG640" s="316" t="s">
        <v>9</v>
      </c>
      <c r="AH640" s="317">
        <f t="shared" si="965"/>
        <v>9594.0625000000018</v>
      </c>
      <c r="AI640" s="316">
        <f t="shared" ref="AI640:AI704" si="970">1-(AX640/AH640)</f>
        <v>0.3600000000000001</v>
      </c>
      <c r="AJ640" s="444"/>
      <c r="AK640" s="318">
        <f t="shared" si="960"/>
        <v>7022.5161290322585</v>
      </c>
      <c r="AL640" s="317">
        <f t="shared" si="962"/>
        <v>6602.3655913978509</v>
      </c>
      <c r="AM640" s="319">
        <f t="shared" si="968"/>
        <v>0.33333333333333326</v>
      </c>
      <c r="AN640" s="319">
        <f t="shared" si="969"/>
        <v>0.31182795698924726</v>
      </c>
      <c r="AO640" s="136">
        <f t="shared" si="954"/>
        <v>0.39999999999999997</v>
      </c>
      <c r="AP640" s="17" t="s">
        <v>1291</v>
      </c>
      <c r="AQ640" s="141"/>
      <c r="AR640" s="141"/>
      <c r="AS640" s="141"/>
      <c r="AT640" s="141"/>
      <c r="AU640" s="141"/>
      <c r="AV640" s="141"/>
      <c r="AW640" s="225">
        <v>5582</v>
      </c>
      <c r="AX640" s="126">
        <f t="shared" si="961"/>
        <v>6140.2000000000007</v>
      </c>
      <c r="AY640" s="198"/>
      <c r="AZ640" s="128"/>
      <c r="BB640" s="134">
        <f t="shared" si="955"/>
        <v>31980.208333333339</v>
      </c>
      <c r="BC640" s="134">
        <f t="shared" si="956"/>
        <v>19188.125000000004</v>
      </c>
      <c r="BD640" s="134">
        <f t="shared" si="957"/>
        <v>15990.10416666667</v>
      </c>
      <c r="BE640" s="134">
        <f t="shared" si="958"/>
        <v>12792.083333333336</v>
      </c>
    </row>
    <row r="641" spans="1:58" s="129" customFormat="1" hidden="1">
      <c r="A641" s="88" t="s">
        <v>1276</v>
      </c>
      <c r="B641" s="88" t="s">
        <v>1317</v>
      </c>
      <c r="C641" s="88" t="s">
        <v>1317</v>
      </c>
      <c r="D641" s="88" t="s">
        <v>656</v>
      </c>
      <c r="E641" s="88" t="s">
        <v>684</v>
      </c>
      <c r="F641" s="89" t="s">
        <v>743</v>
      </c>
      <c r="G641" s="92" t="s">
        <v>765</v>
      </c>
      <c r="H641" s="320" t="s">
        <v>3403</v>
      </c>
      <c r="I641" s="167" t="s">
        <v>781</v>
      </c>
      <c r="J641" s="167" t="str">
        <f>_xlfn.XLOOKUP(I641,[1]Sheet1!$A:$A,[1]Sheet1!$B:$B,"")</f>
        <v>U0806006</v>
      </c>
      <c r="K641" s="88" t="s">
        <v>782</v>
      </c>
      <c r="L641" s="88" t="s">
        <v>783</v>
      </c>
      <c r="M641" s="92" t="s">
        <v>69</v>
      </c>
      <c r="N641" s="89" t="s">
        <v>158</v>
      </c>
      <c r="O641" s="165"/>
      <c r="P641" s="89" t="s">
        <v>715</v>
      </c>
      <c r="Q641" s="92" t="s">
        <v>690</v>
      </c>
      <c r="R641" s="92">
        <v>2</v>
      </c>
      <c r="S641" s="92" t="e">
        <v>#N/A</v>
      </c>
      <c r="T641" s="92">
        <v>8544700000</v>
      </c>
      <c r="U641" s="155">
        <v>0</v>
      </c>
      <c r="V641" s="207">
        <v>30</v>
      </c>
      <c r="W641" s="92">
        <v>45</v>
      </c>
      <c r="X641" s="92">
        <v>55</v>
      </c>
      <c r="Y641" s="92" t="s">
        <v>691</v>
      </c>
      <c r="Z641" s="133">
        <f t="shared" si="959"/>
        <v>10567.741935483869</v>
      </c>
      <c r="AA641" s="133"/>
      <c r="AB641" s="124">
        <f t="shared" si="966"/>
        <v>9625.0000000000018</v>
      </c>
      <c r="AC641" s="124"/>
      <c r="AD641" s="213">
        <f t="shared" si="967"/>
        <v>7.0000000000000007E-2</v>
      </c>
      <c r="AE641" s="213">
        <v>7.0000000000000007E-2</v>
      </c>
      <c r="AF641" s="215">
        <v>0.36</v>
      </c>
      <c r="AG641" s="215" t="s">
        <v>9</v>
      </c>
      <c r="AH641" s="148">
        <f t="shared" si="965"/>
        <v>9625.0000000000018</v>
      </c>
      <c r="AI641" s="122">
        <f t="shared" si="970"/>
        <v>0.36</v>
      </c>
      <c r="AJ641" s="444"/>
      <c r="AK641" s="150">
        <f t="shared" si="960"/>
        <v>7045.1612903225805</v>
      </c>
      <c r="AL641" s="148">
        <f t="shared" si="962"/>
        <v>6623.6559139784958</v>
      </c>
      <c r="AM641" s="125">
        <f t="shared" si="968"/>
        <v>0.33333333333333326</v>
      </c>
      <c r="AN641" s="125">
        <f t="shared" si="969"/>
        <v>0.31182795698924737</v>
      </c>
      <c r="AO641" s="136">
        <f t="shared" ref="AO641:AO707" si="971">AF641+4%</f>
        <v>0.39999999999999997</v>
      </c>
      <c r="AP641" s="17" t="s">
        <v>1291</v>
      </c>
      <c r="AQ641" s="141"/>
      <c r="AR641" s="141"/>
      <c r="AS641" s="141"/>
      <c r="AT641" s="141"/>
      <c r="AU641" s="141"/>
      <c r="AV641" s="141"/>
      <c r="AW641" s="225">
        <v>5600</v>
      </c>
      <c r="AX641" s="126">
        <f t="shared" si="961"/>
        <v>6160.0000000000009</v>
      </c>
      <c r="AY641" s="198"/>
      <c r="AZ641" s="128"/>
      <c r="BB641" s="134">
        <f t="shared" si="955"/>
        <v>32083.333333333339</v>
      </c>
      <c r="BC641" s="134">
        <f t="shared" si="956"/>
        <v>19250.000000000004</v>
      </c>
      <c r="BD641" s="134">
        <f t="shared" si="957"/>
        <v>16041.66666666667</v>
      </c>
      <c r="BE641" s="134">
        <f t="shared" si="958"/>
        <v>12833.333333333336</v>
      </c>
    </row>
    <row r="642" spans="1:58" s="129" customFormat="1" hidden="1">
      <c r="A642" s="88" t="s">
        <v>1276</v>
      </c>
      <c r="B642" s="88" t="s">
        <v>1317</v>
      </c>
      <c r="C642" s="88" t="s">
        <v>1317</v>
      </c>
      <c r="D642" s="88" t="s">
        <v>656</v>
      </c>
      <c r="E642" s="88" t="s">
        <v>684</v>
      </c>
      <c r="F642" s="89" t="s">
        <v>743</v>
      </c>
      <c r="G642" s="92" t="s">
        <v>765</v>
      </c>
      <c r="H642" s="320" t="s">
        <v>3406</v>
      </c>
      <c r="I642" s="167" t="s">
        <v>3322</v>
      </c>
      <c r="J642" s="167" t="str">
        <f>_xlfn.XLOOKUP(I642,[1]Sheet1!$A:$A,[1]Sheet1!$B:$B,"")</f>
        <v/>
      </c>
      <c r="K642" s="310" t="s">
        <v>3323</v>
      </c>
      <c r="L642" s="310" t="s">
        <v>3324</v>
      </c>
      <c r="M642" s="92" t="s">
        <v>69</v>
      </c>
      <c r="N642" s="89" t="s">
        <v>158</v>
      </c>
      <c r="O642" s="165"/>
      <c r="P642" s="89" t="s">
        <v>715</v>
      </c>
      <c r="Q642" s="92" t="s">
        <v>690</v>
      </c>
      <c r="R642" s="92">
        <v>2</v>
      </c>
      <c r="S642" s="311" t="e">
        <v>#N/A</v>
      </c>
      <c r="T642" s="311">
        <v>8544700000</v>
      </c>
      <c r="U642" s="312">
        <v>0</v>
      </c>
      <c r="V642" s="313">
        <v>30</v>
      </c>
      <c r="W642" s="311">
        <v>45</v>
      </c>
      <c r="X642" s="311">
        <v>55</v>
      </c>
      <c r="Y642" s="311" t="s">
        <v>691</v>
      </c>
      <c r="Z642" s="314">
        <f t="shared" si="959"/>
        <v>20644.838709677417</v>
      </c>
      <c r="AA642" s="314"/>
      <c r="AB642" s="315">
        <f t="shared" si="966"/>
        <v>18803.125000000004</v>
      </c>
      <c r="AC642" s="315"/>
      <c r="AD642" s="316">
        <f t="shared" si="967"/>
        <v>7.0000000000000007E-2</v>
      </c>
      <c r="AE642" s="316">
        <v>7.0000000000000007E-2</v>
      </c>
      <c r="AF642" s="316">
        <v>0.36</v>
      </c>
      <c r="AG642" s="316" t="s">
        <v>9</v>
      </c>
      <c r="AH642" s="317">
        <f t="shared" si="965"/>
        <v>18803.125000000004</v>
      </c>
      <c r="AI642" s="316">
        <f t="shared" si="970"/>
        <v>0.36</v>
      </c>
      <c r="AJ642" s="444"/>
      <c r="AK642" s="318">
        <f t="shared" si="960"/>
        <v>13763.225806451612</v>
      </c>
      <c r="AL642" s="317">
        <f t="shared" si="962"/>
        <v>12939.784946236561</v>
      </c>
      <c r="AM642" s="319">
        <f t="shared" si="968"/>
        <v>0.33333333333333326</v>
      </c>
      <c r="AN642" s="319">
        <f t="shared" si="969"/>
        <v>0.31182795698924737</v>
      </c>
      <c r="AO642" s="136">
        <f t="shared" si="971"/>
        <v>0.39999999999999997</v>
      </c>
      <c r="AP642" s="17" t="s">
        <v>1291</v>
      </c>
      <c r="AQ642" s="141"/>
      <c r="AR642" s="141"/>
      <c r="AS642" s="141"/>
      <c r="AT642" s="141"/>
      <c r="AU642" s="141"/>
      <c r="AV642" s="141"/>
      <c r="AW642" s="225">
        <v>10940</v>
      </c>
      <c r="AX642" s="126">
        <f t="shared" si="961"/>
        <v>12034.000000000002</v>
      </c>
      <c r="AY642" s="198"/>
      <c r="AZ642" s="128"/>
      <c r="BB642" s="134">
        <f t="shared" ref="BB642:BB643" si="972">AB642/0.3</f>
        <v>62677.08333333335</v>
      </c>
      <c r="BC642" s="134">
        <f t="shared" ref="BC642:BC643" si="973">BB642*0.6</f>
        <v>37606.250000000007</v>
      </c>
      <c r="BD642" s="134">
        <f t="shared" ref="BD642:BD643" si="974">BB642*0.5</f>
        <v>31338.541666666675</v>
      </c>
      <c r="BE642" s="134">
        <f t="shared" ref="BE642:BE643" si="975">BB642*0.4</f>
        <v>25070.833333333343</v>
      </c>
    </row>
    <row r="643" spans="1:58" s="129" customFormat="1" hidden="1">
      <c r="A643" s="88" t="s">
        <v>1276</v>
      </c>
      <c r="B643" s="88" t="s">
        <v>1317</v>
      </c>
      <c r="C643" s="88" t="s">
        <v>1317</v>
      </c>
      <c r="D643" s="88" t="s">
        <v>656</v>
      </c>
      <c r="E643" s="88" t="s">
        <v>684</v>
      </c>
      <c r="F643" s="89" t="s">
        <v>743</v>
      </c>
      <c r="G643" s="92" t="s">
        <v>765</v>
      </c>
      <c r="H643" s="320" t="s">
        <v>3407</v>
      </c>
      <c r="I643" s="167" t="s">
        <v>3325</v>
      </c>
      <c r="J643" s="167" t="str">
        <f>_xlfn.XLOOKUP(I643,[1]Sheet1!$A:$A,[1]Sheet1!$B:$B,"")</f>
        <v/>
      </c>
      <c r="K643" s="310" t="s">
        <v>3326</v>
      </c>
      <c r="L643" s="310" t="s">
        <v>3327</v>
      </c>
      <c r="M643" s="92" t="s">
        <v>69</v>
      </c>
      <c r="N643" s="89" t="s">
        <v>158</v>
      </c>
      <c r="O643" s="165"/>
      <c r="P643" s="89" t="s">
        <v>715</v>
      </c>
      <c r="Q643" s="92" t="s">
        <v>690</v>
      </c>
      <c r="R643" s="92">
        <v>2</v>
      </c>
      <c r="S643" s="311" t="e">
        <v>#N/A</v>
      </c>
      <c r="T643" s="311">
        <v>8544700000</v>
      </c>
      <c r="U643" s="312">
        <v>0</v>
      </c>
      <c r="V643" s="313">
        <v>30</v>
      </c>
      <c r="W643" s="311">
        <v>45</v>
      </c>
      <c r="X643" s="311">
        <v>55</v>
      </c>
      <c r="Y643" s="311" t="s">
        <v>691</v>
      </c>
      <c r="Z643" s="314">
        <f t="shared" si="959"/>
        <v>40551.822580645159</v>
      </c>
      <c r="AA643" s="314"/>
      <c r="AB643" s="315">
        <f t="shared" si="966"/>
        <v>36934.21875</v>
      </c>
      <c r="AC643" s="315"/>
      <c r="AD643" s="316">
        <f t="shared" si="967"/>
        <v>7.0000000000000007E-2</v>
      </c>
      <c r="AE643" s="316">
        <v>7.0000000000000007E-2</v>
      </c>
      <c r="AF643" s="316">
        <v>0.36</v>
      </c>
      <c r="AG643" s="316" t="s">
        <v>9</v>
      </c>
      <c r="AH643" s="317">
        <f t="shared" si="965"/>
        <v>36934.21875</v>
      </c>
      <c r="AI643" s="316">
        <f t="shared" si="970"/>
        <v>0.36</v>
      </c>
      <c r="AJ643" s="444"/>
      <c r="AK643" s="318">
        <f t="shared" si="960"/>
        <v>27034.548387096773</v>
      </c>
      <c r="AL643" s="317">
        <f t="shared" si="962"/>
        <v>25417.096774193553</v>
      </c>
      <c r="AM643" s="319">
        <f t="shared" si="968"/>
        <v>0.33333333333333337</v>
      </c>
      <c r="AN643" s="319">
        <f t="shared" si="969"/>
        <v>0.31182795698924715</v>
      </c>
      <c r="AO643" s="136">
        <f t="shared" si="971"/>
        <v>0.39999999999999997</v>
      </c>
      <c r="AP643" s="17" t="s">
        <v>1291</v>
      </c>
      <c r="AQ643" s="141"/>
      <c r="AR643" s="141"/>
      <c r="AS643" s="141"/>
      <c r="AT643" s="141"/>
      <c r="AU643" s="141"/>
      <c r="AV643" s="141"/>
      <c r="AW643" s="225">
        <v>21489</v>
      </c>
      <c r="AX643" s="126">
        <f t="shared" si="961"/>
        <v>23637.9</v>
      </c>
      <c r="AY643" s="198"/>
      <c r="AZ643" s="128"/>
      <c r="BB643" s="134">
        <f t="shared" si="972"/>
        <v>123114.0625</v>
      </c>
      <c r="BC643" s="134">
        <f t="shared" si="973"/>
        <v>73868.4375</v>
      </c>
      <c r="BD643" s="134">
        <f t="shared" si="974"/>
        <v>61557.03125</v>
      </c>
      <c r="BE643" s="134">
        <f t="shared" si="975"/>
        <v>49245.625</v>
      </c>
    </row>
    <row r="644" spans="1:58" s="129" customFormat="1" hidden="1">
      <c r="A644" s="88" t="s">
        <v>1276</v>
      </c>
      <c r="B644" s="88" t="s">
        <v>1318</v>
      </c>
      <c r="C644" s="88" t="s">
        <v>1318</v>
      </c>
      <c r="D644" s="88" t="s">
        <v>656</v>
      </c>
      <c r="E644" s="88" t="s">
        <v>684</v>
      </c>
      <c r="F644" s="89" t="s">
        <v>686</v>
      </c>
      <c r="G644" s="92" t="s">
        <v>765</v>
      </c>
      <c r="H644" s="320" t="s">
        <v>3398</v>
      </c>
      <c r="I644" s="167" t="s">
        <v>2320</v>
      </c>
      <c r="J644" s="167" t="str">
        <f>_xlfn.XLOOKUP(I644,[1]Sheet1!$A:$A,[1]Sheet1!$B:$B,"")</f>
        <v/>
      </c>
      <c r="K644" s="88" t="s">
        <v>2322</v>
      </c>
      <c r="L644" s="88" t="s">
        <v>2324</v>
      </c>
      <c r="M644" s="92" t="s">
        <v>125</v>
      </c>
      <c r="N644" s="89" t="s">
        <v>158</v>
      </c>
      <c r="O644" s="165"/>
      <c r="P644" s="89" t="s">
        <v>715</v>
      </c>
      <c r="Q644" s="92" t="s">
        <v>690</v>
      </c>
      <c r="R644" s="92">
        <v>2</v>
      </c>
      <c r="S644" s="92" t="e">
        <v>#N/A</v>
      </c>
      <c r="T644" s="92">
        <v>8544700000</v>
      </c>
      <c r="U644" s="155">
        <v>0</v>
      </c>
      <c r="V644" s="207">
        <v>30</v>
      </c>
      <c r="W644" s="92">
        <v>45</v>
      </c>
      <c r="X644" s="92">
        <v>55</v>
      </c>
      <c r="Y644" s="92" t="s">
        <v>691</v>
      </c>
      <c r="Z644" s="133">
        <f>(AW644/(1-(AF644+2%)))*$F$6</f>
        <v>864.00000000000011</v>
      </c>
      <c r="AA644" s="133"/>
      <c r="AB644" s="124">
        <f>AX644/(1-AF644)</f>
        <v>788.05970149253744</v>
      </c>
      <c r="AC644" s="124"/>
      <c r="AD644" s="213">
        <f>AE644</f>
        <v>7.0000000000000007E-2</v>
      </c>
      <c r="AE644" s="213">
        <v>7.0000000000000007E-2</v>
      </c>
      <c r="AF644" s="215">
        <v>0.33</v>
      </c>
      <c r="AG644" s="215" t="s">
        <v>9</v>
      </c>
      <c r="AH644" s="148">
        <f>AB644</f>
        <v>788.05970149253744</v>
      </c>
      <c r="AI644" s="122">
        <f>1-(AX644/AH644)</f>
        <v>0.33000000000000007</v>
      </c>
      <c r="AJ644" s="444"/>
      <c r="AK644" s="150">
        <f>(AW644/(1-AD644))*$F$6</f>
        <v>603.87096774193549</v>
      </c>
      <c r="AL644" s="148">
        <f>AX644/(1-AE644)</f>
        <v>567.74193548387098</v>
      </c>
      <c r="AM644" s="125">
        <f t="shared" si="968"/>
        <v>0.30107526881720437</v>
      </c>
      <c r="AN644" s="125">
        <f t="shared" si="969"/>
        <v>0.27956989247311836</v>
      </c>
      <c r="AO644" s="136">
        <f t="shared" si="971"/>
        <v>0.37</v>
      </c>
      <c r="AP644" s="17" t="s">
        <v>1291</v>
      </c>
      <c r="AQ644" s="141"/>
      <c r="AR644" s="141"/>
      <c r="AS644" s="141"/>
      <c r="AT644" s="141"/>
      <c r="AU644" s="141"/>
      <c r="AV644" s="141"/>
      <c r="AW644" s="225">
        <v>480</v>
      </c>
      <c r="AX644" s="126">
        <f t="shared" ref="AX644:AX710" si="976">AW644*1.1</f>
        <v>528</v>
      </c>
      <c r="AY644" s="198"/>
      <c r="AZ644" s="128"/>
      <c r="BB644" s="134">
        <f>AB644/0.3</f>
        <v>2626.8656716417918</v>
      </c>
      <c r="BC644" s="134">
        <f>BB644*0.6</f>
        <v>1576.1194029850751</v>
      </c>
      <c r="BD644" s="134">
        <f>BB644*0.5</f>
        <v>1313.4328358208959</v>
      </c>
      <c r="BE644" s="134">
        <f>BB644*0.4</f>
        <v>1050.7462686567167</v>
      </c>
      <c r="BF644" s="32"/>
    </row>
    <row r="645" spans="1:58" s="129" customFormat="1" hidden="1">
      <c r="A645" s="88" t="s">
        <v>1276</v>
      </c>
      <c r="B645" s="88" t="s">
        <v>1318</v>
      </c>
      <c r="C645" s="88" t="s">
        <v>1318</v>
      </c>
      <c r="D645" s="88" t="s">
        <v>656</v>
      </c>
      <c r="E645" s="88" t="s">
        <v>684</v>
      </c>
      <c r="F645" s="89" t="s">
        <v>686</v>
      </c>
      <c r="G645" s="92" t="s">
        <v>765</v>
      </c>
      <c r="H645" s="320" t="s">
        <v>3399</v>
      </c>
      <c r="I645" s="167" t="s">
        <v>3328</v>
      </c>
      <c r="J645" s="167" t="str">
        <f>_xlfn.XLOOKUP(I645,[1]Sheet1!$A:$A,[1]Sheet1!$B:$B,"")</f>
        <v/>
      </c>
      <c r="K645" s="88" t="s">
        <v>3329</v>
      </c>
      <c r="L645" s="88" t="s">
        <v>3330</v>
      </c>
      <c r="M645" s="92" t="s">
        <v>125</v>
      </c>
      <c r="N645" s="89" t="s">
        <v>158</v>
      </c>
      <c r="O645" s="165"/>
      <c r="P645" s="89" t="s">
        <v>715</v>
      </c>
      <c r="Q645" s="92" t="s">
        <v>690</v>
      </c>
      <c r="R645" s="92">
        <v>2</v>
      </c>
      <c r="S645" s="92" t="e">
        <v>#N/A</v>
      </c>
      <c r="T645" s="92">
        <v>8544700000</v>
      </c>
      <c r="U645" s="155">
        <v>0</v>
      </c>
      <c r="V645" s="207">
        <v>30</v>
      </c>
      <c r="W645" s="92">
        <v>45</v>
      </c>
      <c r="X645" s="92">
        <v>55</v>
      </c>
      <c r="Y645" s="92" t="s">
        <v>691</v>
      </c>
      <c r="Z645" s="133">
        <f t="shared" ref="Z645:Z711" si="977">(AW645/(1-(AF645+2%)))*$F$6</f>
        <v>1332</v>
      </c>
      <c r="AA645" s="133"/>
      <c r="AB645" s="124">
        <f t="shared" ref="AB645:AB654" si="978">AX645/(1-AF645)</f>
        <v>1214.9253731343288</v>
      </c>
      <c r="AC645" s="124"/>
      <c r="AD645" s="213">
        <f t="shared" ref="AD645:AD654" si="979">AE645</f>
        <v>7.0000000000000007E-2</v>
      </c>
      <c r="AE645" s="213">
        <v>7.0000000000000007E-2</v>
      </c>
      <c r="AF645" s="215">
        <v>0.33</v>
      </c>
      <c r="AG645" s="215" t="s">
        <v>9</v>
      </c>
      <c r="AH645" s="148">
        <f t="shared" ref="AH645:AH654" si="980">AB645</f>
        <v>1214.9253731343288</v>
      </c>
      <c r="AI645" s="122">
        <f t="shared" ref="AI645:AI654" si="981">1-(AX645/AH645)</f>
        <v>0.33000000000000018</v>
      </c>
      <c r="AJ645" s="444"/>
      <c r="AK645" s="150">
        <f t="shared" ref="AK645:AK711" si="982">(AW645/(1-AD645))*$F$6</f>
        <v>930.9677419354839</v>
      </c>
      <c r="AL645" s="148">
        <f t="shared" ref="AL645:AL654" si="983">AX645/(1-AE645)</f>
        <v>875.26881720430129</v>
      </c>
      <c r="AM645" s="125">
        <f t="shared" si="968"/>
        <v>0.30107526881720426</v>
      </c>
      <c r="AN645" s="125">
        <f t="shared" si="969"/>
        <v>0.27956989247311836</v>
      </c>
      <c r="AO645" s="136">
        <f t="shared" si="971"/>
        <v>0.37</v>
      </c>
      <c r="AP645" s="17" t="s">
        <v>1291</v>
      </c>
      <c r="AQ645" s="141"/>
      <c r="AR645" s="141"/>
      <c r="AS645" s="141"/>
      <c r="AT645" s="141"/>
      <c r="AU645" s="141"/>
      <c r="AV645" s="141"/>
      <c r="AW645" s="225">
        <v>740</v>
      </c>
      <c r="AX645" s="126">
        <f t="shared" si="976"/>
        <v>814.00000000000011</v>
      </c>
      <c r="AY645" s="198"/>
      <c r="AZ645" s="128"/>
      <c r="BB645" s="134">
        <f t="shared" ref="BB645:BB711" si="984">AB645/0.3</f>
        <v>4049.751243781096</v>
      </c>
      <c r="BC645" s="134">
        <f t="shared" ref="BC645:BC711" si="985">BB645*0.6</f>
        <v>2429.8507462686575</v>
      </c>
      <c r="BD645" s="134">
        <f t="shared" ref="BD645:BD711" si="986">BB645*0.5</f>
        <v>2024.875621890548</v>
      </c>
      <c r="BE645" s="134">
        <f t="shared" ref="BE645:BE711" si="987">BB645*0.4</f>
        <v>1619.9004975124385</v>
      </c>
    </row>
    <row r="646" spans="1:58" s="129" customFormat="1" hidden="1">
      <c r="A646" s="88" t="s">
        <v>1276</v>
      </c>
      <c r="B646" s="88" t="s">
        <v>1318</v>
      </c>
      <c r="C646" s="88" t="s">
        <v>1318</v>
      </c>
      <c r="D646" s="88" t="s">
        <v>656</v>
      </c>
      <c r="E646" s="88" t="s">
        <v>684</v>
      </c>
      <c r="F646" s="89" t="s">
        <v>686</v>
      </c>
      <c r="G646" s="92" t="s">
        <v>765</v>
      </c>
      <c r="H646" s="320" t="s">
        <v>3400</v>
      </c>
      <c r="I646" s="167" t="s">
        <v>2321</v>
      </c>
      <c r="J646" s="167" t="str">
        <f>_xlfn.XLOOKUP(I646,[1]Sheet1!$A:$A,[1]Sheet1!$B:$B,"")</f>
        <v/>
      </c>
      <c r="K646" s="88" t="s">
        <v>2323</v>
      </c>
      <c r="L646" s="88" t="s">
        <v>2325</v>
      </c>
      <c r="M646" s="92" t="s">
        <v>125</v>
      </c>
      <c r="N646" s="89" t="s">
        <v>158</v>
      </c>
      <c r="O646" s="165"/>
      <c r="P646" s="89" t="s">
        <v>715</v>
      </c>
      <c r="Q646" s="92" t="s">
        <v>690</v>
      </c>
      <c r="R646" s="92">
        <v>2</v>
      </c>
      <c r="S646" s="92" t="e">
        <v>#N/A</v>
      </c>
      <c r="T646" s="92">
        <v>8544700000</v>
      </c>
      <c r="U646" s="155">
        <v>0</v>
      </c>
      <c r="V646" s="207">
        <v>30</v>
      </c>
      <c r="W646" s="92">
        <v>45</v>
      </c>
      <c r="X646" s="92">
        <v>55</v>
      </c>
      <c r="Y646" s="92" t="s">
        <v>691</v>
      </c>
      <c r="Z646" s="133">
        <f t="shared" si="977"/>
        <v>1465.2</v>
      </c>
      <c r="AA646" s="133"/>
      <c r="AB646" s="124">
        <f t="shared" si="978"/>
        <v>1336.4179104477614</v>
      </c>
      <c r="AC646" s="124"/>
      <c r="AD646" s="213">
        <f t="shared" si="979"/>
        <v>7.0000000000000007E-2</v>
      </c>
      <c r="AE646" s="213">
        <v>7.0000000000000007E-2</v>
      </c>
      <c r="AF646" s="215">
        <v>0.33</v>
      </c>
      <c r="AG646" s="215" t="s">
        <v>9</v>
      </c>
      <c r="AH646" s="148">
        <f t="shared" si="980"/>
        <v>1336.4179104477614</v>
      </c>
      <c r="AI646" s="122">
        <f t="shared" si="981"/>
        <v>0.33000000000000007</v>
      </c>
      <c r="AJ646" s="444"/>
      <c r="AK646" s="150">
        <f t="shared" si="982"/>
        <v>1024.0645161290322</v>
      </c>
      <c r="AL646" s="148">
        <f t="shared" si="983"/>
        <v>962.79569892473137</v>
      </c>
      <c r="AM646" s="125">
        <f t="shared" si="968"/>
        <v>0.30107526881720437</v>
      </c>
      <c r="AN646" s="125">
        <f t="shared" si="969"/>
        <v>0.27956989247311825</v>
      </c>
      <c r="AO646" s="136">
        <f t="shared" si="971"/>
        <v>0.37</v>
      </c>
      <c r="AP646" s="17" t="s">
        <v>1291</v>
      </c>
      <c r="AQ646" s="141"/>
      <c r="AR646" s="141"/>
      <c r="AS646" s="141"/>
      <c r="AT646" s="141"/>
      <c r="AU646" s="141"/>
      <c r="AV646" s="141"/>
      <c r="AW646" s="225">
        <v>814</v>
      </c>
      <c r="AX646" s="126">
        <f t="shared" si="976"/>
        <v>895.40000000000009</v>
      </c>
      <c r="AY646" s="198"/>
      <c r="AZ646" s="128"/>
      <c r="BB646" s="134">
        <f t="shared" si="984"/>
        <v>4454.7263681592049</v>
      </c>
      <c r="BC646" s="134">
        <f t="shared" si="985"/>
        <v>2672.8358208955228</v>
      </c>
      <c r="BD646" s="134">
        <f t="shared" si="986"/>
        <v>2227.3631840796024</v>
      </c>
      <c r="BE646" s="134">
        <f t="shared" si="987"/>
        <v>1781.890547263682</v>
      </c>
    </row>
    <row r="647" spans="1:58" s="129" customFormat="1" hidden="1">
      <c r="A647" s="88" t="s">
        <v>1276</v>
      </c>
      <c r="B647" s="88" t="s">
        <v>1318</v>
      </c>
      <c r="C647" s="88" t="s">
        <v>1318</v>
      </c>
      <c r="D647" s="88" t="s">
        <v>656</v>
      </c>
      <c r="E647" s="88" t="s">
        <v>684</v>
      </c>
      <c r="F647" s="89" t="s">
        <v>686</v>
      </c>
      <c r="G647" s="92" t="s">
        <v>765</v>
      </c>
      <c r="H647" s="320" t="s">
        <v>3401</v>
      </c>
      <c r="I647" s="167" t="s">
        <v>1680</v>
      </c>
      <c r="J647" s="167" t="s">
        <v>3811</v>
      </c>
      <c r="K647" s="88" t="s">
        <v>1682</v>
      </c>
      <c r="L647" s="88" t="s">
        <v>1684</v>
      </c>
      <c r="M647" s="92" t="s">
        <v>125</v>
      </c>
      <c r="N647" s="89" t="s">
        <v>158</v>
      </c>
      <c r="O647" s="165"/>
      <c r="P647" s="89" t="s">
        <v>715</v>
      </c>
      <c r="Q647" s="92" t="s">
        <v>690</v>
      </c>
      <c r="R647" s="92">
        <v>2</v>
      </c>
      <c r="S647" s="92" t="e">
        <v>#N/A</v>
      </c>
      <c r="T647" s="92">
        <v>8544700000</v>
      </c>
      <c r="U647" s="155">
        <v>0</v>
      </c>
      <c r="V647" s="207">
        <v>30</v>
      </c>
      <c r="W647" s="92">
        <v>45</v>
      </c>
      <c r="X647" s="92">
        <v>55</v>
      </c>
      <c r="Y647" s="92" t="s">
        <v>691</v>
      </c>
      <c r="Z647" s="133">
        <f t="shared" si="977"/>
        <v>2696.4</v>
      </c>
      <c r="AA647" s="133"/>
      <c r="AB647" s="124">
        <f t="shared" si="978"/>
        <v>2459.4029850746274</v>
      </c>
      <c r="AC647" s="124"/>
      <c r="AD647" s="213">
        <f t="shared" si="979"/>
        <v>7.0000000000000007E-2</v>
      </c>
      <c r="AE647" s="213">
        <v>7.0000000000000007E-2</v>
      </c>
      <c r="AF647" s="215">
        <v>0.33</v>
      </c>
      <c r="AG647" s="215" t="s">
        <v>9</v>
      </c>
      <c r="AH647" s="148">
        <f t="shared" si="980"/>
        <v>2459.4029850746274</v>
      </c>
      <c r="AI647" s="122">
        <f t="shared" si="981"/>
        <v>0.33000000000000007</v>
      </c>
      <c r="AJ647" s="444"/>
      <c r="AK647" s="150">
        <f t="shared" si="982"/>
        <v>1884.5806451612902</v>
      </c>
      <c r="AL647" s="148">
        <f t="shared" si="983"/>
        <v>1771.8279569892477</v>
      </c>
      <c r="AM647" s="125">
        <f t="shared" si="968"/>
        <v>0.30107526881720437</v>
      </c>
      <c r="AN647" s="125">
        <f t="shared" si="969"/>
        <v>0.27956989247311825</v>
      </c>
      <c r="AO647" s="136">
        <f t="shared" si="971"/>
        <v>0.37</v>
      </c>
      <c r="AP647" s="17" t="s">
        <v>1291</v>
      </c>
      <c r="AQ647" s="141"/>
      <c r="AR647" s="141"/>
      <c r="AS647" s="141"/>
      <c r="AT647" s="141"/>
      <c r="AU647" s="141"/>
      <c r="AV647" s="141"/>
      <c r="AW647" s="225">
        <v>1498</v>
      </c>
      <c r="AX647" s="126">
        <f t="shared" si="976"/>
        <v>1647.8000000000002</v>
      </c>
      <c r="AY647" s="198"/>
      <c r="AZ647" s="128"/>
      <c r="BB647" s="134">
        <f t="shared" si="984"/>
        <v>8198.0099502487574</v>
      </c>
      <c r="BC647" s="134">
        <f t="shared" si="985"/>
        <v>4918.8059701492539</v>
      </c>
      <c r="BD647" s="134">
        <f t="shared" si="986"/>
        <v>4099.0049751243787</v>
      </c>
      <c r="BE647" s="134">
        <f t="shared" si="987"/>
        <v>3279.203980099503</v>
      </c>
    </row>
    <row r="648" spans="1:58" s="129" customFormat="1" hidden="1">
      <c r="A648" s="88" t="s">
        <v>1276</v>
      </c>
      <c r="B648" s="88" t="s">
        <v>1318</v>
      </c>
      <c r="C648" s="88" t="s">
        <v>1318</v>
      </c>
      <c r="D648" s="88" t="s">
        <v>656</v>
      </c>
      <c r="E648" s="88" t="s">
        <v>684</v>
      </c>
      <c r="F648" s="89" t="s">
        <v>743</v>
      </c>
      <c r="G648" s="92" t="s">
        <v>765</v>
      </c>
      <c r="H648" s="320" t="s">
        <v>3400</v>
      </c>
      <c r="I648" s="167" t="s">
        <v>3331</v>
      </c>
      <c r="J648" s="167" t="str">
        <f>_xlfn.XLOOKUP(I648,[1]Sheet1!$A:$A,[1]Sheet1!$B:$B,"")</f>
        <v/>
      </c>
      <c r="K648" s="310" t="s">
        <v>3332</v>
      </c>
      <c r="L648" s="310" t="s">
        <v>3333</v>
      </c>
      <c r="M648" s="92" t="s">
        <v>125</v>
      </c>
      <c r="N648" s="89" t="s">
        <v>158</v>
      </c>
      <c r="O648" s="165"/>
      <c r="P648" s="89" t="s">
        <v>715</v>
      </c>
      <c r="Q648" s="92" t="s">
        <v>690</v>
      </c>
      <c r="R648" s="92">
        <v>2</v>
      </c>
      <c r="S648" s="311" t="e">
        <v>#N/A</v>
      </c>
      <c r="T648" s="311">
        <v>8544700000</v>
      </c>
      <c r="U648" s="312">
        <v>0</v>
      </c>
      <c r="V648" s="313">
        <v>30</v>
      </c>
      <c r="W648" s="311">
        <v>45</v>
      </c>
      <c r="X648" s="311">
        <v>55</v>
      </c>
      <c r="Y648" s="311" t="s">
        <v>691</v>
      </c>
      <c r="Z648" s="314">
        <f t="shared" si="977"/>
        <v>2480.4000000000005</v>
      </c>
      <c r="AA648" s="314"/>
      <c r="AB648" s="315">
        <f t="shared" si="978"/>
        <v>2262.3880597014931</v>
      </c>
      <c r="AC648" s="315"/>
      <c r="AD648" s="316">
        <f t="shared" si="979"/>
        <v>7.0000000000000007E-2</v>
      </c>
      <c r="AE648" s="316">
        <v>7.0000000000000007E-2</v>
      </c>
      <c r="AF648" s="316">
        <v>0.33</v>
      </c>
      <c r="AG648" s="316" t="s">
        <v>9</v>
      </c>
      <c r="AH648" s="317">
        <f t="shared" si="980"/>
        <v>2262.3880597014931</v>
      </c>
      <c r="AI648" s="316">
        <f t="shared" si="981"/>
        <v>0.33000000000000007</v>
      </c>
      <c r="AJ648" s="444"/>
      <c r="AK648" s="318">
        <f t="shared" si="982"/>
        <v>1733.6129032258063</v>
      </c>
      <c r="AL648" s="317">
        <f t="shared" si="983"/>
        <v>1629.8924731182799</v>
      </c>
      <c r="AM648" s="319">
        <f t="shared" si="968"/>
        <v>0.30107526881720448</v>
      </c>
      <c r="AN648" s="319">
        <f t="shared" si="969"/>
        <v>0.27956989247311836</v>
      </c>
      <c r="AO648" s="136">
        <f t="shared" si="971"/>
        <v>0.37</v>
      </c>
      <c r="AP648" s="17" t="s">
        <v>1291</v>
      </c>
      <c r="AQ648" s="141"/>
      <c r="AR648" s="141"/>
      <c r="AS648" s="141"/>
      <c r="AT648" s="141"/>
      <c r="AU648" s="141"/>
      <c r="AV648" s="141"/>
      <c r="AW648" s="225">
        <v>1378</v>
      </c>
      <c r="AX648" s="126">
        <f t="shared" si="976"/>
        <v>1515.8000000000002</v>
      </c>
      <c r="AY648" s="198"/>
      <c r="AZ648" s="128"/>
      <c r="BB648" s="134">
        <f t="shared" si="984"/>
        <v>7541.2935323383108</v>
      </c>
      <c r="BC648" s="134">
        <f t="shared" si="985"/>
        <v>4524.7761194029863</v>
      </c>
      <c r="BD648" s="134">
        <f t="shared" si="986"/>
        <v>3770.6467661691554</v>
      </c>
      <c r="BE648" s="134">
        <f t="shared" si="987"/>
        <v>3016.5174129353245</v>
      </c>
    </row>
    <row r="649" spans="1:58" s="129" customFormat="1" hidden="1">
      <c r="A649" s="88" t="s">
        <v>1276</v>
      </c>
      <c r="B649" s="88" t="s">
        <v>1318</v>
      </c>
      <c r="C649" s="88" t="s">
        <v>1318</v>
      </c>
      <c r="D649" s="88" t="s">
        <v>656</v>
      </c>
      <c r="E649" s="88" t="s">
        <v>684</v>
      </c>
      <c r="F649" s="89" t="s">
        <v>743</v>
      </c>
      <c r="G649" s="92" t="s">
        <v>765</v>
      </c>
      <c r="H649" s="320" t="s">
        <v>3401</v>
      </c>
      <c r="I649" s="167" t="s">
        <v>3334</v>
      </c>
      <c r="J649" s="167" t="str">
        <f>_xlfn.XLOOKUP(I649,[1]Sheet1!$A:$A,[1]Sheet1!$B:$B,"")</f>
        <v/>
      </c>
      <c r="K649" s="310" t="s">
        <v>3335</v>
      </c>
      <c r="L649" s="310" t="s">
        <v>3336</v>
      </c>
      <c r="M649" s="92" t="s">
        <v>125</v>
      </c>
      <c r="N649" s="89" t="s">
        <v>158</v>
      </c>
      <c r="O649" s="165"/>
      <c r="P649" s="89" t="s">
        <v>715</v>
      </c>
      <c r="Q649" s="92" t="s">
        <v>690</v>
      </c>
      <c r="R649" s="92">
        <v>2</v>
      </c>
      <c r="S649" s="311" t="e">
        <v>#N/A</v>
      </c>
      <c r="T649" s="311">
        <v>8544700000</v>
      </c>
      <c r="U649" s="312">
        <v>0</v>
      </c>
      <c r="V649" s="313">
        <v>30</v>
      </c>
      <c r="W649" s="311">
        <v>45</v>
      </c>
      <c r="X649" s="311">
        <v>55</v>
      </c>
      <c r="Y649" s="311" t="s">
        <v>691</v>
      </c>
      <c r="Z649" s="314">
        <f t="shared" si="977"/>
        <v>4087.8</v>
      </c>
      <c r="AA649" s="314"/>
      <c r="AB649" s="315">
        <f t="shared" si="978"/>
        <v>3728.507462686568</v>
      </c>
      <c r="AC649" s="315"/>
      <c r="AD649" s="316">
        <f t="shared" si="979"/>
        <v>7.0000000000000007E-2</v>
      </c>
      <c r="AE649" s="316">
        <v>7.0000000000000007E-2</v>
      </c>
      <c r="AF649" s="316">
        <v>0.33</v>
      </c>
      <c r="AG649" s="316" t="s">
        <v>9</v>
      </c>
      <c r="AH649" s="317">
        <f t="shared" si="980"/>
        <v>3728.507462686568</v>
      </c>
      <c r="AI649" s="316">
        <f t="shared" si="981"/>
        <v>0.33000000000000007</v>
      </c>
      <c r="AJ649" s="444"/>
      <c r="AK649" s="318">
        <f t="shared" si="982"/>
        <v>2857.0645161290322</v>
      </c>
      <c r="AL649" s="317">
        <f t="shared" si="983"/>
        <v>2686.1290322580653</v>
      </c>
      <c r="AM649" s="319">
        <f t="shared" si="968"/>
        <v>0.30107526881720437</v>
      </c>
      <c r="AN649" s="319">
        <f t="shared" si="969"/>
        <v>0.27956989247311825</v>
      </c>
      <c r="AO649" s="136">
        <f t="shared" si="971"/>
        <v>0.37</v>
      </c>
      <c r="AP649" s="17" t="s">
        <v>1291</v>
      </c>
      <c r="AQ649" s="141"/>
      <c r="AR649" s="141"/>
      <c r="AS649" s="141"/>
      <c r="AT649" s="141"/>
      <c r="AU649" s="141"/>
      <c r="AV649" s="141"/>
      <c r="AW649" s="225">
        <v>2271</v>
      </c>
      <c r="AX649" s="126">
        <f t="shared" si="976"/>
        <v>2498.1000000000004</v>
      </c>
      <c r="AY649" s="198"/>
      <c r="AZ649" s="128"/>
      <c r="BB649" s="134">
        <f t="shared" si="984"/>
        <v>12428.358208955227</v>
      </c>
      <c r="BC649" s="134">
        <f t="shared" si="985"/>
        <v>7457.0149253731361</v>
      </c>
      <c r="BD649" s="134">
        <f t="shared" si="986"/>
        <v>6214.1791044776137</v>
      </c>
      <c r="BE649" s="134">
        <f t="shared" si="987"/>
        <v>4971.3432835820913</v>
      </c>
    </row>
    <row r="650" spans="1:58" s="129" customFormat="1" hidden="1">
      <c r="A650" s="88" t="s">
        <v>1276</v>
      </c>
      <c r="B650" s="88" t="s">
        <v>1318</v>
      </c>
      <c r="C650" s="88" t="s">
        <v>1318</v>
      </c>
      <c r="D650" s="88" t="s">
        <v>656</v>
      </c>
      <c r="E650" s="88" t="s">
        <v>684</v>
      </c>
      <c r="F650" s="89" t="s">
        <v>743</v>
      </c>
      <c r="G650" s="92" t="s">
        <v>765</v>
      </c>
      <c r="H650" s="320" t="s">
        <v>3402</v>
      </c>
      <c r="I650" s="167" t="s">
        <v>1681</v>
      </c>
      <c r="J650" s="167" t="str">
        <f>_xlfn.XLOOKUP(I650,[1]Sheet1!$A:$A,[1]Sheet1!$B:$B,"")</f>
        <v/>
      </c>
      <c r="K650" s="88" t="s">
        <v>1683</v>
      </c>
      <c r="L650" s="88" t="s">
        <v>1685</v>
      </c>
      <c r="M650" s="92" t="s">
        <v>125</v>
      </c>
      <c r="N650" s="89" t="s">
        <v>158</v>
      </c>
      <c r="O650" s="165"/>
      <c r="P650" s="89" t="s">
        <v>715</v>
      </c>
      <c r="Q650" s="92" t="s">
        <v>690</v>
      </c>
      <c r="R650" s="92">
        <v>2</v>
      </c>
      <c r="S650" s="92" t="e">
        <v>#N/A</v>
      </c>
      <c r="T650" s="92">
        <v>8544700000</v>
      </c>
      <c r="U650" s="155">
        <v>0</v>
      </c>
      <c r="V650" s="207">
        <v>30</v>
      </c>
      <c r="W650" s="92">
        <v>45</v>
      </c>
      <c r="X650" s="92">
        <v>55</v>
      </c>
      <c r="Y650" s="92" t="s">
        <v>691</v>
      </c>
      <c r="Z650" s="133">
        <f t="shared" si="977"/>
        <v>5868.8709677419347</v>
      </c>
      <c r="AA650" s="133"/>
      <c r="AB650" s="124">
        <f t="shared" si="978"/>
        <v>5345.3125000000009</v>
      </c>
      <c r="AC650" s="124"/>
      <c r="AD650" s="213">
        <f t="shared" si="979"/>
        <v>7.0000000000000007E-2</v>
      </c>
      <c r="AE650" s="213">
        <v>7.0000000000000007E-2</v>
      </c>
      <c r="AF650" s="215">
        <v>0.36</v>
      </c>
      <c r="AG650" s="215" t="s">
        <v>9</v>
      </c>
      <c r="AH650" s="148">
        <f t="shared" si="980"/>
        <v>5345.3125000000009</v>
      </c>
      <c r="AI650" s="122">
        <f t="shared" si="981"/>
        <v>0.36</v>
      </c>
      <c r="AJ650" s="444"/>
      <c r="AK650" s="150">
        <f t="shared" si="982"/>
        <v>3912.5806451612907</v>
      </c>
      <c r="AL650" s="148">
        <f t="shared" si="983"/>
        <v>3678.4946236559149</v>
      </c>
      <c r="AM650" s="125">
        <f t="shared" si="968"/>
        <v>0.33333333333333315</v>
      </c>
      <c r="AN650" s="125">
        <f t="shared" si="969"/>
        <v>0.31182795698924726</v>
      </c>
      <c r="AO650" s="136">
        <f t="shared" si="971"/>
        <v>0.39999999999999997</v>
      </c>
      <c r="AP650" s="17" t="s">
        <v>1291</v>
      </c>
      <c r="AQ650" s="141"/>
      <c r="AR650" s="141"/>
      <c r="AS650" s="141"/>
      <c r="AT650" s="141"/>
      <c r="AU650" s="141"/>
      <c r="AV650" s="141"/>
      <c r="AW650" s="225">
        <v>3110</v>
      </c>
      <c r="AX650" s="126">
        <f t="shared" si="976"/>
        <v>3421.0000000000005</v>
      </c>
      <c r="AY650" s="198"/>
      <c r="AZ650" s="128"/>
      <c r="BB650" s="134">
        <f t="shared" si="984"/>
        <v>17817.708333333336</v>
      </c>
      <c r="BC650" s="134">
        <f t="shared" si="985"/>
        <v>10690.625000000002</v>
      </c>
      <c r="BD650" s="134">
        <f t="shared" si="986"/>
        <v>8908.8541666666679</v>
      </c>
      <c r="BE650" s="134">
        <f t="shared" si="987"/>
        <v>7127.0833333333348</v>
      </c>
    </row>
    <row r="651" spans="1:58" s="129" customFormat="1" hidden="1">
      <c r="A651" s="88" t="s">
        <v>1276</v>
      </c>
      <c r="B651" s="88" t="s">
        <v>1318</v>
      </c>
      <c r="C651" s="88" t="s">
        <v>1318</v>
      </c>
      <c r="D651" s="88" t="s">
        <v>656</v>
      </c>
      <c r="E651" s="88" t="s">
        <v>684</v>
      </c>
      <c r="F651" s="89" t="s">
        <v>743</v>
      </c>
      <c r="G651" s="92" t="s">
        <v>765</v>
      </c>
      <c r="H651" s="320" t="s">
        <v>3405</v>
      </c>
      <c r="I651" s="167" t="s">
        <v>3337</v>
      </c>
      <c r="J651" s="167" t="str">
        <f>_xlfn.XLOOKUP(I651,[1]Sheet1!$A:$A,[1]Sheet1!$B:$B,"")</f>
        <v/>
      </c>
      <c r="K651" s="310" t="s">
        <v>3338</v>
      </c>
      <c r="L651" s="310" t="s">
        <v>3339</v>
      </c>
      <c r="M651" s="92" t="s">
        <v>125</v>
      </c>
      <c r="N651" s="89" t="s">
        <v>158</v>
      </c>
      <c r="O651" s="165"/>
      <c r="P651" s="89" t="s">
        <v>715</v>
      </c>
      <c r="Q651" s="92" t="s">
        <v>690</v>
      </c>
      <c r="R651" s="92">
        <v>2</v>
      </c>
      <c r="S651" s="311" t="e">
        <v>#N/A</v>
      </c>
      <c r="T651" s="311">
        <v>8544700000</v>
      </c>
      <c r="U651" s="312">
        <v>0</v>
      </c>
      <c r="V651" s="313">
        <v>30</v>
      </c>
      <c r="W651" s="311">
        <v>45</v>
      </c>
      <c r="X651" s="311">
        <v>55</v>
      </c>
      <c r="Y651" s="311" t="s">
        <v>691</v>
      </c>
      <c r="Z651" s="314">
        <f t="shared" si="977"/>
        <v>10512.000000000002</v>
      </c>
      <c r="AA651" s="314"/>
      <c r="AB651" s="315">
        <f t="shared" si="978"/>
        <v>9588.0597014925388</v>
      </c>
      <c r="AC651" s="315"/>
      <c r="AD651" s="316">
        <f t="shared" si="979"/>
        <v>7.0000000000000007E-2</v>
      </c>
      <c r="AE651" s="316">
        <v>7.0000000000000007E-2</v>
      </c>
      <c r="AF651" s="316">
        <v>0.33</v>
      </c>
      <c r="AG651" s="316" t="s">
        <v>9</v>
      </c>
      <c r="AH651" s="317">
        <f t="shared" si="980"/>
        <v>9588.0597014925388</v>
      </c>
      <c r="AI651" s="316">
        <f t="shared" si="981"/>
        <v>0.32999999999999996</v>
      </c>
      <c r="AJ651" s="444"/>
      <c r="AK651" s="318">
        <f t="shared" si="982"/>
        <v>7347.0967741935483</v>
      </c>
      <c r="AL651" s="317">
        <f t="shared" si="983"/>
        <v>6907.5268817204314</v>
      </c>
      <c r="AM651" s="319">
        <f t="shared" si="968"/>
        <v>0.30107526881720448</v>
      </c>
      <c r="AN651" s="319">
        <f t="shared" si="969"/>
        <v>0.27956989247311825</v>
      </c>
      <c r="AO651" s="136">
        <f t="shared" si="971"/>
        <v>0.37</v>
      </c>
      <c r="AP651" s="17" t="s">
        <v>1291</v>
      </c>
      <c r="AQ651" s="141"/>
      <c r="AR651" s="141"/>
      <c r="AS651" s="141"/>
      <c r="AT651" s="141"/>
      <c r="AU651" s="141"/>
      <c r="AV651" s="141"/>
      <c r="AW651" s="225">
        <v>5840</v>
      </c>
      <c r="AX651" s="126">
        <f t="shared" si="976"/>
        <v>6424.0000000000009</v>
      </c>
      <c r="AY651" s="198"/>
      <c r="AZ651" s="128"/>
      <c r="BB651" s="134">
        <f t="shared" si="984"/>
        <v>31960.199004975129</v>
      </c>
      <c r="BC651" s="134">
        <f t="shared" si="985"/>
        <v>19176.119402985078</v>
      </c>
      <c r="BD651" s="134">
        <f t="shared" si="986"/>
        <v>15980.099502487565</v>
      </c>
      <c r="BE651" s="134">
        <f t="shared" si="987"/>
        <v>12784.079601990052</v>
      </c>
    </row>
    <row r="652" spans="1:58" s="129" customFormat="1" hidden="1">
      <c r="A652" s="88" t="s">
        <v>1276</v>
      </c>
      <c r="B652" s="88" t="s">
        <v>1318</v>
      </c>
      <c r="C652" s="88" t="s">
        <v>1318</v>
      </c>
      <c r="D652" s="88" t="s">
        <v>656</v>
      </c>
      <c r="E652" s="88" t="s">
        <v>684</v>
      </c>
      <c r="F652" s="89" t="s">
        <v>743</v>
      </c>
      <c r="G652" s="92" t="s">
        <v>765</v>
      </c>
      <c r="H652" s="320" t="s">
        <v>3403</v>
      </c>
      <c r="I652" s="167" t="s">
        <v>3340</v>
      </c>
      <c r="J652" s="167" t="str">
        <f>_xlfn.XLOOKUP(I652,[1]Sheet1!$A:$A,[1]Sheet1!$B:$B,"")</f>
        <v/>
      </c>
      <c r="K652" s="310" t="s">
        <v>3341</v>
      </c>
      <c r="L652" s="310" t="s">
        <v>3342</v>
      </c>
      <c r="M652" s="92" t="s">
        <v>125</v>
      </c>
      <c r="N652" s="89" t="s">
        <v>158</v>
      </c>
      <c r="O652" s="165"/>
      <c r="P652" s="89" t="s">
        <v>715</v>
      </c>
      <c r="Q652" s="92" t="s">
        <v>690</v>
      </c>
      <c r="R652" s="92">
        <v>2</v>
      </c>
      <c r="S652" s="311" t="e">
        <v>#N/A</v>
      </c>
      <c r="T652" s="311">
        <v>8544700000</v>
      </c>
      <c r="U652" s="312">
        <v>0</v>
      </c>
      <c r="V652" s="313">
        <v>30</v>
      </c>
      <c r="W652" s="311">
        <v>45</v>
      </c>
      <c r="X652" s="311">
        <v>55</v>
      </c>
      <c r="Y652" s="311" t="s">
        <v>691</v>
      </c>
      <c r="Z652" s="314">
        <f t="shared" si="977"/>
        <v>13959.000000000002</v>
      </c>
      <c r="AA652" s="314"/>
      <c r="AB652" s="315">
        <f t="shared" si="978"/>
        <v>12732.089552238807</v>
      </c>
      <c r="AC652" s="315"/>
      <c r="AD652" s="316">
        <f t="shared" si="979"/>
        <v>7.0000000000000007E-2</v>
      </c>
      <c r="AE652" s="316">
        <v>7.0000000000000007E-2</v>
      </c>
      <c r="AF652" s="316">
        <v>0.33</v>
      </c>
      <c r="AG652" s="316" t="s">
        <v>9</v>
      </c>
      <c r="AH652" s="317">
        <f t="shared" si="980"/>
        <v>12732.089552238807</v>
      </c>
      <c r="AI652" s="316">
        <f t="shared" si="981"/>
        <v>0.33000000000000007</v>
      </c>
      <c r="AJ652" s="444"/>
      <c r="AK652" s="318">
        <f t="shared" si="982"/>
        <v>9756.2903225806458</v>
      </c>
      <c r="AL652" s="317">
        <f t="shared" si="983"/>
        <v>9172.5806451612916</v>
      </c>
      <c r="AM652" s="319">
        <f t="shared" si="968"/>
        <v>0.30107526881720437</v>
      </c>
      <c r="AN652" s="319">
        <f t="shared" si="969"/>
        <v>0.27956989247311825</v>
      </c>
      <c r="AO652" s="136">
        <f t="shared" si="971"/>
        <v>0.37</v>
      </c>
      <c r="AP652" s="17" t="s">
        <v>1291</v>
      </c>
      <c r="AQ652" s="141"/>
      <c r="AR652" s="141"/>
      <c r="AS652" s="141"/>
      <c r="AT652" s="141"/>
      <c r="AU652" s="141"/>
      <c r="AV652" s="141"/>
      <c r="AW652" s="225">
        <v>7755</v>
      </c>
      <c r="AX652" s="126">
        <f t="shared" si="976"/>
        <v>8530.5</v>
      </c>
      <c r="AY652" s="198"/>
      <c r="AZ652" s="128"/>
      <c r="BB652" s="134">
        <f t="shared" si="984"/>
        <v>42440.298507462692</v>
      </c>
      <c r="BC652" s="134">
        <f t="shared" si="985"/>
        <v>25464.179104477615</v>
      </c>
      <c r="BD652" s="134">
        <f t="shared" si="986"/>
        <v>21220.149253731346</v>
      </c>
      <c r="BE652" s="134">
        <f t="shared" si="987"/>
        <v>16976.119402985078</v>
      </c>
    </row>
    <row r="653" spans="1:58" s="129" customFormat="1" hidden="1">
      <c r="A653" s="88" t="s">
        <v>1276</v>
      </c>
      <c r="B653" s="88" t="s">
        <v>1318</v>
      </c>
      <c r="C653" s="88" t="s">
        <v>1318</v>
      </c>
      <c r="D653" s="88" t="s">
        <v>656</v>
      </c>
      <c r="E653" s="88" t="s">
        <v>684</v>
      </c>
      <c r="F653" s="89" t="s">
        <v>743</v>
      </c>
      <c r="G653" s="92" t="s">
        <v>765</v>
      </c>
      <c r="H653" s="320" t="s">
        <v>3406</v>
      </c>
      <c r="I653" s="167" t="s">
        <v>3343</v>
      </c>
      <c r="J653" s="167" t="str">
        <f>_xlfn.XLOOKUP(I653,[1]Sheet1!$A:$A,[1]Sheet1!$B:$B,"")</f>
        <v/>
      </c>
      <c r="K653" s="310" t="s">
        <v>3344</v>
      </c>
      <c r="L653" s="310" t="s">
        <v>3345</v>
      </c>
      <c r="M653" s="92" t="s">
        <v>125</v>
      </c>
      <c r="N653" s="89" t="s">
        <v>158</v>
      </c>
      <c r="O653" s="165"/>
      <c r="P653" s="89" t="s">
        <v>715</v>
      </c>
      <c r="Q653" s="92" t="s">
        <v>690</v>
      </c>
      <c r="R653" s="92">
        <v>2</v>
      </c>
      <c r="S653" s="311" t="e">
        <v>#N/A</v>
      </c>
      <c r="T653" s="311">
        <v>8544700000</v>
      </c>
      <c r="U653" s="312">
        <v>0</v>
      </c>
      <c r="V653" s="313">
        <v>30</v>
      </c>
      <c r="W653" s="311">
        <v>45</v>
      </c>
      <c r="X653" s="311">
        <v>55</v>
      </c>
      <c r="Y653" s="311" t="s">
        <v>691</v>
      </c>
      <c r="Z653" s="314">
        <f t="shared" si="977"/>
        <v>15237.000000000002</v>
      </c>
      <c r="AA653" s="314"/>
      <c r="AB653" s="315">
        <f t="shared" si="978"/>
        <v>13897.761194029852</v>
      </c>
      <c r="AC653" s="315"/>
      <c r="AD653" s="316">
        <f t="shared" si="979"/>
        <v>7.0000000000000007E-2</v>
      </c>
      <c r="AE653" s="316">
        <v>7.0000000000000007E-2</v>
      </c>
      <c r="AF653" s="316">
        <v>0.33</v>
      </c>
      <c r="AG653" s="316" t="s">
        <v>9</v>
      </c>
      <c r="AH653" s="317">
        <f t="shared" si="980"/>
        <v>13897.761194029852</v>
      </c>
      <c r="AI653" s="316">
        <f t="shared" si="981"/>
        <v>0.33000000000000007</v>
      </c>
      <c r="AJ653" s="444"/>
      <c r="AK653" s="318">
        <f t="shared" si="982"/>
        <v>10649.516129032258</v>
      </c>
      <c r="AL653" s="317">
        <f t="shared" si="983"/>
        <v>10012.365591397851</v>
      </c>
      <c r="AM653" s="319">
        <f t="shared" si="968"/>
        <v>0.30107526881720437</v>
      </c>
      <c r="AN653" s="319">
        <f t="shared" si="969"/>
        <v>0.27956989247311825</v>
      </c>
      <c r="AO653" s="136">
        <f t="shared" si="971"/>
        <v>0.37</v>
      </c>
      <c r="AP653" s="17" t="s">
        <v>1291</v>
      </c>
      <c r="AQ653" s="141"/>
      <c r="AR653" s="141"/>
      <c r="AS653" s="141"/>
      <c r="AT653" s="141"/>
      <c r="AU653" s="141"/>
      <c r="AV653" s="141"/>
      <c r="AW653" s="225">
        <v>8465</v>
      </c>
      <c r="AX653" s="126">
        <f t="shared" si="976"/>
        <v>9311.5</v>
      </c>
      <c r="AY653" s="198"/>
      <c r="AZ653" s="128"/>
      <c r="BB653" s="134">
        <f t="shared" si="984"/>
        <v>46325.870646766176</v>
      </c>
      <c r="BC653" s="134">
        <f t="shared" si="985"/>
        <v>27795.522388059704</v>
      </c>
      <c r="BD653" s="134">
        <f t="shared" si="986"/>
        <v>23162.935323383088</v>
      </c>
      <c r="BE653" s="134">
        <f t="shared" si="987"/>
        <v>18530.348258706472</v>
      </c>
    </row>
    <row r="654" spans="1:58" s="129" customFormat="1" hidden="1">
      <c r="A654" s="88" t="s">
        <v>1276</v>
      </c>
      <c r="B654" s="88" t="s">
        <v>1318</v>
      </c>
      <c r="C654" s="88" t="s">
        <v>1318</v>
      </c>
      <c r="D654" s="88" t="s">
        <v>656</v>
      </c>
      <c r="E654" s="88" t="s">
        <v>684</v>
      </c>
      <c r="F654" s="89" t="s">
        <v>743</v>
      </c>
      <c r="G654" s="92" t="s">
        <v>765</v>
      </c>
      <c r="H654" s="320" t="s">
        <v>3407</v>
      </c>
      <c r="I654" s="167" t="s">
        <v>3346</v>
      </c>
      <c r="J654" s="167" t="str">
        <f>_xlfn.XLOOKUP(I654,[1]Sheet1!$A:$A,[1]Sheet1!$B:$B,"")</f>
        <v/>
      </c>
      <c r="K654" s="310" t="s">
        <v>3347</v>
      </c>
      <c r="L654" s="310" t="s">
        <v>3348</v>
      </c>
      <c r="M654" s="92" t="s">
        <v>125</v>
      </c>
      <c r="N654" s="89" t="s">
        <v>158</v>
      </c>
      <c r="O654" s="165"/>
      <c r="P654" s="89" t="s">
        <v>715</v>
      </c>
      <c r="Q654" s="92" t="s">
        <v>690</v>
      </c>
      <c r="R654" s="92">
        <v>2</v>
      </c>
      <c r="S654" s="311" t="e">
        <v>#N/A</v>
      </c>
      <c r="T654" s="311">
        <v>8544700000</v>
      </c>
      <c r="U654" s="312">
        <v>0</v>
      </c>
      <c r="V654" s="313">
        <v>30</v>
      </c>
      <c r="W654" s="311">
        <v>45</v>
      </c>
      <c r="X654" s="311">
        <v>55</v>
      </c>
      <c r="Y654" s="311" t="s">
        <v>691</v>
      </c>
      <c r="Z654" s="314">
        <f t="shared" si="977"/>
        <v>40320.000000000007</v>
      </c>
      <c r="AA654" s="314"/>
      <c r="AB654" s="315">
        <f t="shared" si="978"/>
        <v>36776.119402985081</v>
      </c>
      <c r="AC654" s="315"/>
      <c r="AD654" s="316">
        <f t="shared" si="979"/>
        <v>7.0000000000000007E-2</v>
      </c>
      <c r="AE654" s="316">
        <v>7.0000000000000007E-2</v>
      </c>
      <c r="AF654" s="316">
        <v>0.33</v>
      </c>
      <c r="AG654" s="316" t="s">
        <v>9</v>
      </c>
      <c r="AH654" s="317">
        <f t="shared" si="980"/>
        <v>36776.119402985081</v>
      </c>
      <c r="AI654" s="316">
        <f t="shared" si="981"/>
        <v>0.33000000000000007</v>
      </c>
      <c r="AJ654" s="444"/>
      <c r="AK654" s="318">
        <f t="shared" si="982"/>
        <v>28180.645161290322</v>
      </c>
      <c r="AL654" s="317">
        <f t="shared" si="983"/>
        <v>26494.623655913983</v>
      </c>
      <c r="AM654" s="319">
        <f t="shared" si="968"/>
        <v>0.30107526881720448</v>
      </c>
      <c r="AN654" s="319">
        <f t="shared" si="969"/>
        <v>0.27956989247311825</v>
      </c>
      <c r="AO654" s="136">
        <f t="shared" si="971"/>
        <v>0.37</v>
      </c>
      <c r="AP654" s="17" t="s">
        <v>1291</v>
      </c>
      <c r="AQ654" s="141"/>
      <c r="AR654" s="141"/>
      <c r="AS654" s="141"/>
      <c r="AT654" s="141"/>
      <c r="AU654" s="141"/>
      <c r="AV654" s="141"/>
      <c r="AW654" s="225">
        <v>22400</v>
      </c>
      <c r="AX654" s="126">
        <f t="shared" si="976"/>
        <v>24640.000000000004</v>
      </c>
      <c r="AY654" s="198"/>
      <c r="AZ654" s="128"/>
      <c r="BB654" s="134">
        <f t="shared" si="984"/>
        <v>122587.06467661694</v>
      </c>
      <c r="BC654" s="134">
        <f t="shared" si="985"/>
        <v>73552.238805970163</v>
      </c>
      <c r="BD654" s="134">
        <f t="shared" si="986"/>
        <v>61293.532338308469</v>
      </c>
      <c r="BE654" s="134">
        <f t="shared" si="987"/>
        <v>49034.825870646775</v>
      </c>
    </row>
    <row r="655" spans="1:58" s="129" customFormat="1" hidden="1">
      <c r="A655" s="88" t="s">
        <v>1276</v>
      </c>
      <c r="B655" s="88" t="s">
        <v>1318</v>
      </c>
      <c r="C655" s="88" t="s">
        <v>1318</v>
      </c>
      <c r="D655" s="88" t="s">
        <v>656</v>
      </c>
      <c r="E655" s="88" t="s">
        <v>684</v>
      </c>
      <c r="F655" s="89" t="s">
        <v>702</v>
      </c>
      <c r="G655" s="92" t="s">
        <v>765</v>
      </c>
      <c r="H655" s="320" t="s">
        <v>3398</v>
      </c>
      <c r="I655" s="167" t="s">
        <v>784</v>
      </c>
      <c r="J655" s="167" t="str">
        <f>_xlfn.XLOOKUP(I655,[1]Sheet1!$A:$A,[1]Sheet1!$B:$B,"")</f>
        <v>U0807010</v>
      </c>
      <c r="K655" s="88" t="s">
        <v>785</v>
      </c>
      <c r="L655" s="88" t="s">
        <v>786</v>
      </c>
      <c r="M655" s="92" t="s">
        <v>125</v>
      </c>
      <c r="N655" s="89" t="s">
        <v>158</v>
      </c>
      <c r="O655" s="165"/>
      <c r="P655" s="89" t="s">
        <v>715</v>
      </c>
      <c r="Q655" s="92" t="s">
        <v>690</v>
      </c>
      <c r="R655" s="92">
        <v>2</v>
      </c>
      <c r="S655" s="92" t="e">
        <v>#N/A</v>
      </c>
      <c r="T655" s="92">
        <v>8544700000</v>
      </c>
      <c r="U655" s="155">
        <v>0</v>
      </c>
      <c r="V655" s="207">
        <v>30</v>
      </c>
      <c r="W655" s="92">
        <v>45</v>
      </c>
      <c r="X655" s="92">
        <v>55</v>
      </c>
      <c r="Y655" s="92" t="s">
        <v>691</v>
      </c>
      <c r="Z655" s="133">
        <f t="shared" si="977"/>
        <v>905.80645161290317</v>
      </c>
      <c r="AA655" s="133"/>
      <c r="AB655" s="124">
        <f t="shared" si="966"/>
        <v>825</v>
      </c>
      <c r="AC655" s="124"/>
      <c r="AD655" s="213">
        <f t="shared" si="967"/>
        <v>7.0000000000000007E-2</v>
      </c>
      <c r="AE655" s="213">
        <v>7.0000000000000007E-2</v>
      </c>
      <c r="AF655" s="215">
        <v>0.36</v>
      </c>
      <c r="AG655" s="215" t="s">
        <v>9</v>
      </c>
      <c r="AH655" s="148">
        <f t="shared" si="965"/>
        <v>825</v>
      </c>
      <c r="AI655" s="122">
        <f t="shared" si="970"/>
        <v>0.36</v>
      </c>
      <c r="AJ655" s="444"/>
      <c r="AK655" s="150">
        <f t="shared" si="982"/>
        <v>603.87096774193549</v>
      </c>
      <c r="AL655" s="148">
        <f t="shared" si="962"/>
        <v>567.74193548387098</v>
      </c>
      <c r="AM655" s="125">
        <f t="shared" si="968"/>
        <v>0.33333333333333326</v>
      </c>
      <c r="AN655" s="125">
        <f t="shared" si="969"/>
        <v>0.31182795698924726</v>
      </c>
      <c r="AO655" s="136">
        <f t="shared" si="971"/>
        <v>0.39999999999999997</v>
      </c>
      <c r="AP655" s="17" t="s">
        <v>1291</v>
      </c>
      <c r="AQ655" s="141"/>
      <c r="AR655" s="141"/>
      <c r="AS655" s="141"/>
      <c r="AT655" s="141"/>
      <c r="AU655" s="141"/>
      <c r="AV655" s="141"/>
      <c r="AW655" s="225">
        <v>480</v>
      </c>
      <c r="AX655" s="126">
        <f t="shared" si="976"/>
        <v>528</v>
      </c>
      <c r="AY655" s="198"/>
      <c r="AZ655" s="128"/>
      <c r="BB655" s="134">
        <f t="shared" si="984"/>
        <v>2750</v>
      </c>
      <c r="BC655" s="134">
        <f t="shared" si="985"/>
        <v>1650</v>
      </c>
      <c r="BD655" s="134">
        <f t="shared" si="986"/>
        <v>1375</v>
      </c>
      <c r="BE655" s="134">
        <f t="shared" si="987"/>
        <v>1100</v>
      </c>
    </row>
    <row r="656" spans="1:58" s="129" customFormat="1" hidden="1">
      <c r="A656" s="88" t="s">
        <v>1276</v>
      </c>
      <c r="B656" s="88" t="s">
        <v>1318</v>
      </c>
      <c r="C656" s="88" t="s">
        <v>1318</v>
      </c>
      <c r="D656" s="88" t="s">
        <v>656</v>
      </c>
      <c r="E656" s="88" t="s">
        <v>684</v>
      </c>
      <c r="F656" s="89" t="s">
        <v>702</v>
      </c>
      <c r="G656" s="92" t="s">
        <v>765</v>
      </c>
      <c r="H656" s="320" t="s">
        <v>3399</v>
      </c>
      <c r="I656" s="167" t="s">
        <v>2404</v>
      </c>
      <c r="J656" s="167" t="str">
        <f>_xlfn.XLOOKUP(I656,[1]Sheet1!$A:$A,[1]Sheet1!$B:$B,"")</f>
        <v>U0807014</v>
      </c>
      <c r="K656" s="88" t="s">
        <v>788</v>
      </c>
      <c r="L656" s="88" t="s">
        <v>789</v>
      </c>
      <c r="M656" s="92" t="s">
        <v>125</v>
      </c>
      <c r="N656" s="89" t="s">
        <v>158</v>
      </c>
      <c r="O656" s="165"/>
      <c r="P656" s="89" t="s">
        <v>715</v>
      </c>
      <c r="Q656" s="92" t="s">
        <v>690</v>
      </c>
      <c r="R656" s="92">
        <v>2</v>
      </c>
      <c r="S656" s="92" t="e">
        <v>#N/A</v>
      </c>
      <c r="T656" s="92">
        <v>8544700000</v>
      </c>
      <c r="U656" s="155">
        <v>0</v>
      </c>
      <c r="V656" s="207">
        <v>30</v>
      </c>
      <c r="W656" s="92">
        <v>45</v>
      </c>
      <c r="X656" s="92">
        <v>55</v>
      </c>
      <c r="Y656" s="92" t="s">
        <v>691</v>
      </c>
      <c r="Z656" s="133">
        <f t="shared" si="977"/>
        <v>1122.8225806451612</v>
      </c>
      <c r="AA656" s="133"/>
      <c r="AB656" s="124">
        <f t="shared" si="966"/>
        <v>1022.65625</v>
      </c>
      <c r="AC656" s="124"/>
      <c r="AD656" s="213">
        <f t="shared" si="967"/>
        <v>7.0000000000000007E-2</v>
      </c>
      <c r="AE656" s="213">
        <v>7.0000000000000007E-2</v>
      </c>
      <c r="AF656" s="215">
        <v>0.36</v>
      </c>
      <c r="AG656" s="215" t="s">
        <v>9</v>
      </c>
      <c r="AH656" s="148">
        <f t="shared" si="965"/>
        <v>1022.65625</v>
      </c>
      <c r="AI656" s="122">
        <f t="shared" si="970"/>
        <v>0.36</v>
      </c>
      <c r="AJ656" s="444"/>
      <c r="AK656" s="150">
        <f t="shared" si="982"/>
        <v>748.54838709677426</v>
      </c>
      <c r="AL656" s="148">
        <f t="shared" si="962"/>
        <v>703.76344086021516</v>
      </c>
      <c r="AM656" s="125">
        <f t="shared" si="968"/>
        <v>0.33333333333333326</v>
      </c>
      <c r="AN656" s="125">
        <f t="shared" si="969"/>
        <v>0.31182795698924726</v>
      </c>
      <c r="AO656" s="136">
        <f t="shared" si="971"/>
        <v>0.39999999999999997</v>
      </c>
      <c r="AP656" s="17" t="s">
        <v>1291</v>
      </c>
      <c r="AQ656" s="141"/>
      <c r="AR656" s="141"/>
      <c r="AS656" s="141"/>
      <c r="AT656" s="141"/>
      <c r="AU656" s="141"/>
      <c r="AV656" s="141"/>
      <c r="AW656" s="225">
        <v>595</v>
      </c>
      <c r="AX656" s="126">
        <f t="shared" si="976"/>
        <v>654.5</v>
      </c>
      <c r="AY656" s="198"/>
      <c r="AZ656" s="128"/>
      <c r="BB656" s="134">
        <f t="shared" si="984"/>
        <v>3408.854166666667</v>
      </c>
      <c r="BC656" s="134">
        <f t="shared" si="985"/>
        <v>2045.3125</v>
      </c>
      <c r="BD656" s="134">
        <f t="shared" si="986"/>
        <v>1704.4270833333335</v>
      </c>
      <c r="BE656" s="134">
        <f t="shared" si="987"/>
        <v>1363.541666666667</v>
      </c>
    </row>
    <row r="657" spans="1:58" s="129" customFormat="1" hidden="1">
      <c r="A657" s="88" t="s">
        <v>1276</v>
      </c>
      <c r="B657" s="88" t="s">
        <v>1318</v>
      </c>
      <c r="C657" s="88" t="s">
        <v>1318</v>
      </c>
      <c r="D657" s="88" t="s">
        <v>656</v>
      </c>
      <c r="E657" s="88" t="s">
        <v>684</v>
      </c>
      <c r="F657" s="89" t="s">
        <v>702</v>
      </c>
      <c r="G657" s="92" t="s">
        <v>765</v>
      </c>
      <c r="H657" s="320" t="s">
        <v>3400</v>
      </c>
      <c r="I657" s="167" t="s">
        <v>790</v>
      </c>
      <c r="J657" s="167" t="str">
        <f>_xlfn.XLOOKUP(I657,[1]Sheet1!$A:$A,[1]Sheet1!$B:$B,"")</f>
        <v>U0807002</v>
      </c>
      <c r="K657" s="88" t="s">
        <v>791</v>
      </c>
      <c r="L657" s="88" t="s">
        <v>792</v>
      </c>
      <c r="M657" s="92" t="s">
        <v>125</v>
      </c>
      <c r="N657" s="89" t="s">
        <v>158</v>
      </c>
      <c r="O657" s="165"/>
      <c r="P657" s="89" t="s">
        <v>715</v>
      </c>
      <c r="Q657" s="92" t="s">
        <v>690</v>
      </c>
      <c r="R657" s="92">
        <v>2</v>
      </c>
      <c r="S657" s="92" t="e">
        <v>#N/A</v>
      </c>
      <c r="T657" s="92">
        <v>8544700000</v>
      </c>
      <c r="U657" s="155">
        <v>0</v>
      </c>
      <c r="V657" s="207">
        <v>30</v>
      </c>
      <c r="W657" s="92">
        <v>45</v>
      </c>
      <c r="X657" s="92">
        <v>55</v>
      </c>
      <c r="Y657" s="92" t="s">
        <v>691</v>
      </c>
      <c r="Z657" s="133">
        <f t="shared" si="977"/>
        <v>1553.0806451612902</v>
      </c>
      <c r="AA657" s="133"/>
      <c r="AB657" s="124">
        <f t="shared" si="966"/>
        <v>1414.53125</v>
      </c>
      <c r="AC657" s="124"/>
      <c r="AD657" s="213">
        <f t="shared" si="967"/>
        <v>7.0000000000000007E-2</v>
      </c>
      <c r="AE657" s="213">
        <v>7.0000000000000007E-2</v>
      </c>
      <c r="AF657" s="215">
        <v>0.36</v>
      </c>
      <c r="AG657" s="215" t="s">
        <v>9</v>
      </c>
      <c r="AH657" s="148">
        <f t="shared" si="965"/>
        <v>1414.53125</v>
      </c>
      <c r="AI657" s="122">
        <f t="shared" si="970"/>
        <v>0.36</v>
      </c>
      <c r="AJ657" s="444"/>
      <c r="AK657" s="150">
        <f t="shared" si="982"/>
        <v>1035.3870967741937</v>
      </c>
      <c r="AL657" s="148">
        <f t="shared" si="962"/>
        <v>973.44086021505393</v>
      </c>
      <c r="AM657" s="125">
        <f t="shared" si="968"/>
        <v>0.33333333333333326</v>
      </c>
      <c r="AN657" s="125">
        <f t="shared" si="969"/>
        <v>0.31182795698924715</v>
      </c>
      <c r="AO657" s="136">
        <f t="shared" si="971"/>
        <v>0.39999999999999997</v>
      </c>
      <c r="AP657" s="17" t="s">
        <v>1291</v>
      </c>
      <c r="AQ657" s="141"/>
      <c r="AR657" s="141"/>
      <c r="AS657" s="141"/>
      <c r="AT657" s="141"/>
      <c r="AU657" s="141"/>
      <c r="AV657" s="141"/>
      <c r="AW657" s="225">
        <v>823</v>
      </c>
      <c r="AX657" s="126">
        <f t="shared" si="976"/>
        <v>905.30000000000007</v>
      </c>
      <c r="AY657" s="198"/>
      <c r="AZ657" s="128"/>
      <c r="BB657" s="134">
        <f t="shared" si="984"/>
        <v>4715.104166666667</v>
      </c>
      <c r="BC657" s="134">
        <f t="shared" si="985"/>
        <v>2829.0625</v>
      </c>
      <c r="BD657" s="134">
        <f t="shared" si="986"/>
        <v>2357.5520833333335</v>
      </c>
      <c r="BE657" s="134">
        <f t="shared" si="987"/>
        <v>1886.041666666667</v>
      </c>
    </row>
    <row r="658" spans="1:58" s="172" customFormat="1" hidden="1">
      <c r="A658" s="88" t="s">
        <v>1276</v>
      </c>
      <c r="B658" s="88" t="s">
        <v>1318</v>
      </c>
      <c r="C658" s="88" t="s">
        <v>1318</v>
      </c>
      <c r="D658" s="88" t="s">
        <v>656</v>
      </c>
      <c r="E658" s="88" t="s">
        <v>684</v>
      </c>
      <c r="F658" s="89" t="s">
        <v>702</v>
      </c>
      <c r="G658" s="92" t="s">
        <v>765</v>
      </c>
      <c r="H658" s="320" t="s">
        <v>3401</v>
      </c>
      <c r="I658" s="167" t="s">
        <v>793</v>
      </c>
      <c r="J658" s="167" t="str">
        <f>_xlfn.XLOOKUP(I658,[1]Sheet1!$A:$A,[1]Sheet1!$B:$B,"")</f>
        <v>U0807006</v>
      </c>
      <c r="K658" s="88" t="s">
        <v>794</v>
      </c>
      <c r="L658" s="88" t="s">
        <v>795</v>
      </c>
      <c r="M658" s="92" t="s">
        <v>125</v>
      </c>
      <c r="N658" s="89" t="s">
        <v>158</v>
      </c>
      <c r="O658" s="165"/>
      <c r="P658" s="89" t="s">
        <v>715</v>
      </c>
      <c r="Q658" s="92" t="s">
        <v>690</v>
      </c>
      <c r="R658" s="92">
        <v>2</v>
      </c>
      <c r="S658" s="92" t="e">
        <v>#N/A</v>
      </c>
      <c r="T658" s="92">
        <v>8544700000</v>
      </c>
      <c r="U658" s="155">
        <v>0</v>
      </c>
      <c r="V658" s="207">
        <v>30</v>
      </c>
      <c r="W658" s="92">
        <v>45</v>
      </c>
      <c r="X658" s="92">
        <v>55</v>
      </c>
      <c r="Y658" s="92" t="s">
        <v>691</v>
      </c>
      <c r="Z658" s="133">
        <f t="shared" si="977"/>
        <v>2849.516129032258</v>
      </c>
      <c r="AA658" s="133"/>
      <c r="AB658" s="124">
        <f t="shared" si="966"/>
        <v>2595.3125000000005</v>
      </c>
      <c r="AC658" s="124"/>
      <c r="AD658" s="213">
        <f t="shared" si="967"/>
        <v>7.0000000000000007E-2</v>
      </c>
      <c r="AE658" s="213">
        <v>7.0000000000000007E-2</v>
      </c>
      <c r="AF658" s="215">
        <v>0.36</v>
      </c>
      <c r="AG658" s="215" t="s">
        <v>9</v>
      </c>
      <c r="AH658" s="148">
        <f t="shared" si="965"/>
        <v>2595.3125000000005</v>
      </c>
      <c r="AI658" s="122">
        <f t="shared" si="970"/>
        <v>0.36</v>
      </c>
      <c r="AJ658" s="444"/>
      <c r="AK658" s="150">
        <f t="shared" si="982"/>
        <v>1899.6774193548388</v>
      </c>
      <c r="AL658" s="148">
        <f t="shared" si="962"/>
        <v>1786.0215053763445</v>
      </c>
      <c r="AM658" s="125">
        <f t="shared" ref="AM658:AM690" si="988">1-(AK658/Z658)</f>
        <v>0.33333333333333326</v>
      </c>
      <c r="AN658" s="125">
        <f t="shared" ref="AN658:AN690" si="989">1-(AL658/AB658)</f>
        <v>0.31182795698924726</v>
      </c>
      <c r="AO658" s="136">
        <f t="shared" si="971"/>
        <v>0.39999999999999997</v>
      </c>
      <c r="AP658" s="17" t="s">
        <v>1291</v>
      </c>
      <c r="AQ658" s="141"/>
      <c r="AR658" s="141"/>
      <c r="AS658" s="141"/>
      <c r="AT658" s="141"/>
      <c r="AU658" s="141"/>
      <c r="AV658" s="141"/>
      <c r="AW658" s="225">
        <v>1510</v>
      </c>
      <c r="AX658" s="126">
        <f t="shared" si="976"/>
        <v>1661.0000000000002</v>
      </c>
      <c r="AY658" s="198"/>
      <c r="AZ658" s="128"/>
      <c r="BB658" s="134">
        <f t="shared" si="984"/>
        <v>8651.0416666666679</v>
      </c>
      <c r="BC658" s="134">
        <f t="shared" si="985"/>
        <v>5190.6250000000009</v>
      </c>
      <c r="BD658" s="134">
        <f t="shared" si="986"/>
        <v>4325.5208333333339</v>
      </c>
      <c r="BE658" s="134">
        <f t="shared" si="987"/>
        <v>3460.4166666666674</v>
      </c>
      <c r="BF658" s="129"/>
    </row>
    <row r="659" spans="1:58" s="129" customFormat="1" hidden="1">
      <c r="A659" s="88" t="s">
        <v>1276</v>
      </c>
      <c r="B659" s="88" t="s">
        <v>1318</v>
      </c>
      <c r="C659" s="88" t="s">
        <v>1318</v>
      </c>
      <c r="D659" s="88" t="s">
        <v>656</v>
      </c>
      <c r="E659" s="88" t="s">
        <v>684</v>
      </c>
      <c r="F659" s="89" t="s">
        <v>702</v>
      </c>
      <c r="G659" s="92" t="s">
        <v>2351</v>
      </c>
      <c r="H659" s="320" t="s">
        <v>3398</v>
      </c>
      <c r="I659" s="167" t="s">
        <v>796</v>
      </c>
      <c r="J659" s="167" t="str">
        <f>_xlfn.XLOOKUP(I659,[1]Sheet1!$A:$A,[1]Sheet1!$B:$B,"")</f>
        <v>U0807011</v>
      </c>
      <c r="K659" s="88" t="s">
        <v>797</v>
      </c>
      <c r="L659" s="88" t="s">
        <v>798</v>
      </c>
      <c r="M659" s="92" t="s">
        <v>125</v>
      </c>
      <c r="N659" s="89" t="s">
        <v>158</v>
      </c>
      <c r="O659" s="165"/>
      <c r="P659" s="89" t="s">
        <v>715</v>
      </c>
      <c r="Q659" s="92" t="s">
        <v>690</v>
      </c>
      <c r="R659" s="92">
        <v>2</v>
      </c>
      <c r="S659" s="92" t="e">
        <v>#N/A</v>
      </c>
      <c r="T659" s="92">
        <v>8544700000</v>
      </c>
      <c r="U659" s="155">
        <v>0</v>
      </c>
      <c r="V659" s="207">
        <v>30</v>
      </c>
      <c r="W659" s="92">
        <v>45</v>
      </c>
      <c r="X659" s="92">
        <v>55</v>
      </c>
      <c r="Y659" s="92" t="s">
        <v>691</v>
      </c>
      <c r="Z659" s="133">
        <f t="shared" si="977"/>
        <v>1698.3870967741934</v>
      </c>
      <c r="AA659" s="133"/>
      <c r="AB659" s="124">
        <f t="shared" si="966"/>
        <v>1546.8750000000002</v>
      </c>
      <c r="AC659" s="124"/>
      <c r="AD659" s="213">
        <f t="shared" si="967"/>
        <v>7.0000000000000007E-2</v>
      </c>
      <c r="AE659" s="213">
        <v>7.0000000000000007E-2</v>
      </c>
      <c r="AF659" s="215">
        <v>0.36</v>
      </c>
      <c r="AG659" s="215" t="s">
        <v>9</v>
      </c>
      <c r="AH659" s="148">
        <f t="shared" si="965"/>
        <v>1546.8750000000002</v>
      </c>
      <c r="AI659" s="122">
        <f t="shared" si="970"/>
        <v>0.36</v>
      </c>
      <c r="AJ659" s="444"/>
      <c r="AK659" s="150">
        <f t="shared" si="982"/>
        <v>1132.258064516129</v>
      </c>
      <c r="AL659" s="148">
        <f t="shared" si="962"/>
        <v>1064.5161290322583</v>
      </c>
      <c r="AM659" s="125">
        <f t="shared" si="988"/>
        <v>0.33333333333333326</v>
      </c>
      <c r="AN659" s="125">
        <f t="shared" si="989"/>
        <v>0.31182795698924726</v>
      </c>
      <c r="AO659" s="136">
        <f t="shared" si="971"/>
        <v>0.39999999999999997</v>
      </c>
      <c r="AP659" s="17" t="s">
        <v>1291</v>
      </c>
      <c r="AQ659" s="141"/>
      <c r="AR659" s="141"/>
      <c r="AS659" s="141"/>
      <c r="AT659" s="141"/>
      <c r="AU659" s="141"/>
      <c r="AV659" s="141"/>
      <c r="AW659" s="225">
        <v>900</v>
      </c>
      <c r="AX659" s="126">
        <f t="shared" si="976"/>
        <v>990.00000000000011</v>
      </c>
      <c r="AY659" s="198"/>
      <c r="AZ659" s="128"/>
      <c r="BB659" s="134">
        <f t="shared" si="984"/>
        <v>5156.2500000000009</v>
      </c>
      <c r="BC659" s="134">
        <f t="shared" si="985"/>
        <v>3093.7500000000005</v>
      </c>
      <c r="BD659" s="134">
        <f t="shared" si="986"/>
        <v>2578.1250000000005</v>
      </c>
      <c r="BE659" s="134">
        <f t="shared" si="987"/>
        <v>2062.5000000000005</v>
      </c>
    </row>
    <row r="660" spans="1:58" s="129" customFormat="1" hidden="1">
      <c r="A660" s="88" t="s">
        <v>1276</v>
      </c>
      <c r="B660" s="88" t="s">
        <v>1318</v>
      </c>
      <c r="C660" s="88" t="s">
        <v>1318</v>
      </c>
      <c r="D660" s="88" t="s">
        <v>656</v>
      </c>
      <c r="E660" s="88" t="s">
        <v>684</v>
      </c>
      <c r="F660" s="89" t="s">
        <v>702</v>
      </c>
      <c r="G660" s="92" t="s">
        <v>2351</v>
      </c>
      <c r="H660" s="320" t="s">
        <v>3399</v>
      </c>
      <c r="I660" s="167" t="s">
        <v>799</v>
      </c>
      <c r="J660" s="167" t="str">
        <f>_xlfn.XLOOKUP(I660,[1]Sheet1!$A:$A,[1]Sheet1!$B:$B,"")</f>
        <v>U0807015</v>
      </c>
      <c r="K660" s="88" t="s">
        <v>800</v>
      </c>
      <c r="L660" s="88" t="s">
        <v>801</v>
      </c>
      <c r="M660" s="92" t="s">
        <v>125</v>
      </c>
      <c r="N660" s="89" t="s">
        <v>158</v>
      </c>
      <c r="O660" s="165"/>
      <c r="P660" s="89" t="s">
        <v>715</v>
      </c>
      <c r="Q660" s="92" t="s">
        <v>690</v>
      </c>
      <c r="R660" s="92">
        <v>2</v>
      </c>
      <c r="S660" s="92" t="e">
        <v>#N/A</v>
      </c>
      <c r="T660" s="92">
        <v>8544700000</v>
      </c>
      <c r="U660" s="155">
        <v>0</v>
      </c>
      <c r="V660" s="207">
        <v>30</v>
      </c>
      <c r="W660" s="92">
        <v>45</v>
      </c>
      <c r="X660" s="92">
        <v>55</v>
      </c>
      <c r="Y660" s="92" t="s">
        <v>691</v>
      </c>
      <c r="Z660" s="133">
        <f t="shared" si="977"/>
        <v>2189.0322580645161</v>
      </c>
      <c r="AA660" s="133"/>
      <c r="AB660" s="124">
        <f t="shared" si="966"/>
        <v>1993.75</v>
      </c>
      <c r="AC660" s="124"/>
      <c r="AD660" s="213">
        <f t="shared" si="967"/>
        <v>7.0000000000000007E-2</v>
      </c>
      <c r="AE660" s="213">
        <v>7.0000000000000007E-2</v>
      </c>
      <c r="AF660" s="215">
        <v>0.36</v>
      </c>
      <c r="AG660" s="215" t="s">
        <v>9</v>
      </c>
      <c r="AH660" s="148">
        <f t="shared" si="965"/>
        <v>1993.75</v>
      </c>
      <c r="AI660" s="122">
        <f t="shared" si="970"/>
        <v>0.36</v>
      </c>
      <c r="AJ660" s="444"/>
      <c r="AK660" s="150">
        <f t="shared" si="982"/>
        <v>1459.3548387096776</v>
      </c>
      <c r="AL660" s="148">
        <f t="shared" si="962"/>
        <v>1372.0430107526884</v>
      </c>
      <c r="AM660" s="125">
        <f t="shared" si="988"/>
        <v>0.33333333333333326</v>
      </c>
      <c r="AN660" s="125">
        <f t="shared" si="989"/>
        <v>0.31182795698924726</v>
      </c>
      <c r="AO660" s="136">
        <f t="shared" si="971"/>
        <v>0.39999999999999997</v>
      </c>
      <c r="AP660" s="17" t="s">
        <v>1291</v>
      </c>
      <c r="AQ660" s="141"/>
      <c r="AR660" s="141"/>
      <c r="AS660" s="141"/>
      <c r="AT660" s="141"/>
      <c r="AU660" s="141"/>
      <c r="AV660" s="141"/>
      <c r="AW660" s="225">
        <v>1160</v>
      </c>
      <c r="AX660" s="126">
        <f t="shared" si="976"/>
        <v>1276</v>
      </c>
      <c r="AY660" s="198"/>
      <c r="AZ660" s="128"/>
      <c r="BB660" s="134">
        <f t="shared" si="984"/>
        <v>6645.8333333333339</v>
      </c>
      <c r="BC660" s="134">
        <f t="shared" si="985"/>
        <v>3987.5</v>
      </c>
      <c r="BD660" s="134">
        <f t="shared" si="986"/>
        <v>3322.916666666667</v>
      </c>
      <c r="BE660" s="134">
        <f t="shared" si="987"/>
        <v>2658.3333333333339</v>
      </c>
    </row>
    <row r="661" spans="1:58" s="129" customFormat="1" hidden="1">
      <c r="A661" s="88" t="s">
        <v>1276</v>
      </c>
      <c r="B661" s="88" t="s">
        <v>1318</v>
      </c>
      <c r="C661" s="88" t="s">
        <v>1318</v>
      </c>
      <c r="D661" s="88" t="s">
        <v>656</v>
      </c>
      <c r="E661" s="88" t="s">
        <v>684</v>
      </c>
      <c r="F661" s="89" t="s">
        <v>702</v>
      </c>
      <c r="G661" s="92" t="s">
        <v>2351</v>
      </c>
      <c r="H661" s="320" t="s">
        <v>3400</v>
      </c>
      <c r="I661" s="167" t="s">
        <v>802</v>
      </c>
      <c r="J661" s="167" t="str">
        <f>_xlfn.XLOOKUP(I661,[1]Sheet1!$A:$A,[1]Sheet1!$B:$B,"")</f>
        <v>U0807003</v>
      </c>
      <c r="K661" s="88" t="s">
        <v>803</v>
      </c>
      <c r="L661" s="88" t="s">
        <v>804</v>
      </c>
      <c r="M661" s="92" t="s">
        <v>125</v>
      </c>
      <c r="N661" s="89" t="s">
        <v>158</v>
      </c>
      <c r="O661" s="165"/>
      <c r="P661" s="89" t="s">
        <v>715</v>
      </c>
      <c r="Q661" s="92" t="s">
        <v>690</v>
      </c>
      <c r="R661" s="92">
        <v>2</v>
      </c>
      <c r="S661" s="92" t="e">
        <v>#N/A</v>
      </c>
      <c r="T661" s="92">
        <v>8544700000</v>
      </c>
      <c r="U661" s="155">
        <v>0</v>
      </c>
      <c r="V661" s="207">
        <v>30</v>
      </c>
      <c r="W661" s="92">
        <v>45</v>
      </c>
      <c r="X661" s="92">
        <v>55</v>
      </c>
      <c r="Y661" s="92" t="s">
        <v>691</v>
      </c>
      <c r="Z661" s="133">
        <f t="shared" si="977"/>
        <v>3292.9838709677415</v>
      </c>
      <c r="AA661" s="133"/>
      <c r="AB661" s="124">
        <f t="shared" si="966"/>
        <v>2999.2187500000005</v>
      </c>
      <c r="AC661" s="124"/>
      <c r="AD661" s="213">
        <f t="shared" si="967"/>
        <v>7.0000000000000007E-2</v>
      </c>
      <c r="AE661" s="213">
        <v>7.0000000000000007E-2</v>
      </c>
      <c r="AF661" s="215">
        <v>0.36</v>
      </c>
      <c r="AG661" s="215" t="s">
        <v>9</v>
      </c>
      <c r="AH661" s="148">
        <f t="shared" si="965"/>
        <v>2999.2187500000005</v>
      </c>
      <c r="AI661" s="122">
        <f t="shared" si="970"/>
        <v>0.36</v>
      </c>
      <c r="AJ661" s="444"/>
      <c r="AK661" s="150">
        <f t="shared" si="982"/>
        <v>2195.3225806451615</v>
      </c>
      <c r="AL661" s="148">
        <f t="shared" si="962"/>
        <v>2063.9784946236564</v>
      </c>
      <c r="AM661" s="125">
        <f t="shared" si="988"/>
        <v>0.33333333333333315</v>
      </c>
      <c r="AN661" s="125">
        <f t="shared" si="989"/>
        <v>0.31182795698924726</v>
      </c>
      <c r="AO661" s="136">
        <f t="shared" si="971"/>
        <v>0.39999999999999997</v>
      </c>
      <c r="AP661" s="17" t="s">
        <v>1291</v>
      </c>
      <c r="AQ661" s="141"/>
      <c r="AR661" s="141"/>
      <c r="AS661" s="141"/>
      <c r="AT661" s="141"/>
      <c r="AU661" s="141"/>
      <c r="AV661" s="141"/>
      <c r="AW661" s="225">
        <v>1745</v>
      </c>
      <c r="AX661" s="126">
        <f t="shared" si="976"/>
        <v>1919.5000000000002</v>
      </c>
      <c r="AY661" s="198"/>
      <c r="AZ661" s="128"/>
      <c r="BB661" s="134">
        <f t="shared" si="984"/>
        <v>9997.3958333333358</v>
      </c>
      <c r="BC661" s="134">
        <f t="shared" si="985"/>
        <v>5998.4375000000009</v>
      </c>
      <c r="BD661" s="134">
        <f t="shared" si="986"/>
        <v>4998.6979166666679</v>
      </c>
      <c r="BE661" s="134">
        <f t="shared" si="987"/>
        <v>3998.9583333333344</v>
      </c>
    </row>
    <row r="662" spans="1:58" s="129" customFormat="1" hidden="1">
      <c r="A662" s="88" t="s">
        <v>1276</v>
      </c>
      <c r="B662" s="88" t="s">
        <v>1318</v>
      </c>
      <c r="C662" s="88" t="s">
        <v>1318</v>
      </c>
      <c r="D662" s="88" t="s">
        <v>656</v>
      </c>
      <c r="E662" s="88" t="s">
        <v>684</v>
      </c>
      <c r="F662" s="89" t="s">
        <v>702</v>
      </c>
      <c r="G662" s="92" t="s">
        <v>2351</v>
      </c>
      <c r="H662" s="320" t="s">
        <v>3401</v>
      </c>
      <c r="I662" s="167" t="s">
        <v>805</v>
      </c>
      <c r="J662" s="167" t="str">
        <f>_xlfn.XLOOKUP(I662,[1]Sheet1!$A:$A,[1]Sheet1!$B:$B,"")</f>
        <v>U0807007</v>
      </c>
      <c r="K662" s="88" t="s">
        <v>806</v>
      </c>
      <c r="L662" s="88" t="s">
        <v>807</v>
      </c>
      <c r="M662" s="92" t="s">
        <v>125</v>
      </c>
      <c r="N662" s="89" t="s">
        <v>158</v>
      </c>
      <c r="O662" s="165"/>
      <c r="P662" s="89" t="s">
        <v>715</v>
      </c>
      <c r="Q662" s="92" t="s">
        <v>690</v>
      </c>
      <c r="R662" s="92">
        <v>2</v>
      </c>
      <c r="S662" s="92" t="e">
        <v>#N/A</v>
      </c>
      <c r="T662" s="92">
        <v>8544700000</v>
      </c>
      <c r="U662" s="155">
        <v>0</v>
      </c>
      <c r="V662" s="207">
        <v>30</v>
      </c>
      <c r="W662" s="92">
        <v>45</v>
      </c>
      <c r="X662" s="92">
        <v>55</v>
      </c>
      <c r="Y662" s="92" t="s">
        <v>691</v>
      </c>
      <c r="Z662" s="133">
        <f t="shared" si="977"/>
        <v>6250.0645161290322</v>
      </c>
      <c r="AA662" s="133"/>
      <c r="AB662" s="124">
        <f t="shared" si="966"/>
        <v>5692.5</v>
      </c>
      <c r="AC662" s="124"/>
      <c r="AD662" s="213">
        <f t="shared" si="967"/>
        <v>7.0000000000000007E-2</v>
      </c>
      <c r="AE662" s="213">
        <v>7.0000000000000007E-2</v>
      </c>
      <c r="AF662" s="215">
        <v>0.36</v>
      </c>
      <c r="AG662" s="215" t="s">
        <v>9</v>
      </c>
      <c r="AH662" s="148">
        <f t="shared" si="965"/>
        <v>5692.5</v>
      </c>
      <c r="AI662" s="122">
        <f t="shared" si="970"/>
        <v>0.36</v>
      </c>
      <c r="AJ662" s="444"/>
      <c r="AK662" s="150">
        <f t="shared" si="982"/>
        <v>4166.7096774193551</v>
      </c>
      <c r="AL662" s="148">
        <f t="shared" si="962"/>
        <v>3917.4193548387102</v>
      </c>
      <c r="AM662" s="125">
        <f t="shared" si="988"/>
        <v>0.33333333333333326</v>
      </c>
      <c r="AN662" s="125">
        <f t="shared" si="989"/>
        <v>0.31182795698924726</v>
      </c>
      <c r="AO662" s="136">
        <f t="shared" si="971"/>
        <v>0.39999999999999997</v>
      </c>
      <c r="AP662" s="17" t="s">
        <v>1291</v>
      </c>
      <c r="AQ662" s="141"/>
      <c r="AR662" s="141"/>
      <c r="AS662" s="141"/>
      <c r="AT662" s="141"/>
      <c r="AU662" s="141"/>
      <c r="AV662" s="141"/>
      <c r="AW662" s="225">
        <v>3312</v>
      </c>
      <c r="AX662" s="126">
        <f t="shared" si="976"/>
        <v>3643.2000000000003</v>
      </c>
      <c r="AY662" s="198"/>
      <c r="AZ662" s="128"/>
      <c r="BB662" s="134">
        <f t="shared" si="984"/>
        <v>18975</v>
      </c>
      <c r="BC662" s="134">
        <f t="shared" si="985"/>
        <v>11385</v>
      </c>
      <c r="BD662" s="134">
        <f t="shared" si="986"/>
        <v>9487.5</v>
      </c>
      <c r="BE662" s="134">
        <f t="shared" si="987"/>
        <v>7590</v>
      </c>
    </row>
    <row r="663" spans="1:58" s="129" customFormat="1" hidden="1">
      <c r="A663" s="88" t="s">
        <v>1276</v>
      </c>
      <c r="B663" s="88" t="s">
        <v>1318</v>
      </c>
      <c r="C663" s="88" t="s">
        <v>1318</v>
      </c>
      <c r="D663" s="88" t="s">
        <v>656</v>
      </c>
      <c r="E663" s="88" t="s">
        <v>684</v>
      </c>
      <c r="F663" s="89" t="s">
        <v>751</v>
      </c>
      <c r="G663" s="92" t="s">
        <v>765</v>
      </c>
      <c r="H663" s="320" t="s">
        <v>3402</v>
      </c>
      <c r="I663" s="167" t="s">
        <v>808</v>
      </c>
      <c r="J663" s="167" t="str">
        <f>_xlfn.XLOOKUP(I663,[1]Sheet1!$A:$A,[1]Sheet1!$B:$B,"")</f>
        <v>U0805002</v>
      </c>
      <c r="K663" s="88" t="s">
        <v>809</v>
      </c>
      <c r="L663" s="88" t="s">
        <v>2317</v>
      </c>
      <c r="M663" s="92" t="s">
        <v>2403</v>
      </c>
      <c r="N663" s="89" t="s">
        <v>158</v>
      </c>
      <c r="O663" s="165"/>
      <c r="P663" s="89" t="s">
        <v>715</v>
      </c>
      <c r="Q663" s="92" t="s">
        <v>690</v>
      </c>
      <c r="R663" s="92">
        <v>2</v>
      </c>
      <c r="S663" s="92" t="e">
        <v>#N/A</v>
      </c>
      <c r="T663" s="92">
        <v>8544700000</v>
      </c>
      <c r="U663" s="155">
        <v>0</v>
      </c>
      <c r="V663" s="207">
        <v>30</v>
      </c>
      <c r="W663" s="92">
        <v>45</v>
      </c>
      <c r="X663" s="92">
        <v>55</v>
      </c>
      <c r="Y663" s="92" t="s">
        <v>691</v>
      </c>
      <c r="Z663" s="133">
        <f t="shared" si="977"/>
        <v>5444.2741935483864</v>
      </c>
      <c r="AA663" s="133"/>
      <c r="AB663" s="124">
        <f t="shared" si="966"/>
        <v>4958.5937500000009</v>
      </c>
      <c r="AC663" s="124"/>
      <c r="AD663" s="213">
        <f t="shared" si="967"/>
        <v>7.0000000000000007E-2</v>
      </c>
      <c r="AE663" s="213">
        <v>7.0000000000000007E-2</v>
      </c>
      <c r="AF663" s="215">
        <v>0.36</v>
      </c>
      <c r="AG663" s="215" t="s">
        <v>9</v>
      </c>
      <c r="AH663" s="148">
        <f t="shared" si="965"/>
        <v>4958.5937500000009</v>
      </c>
      <c r="AI663" s="122">
        <f t="shared" si="970"/>
        <v>0.36</v>
      </c>
      <c r="AJ663" s="444"/>
      <c r="AK663" s="150">
        <f t="shared" si="982"/>
        <v>3629.516129032258</v>
      </c>
      <c r="AL663" s="148">
        <f t="shared" si="962"/>
        <v>3412.36559139785</v>
      </c>
      <c r="AM663" s="125">
        <f t="shared" si="988"/>
        <v>0.33333333333333326</v>
      </c>
      <c r="AN663" s="125">
        <f t="shared" si="989"/>
        <v>0.31182795698924737</v>
      </c>
      <c r="AO663" s="136">
        <f t="shared" si="971"/>
        <v>0.39999999999999997</v>
      </c>
      <c r="AP663" s="17" t="s">
        <v>1291</v>
      </c>
      <c r="AQ663" s="141"/>
      <c r="AR663" s="141"/>
      <c r="AS663" s="141"/>
      <c r="AT663" s="141"/>
      <c r="AU663" s="141"/>
      <c r="AV663" s="141"/>
      <c r="AW663" s="225">
        <v>2885</v>
      </c>
      <c r="AX663" s="126">
        <f t="shared" si="976"/>
        <v>3173.5000000000005</v>
      </c>
      <c r="AY663" s="198"/>
      <c r="AZ663" s="128"/>
      <c r="BB663" s="134">
        <f t="shared" si="984"/>
        <v>16528.645833333336</v>
      </c>
      <c r="BC663" s="134">
        <f t="shared" si="985"/>
        <v>9917.1875000000018</v>
      </c>
      <c r="BD663" s="134">
        <f t="shared" si="986"/>
        <v>8264.3229166666679</v>
      </c>
      <c r="BE663" s="134">
        <f t="shared" si="987"/>
        <v>6611.4583333333348</v>
      </c>
    </row>
    <row r="664" spans="1:58" s="129" customFormat="1" hidden="1">
      <c r="A664" s="88" t="s">
        <v>1276</v>
      </c>
      <c r="B664" s="88" t="s">
        <v>1318</v>
      </c>
      <c r="C664" s="88" t="s">
        <v>1318</v>
      </c>
      <c r="D664" s="88" t="s">
        <v>656</v>
      </c>
      <c r="E664" s="88" t="s">
        <v>684</v>
      </c>
      <c r="F664" s="89" t="s">
        <v>751</v>
      </c>
      <c r="G664" s="92" t="s">
        <v>765</v>
      </c>
      <c r="H664" s="320" t="s">
        <v>3403</v>
      </c>
      <c r="I664" s="167" t="s">
        <v>811</v>
      </c>
      <c r="J664" s="167" t="str">
        <f>_xlfn.XLOOKUP(I664,[1]Sheet1!$A:$A,[1]Sheet1!$B:$B,"")</f>
        <v>U0805005</v>
      </c>
      <c r="K664" s="88" t="s">
        <v>812</v>
      </c>
      <c r="L664" s="88" t="s">
        <v>813</v>
      </c>
      <c r="M664" s="92" t="s">
        <v>2403</v>
      </c>
      <c r="N664" s="89" t="s">
        <v>158</v>
      </c>
      <c r="O664" s="165"/>
      <c r="P664" s="89" t="s">
        <v>715</v>
      </c>
      <c r="Q664" s="92" t="s">
        <v>690</v>
      </c>
      <c r="R664" s="92">
        <v>2</v>
      </c>
      <c r="S664" s="92" t="e">
        <v>#N/A</v>
      </c>
      <c r="T664" s="92">
        <v>8544700000</v>
      </c>
      <c r="U664" s="155">
        <v>0</v>
      </c>
      <c r="V664" s="207">
        <v>30</v>
      </c>
      <c r="W664" s="92">
        <v>45</v>
      </c>
      <c r="X664" s="92">
        <v>55</v>
      </c>
      <c r="Y664" s="92" t="s">
        <v>691</v>
      </c>
      <c r="Z664" s="133">
        <f t="shared" si="977"/>
        <v>10350.725806451612</v>
      </c>
      <c r="AA664" s="133"/>
      <c r="AB664" s="124">
        <f t="shared" si="966"/>
        <v>9427.3437500000018</v>
      </c>
      <c r="AC664" s="124"/>
      <c r="AD664" s="213">
        <f t="shared" si="967"/>
        <v>7.0000000000000007E-2</v>
      </c>
      <c r="AE664" s="213">
        <v>7.0000000000000007E-2</v>
      </c>
      <c r="AF664" s="215">
        <v>0.36</v>
      </c>
      <c r="AG664" s="215" t="s">
        <v>9</v>
      </c>
      <c r="AH664" s="148">
        <f t="shared" si="965"/>
        <v>9427.3437500000018</v>
      </c>
      <c r="AI664" s="122">
        <f t="shared" si="970"/>
        <v>0.36</v>
      </c>
      <c r="AJ664" s="444"/>
      <c r="AK664" s="150">
        <f t="shared" si="982"/>
        <v>6900.4838709677415</v>
      </c>
      <c r="AL664" s="148">
        <f t="shared" si="962"/>
        <v>6487.6344086021518</v>
      </c>
      <c r="AM664" s="125">
        <f t="shared" si="988"/>
        <v>0.33333333333333326</v>
      </c>
      <c r="AN664" s="125">
        <f t="shared" si="989"/>
        <v>0.31182795698924737</v>
      </c>
      <c r="AO664" s="136">
        <f t="shared" si="971"/>
        <v>0.39999999999999997</v>
      </c>
      <c r="AP664" s="17" t="s">
        <v>1291</v>
      </c>
      <c r="AQ664" s="141"/>
      <c r="AR664" s="141"/>
      <c r="AS664" s="141"/>
      <c r="AT664" s="141"/>
      <c r="AU664" s="141"/>
      <c r="AV664" s="141"/>
      <c r="AW664" s="225">
        <v>5485</v>
      </c>
      <c r="AX664" s="126">
        <f t="shared" si="976"/>
        <v>6033.5000000000009</v>
      </c>
      <c r="AY664" s="198"/>
      <c r="AZ664" s="128"/>
      <c r="BB664" s="134">
        <f t="shared" si="984"/>
        <v>31424.479166666675</v>
      </c>
      <c r="BC664" s="134">
        <f t="shared" si="985"/>
        <v>18854.687500000004</v>
      </c>
      <c r="BD664" s="134">
        <f t="shared" si="986"/>
        <v>15712.239583333338</v>
      </c>
      <c r="BE664" s="134">
        <f t="shared" si="987"/>
        <v>12569.791666666672</v>
      </c>
    </row>
    <row r="665" spans="1:58" s="129" customFormat="1" hidden="1">
      <c r="A665" s="88" t="s">
        <v>1276</v>
      </c>
      <c r="B665" s="88" t="s">
        <v>1318</v>
      </c>
      <c r="C665" s="88" t="s">
        <v>1318</v>
      </c>
      <c r="D665" s="88" t="s">
        <v>656</v>
      </c>
      <c r="E665" s="88" t="s">
        <v>684</v>
      </c>
      <c r="F665" s="89" t="s">
        <v>758</v>
      </c>
      <c r="G665" s="92" t="s">
        <v>765</v>
      </c>
      <c r="H665" s="320" t="s">
        <v>3402</v>
      </c>
      <c r="I665" s="167" t="s">
        <v>814</v>
      </c>
      <c r="J665" s="167" t="str">
        <f>_xlfn.XLOOKUP(I665,[1]Sheet1!$A:$A,[1]Sheet1!$B:$B,"")</f>
        <v>U0804002</v>
      </c>
      <c r="K665" s="88" t="s">
        <v>815</v>
      </c>
      <c r="L665" s="88" t="s">
        <v>2316</v>
      </c>
      <c r="M665" s="92" t="s">
        <v>2403</v>
      </c>
      <c r="N665" s="89" t="s">
        <v>158</v>
      </c>
      <c r="O665" s="165"/>
      <c r="P665" s="89" t="s">
        <v>715</v>
      </c>
      <c r="Q665" s="92" t="s">
        <v>690</v>
      </c>
      <c r="R665" s="92">
        <v>2</v>
      </c>
      <c r="S665" s="92" t="e">
        <v>#N/A</v>
      </c>
      <c r="T665" s="92">
        <v>8544700000</v>
      </c>
      <c r="U665" s="155">
        <v>0</v>
      </c>
      <c r="V665" s="207">
        <v>30</v>
      </c>
      <c r="W665" s="92">
        <v>45</v>
      </c>
      <c r="X665" s="92">
        <v>55</v>
      </c>
      <c r="Y665" s="92" t="s">
        <v>691</v>
      </c>
      <c r="Z665" s="133">
        <f t="shared" si="977"/>
        <v>5502.65625</v>
      </c>
      <c r="AA665" s="133"/>
      <c r="AB665" s="124">
        <f t="shared" si="966"/>
        <v>5016.666666666667</v>
      </c>
      <c r="AC665" s="124"/>
      <c r="AD665" s="213">
        <f t="shared" si="967"/>
        <v>7.0000000000000007E-2</v>
      </c>
      <c r="AE665" s="213">
        <v>7.0000000000000007E-2</v>
      </c>
      <c r="AF665" s="215">
        <v>0.33999999999999997</v>
      </c>
      <c r="AG665" s="215" t="s">
        <v>9</v>
      </c>
      <c r="AH665" s="148">
        <f t="shared" si="965"/>
        <v>5016.666666666667</v>
      </c>
      <c r="AI665" s="122">
        <f t="shared" si="970"/>
        <v>0.33999999999999997</v>
      </c>
      <c r="AJ665" s="444"/>
      <c r="AK665" s="150">
        <f t="shared" si="982"/>
        <v>3786.7741935483873</v>
      </c>
      <c r="AL665" s="148">
        <f t="shared" si="962"/>
        <v>3560.2150537634416</v>
      </c>
      <c r="AM665" s="125">
        <f t="shared" si="988"/>
        <v>0.31182795698924726</v>
      </c>
      <c r="AN665" s="125">
        <f t="shared" si="989"/>
        <v>0.29032258064516114</v>
      </c>
      <c r="AO665" s="136">
        <f t="shared" si="971"/>
        <v>0.37999999999999995</v>
      </c>
      <c r="AP665" s="17" t="s">
        <v>1291</v>
      </c>
      <c r="AQ665" s="141"/>
      <c r="AR665" s="141"/>
      <c r="AS665" s="141"/>
      <c r="AT665" s="141"/>
      <c r="AU665" s="141"/>
      <c r="AV665" s="141"/>
      <c r="AW665" s="225">
        <v>3010</v>
      </c>
      <c r="AX665" s="126">
        <f t="shared" si="976"/>
        <v>3311.0000000000005</v>
      </c>
      <c r="AY665" s="198"/>
      <c r="AZ665" s="128"/>
      <c r="BB665" s="134">
        <f t="shared" si="984"/>
        <v>16722.222222222223</v>
      </c>
      <c r="BC665" s="134">
        <f t="shared" si="985"/>
        <v>10033.333333333334</v>
      </c>
      <c r="BD665" s="134">
        <f t="shared" si="986"/>
        <v>8361.1111111111113</v>
      </c>
      <c r="BE665" s="134">
        <f t="shared" si="987"/>
        <v>6688.8888888888896</v>
      </c>
    </row>
    <row r="666" spans="1:58" s="129" customFormat="1" hidden="1">
      <c r="A666" s="88" t="s">
        <v>1276</v>
      </c>
      <c r="B666" s="88" t="s">
        <v>1318</v>
      </c>
      <c r="C666" s="88" t="s">
        <v>1318</v>
      </c>
      <c r="D666" s="88" t="s">
        <v>656</v>
      </c>
      <c r="E666" s="88" t="s">
        <v>684</v>
      </c>
      <c r="F666" s="89" t="s">
        <v>758</v>
      </c>
      <c r="G666" s="92" t="s">
        <v>765</v>
      </c>
      <c r="H666" s="320" t="s">
        <v>3403</v>
      </c>
      <c r="I666" s="167" t="s">
        <v>817</v>
      </c>
      <c r="J666" s="167" t="str">
        <f>_xlfn.XLOOKUP(I666,[1]Sheet1!$A:$A,[1]Sheet1!$B:$B,"")</f>
        <v>U0804005</v>
      </c>
      <c r="K666" s="88" t="s">
        <v>818</v>
      </c>
      <c r="L666" s="88" t="s">
        <v>819</v>
      </c>
      <c r="M666" s="92" t="s">
        <v>2403</v>
      </c>
      <c r="N666" s="89" t="s">
        <v>158</v>
      </c>
      <c r="O666" s="165"/>
      <c r="P666" s="89" t="s">
        <v>715</v>
      </c>
      <c r="Q666" s="92" t="s">
        <v>690</v>
      </c>
      <c r="R666" s="92">
        <v>2</v>
      </c>
      <c r="S666" s="92" t="e">
        <v>#N/A</v>
      </c>
      <c r="T666" s="92">
        <v>8544700000</v>
      </c>
      <c r="U666" s="155">
        <v>0</v>
      </c>
      <c r="V666" s="207">
        <v>30</v>
      </c>
      <c r="W666" s="92">
        <v>45</v>
      </c>
      <c r="X666" s="92">
        <v>55</v>
      </c>
      <c r="Y666" s="92" t="s">
        <v>691</v>
      </c>
      <c r="Z666" s="133">
        <f t="shared" si="977"/>
        <v>10392.890625</v>
      </c>
      <c r="AA666" s="133"/>
      <c r="AB666" s="124">
        <f t="shared" si="966"/>
        <v>9475.0000000000018</v>
      </c>
      <c r="AC666" s="124"/>
      <c r="AD666" s="213">
        <f t="shared" si="967"/>
        <v>7.0000000000000007E-2</v>
      </c>
      <c r="AE666" s="213">
        <v>7.0000000000000007E-2</v>
      </c>
      <c r="AF666" s="215">
        <v>0.33999999999999997</v>
      </c>
      <c r="AG666" s="215" t="s">
        <v>9</v>
      </c>
      <c r="AH666" s="148">
        <f t="shared" si="965"/>
        <v>9475.0000000000018</v>
      </c>
      <c r="AI666" s="122">
        <f t="shared" si="970"/>
        <v>0.34000000000000008</v>
      </c>
      <c r="AJ666" s="444"/>
      <c r="AK666" s="150">
        <f t="shared" si="982"/>
        <v>7152.0967741935483</v>
      </c>
      <c r="AL666" s="148">
        <f t="shared" si="962"/>
        <v>6724.1935483870984</v>
      </c>
      <c r="AM666" s="125">
        <f t="shared" si="988"/>
        <v>0.31182795698924737</v>
      </c>
      <c r="AN666" s="125">
        <f t="shared" si="989"/>
        <v>0.29032258064516125</v>
      </c>
      <c r="AO666" s="136">
        <f t="shared" si="971"/>
        <v>0.37999999999999995</v>
      </c>
      <c r="AP666" s="17" t="s">
        <v>1291</v>
      </c>
      <c r="AQ666" s="141"/>
      <c r="AR666" s="141"/>
      <c r="AS666" s="141"/>
      <c r="AT666" s="141"/>
      <c r="AU666" s="141"/>
      <c r="AV666" s="141"/>
      <c r="AW666" s="225">
        <v>5685</v>
      </c>
      <c r="AX666" s="126">
        <f t="shared" si="976"/>
        <v>6253.5000000000009</v>
      </c>
      <c r="AY666" s="198"/>
      <c r="AZ666" s="128"/>
      <c r="BB666" s="134">
        <f t="shared" si="984"/>
        <v>31583.333333333339</v>
      </c>
      <c r="BC666" s="134">
        <f t="shared" si="985"/>
        <v>18950.000000000004</v>
      </c>
      <c r="BD666" s="134">
        <f t="shared" si="986"/>
        <v>15791.66666666667</v>
      </c>
      <c r="BE666" s="134">
        <f t="shared" si="987"/>
        <v>12633.333333333336</v>
      </c>
    </row>
    <row r="667" spans="1:58" s="129" customFormat="1" hidden="1">
      <c r="A667" s="88" t="s">
        <v>1276</v>
      </c>
      <c r="B667" s="88" t="s">
        <v>1318</v>
      </c>
      <c r="C667" s="88" t="s">
        <v>1318</v>
      </c>
      <c r="D667" s="88" t="s">
        <v>656</v>
      </c>
      <c r="E667" s="88" t="s">
        <v>684</v>
      </c>
      <c r="F667" s="89" t="s">
        <v>2328</v>
      </c>
      <c r="G667" s="92" t="s">
        <v>1686</v>
      </c>
      <c r="H667" s="320" t="s">
        <v>3400</v>
      </c>
      <c r="I667" s="167" t="s">
        <v>2329</v>
      </c>
      <c r="J667" s="167" t="str">
        <f>_xlfn.XLOOKUP(I667,[1]Sheet1!$A:$A,[1]Sheet1!$B:$B,"")</f>
        <v/>
      </c>
      <c r="K667" s="88" t="s">
        <v>2332</v>
      </c>
      <c r="L667" s="88" t="s">
        <v>2335</v>
      </c>
      <c r="M667" s="92" t="s">
        <v>1584</v>
      </c>
      <c r="N667" s="89" t="s">
        <v>1223</v>
      </c>
      <c r="O667" s="165"/>
      <c r="P667" s="89" t="s">
        <v>715</v>
      </c>
      <c r="Q667" s="92" t="s">
        <v>690</v>
      </c>
      <c r="R667" s="92">
        <v>2</v>
      </c>
      <c r="S667" s="92" t="e">
        <v>#N/A</v>
      </c>
      <c r="T667" s="92">
        <v>8544700000</v>
      </c>
      <c r="U667" s="155">
        <v>0</v>
      </c>
      <c r="V667" s="207">
        <v>30</v>
      </c>
      <c r="W667" s="92">
        <v>45</v>
      </c>
      <c r="X667" s="92">
        <v>55</v>
      </c>
      <c r="Y667" s="92" t="s">
        <v>691</v>
      </c>
      <c r="Z667" s="133">
        <f t="shared" si="977"/>
        <v>2071.0746268656717</v>
      </c>
      <c r="AA667" s="133"/>
      <c r="AB667" s="124">
        <f t="shared" si="966"/>
        <v>1890.7246376811597</v>
      </c>
      <c r="AC667" s="124"/>
      <c r="AD667" s="213">
        <f t="shared" si="967"/>
        <v>7.0000000000000007E-2</v>
      </c>
      <c r="AE667" s="213">
        <v>7.0000000000000007E-2</v>
      </c>
      <c r="AF667" s="215">
        <v>0.31</v>
      </c>
      <c r="AG667" s="215" t="s">
        <v>9</v>
      </c>
      <c r="AH667" s="148">
        <f t="shared" si="965"/>
        <v>1890.7246376811597</v>
      </c>
      <c r="AI667" s="122">
        <f t="shared" si="970"/>
        <v>0.31000000000000005</v>
      </c>
      <c r="AJ667" s="444"/>
      <c r="AK667" s="150">
        <f t="shared" si="982"/>
        <v>1492.0645161290322</v>
      </c>
      <c r="AL667" s="148">
        <f t="shared" si="962"/>
        <v>1402.7956989247314</v>
      </c>
      <c r="AM667" s="125">
        <f t="shared" si="988"/>
        <v>0.27956989247311836</v>
      </c>
      <c r="AN667" s="125">
        <f t="shared" si="989"/>
        <v>0.25806451612903225</v>
      </c>
      <c r="AO667" s="136">
        <f t="shared" si="971"/>
        <v>0.35</v>
      </c>
      <c r="AP667" s="17" t="s">
        <v>1291</v>
      </c>
      <c r="AQ667" s="141"/>
      <c r="AR667" s="141"/>
      <c r="AS667" s="141"/>
      <c r="AT667" s="141"/>
      <c r="AU667" s="141"/>
      <c r="AV667" s="141"/>
      <c r="AW667" s="225">
        <v>1186</v>
      </c>
      <c r="AX667" s="126">
        <f t="shared" si="976"/>
        <v>1304.6000000000001</v>
      </c>
      <c r="AY667" s="198"/>
      <c r="AZ667" s="128"/>
      <c r="BB667" s="134">
        <f t="shared" si="984"/>
        <v>6302.4154589371992</v>
      </c>
      <c r="BC667" s="134">
        <f t="shared" si="985"/>
        <v>3781.4492753623194</v>
      </c>
      <c r="BD667" s="134">
        <f t="shared" si="986"/>
        <v>3151.2077294685996</v>
      </c>
      <c r="BE667" s="134">
        <f t="shared" si="987"/>
        <v>2520.9661835748798</v>
      </c>
    </row>
    <row r="668" spans="1:58" s="129" customFormat="1" hidden="1">
      <c r="A668" s="88" t="s">
        <v>1276</v>
      </c>
      <c r="B668" s="88" t="s">
        <v>1318</v>
      </c>
      <c r="C668" s="88" t="s">
        <v>1318</v>
      </c>
      <c r="D668" s="88" t="s">
        <v>656</v>
      </c>
      <c r="E668" s="88" t="s">
        <v>684</v>
      </c>
      <c r="F668" s="89" t="s">
        <v>2328</v>
      </c>
      <c r="G668" s="92" t="s">
        <v>1686</v>
      </c>
      <c r="H668" s="320" t="s">
        <v>3401</v>
      </c>
      <c r="I668" s="167" t="s">
        <v>2330</v>
      </c>
      <c r="J668" s="167" t="str">
        <f>_xlfn.XLOOKUP(I668,[1]Sheet1!$A:$A,[1]Sheet1!$B:$B,"")</f>
        <v/>
      </c>
      <c r="K668" s="88" t="s">
        <v>2333</v>
      </c>
      <c r="L668" s="88" t="s">
        <v>2336</v>
      </c>
      <c r="M668" s="92" t="s">
        <v>1584</v>
      </c>
      <c r="N668" s="89" t="s">
        <v>1223</v>
      </c>
      <c r="O668" s="165"/>
      <c r="P668" s="89" t="s">
        <v>715</v>
      </c>
      <c r="Q668" s="92" t="s">
        <v>690</v>
      </c>
      <c r="R668" s="92">
        <v>2</v>
      </c>
      <c r="S668" s="92" t="e">
        <v>#N/A</v>
      </c>
      <c r="T668" s="92">
        <v>8544700000</v>
      </c>
      <c r="U668" s="155">
        <v>0</v>
      </c>
      <c r="V668" s="207">
        <v>30</v>
      </c>
      <c r="W668" s="92">
        <v>45</v>
      </c>
      <c r="X668" s="92">
        <v>55</v>
      </c>
      <c r="Y668" s="92" t="s">
        <v>691</v>
      </c>
      <c r="Z668" s="133">
        <f t="shared" si="977"/>
        <v>3251.5522388059703</v>
      </c>
      <c r="AA668" s="133"/>
      <c r="AB668" s="124">
        <f t="shared" si="966"/>
        <v>2968.4057971014499</v>
      </c>
      <c r="AC668" s="124"/>
      <c r="AD668" s="213">
        <f t="shared" si="967"/>
        <v>7.0000000000000007E-2</v>
      </c>
      <c r="AE668" s="213">
        <v>7.0000000000000007E-2</v>
      </c>
      <c r="AF668" s="215">
        <v>0.31</v>
      </c>
      <c r="AG668" s="215" t="s">
        <v>9</v>
      </c>
      <c r="AH668" s="148">
        <f t="shared" ref="AH668:AH744" si="990">AB668</f>
        <v>2968.4057971014499</v>
      </c>
      <c r="AI668" s="122">
        <f t="shared" si="970"/>
        <v>0.31000000000000005</v>
      </c>
      <c r="AJ668" s="444"/>
      <c r="AK668" s="150">
        <f t="shared" si="982"/>
        <v>2342.516129032258</v>
      </c>
      <c r="AL668" s="148">
        <f t="shared" si="962"/>
        <v>2202.36559139785</v>
      </c>
      <c r="AM668" s="125">
        <f t="shared" si="988"/>
        <v>0.27956989247311836</v>
      </c>
      <c r="AN668" s="125">
        <f t="shared" si="989"/>
        <v>0.25806451612903225</v>
      </c>
      <c r="AO668" s="136">
        <f t="shared" si="971"/>
        <v>0.35</v>
      </c>
      <c r="AP668" s="17" t="s">
        <v>1291</v>
      </c>
      <c r="AQ668" s="141"/>
      <c r="AR668" s="141"/>
      <c r="AS668" s="141"/>
      <c r="AT668" s="141"/>
      <c r="AU668" s="141"/>
      <c r="AV668" s="141"/>
      <c r="AW668" s="225">
        <v>1862</v>
      </c>
      <c r="AX668" s="126">
        <f t="shared" si="976"/>
        <v>2048.2000000000003</v>
      </c>
      <c r="AY668" s="198"/>
      <c r="AZ668" s="128"/>
      <c r="BB668" s="134">
        <f t="shared" si="984"/>
        <v>9894.6859903381664</v>
      </c>
      <c r="BC668" s="134">
        <f t="shared" si="985"/>
        <v>5936.8115942028999</v>
      </c>
      <c r="BD668" s="134">
        <f t="shared" si="986"/>
        <v>4947.3429951690832</v>
      </c>
      <c r="BE668" s="134">
        <f t="shared" si="987"/>
        <v>3957.8743961352666</v>
      </c>
    </row>
    <row r="669" spans="1:58" s="129" customFormat="1" hidden="1">
      <c r="A669" s="88" t="s">
        <v>1276</v>
      </c>
      <c r="B669" s="88" t="s">
        <v>1318</v>
      </c>
      <c r="C669" s="88" t="s">
        <v>1318</v>
      </c>
      <c r="D669" s="88" t="s">
        <v>656</v>
      </c>
      <c r="E669" s="88" t="s">
        <v>684</v>
      </c>
      <c r="F669" s="89" t="s">
        <v>2328</v>
      </c>
      <c r="G669" s="92" t="s">
        <v>1686</v>
      </c>
      <c r="H669" s="320" t="s">
        <v>3402</v>
      </c>
      <c r="I669" s="167" t="s">
        <v>2331</v>
      </c>
      <c r="J669" s="167" t="str">
        <f>_xlfn.XLOOKUP(I669,[1]Sheet1!$A:$A,[1]Sheet1!$B:$B,"")</f>
        <v/>
      </c>
      <c r="K669" s="88" t="s">
        <v>2334</v>
      </c>
      <c r="L669" s="88" t="s">
        <v>2337</v>
      </c>
      <c r="M669" s="92" t="s">
        <v>1584</v>
      </c>
      <c r="N669" s="89" t="s">
        <v>1223</v>
      </c>
      <c r="O669" s="165"/>
      <c r="P669" s="89" t="s">
        <v>715</v>
      </c>
      <c r="Q669" s="92" t="s">
        <v>690</v>
      </c>
      <c r="R669" s="92">
        <v>2</v>
      </c>
      <c r="S669" s="92" t="e">
        <v>#N/A</v>
      </c>
      <c r="T669" s="92">
        <v>8544700000</v>
      </c>
      <c r="U669" s="155">
        <v>0</v>
      </c>
      <c r="V669" s="207">
        <v>30</v>
      </c>
      <c r="W669" s="92">
        <v>45</v>
      </c>
      <c r="X669" s="92">
        <v>55</v>
      </c>
      <c r="Y669" s="92" t="s">
        <v>691</v>
      </c>
      <c r="Z669" s="133">
        <f t="shared" si="977"/>
        <v>5614.253731343284</v>
      </c>
      <c r="AA669" s="133"/>
      <c r="AB669" s="124">
        <f t="shared" si="966"/>
        <v>5125.3623188405809</v>
      </c>
      <c r="AC669" s="124"/>
      <c r="AD669" s="213">
        <f t="shared" si="967"/>
        <v>7.0000000000000007E-2</v>
      </c>
      <c r="AE669" s="213">
        <v>7.0000000000000007E-2</v>
      </c>
      <c r="AF669" s="215">
        <v>0.31</v>
      </c>
      <c r="AG669" s="215" t="s">
        <v>9</v>
      </c>
      <c r="AH669" s="148">
        <f t="shared" si="990"/>
        <v>5125.3623188405809</v>
      </c>
      <c r="AI669" s="122">
        <f t="shared" si="970"/>
        <v>0.31000000000000005</v>
      </c>
      <c r="AJ669" s="444"/>
      <c r="AK669" s="150">
        <f t="shared" si="982"/>
        <v>4044.6774193548385</v>
      </c>
      <c r="AL669" s="148">
        <f t="shared" si="962"/>
        <v>3802.6881720430115</v>
      </c>
      <c r="AM669" s="125">
        <f t="shared" si="988"/>
        <v>0.27956989247311836</v>
      </c>
      <c r="AN669" s="125">
        <f t="shared" si="989"/>
        <v>0.25806451612903225</v>
      </c>
      <c r="AO669" s="136">
        <f t="shared" si="971"/>
        <v>0.35</v>
      </c>
      <c r="AP669" s="17" t="s">
        <v>1291</v>
      </c>
      <c r="AQ669" s="141"/>
      <c r="AR669" s="141"/>
      <c r="AS669" s="141"/>
      <c r="AT669" s="141"/>
      <c r="AU669" s="141"/>
      <c r="AV669" s="141"/>
      <c r="AW669" s="225">
        <v>3215</v>
      </c>
      <c r="AX669" s="126">
        <f t="shared" si="976"/>
        <v>3536.5000000000005</v>
      </c>
      <c r="AY669" s="198"/>
      <c r="AZ669" s="128"/>
      <c r="BB669" s="134">
        <f t="shared" si="984"/>
        <v>17084.541062801938</v>
      </c>
      <c r="BC669" s="134">
        <f t="shared" si="985"/>
        <v>10250.724637681162</v>
      </c>
      <c r="BD669" s="134">
        <f t="shared" si="986"/>
        <v>8542.270531400969</v>
      </c>
      <c r="BE669" s="134">
        <f t="shared" si="987"/>
        <v>6833.8164251207754</v>
      </c>
    </row>
    <row r="670" spans="1:58" s="129" customFormat="1" hidden="1">
      <c r="A670" s="88" t="s">
        <v>1276</v>
      </c>
      <c r="B670" s="88" t="s">
        <v>1318</v>
      </c>
      <c r="C670" s="88" t="s">
        <v>1318</v>
      </c>
      <c r="D670" s="88" t="s">
        <v>656</v>
      </c>
      <c r="E670" s="88" t="s">
        <v>684</v>
      </c>
      <c r="F670" s="89" t="s">
        <v>1670</v>
      </c>
      <c r="G670" s="92" t="s">
        <v>1686</v>
      </c>
      <c r="H670" s="320" t="s">
        <v>3400</v>
      </c>
      <c r="I670" s="167" t="s">
        <v>2341</v>
      </c>
      <c r="J670" s="167" t="str">
        <f>_xlfn.XLOOKUP(I670,[1]Sheet1!$A:$A,[1]Sheet1!$B:$B,"")</f>
        <v/>
      </c>
      <c r="K670" s="88" t="s">
        <v>2345</v>
      </c>
      <c r="L670" s="88" t="s">
        <v>2348</v>
      </c>
      <c r="M670" s="92" t="s">
        <v>1584</v>
      </c>
      <c r="N670" s="89" t="s">
        <v>1223</v>
      </c>
      <c r="O670" s="165"/>
      <c r="P670" s="89" t="s">
        <v>715</v>
      </c>
      <c r="Q670" s="92" t="s">
        <v>690</v>
      </c>
      <c r="R670" s="92">
        <v>2</v>
      </c>
      <c r="S670" s="92" t="e">
        <v>#N/A</v>
      </c>
      <c r="T670" s="92">
        <v>8544700000</v>
      </c>
      <c r="U670" s="155">
        <v>0</v>
      </c>
      <c r="V670" s="207">
        <v>30</v>
      </c>
      <c r="W670" s="92">
        <v>45</v>
      </c>
      <c r="X670" s="92">
        <v>55</v>
      </c>
      <c r="Y670" s="92" t="s">
        <v>691</v>
      </c>
      <c r="Z670" s="133">
        <f t="shared" si="977"/>
        <v>2437.7910447761192</v>
      </c>
      <c r="AA670" s="133"/>
      <c r="AB670" s="124">
        <f t="shared" si="966"/>
        <v>2225.507246376812</v>
      </c>
      <c r="AC670" s="124"/>
      <c r="AD670" s="213">
        <f t="shared" si="967"/>
        <v>7.0000000000000007E-2</v>
      </c>
      <c r="AE670" s="213">
        <v>7.0000000000000007E-2</v>
      </c>
      <c r="AF670" s="215">
        <v>0.31</v>
      </c>
      <c r="AG670" s="215" t="s">
        <v>9</v>
      </c>
      <c r="AH670" s="148">
        <f t="shared" si="990"/>
        <v>2225.507246376812</v>
      </c>
      <c r="AI670" s="122">
        <f t="shared" si="970"/>
        <v>0.31000000000000005</v>
      </c>
      <c r="AJ670" s="444"/>
      <c r="AK670" s="150">
        <f t="shared" si="982"/>
        <v>1756.258064516129</v>
      </c>
      <c r="AL670" s="148">
        <f t="shared" si="962"/>
        <v>1651.182795698925</v>
      </c>
      <c r="AM670" s="125">
        <f t="shared" si="988"/>
        <v>0.27956989247311825</v>
      </c>
      <c r="AN670" s="125">
        <f t="shared" si="989"/>
        <v>0.25806451612903225</v>
      </c>
      <c r="AO670" s="136">
        <f t="shared" si="971"/>
        <v>0.35</v>
      </c>
      <c r="AP670" s="17" t="s">
        <v>1291</v>
      </c>
      <c r="AQ670" s="141"/>
      <c r="AR670" s="141"/>
      <c r="AS670" s="141"/>
      <c r="AT670" s="141"/>
      <c r="AU670" s="141"/>
      <c r="AV670" s="141"/>
      <c r="AW670" s="225">
        <v>1396</v>
      </c>
      <c r="AX670" s="126">
        <f t="shared" si="976"/>
        <v>1535.6000000000001</v>
      </c>
      <c r="AY670" s="198"/>
      <c r="AZ670" s="128"/>
      <c r="BB670" s="134">
        <f t="shared" si="984"/>
        <v>7418.3574879227072</v>
      </c>
      <c r="BC670" s="134">
        <f t="shared" si="985"/>
        <v>4451.0144927536239</v>
      </c>
      <c r="BD670" s="134">
        <f t="shared" si="986"/>
        <v>3709.1787439613536</v>
      </c>
      <c r="BE670" s="134">
        <f t="shared" si="987"/>
        <v>2967.3429951690832</v>
      </c>
    </row>
    <row r="671" spans="1:58" s="129" customFormat="1" hidden="1">
      <c r="A671" s="88" t="s">
        <v>1276</v>
      </c>
      <c r="B671" s="88" t="s">
        <v>1318</v>
      </c>
      <c r="C671" s="88" t="s">
        <v>1318</v>
      </c>
      <c r="D671" s="88" t="s">
        <v>656</v>
      </c>
      <c r="E671" s="88" t="s">
        <v>684</v>
      </c>
      <c r="F671" s="89" t="s">
        <v>1670</v>
      </c>
      <c r="G671" s="92" t="s">
        <v>1686</v>
      </c>
      <c r="H671" s="320" t="s">
        <v>3401</v>
      </c>
      <c r="I671" s="167" t="s">
        <v>2342</v>
      </c>
      <c r="J671" s="167" t="str">
        <f>_xlfn.XLOOKUP(I671,[1]Sheet1!$A:$A,[1]Sheet1!$B:$B,"")</f>
        <v/>
      </c>
      <c r="K671" s="88" t="s">
        <v>2346</v>
      </c>
      <c r="L671" s="88" t="s">
        <v>2349</v>
      </c>
      <c r="M671" s="92" t="s">
        <v>1584</v>
      </c>
      <c r="N671" s="89" t="s">
        <v>1223</v>
      </c>
      <c r="O671" s="165"/>
      <c r="P671" s="89" t="s">
        <v>715</v>
      </c>
      <c r="Q671" s="92" t="s">
        <v>690</v>
      </c>
      <c r="R671" s="92">
        <v>2</v>
      </c>
      <c r="S671" s="92" t="e">
        <v>#N/A</v>
      </c>
      <c r="T671" s="92">
        <v>8544700000</v>
      </c>
      <c r="U671" s="155">
        <v>0</v>
      </c>
      <c r="V671" s="207">
        <v>30</v>
      </c>
      <c r="W671" s="92">
        <v>45</v>
      </c>
      <c r="X671" s="92">
        <v>55</v>
      </c>
      <c r="Y671" s="92" t="s">
        <v>691</v>
      </c>
      <c r="Z671" s="133">
        <f t="shared" si="977"/>
        <v>3684.626865671642</v>
      </c>
      <c r="AA671" s="133"/>
      <c r="AB671" s="124">
        <f t="shared" si="966"/>
        <v>3363.7681159420295</v>
      </c>
      <c r="AC671" s="124"/>
      <c r="AD671" s="213">
        <f t="shared" si="967"/>
        <v>7.0000000000000007E-2</v>
      </c>
      <c r="AE671" s="213">
        <v>7.0000000000000007E-2</v>
      </c>
      <c r="AF671" s="215">
        <v>0.31</v>
      </c>
      <c r="AG671" s="215" t="s">
        <v>9</v>
      </c>
      <c r="AH671" s="148">
        <f t="shared" si="990"/>
        <v>3363.7681159420295</v>
      </c>
      <c r="AI671" s="122">
        <f t="shared" si="970"/>
        <v>0.31000000000000005</v>
      </c>
      <c r="AJ671" s="444"/>
      <c r="AK671" s="150">
        <f t="shared" si="982"/>
        <v>2654.516129032258</v>
      </c>
      <c r="AL671" s="148">
        <f t="shared" si="962"/>
        <v>2495.6989247311831</v>
      </c>
      <c r="AM671" s="125">
        <f t="shared" si="988"/>
        <v>0.27956989247311836</v>
      </c>
      <c r="AN671" s="125">
        <f t="shared" si="989"/>
        <v>0.25806451612903225</v>
      </c>
      <c r="AO671" s="136">
        <f t="shared" si="971"/>
        <v>0.35</v>
      </c>
      <c r="AP671" s="17" t="s">
        <v>1291</v>
      </c>
      <c r="AQ671" s="141"/>
      <c r="AR671" s="141"/>
      <c r="AS671" s="141"/>
      <c r="AT671" s="141"/>
      <c r="AU671" s="141"/>
      <c r="AV671" s="141"/>
      <c r="AW671" s="225">
        <v>2110</v>
      </c>
      <c r="AX671" s="126">
        <f t="shared" si="976"/>
        <v>2321</v>
      </c>
      <c r="AY671" s="198"/>
      <c r="AZ671" s="128"/>
      <c r="BB671" s="134">
        <f t="shared" si="984"/>
        <v>11212.560386473431</v>
      </c>
      <c r="BC671" s="134">
        <f t="shared" si="985"/>
        <v>6727.5362318840589</v>
      </c>
      <c r="BD671" s="134">
        <f t="shared" si="986"/>
        <v>5606.2801932367156</v>
      </c>
      <c r="BE671" s="134">
        <f t="shared" si="987"/>
        <v>4485.0241545893723</v>
      </c>
    </row>
    <row r="672" spans="1:58" s="129" customFormat="1" ht="12.75" hidden="1" customHeight="1">
      <c r="A672" s="88" t="s">
        <v>1276</v>
      </c>
      <c r="B672" s="88" t="s">
        <v>1318</v>
      </c>
      <c r="C672" s="88" t="s">
        <v>1318</v>
      </c>
      <c r="D672" s="88" t="s">
        <v>656</v>
      </c>
      <c r="E672" s="88" t="s">
        <v>684</v>
      </c>
      <c r="F672" s="89" t="s">
        <v>1670</v>
      </c>
      <c r="G672" s="92" t="s">
        <v>1686</v>
      </c>
      <c r="H672" s="320" t="s">
        <v>3402</v>
      </c>
      <c r="I672" s="167" t="s">
        <v>2343</v>
      </c>
      <c r="J672" s="167" t="str">
        <f>_xlfn.XLOOKUP(I672,[1]Sheet1!$A:$A,[1]Sheet1!$B:$B,"")</f>
        <v/>
      </c>
      <c r="K672" s="88" t="s">
        <v>2347</v>
      </c>
      <c r="L672" s="88" t="s">
        <v>2350</v>
      </c>
      <c r="M672" s="92" t="s">
        <v>1584</v>
      </c>
      <c r="N672" s="89" t="s">
        <v>1223</v>
      </c>
      <c r="O672" s="165"/>
      <c r="P672" s="89" t="s">
        <v>715</v>
      </c>
      <c r="Q672" s="92" t="s">
        <v>690</v>
      </c>
      <c r="R672" s="92">
        <v>2</v>
      </c>
      <c r="S672" s="92" t="e">
        <v>#N/A</v>
      </c>
      <c r="T672" s="92">
        <v>8544700000</v>
      </c>
      <c r="U672" s="155">
        <v>0</v>
      </c>
      <c r="V672" s="207">
        <v>30</v>
      </c>
      <c r="W672" s="92">
        <v>45</v>
      </c>
      <c r="X672" s="92">
        <v>55</v>
      </c>
      <c r="Y672" s="92" t="s">
        <v>691</v>
      </c>
      <c r="Z672" s="133">
        <f t="shared" si="977"/>
        <v>5841.2686567164183</v>
      </c>
      <c r="AA672" s="133"/>
      <c r="AB672" s="124">
        <f t="shared" si="966"/>
        <v>5332.6086956521749</v>
      </c>
      <c r="AC672" s="124"/>
      <c r="AD672" s="213">
        <f t="shared" si="967"/>
        <v>7.0000000000000007E-2</v>
      </c>
      <c r="AE672" s="213">
        <v>7.0000000000000007E-2</v>
      </c>
      <c r="AF672" s="215">
        <v>0.31</v>
      </c>
      <c r="AG672" s="215" t="s">
        <v>9</v>
      </c>
      <c r="AH672" s="148">
        <f t="shared" si="990"/>
        <v>5332.6086956521749</v>
      </c>
      <c r="AI672" s="122">
        <f t="shared" si="970"/>
        <v>0.31000000000000005</v>
      </c>
      <c r="AJ672" s="444"/>
      <c r="AK672" s="150">
        <f t="shared" si="982"/>
        <v>4208.2258064516127</v>
      </c>
      <c r="AL672" s="148">
        <f t="shared" si="962"/>
        <v>3956.4516129032268</v>
      </c>
      <c r="AM672" s="125">
        <f t="shared" si="988"/>
        <v>0.27956989247311836</v>
      </c>
      <c r="AN672" s="125">
        <f t="shared" si="989"/>
        <v>0.25806451612903225</v>
      </c>
      <c r="AO672" s="136">
        <f t="shared" si="971"/>
        <v>0.35</v>
      </c>
      <c r="AP672" s="17" t="s">
        <v>1291</v>
      </c>
      <c r="AQ672" s="141"/>
      <c r="AR672" s="141"/>
      <c r="AS672" s="141"/>
      <c r="AT672" s="141"/>
      <c r="AU672" s="141"/>
      <c r="AV672" s="141"/>
      <c r="AW672" s="225">
        <v>3345</v>
      </c>
      <c r="AX672" s="126">
        <f t="shared" si="976"/>
        <v>3679.5000000000005</v>
      </c>
      <c r="AY672" s="198"/>
      <c r="AZ672" s="128"/>
      <c r="BB672" s="134">
        <f t="shared" si="984"/>
        <v>17775.362318840584</v>
      </c>
      <c r="BC672" s="134">
        <f t="shared" si="985"/>
        <v>10665.21739130435</v>
      </c>
      <c r="BD672" s="134">
        <f t="shared" si="986"/>
        <v>8887.6811594202918</v>
      </c>
      <c r="BE672" s="134">
        <f t="shared" si="987"/>
        <v>7110.1449275362338</v>
      </c>
    </row>
    <row r="673" spans="1:57" s="129" customFormat="1" ht="12.75" hidden="1" customHeight="1">
      <c r="A673" s="88" t="s">
        <v>1276</v>
      </c>
      <c r="B673" s="88" t="s">
        <v>1317</v>
      </c>
      <c r="C673" s="88" t="s">
        <v>1317</v>
      </c>
      <c r="D673" s="88" t="s">
        <v>656</v>
      </c>
      <c r="E673" s="88" t="s">
        <v>684</v>
      </c>
      <c r="F673" s="89" t="s">
        <v>686</v>
      </c>
      <c r="G673" s="92" t="s">
        <v>820</v>
      </c>
      <c r="H673" s="320">
        <v>4</v>
      </c>
      <c r="I673" s="167" t="s">
        <v>4025</v>
      </c>
      <c r="J673" s="167" t="str">
        <f>_xlfn.XLOOKUP(I673,[1]Sheet1!$A:$A,[1]Sheet1!$B:$B,"")</f>
        <v/>
      </c>
      <c r="K673" s="88" t="s">
        <v>4026</v>
      </c>
      <c r="L673" s="88" t="s">
        <v>4027</v>
      </c>
      <c r="M673" s="92" t="s">
        <v>1666</v>
      </c>
      <c r="N673" s="89" t="s">
        <v>158</v>
      </c>
      <c r="O673" s="165"/>
      <c r="P673" s="89" t="s">
        <v>715</v>
      </c>
      <c r="Q673" s="92" t="s">
        <v>690</v>
      </c>
      <c r="R673" s="92">
        <v>2</v>
      </c>
      <c r="S673" s="92" t="e">
        <v>#N/A</v>
      </c>
      <c r="T673" s="92">
        <v>8544700000</v>
      </c>
      <c r="U673" s="324">
        <v>0</v>
      </c>
      <c r="V673" s="207">
        <v>30</v>
      </c>
      <c r="W673" s="92">
        <v>45</v>
      </c>
      <c r="X673" s="92">
        <v>55</v>
      </c>
      <c r="Y673" s="92" t="s">
        <v>691</v>
      </c>
      <c r="Z673" s="133">
        <f>(AW673/(1-(AF673+2%)))*$F$6</f>
        <v>1404</v>
      </c>
      <c r="AA673" s="133"/>
      <c r="AB673" s="124">
        <f>AX673/(1-AF673)</f>
        <v>1277.41935483871</v>
      </c>
      <c r="AC673" s="124"/>
      <c r="AD673" s="213">
        <f>AE673</f>
        <v>7.0000000000000007E-2</v>
      </c>
      <c r="AE673" s="213">
        <v>7.0000000000000007E-2</v>
      </c>
      <c r="AF673" s="215">
        <v>0.38</v>
      </c>
      <c r="AG673" s="215" t="s">
        <v>9</v>
      </c>
      <c r="AH673" s="148">
        <f>AB673</f>
        <v>1277.41935483871</v>
      </c>
      <c r="AI673" s="122">
        <f>1-(AX673/AH673)</f>
        <v>0.38</v>
      </c>
      <c r="AJ673" s="444"/>
      <c r="AK673" s="150">
        <f>(AW673/(1-AD673))*$F$6</f>
        <v>905.80645161290317</v>
      </c>
      <c r="AL673" s="148">
        <f>AX673/(1-AE673)</f>
        <v>851.61290322580658</v>
      </c>
      <c r="AM673" s="325">
        <f>1-(AK673/Z673)</f>
        <v>0.35483870967741937</v>
      </c>
      <c r="AN673" s="325">
        <f>1-(AL673/AB673)</f>
        <v>0.33333333333333337</v>
      </c>
      <c r="AO673" s="136">
        <f>AF673+4%</f>
        <v>0.42</v>
      </c>
      <c r="AP673" s="17" t="s">
        <v>1291</v>
      </c>
      <c r="AQ673" s="141"/>
      <c r="AR673" s="141"/>
      <c r="AS673" s="141"/>
      <c r="AT673" s="141"/>
      <c r="AU673" s="141"/>
      <c r="AV673" s="141"/>
      <c r="AW673" s="225">
        <v>720</v>
      </c>
      <c r="AX673" s="126">
        <f>AW673*1.1</f>
        <v>792.00000000000011</v>
      </c>
      <c r="AY673" s="198"/>
      <c r="AZ673" s="128"/>
      <c r="BB673" s="134">
        <f>AB673/0.3</f>
        <v>4258.0645161290331</v>
      </c>
      <c r="BC673" s="134">
        <f>BB673*0.6</f>
        <v>2554.83870967742</v>
      </c>
      <c r="BD673" s="134">
        <f>BB673*0.5</f>
        <v>2129.0322580645166</v>
      </c>
      <c r="BE673" s="134">
        <f>BB673*0.4</f>
        <v>1703.2258064516134</v>
      </c>
    </row>
    <row r="674" spans="1:57" s="129" customFormat="1" hidden="1">
      <c r="A674" s="88" t="s">
        <v>1276</v>
      </c>
      <c r="B674" s="88" t="s">
        <v>1317</v>
      </c>
      <c r="C674" s="88" t="s">
        <v>1317</v>
      </c>
      <c r="D674" s="88" t="s">
        <v>656</v>
      </c>
      <c r="E674" s="88" t="s">
        <v>684</v>
      </c>
      <c r="F674" s="89" t="s">
        <v>686</v>
      </c>
      <c r="G674" s="92" t="s">
        <v>820</v>
      </c>
      <c r="H674" s="320" t="s">
        <v>3398</v>
      </c>
      <c r="I674" s="167" t="s">
        <v>4024</v>
      </c>
      <c r="J674" s="167" t="str">
        <f>_xlfn.XLOOKUP(I674,[1]Sheet1!$A:$A,[1]Sheet1!$B:$B,"")</f>
        <v>U0803012</v>
      </c>
      <c r="K674" s="88" t="s">
        <v>3452</v>
      </c>
      <c r="L674" s="88" t="s">
        <v>3453</v>
      </c>
      <c r="M674" s="92" t="s">
        <v>69</v>
      </c>
      <c r="N674" s="89" t="s">
        <v>158</v>
      </c>
      <c r="O674" s="165"/>
      <c r="P674" s="89" t="s">
        <v>715</v>
      </c>
      <c r="Q674" s="92" t="s">
        <v>690</v>
      </c>
      <c r="R674" s="92">
        <v>2</v>
      </c>
      <c r="S674" s="92" t="e">
        <v>#N/A</v>
      </c>
      <c r="T674" s="92">
        <v>8544700000</v>
      </c>
      <c r="U674" s="155">
        <v>0</v>
      </c>
      <c r="V674" s="207">
        <v>30</v>
      </c>
      <c r="W674" s="92">
        <v>45</v>
      </c>
      <c r="X674" s="92">
        <v>55</v>
      </c>
      <c r="Y674" s="92" t="s">
        <v>691</v>
      </c>
      <c r="Z674" s="133">
        <f t="shared" si="977"/>
        <v>1688.7</v>
      </c>
      <c r="AA674" s="133"/>
      <c r="AB674" s="124">
        <f t="shared" si="966"/>
        <v>1536.4516129032259</v>
      </c>
      <c r="AC674" s="124"/>
      <c r="AD674" s="213">
        <f t="shared" si="967"/>
        <v>7.0000000000000007E-2</v>
      </c>
      <c r="AE674" s="213">
        <v>7.0000000000000007E-2</v>
      </c>
      <c r="AF674" s="215">
        <v>0.38</v>
      </c>
      <c r="AG674" s="215" t="s">
        <v>9</v>
      </c>
      <c r="AH674" s="148">
        <f t="shared" si="990"/>
        <v>1536.4516129032259</v>
      </c>
      <c r="AI674" s="122">
        <f t="shared" si="970"/>
        <v>0.38</v>
      </c>
      <c r="AJ674" s="444"/>
      <c r="AK674" s="150">
        <f t="shared" si="982"/>
        <v>1089.483870967742</v>
      </c>
      <c r="AL674" s="148">
        <f t="shared" si="962"/>
        <v>1024.3010752688174</v>
      </c>
      <c r="AM674" s="125">
        <f t="shared" si="988"/>
        <v>0.35483870967741937</v>
      </c>
      <c r="AN674" s="125">
        <f t="shared" si="989"/>
        <v>0.33333333333333326</v>
      </c>
      <c r="AO674" s="136">
        <f t="shared" si="971"/>
        <v>0.42</v>
      </c>
      <c r="AP674" s="17" t="s">
        <v>1291</v>
      </c>
      <c r="AQ674" s="141"/>
      <c r="AR674" s="141"/>
      <c r="AS674" s="141"/>
      <c r="AT674" s="141"/>
      <c r="AU674" s="141"/>
      <c r="AV674" s="141"/>
      <c r="AW674" s="225">
        <v>866</v>
      </c>
      <c r="AX674" s="126">
        <f t="shared" si="976"/>
        <v>952.6</v>
      </c>
      <c r="AY674" s="198"/>
      <c r="AZ674" s="128"/>
      <c r="BB674" s="134">
        <f t="shared" si="984"/>
        <v>5121.5053763440865</v>
      </c>
      <c r="BC674" s="134">
        <f t="shared" si="985"/>
        <v>3072.9032258064517</v>
      </c>
      <c r="BD674" s="134">
        <f t="shared" si="986"/>
        <v>2560.7526881720432</v>
      </c>
      <c r="BE674" s="134">
        <f t="shared" si="987"/>
        <v>2048.6021505376348</v>
      </c>
    </row>
    <row r="675" spans="1:57" s="129" customFormat="1" hidden="1">
      <c r="A675" s="88" t="s">
        <v>1276</v>
      </c>
      <c r="B675" s="88" t="s">
        <v>1317</v>
      </c>
      <c r="C675" s="88" t="s">
        <v>1317</v>
      </c>
      <c r="D675" s="88" t="s">
        <v>656</v>
      </c>
      <c r="E675" s="88" t="s">
        <v>684</v>
      </c>
      <c r="F675" s="89" t="s">
        <v>686</v>
      </c>
      <c r="G675" s="92" t="s">
        <v>820</v>
      </c>
      <c r="H675" s="320" t="s">
        <v>3399</v>
      </c>
      <c r="I675" s="167" t="s">
        <v>824</v>
      </c>
      <c r="J675" s="167" t="str">
        <f>_xlfn.XLOOKUP(I675,[1]Sheet1!$A:$A,[1]Sheet1!$B:$B,"")</f>
        <v>U0803017</v>
      </c>
      <c r="K675" s="88" t="s">
        <v>825</v>
      </c>
      <c r="L675" s="88" t="s">
        <v>826</v>
      </c>
      <c r="M675" s="92" t="s">
        <v>69</v>
      </c>
      <c r="N675" s="89" t="s">
        <v>158</v>
      </c>
      <c r="O675" s="165"/>
      <c r="P675" s="89" t="s">
        <v>715</v>
      </c>
      <c r="Q675" s="92" t="s">
        <v>690</v>
      </c>
      <c r="R675" s="92">
        <v>2</v>
      </c>
      <c r="S675" s="92" t="e">
        <v>#N/A</v>
      </c>
      <c r="T675" s="92">
        <v>8544700000</v>
      </c>
      <c r="U675" s="155">
        <v>0</v>
      </c>
      <c r="V675" s="207">
        <v>30</v>
      </c>
      <c r="W675" s="92">
        <v>45</v>
      </c>
      <c r="X675" s="92">
        <v>55</v>
      </c>
      <c r="Y675" s="92" t="s">
        <v>691</v>
      </c>
      <c r="Z675" s="133">
        <f t="shared" si="977"/>
        <v>2211.2999999999997</v>
      </c>
      <c r="AA675" s="133"/>
      <c r="AB675" s="124">
        <f t="shared" si="966"/>
        <v>2011.9354838709678</v>
      </c>
      <c r="AC675" s="124"/>
      <c r="AD675" s="213">
        <f t="shared" si="967"/>
        <v>7.0000000000000007E-2</v>
      </c>
      <c r="AE675" s="213">
        <v>7.0000000000000007E-2</v>
      </c>
      <c r="AF675" s="215">
        <v>0.38</v>
      </c>
      <c r="AG675" s="215" t="s">
        <v>9</v>
      </c>
      <c r="AH675" s="148">
        <f t="shared" si="990"/>
        <v>2011.9354838709678</v>
      </c>
      <c r="AI675" s="122">
        <f t="shared" si="970"/>
        <v>0.38</v>
      </c>
      <c r="AJ675" s="444"/>
      <c r="AK675" s="150">
        <f t="shared" si="982"/>
        <v>1426.6451612903227</v>
      </c>
      <c r="AL675" s="148">
        <f t="shared" si="962"/>
        <v>1341.2903225806454</v>
      </c>
      <c r="AM675" s="125">
        <f t="shared" si="988"/>
        <v>0.35483870967741926</v>
      </c>
      <c r="AN675" s="125">
        <f t="shared" si="989"/>
        <v>0.33333333333333326</v>
      </c>
      <c r="AO675" s="136">
        <f t="shared" si="971"/>
        <v>0.42</v>
      </c>
      <c r="AP675" s="17" t="s">
        <v>1291</v>
      </c>
      <c r="AQ675" s="141"/>
      <c r="AR675" s="141"/>
      <c r="AS675" s="141"/>
      <c r="AT675" s="141"/>
      <c r="AU675" s="141"/>
      <c r="AV675" s="141"/>
      <c r="AW675" s="225">
        <v>1134</v>
      </c>
      <c r="AX675" s="126">
        <f t="shared" si="976"/>
        <v>1247.4000000000001</v>
      </c>
      <c r="AY675" s="198"/>
      <c r="AZ675" s="128"/>
      <c r="BB675" s="134">
        <f t="shared" si="984"/>
        <v>6706.4516129032263</v>
      </c>
      <c r="BC675" s="134">
        <f t="shared" si="985"/>
        <v>4023.8709677419356</v>
      </c>
      <c r="BD675" s="134">
        <f t="shared" si="986"/>
        <v>3353.2258064516132</v>
      </c>
      <c r="BE675" s="134">
        <f t="shared" si="987"/>
        <v>2682.5806451612907</v>
      </c>
    </row>
    <row r="676" spans="1:57" s="129" customFormat="1" hidden="1">
      <c r="A676" s="88" t="s">
        <v>1276</v>
      </c>
      <c r="B676" s="88" t="s">
        <v>1317</v>
      </c>
      <c r="C676" s="88" t="s">
        <v>1317</v>
      </c>
      <c r="D676" s="88" t="s">
        <v>656</v>
      </c>
      <c r="E676" s="88" t="s">
        <v>684</v>
      </c>
      <c r="F676" s="89" t="s">
        <v>686</v>
      </c>
      <c r="G676" s="92" t="s">
        <v>820</v>
      </c>
      <c r="H676" s="320" t="s">
        <v>3400</v>
      </c>
      <c r="I676" s="167" t="s">
        <v>827</v>
      </c>
      <c r="J676" s="167" t="str">
        <f>_xlfn.XLOOKUP(I676,[1]Sheet1!$A:$A,[1]Sheet1!$B:$B,"")</f>
        <v>U0803003</v>
      </c>
      <c r="K676" s="88" t="s">
        <v>828</v>
      </c>
      <c r="L676" s="88" t="s">
        <v>829</v>
      </c>
      <c r="M676" s="92" t="s">
        <v>69</v>
      </c>
      <c r="N676" s="89" t="s">
        <v>158</v>
      </c>
      <c r="O676" s="165"/>
      <c r="P676" s="89" t="s">
        <v>715</v>
      </c>
      <c r="Q676" s="92" t="s">
        <v>690</v>
      </c>
      <c r="R676" s="92">
        <v>2</v>
      </c>
      <c r="S676" s="92" t="e">
        <v>#N/A</v>
      </c>
      <c r="T676" s="92">
        <v>8544700000</v>
      </c>
      <c r="U676" s="155">
        <v>0</v>
      </c>
      <c r="V676" s="207">
        <v>30</v>
      </c>
      <c r="W676" s="92">
        <v>45</v>
      </c>
      <c r="X676" s="92">
        <v>55</v>
      </c>
      <c r="Y676" s="92" t="s">
        <v>691</v>
      </c>
      <c r="Z676" s="133">
        <f t="shared" si="977"/>
        <v>3237</v>
      </c>
      <c r="AA676" s="133"/>
      <c r="AB676" s="124">
        <f t="shared" si="966"/>
        <v>2945.161290322581</v>
      </c>
      <c r="AC676" s="124"/>
      <c r="AD676" s="213">
        <f t="shared" si="967"/>
        <v>7.0000000000000007E-2</v>
      </c>
      <c r="AE676" s="213">
        <v>7.0000000000000007E-2</v>
      </c>
      <c r="AF676" s="215">
        <v>0.38</v>
      </c>
      <c r="AG676" s="215" t="s">
        <v>9</v>
      </c>
      <c r="AH676" s="148">
        <f t="shared" si="990"/>
        <v>2945.161290322581</v>
      </c>
      <c r="AI676" s="122">
        <f t="shared" si="970"/>
        <v>0.38</v>
      </c>
      <c r="AJ676" s="444"/>
      <c r="AK676" s="150">
        <f t="shared" si="982"/>
        <v>2088.3870967741937</v>
      </c>
      <c r="AL676" s="148">
        <f t="shared" si="962"/>
        <v>1963.440860215054</v>
      </c>
      <c r="AM676" s="125">
        <f t="shared" si="988"/>
        <v>0.35483870967741937</v>
      </c>
      <c r="AN676" s="125">
        <f t="shared" si="989"/>
        <v>0.33333333333333326</v>
      </c>
      <c r="AO676" s="136">
        <f t="shared" si="971"/>
        <v>0.42</v>
      </c>
      <c r="AP676" s="17" t="s">
        <v>1291</v>
      </c>
      <c r="AQ676" s="141"/>
      <c r="AR676" s="141"/>
      <c r="AS676" s="141"/>
      <c r="AT676" s="141"/>
      <c r="AU676" s="141"/>
      <c r="AV676" s="141"/>
      <c r="AW676" s="225">
        <v>1660</v>
      </c>
      <c r="AX676" s="126">
        <f t="shared" si="976"/>
        <v>1826.0000000000002</v>
      </c>
      <c r="AY676" s="198"/>
      <c r="AZ676" s="128"/>
      <c r="BB676" s="134">
        <f t="shared" si="984"/>
        <v>9817.2043010752695</v>
      </c>
      <c r="BC676" s="134">
        <f t="shared" si="985"/>
        <v>5890.3225806451619</v>
      </c>
      <c r="BD676" s="134">
        <f t="shared" si="986"/>
        <v>4908.6021505376348</v>
      </c>
      <c r="BE676" s="134">
        <f t="shared" si="987"/>
        <v>3926.8817204301081</v>
      </c>
    </row>
    <row r="677" spans="1:57" s="129" customFormat="1" hidden="1">
      <c r="A677" s="88" t="s">
        <v>1276</v>
      </c>
      <c r="B677" s="88" t="s">
        <v>1317</v>
      </c>
      <c r="C677" s="88" t="s">
        <v>1317</v>
      </c>
      <c r="D677" s="88" t="s">
        <v>656</v>
      </c>
      <c r="E677" s="88" t="s">
        <v>684</v>
      </c>
      <c r="F677" s="89" t="s">
        <v>686</v>
      </c>
      <c r="G677" s="92" t="s">
        <v>820</v>
      </c>
      <c r="H677" s="320" t="s">
        <v>3401</v>
      </c>
      <c r="I677" s="167" t="s">
        <v>830</v>
      </c>
      <c r="J677" s="167" t="str">
        <f>_xlfn.XLOOKUP(I677,[1]Sheet1!$A:$A,[1]Sheet1!$B:$B,"")</f>
        <v>U0803007</v>
      </c>
      <c r="K677" s="88" t="s">
        <v>831</v>
      </c>
      <c r="L677" s="88" t="s">
        <v>832</v>
      </c>
      <c r="M677" s="92" t="s">
        <v>69</v>
      </c>
      <c r="N677" s="89" t="s">
        <v>158</v>
      </c>
      <c r="O677" s="165"/>
      <c r="P677" s="89" t="s">
        <v>715</v>
      </c>
      <c r="Q677" s="92" t="s">
        <v>690</v>
      </c>
      <c r="R677" s="92">
        <v>2</v>
      </c>
      <c r="S677" s="92" t="e">
        <v>#N/A</v>
      </c>
      <c r="T677" s="92">
        <v>8544700000</v>
      </c>
      <c r="U677" s="155">
        <v>0</v>
      </c>
      <c r="V677" s="207">
        <v>30</v>
      </c>
      <c r="W677" s="92">
        <v>45</v>
      </c>
      <c r="X677" s="92">
        <v>55</v>
      </c>
      <c r="Y677" s="92" t="s">
        <v>691</v>
      </c>
      <c r="Z677" s="133">
        <f t="shared" si="977"/>
        <v>6103.5</v>
      </c>
      <c r="AA677" s="133"/>
      <c r="AB677" s="124">
        <f t="shared" si="966"/>
        <v>5553.2258064516136</v>
      </c>
      <c r="AC677" s="124"/>
      <c r="AD677" s="213">
        <f t="shared" si="967"/>
        <v>7.0000000000000007E-2</v>
      </c>
      <c r="AE677" s="213">
        <v>7.0000000000000007E-2</v>
      </c>
      <c r="AF677" s="215">
        <v>0.38</v>
      </c>
      <c r="AG677" s="215" t="s">
        <v>9</v>
      </c>
      <c r="AH677" s="148">
        <f t="shared" si="990"/>
        <v>5553.2258064516136</v>
      </c>
      <c r="AI677" s="122">
        <f t="shared" si="970"/>
        <v>0.38</v>
      </c>
      <c r="AJ677" s="444"/>
      <c r="AK677" s="150">
        <f t="shared" si="982"/>
        <v>3937.7419354838712</v>
      </c>
      <c r="AL677" s="148">
        <f t="shared" si="962"/>
        <v>3702.1505376344094</v>
      </c>
      <c r="AM677" s="125">
        <f t="shared" si="988"/>
        <v>0.35483870967741926</v>
      </c>
      <c r="AN677" s="125">
        <f t="shared" si="989"/>
        <v>0.33333333333333326</v>
      </c>
      <c r="AO677" s="136">
        <f t="shared" si="971"/>
        <v>0.42</v>
      </c>
      <c r="AP677" s="17" t="s">
        <v>1291</v>
      </c>
      <c r="AQ677" s="141"/>
      <c r="AR677" s="141"/>
      <c r="AS677" s="141"/>
      <c r="AT677" s="141"/>
      <c r="AU677" s="141"/>
      <c r="AV677" s="141"/>
      <c r="AW677" s="225">
        <v>3130</v>
      </c>
      <c r="AX677" s="126">
        <f t="shared" si="976"/>
        <v>3443.0000000000005</v>
      </c>
      <c r="AY677" s="198"/>
      <c r="AZ677" s="128"/>
      <c r="BB677" s="134">
        <f t="shared" si="984"/>
        <v>18510.752688172048</v>
      </c>
      <c r="BC677" s="134">
        <f t="shared" si="985"/>
        <v>11106.451612903229</v>
      </c>
      <c r="BD677" s="134">
        <f t="shared" si="986"/>
        <v>9255.3763440860239</v>
      </c>
      <c r="BE677" s="134">
        <f t="shared" si="987"/>
        <v>7404.3010752688197</v>
      </c>
    </row>
    <row r="678" spans="1:57" s="129" customFormat="1" hidden="1">
      <c r="A678" s="88" t="s">
        <v>1276</v>
      </c>
      <c r="B678" s="88" t="s">
        <v>1317</v>
      </c>
      <c r="C678" s="88" t="s">
        <v>1317</v>
      </c>
      <c r="D678" s="88" t="s">
        <v>656</v>
      </c>
      <c r="E678" s="88" t="s">
        <v>684</v>
      </c>
      <c r="F678" s="89" t="s">
        <v>743</v>
      </c>
      <c r="G678" s="92" t="s">
        <v>820</v>
      </c>
      <c r="H678" s="320" t="s">
        <v>3400</v>
      </c>
      <c r="I678" s="167" t="s">
        <v>3349</v>
      </c>
      <c r="J678" s="167" t="str">
        <f>_xlfn.XLOOKUP(I678,[1]Sheet1!$A:$A,[1]Sheet1!$B:$B,"")</f>
        <v/>
      </c>
      <c r="K678" s="310" t="s">
        <v>3350</v>
      </c>
      <c r="L678" s="310" t="s">
        <v>3351</v>
      </c>
      <c r="M678" s="92" t="s">
        <v>69</v>
      </c>
      <c r="N678" s="89" t="s">
        <v>158</v>
      </c>
      <c r="O678" s="165"/>
      <c r="P678" s="89" t="s">
        <v>715</v>
      </c>
      <c r="Q678" s="92" t="s">
        <v>690</v>
      </c>
      <c r="R678" s="92">
        <v>2</v>
      </c>
      <c r="S678" s="311" t="e">
        <v>#N/A</v>
      </c>
      <c r="T678" s="311">
        <v>8544700000</v>
      </c>
      <c r="U678" s="312">
        <v>0</v>
      </c>
      <c r="V678" s="313">
        <v>30</v>
      </c>
      <c r="W678" s="311">
        <v>45</v>
      </c>
      <c r="X678" s="311">
        <v>55</v>
      </c>
      <c r="Y678" s="311" t="s">
        <v>691</v>
      </c>
      <c r="Z678" s="314">
        <f t="shared" si="977"/>
        <v>3870.75</v>
      </c>
      <c r="AA678" s="314"/>
      <c r="AB678" s="315">
        <f t="shared" si="966"/>
        <v>3521.7741935483873</v>
      </c>
      <c r="AC678" s="315"/>
      <c r="AD678" s="316">
        <f t="shared" si="967"/>
        <v>7.0000000000000007E-2</v>
      </c>
      <c r="AE678" s="316">
        <v>7.0000000000000007E-2</v>
      </c>
      <c r="AF678" s="316">
        <v>0.38</v>
      </c>
      <c r="AG678" s="316" t="s">
        <v>9</v>
      </c>
      <c r="AH678" s="317">
        <f t="shared" si="990"/>
        <v>3521.7741935483873</v>
      </c>
      <c r="AI678" s="316">
        <f t="shared" si="970"/>
        <v>0.38</v>
      </c>
      <c r="AJ678" s="444"/>
      <c r="AK678" s="318">
        <f t="shared" si="982"/>
        <v>2497.2580645161288</v>
      </c>
      <c r="AL678" s="317">
        <f t="shared" si="962"/>
        <v>2347.8494623655915</v>
      </c>
      <c r="AM678" s="319">
        <f t="shared" si="988"/>
        <v>0.35483870967741937</v>
      </c>
      <c r="AN678" s="319">
        <f t="shared" si="989"/>
        <v>0.33333333333333337</v>
      </c>
      <c r="AO678" s="136">
        <f t="shared" si="971"/>
        <v>0.42</v>
      </c>
      <c r="AP678" s="17" t="s">
        <v>1291</v>
      </c>
      <c r="AQ678" s="141"/>
      <c r="AR678" s="141"/>
      <c r="AS678" s="141"/>
      <c r="AT678" s="141"/>
      <c r="AU678" s="141"/>
      <c r="AV678" s="141"/>
      <c r="AW678" s="225">
        <v>1985</v>
      </c>
      <c r="AX678" s="126">
        <f t="shared" si="976"/>
        <v>2183.5</v>
      </c>
      <c r="AY678" s="198"/>
      <c r="AZ678" s="128"/>
      <c r="BB678" s="134">
        <f t="shared" si="984"/>
        <v>11739.247311827958</v>
      </c>
      <c r="BC678" s="134">
        <f t="shared" si="985"/>
        <v>7043.5483870967746</v>
      </c>
      <c r="BD678" s="134">
        <f t="shared" si="986"/>
        <v>5869.6236559139788</v>
      </c>
      <c r="BE678" s="134">
        <f t="shared" si="987"/>
        <v>4695.6989247311831</v>
      </c>
    </row>
    <row r="679" spans="1:57" s="129" customFormat="1" hidden="1">
      <c r="A679" s="88" t="s">
        <v>1276</v>
      </c>
      <c r="B679" s="88" t="s">
        <v>1317</v>
      </c>
      <c r="C679" s="88" t="s">
        <v>1317</v>
      </c>
      <c r="D679" s="88" t="s">
        <v>656</v>
      </c>
      <c r="E679" s="88" t="s">
        <v>684</v>
      </c>
      <c r="F679" s="89" t="s">
        <v>743</v>
      </c>
      <c r="G679" s="92" t="s">
        <v>820</v>
      </c>
      <c r="H679" s="320" t="s">
        <v>3401</v>
      </c>
      <c r="I679" s="167" t="s">
        <v>3352</v>
      </c>
      <c r="J679" s="167" t="str">
        <f>_xlfn.XLOOKUP(I679,[1]Sheet1!$A:$A,[1]Sheet1!$B:$B,"")</f>
        <v/>
      </c>
      <c r="K679" s="310" t="s">
        <v>3353</v>
      </c>
      <c r="L679" s="310" t="s">
        <v>3354</v>
      </c>
      <c r="M679" s="92" t="s">
        <v>69</v>
      </c>
      <c r="N679" s="89" t="s">
        <v>158</v>
      </c>
      <c r="O679" s="165"/>
      <c r="P679" s="89" t="s">
        <v>715</v>
      </c>
      <c r="Q679" s="92" t="s">
        <v>690</v>
      </c>
      <c r="R679" s="92">
        <v>2</v>
      </c>
      <c r="S679" s="311" t="e">
        <v>#N/A</v>
      </c>
      <c r="T679" s="311">
        <v>8544700000</v>
      </c>
      <c r="U679" s="312">
        <v>0</v>
      </c>
      <c r="V679" s="313">
        <v>30</v>
      </c>
      <c r="W679" s="311">
        <v>45</v>
      </c>
      <c r="X679" s="311">
        <v>55</v>
      </c>
      <c r="Y679" s="311" t="s">
        <v>691</v>
      </c>
      <c r="Z679" s="314">
        <f t="shared" si="977"/>
        <v>6922.5</v>
      </c>
      <c r="AA679" s="314"/>
      <c r="AB679" s="315">
        <f t="shared" si="966"/>
        <v>6298.3870967741941</v>
      </c>
      <c r="AC679" s="315"/>
      <c r="AD679" s="316">
        <f t="shared" si="967"/>
        <v>7.0000000000000007E-2</v>
      </c>
      <c r="AE679" s="316">
        <v>7.0000000000000007E-2</v>
      </c>
      <c r="AF679" s="316">
        <v>0.38</v>
      </c>
      <c r="AG679" s="316" t="s">
        <v>9</v>
      </c>
      <c r="AH679" s="317">
        <f t="shared" si="990"/>
        <v>6298.3870967741941</v>
      </c>
      <c r="AI679" s="316">
        <f t="shared" si="970"/>
        <v>0.38</v>
      </c>
      <c r="AJ679" s="444"/>
      <c r="AK679" s="318">
        <f t="shared" si="982"/>
        <v>4466.1290322580644</v>
      </c>
      <c r="AL679" s="317">
        <f t="shared" si="962"/>
        <v>4198.9247311827967</v>
      </c>
      <c r="AM679" s="319">
        <f t="shared" si="988"/>
        <v>0.35483870967741937</v>
      </c>
      <c r="AN679" s="319">
        <f t="shared" si="989"/>
        <v>0.33333333333333326</v>
      </c>
      <c r="AO679" s="136">
        <f t="shared" si="971"/>
        <v>0.42</v>
      </c>
      <c r="AP679" s="17" t="s">
        <v>1291</v>
      </c>
      <c r="AQ679" s="141"/>
      <c r="AR679" s="141"/>
      <c r="AS679" s="141"/>
      <c r="AT679" s="141"/>
      <c r="AU679" s="141"/>
      <c r="AV679" s="141"/>
      <c r="AW679" s="225">
        <v>3550</v>
      </c>
      <c r="AX679" s="126">
        <f t="shared" si="976"/>
        <v>3905.0000000000005</v>
      </c>
      <c r="AY679" s="198"/>
      <c r="AZ679" s="128"/>
      <c r="BB679" s="134">
        <f t="shared" si="984"/>
        <v>20994.62365591398</v>
      </c>
      <c r="BC679" s="134">
        <f t="shared" si="985"/>
        <v>12596.774193548388</v>
      </c>
      <c r="BD679" s="134">
        <f t="shared" si="986"/>
        <v>10497.31182795699</v>
      </c>
      <c r="BE679" s="134">
        <f t="shared" si="987"/>
        <v>8397.8494623655915</v>
      </c>
    </row>
    <row r="680" spans="1:57" s="129" customFormat="1" hidden="1">
      <c r="A680" s="88" t="s">
        <v>1276</v>
      </c>
      <c r="B680" s="88" t="s">
        <v>1317</v>
      </c>
      <c r="C680" s="88" t="s">
        <v>1317</v>
      </c>
      <c r="D680" s="88" t="s">
        <v>656</v>
      </c>
      <c r="E680" s="88" t="s">
        <v>684</v>
      </c>
      <c r="F680" s="89" t="s">
        <v>743</v>
      </c>
      <c r="G680" s="92" t="s">
        <v>820</v>
      </c>
      <c r="H680" s="320" t="s">
        <v>3402</v>
      </c>
      <c r="I680" s="167" t="s">
        <v>833</v>
      </c>
      <c r="J680" s="167" t="str">
        <f>_xlfn.XLOOKUP(I680,[1]Sheet1!$A:$A,[1]Sheet1!$B:$B,"")</f>
        <v>U0806003</v>
      </c>
      <c r="K680" s="88" t="s">
        <v>834</v>
      </c>
      <c r="L680" s="88" t="s">
        <v>835</v>
      </c>
      <c r="M680" s="92" t="s">
        <v>69</v>
      </c>
      <c r="N680" s="89" t="s">
        <v>158</v>
      </c>
      <c r="O680" s="165"/>
      <c r="P680" s="89" t="s">
        <v>715</v>
      </c>
      <c r="Q680" s="92" t="s">
        <v>690</v>
      </c>
      <c r="R680" s="92">
        <v>2</v>
      </c>
      <c r="S680" s="92" t="e">
        <v>#N/A</v>
      </c>
      <c r="T680" s="92">
        <v>8544700000</v>
      </c>
      <c r="U680" s="155">
        <v>0</v>
      </c>
      <c r="V680" s="207">
        <v>30</v>
      </c>
      <c r="W680" s="92">
        <v>45</v>
      </c>
      <c r="X680" s="92">
        <v>55</v>
      </c>
      <c r="Y680" s="92" t="s">
        <v>691</v>
      </c>
      <c r="Z680" s="133">
        <f t="shared" si="977"/>
        <v>11662.95</v>
      </c>
      <c r="AA680" s="133"/>
      <c r="AB680" s="124">
        <f t="shared" si="966"/>
        <v>10611.451612903227</v>
      </c>
      <c r="AC680" s="124"/>
      <c r="AD680" s="213">
        <f t="shared" si="967"/>
        <v>7.0000000000000007E-2</v>
      </c>
      <c r="AE680" s="213">
        <v>7.0000000000000007E-2</v>
      </c>
      <c r="AF680" s="215">
        <v>0.38</v>
      </c>
      <c r="AG680" s="215" t="s">
        <v>9</v>
      </c>
      <c r="AH680" s="148">
        <f t="shared" si="990"/>
        <v>10611.451612903227</v>
      </c>
      <c r="AI680" s="122">
        <f t="shared" si="970"/>
        <v>0.38</v>
      </c>
      <c r="AJ680" s="444"/>
      <c r="AK680" s="150">
        <f t="shared" si="982"/>
        <v>7524.4838709677424</v>
      </c>
      <c r="AL680" s="148">
        <f t="shared" si="962"/>
        <v>7074.3010752688178</v>
      </c>
      <c r="AM680" s="125">
        <f t="shared" si="988"/>
        <v>0.35483870967741937</v>
      </c>
      <c r="AN680" s="125">
        <f t="shared" si="989"/>
        <v>0.33333333333333337</v>
      </c>
      <c r="AO680" s="136">
        <f t="shared" si="971"/>
        <v>0.42</v>
      </c>
      <c r="AP680" s="17" t="s">
        <v>1291</v>
      </c>
      <c r="AQ680" s="141"/>
      <c r="AR680" s="141"/>
      <c r="AS680" s="141"/>
      <c r="AT680" s="141"/>
      <c r="AU680" s="141"/>
      <c r="AV680" s="141"/>
      <c r="AW680" s="225">
        <v>5981</v>
      </c>
      <c r="AX680" s="126">
        <f t="shared" si="976"/>
        <v>6579.1</v>
      </c>
      <c r="AY680" s="198"/>
      <c r="AZ680" s="128"/>
      <c r="BB680" s="134">
        <f t="shared" si="984"/>
        <v>35371.505376344096</v>
      </c>
      <c r="BC680" s="134">
        <f t="shared" si="985"/>
        <v>21222.903225806458</v>
      </c>
      <c r="BD680" s="134">
        <f t="shared" si="986"/>
        <v>17685.752688172048</v>
      </c>
      <c r="BE680" s="134">
        <f t="shared" si="987"/>
        <v>14148.602150537639</v>
      </c>
    </row>
    <row r="681" spans="1:57" s="129" customFormat="1" hidden="1">
      <c r="A681" s="88" t="s">
        <v>1276</v>
      </c>
      <c r="B681" s="88" t="s">
        <v>1317</v>
      </c>
      <c r="C681" s="88" t="s">
        <v>1317</v>
      </c>
      <c r="D681" s="88" t="s">
        <v>656</v>
      </c>
      <c r="E681" s="88" t="s">
        <v>684</v>
      </c>
      <c r="F681" s="89" t="s">
        <v>743</v>
      </c>
      <c r="G681" s="92" t="s">
        <v>820</v>
      </c>
      <c r="H681" s="320" t="s">
        <v>3405</v>
      </c>
      <c r="I681" s="167" t="s">
        <v>3355</v>
      </c>
      <c r="J681" s="167" t="str">
        <f>_xlfn.XLOOKUP(I681,[1]Sheet1!$A:$A,[1]Sheet1!$B:$B,"")</f>
        <v/>
      </c>
      <c r="K681" s="310" t="s">
        <v>3356</v>
      </c>
      <c r="L681" s="310" t="s">
        <v>3357</v>
      </c>
      <c r="M681" s="92" t="s">
        <v>69</v>
      </c>
      <c r="N681" s="89" t="s">
        <v>158</v>
      </c>
      <c r="O681" s="165"/>
      <c r="P681" s="89" t="s">
        <v>715</v>
      </c>
      <c r="Q681" s="92" t="s">
        <v>690</v>
      </c>
      <c r="R681" s="92">
        <v>2</v>
      </c>
      <c r="S681" s="311" t="e">
        <v>#N/A</v>
      </c>
      <c r="T681" s="311">
        <v>8544700000</v>
      </c>
      <c r="U681" s="312">
        <v>0</v>
      </c>
      <c r="V681" s="313">
        <v>30</v>
      </c>
      <c r="W681" s="311">
        <v>45</v>
      </c>
      <c r="X681" s="311">
        <v>55</v>
      </c>
      <c r="Y681" s="311" t="s">
        <v>691</v>
      </c>
      <c r="Z681" s="314">
        <f t="shared" si="977"/>
        <v>19110</v>
      </c>
      <c r="AA681" s="314"/>
      <c r="AB681" s="315">
        <f t="shared" si="966"/>
        <v>17387.096774193549</v>
      </c>
      <c r="AC681" s="315"/>
      <c r="AD681" s="316">
        <f t="shared" si="967"/>
        <v>7.0000000000000007E-2</v>
      </c>
      <c r="AE681" s="316">
        <v>7.0000000000000007E-2</v>
      </c>
      <c r="AF681" s="316">
        <v>0.38</v>
      </c>
      <c r="AG681" s="316" t="s">
        <v>9</v>
      </c>
      <c r="AH681" s="317">
        <f t="shared" si="990"/>
        <v>17387.096774193549</v>
      </c>
      <c r="AI681" s="316">
        <f t="shared" si="970"/>
        <v>0.38</v>
      </c>
      <c r="AJ681" s="444"/>
      <c r="AK681" s="318">
        <f t="shared" si="982"/>
        <v>12329.032258064515</v>
      </c>
      <c r="AL681" s="317">
        <f t="shared" ref="AL681:AL744" si="991">AX681/(1-AE681)</f>
        <v>11591.397849462366</v>
      </c>
      <c r="AM681" s="319">
        <f t="shared" si="988"/>
        <v>0.35483870967741937</v>
      </c>
      <c r="AN681" s="319">
        <f t="shared" si="989"/>
        <v>0.33333333333333337</v>
      </c>
      <c r="AO681" s="136">
        <f t="shared" si="971"/>
        <v>0.42</v>
      </c>
      <c r="AP681" s="17" t="s">
        <v>1291</v>
      </c>
      <c r="AQ681" s="141"/>
      <c r="AR681" s="141"/>
      <c r="AS681" s="141"/>
      <c r="AT681" s="141"/>
      <c r="AU681" s="141"/>
      <c r="AV681" s="141"/>
      <c r="AW681" s="225">
        <v>9800</v>
      </c>
      <c r="AX681" s="126">
        <f t="shared" si="976"/>
        <v>10780</v>
      </c>
      <c r="AY681" s="198"/>
      <c r="AZ681" s="128"/>
      <c r="BB681" s="134">
        <f t="shared" si="984"/>
        <v>57956.989247311831</v>
      </c>
      <c r="BC681" s="134">
        <f t="shared" si="985"/>
        <v>34774.193548387098</v>
      </c>
      <c r="BD681" s="134">
        <f t="shared" si="986"/>
        <v>28978.494623655915</v>
      </c>
      <c r="BE681" s="134">
        <f t="shared" si="987"/>
        <v>23182.795698924732</v>
      </c>
    </row>
    <row r="682" spans="1:57" s="129" customFormat="1" hidden="1">
      <c r="A682" s="88" t="s">
        <v>1276</v>
      </c>
      <c r="B682" s="88" t="s">
        <v>1317</v>
      </c>
      <c r="C682" s="88" t="s">
        <v>1317</v>
      </c>
      <c r="D682" s="88" t="s">
        <v>656</v>
      </c>
      <c r="E682" s="88" t="s">
        <v>684</v>
      </c>
      <c r="F682" s="89" t="s">
        <v>743</v>
      </c>
      <c r="G682" s="92" t="s">
        <v>820</v>
      </c>
      <c r="H682" s="320" t="s">
        <v>3403</v>
      </c>
      <c r="I682" s="167" t="s">
        <v>2406</v>
      </c>
      <c r="J682" s="167" t="str">
        <f>_xlfn.XLOOKUP(I682,[1]Sheet1!$A:$A,[1]Sheet1!$B:$B,"")</f>
        <v>U0806007</v>
      </c>
      <c r="K682" s="88" t="s">
        <v>837</v>
      </c>
      <c r="L682" s="88" t="s">
        <v>838</v>
      </c>
      <c r="M682" s="92" t="s">
        <v>69</v>
      </c>
      <c r="N682" s="89" t="s">
        <v>158</v>
      </c>
      <c r="O682" s="165"/>
      <c r="P682" s="89" t="s">
        <v>715</v>
      </c>
      <c r="Q682" s="92" t="s">
        <v>690</v>
      </c>
      <c r="R682" s="92">
        <v>2</v>
      </c>
      <c r="S682" s="92" t="e">
        <v>#N/A</v>
      </c>
      <c r="T682" s="92">
        <v>8544700000</v>
      </c>
      <c r="U682" s="155">
        <v>0</v>
      </c>
      <c r="V682" s="207">
        <v>30</v>
      </c>
      <c r="W682" s="92">
        <v>45</v>
      </c>
      <c r="X682" s="92">
        <v>55</v>
      </c>
      <c r="Y682" s="92" t="s">
        <v>691</v>
      </c>
      <c r="Z682" s="133">
        <f t="shared" si="977"/>
        <v>22932</v>
      </c>
      <c r="AA682" s="133"/>
      <c r="AB682" s="124">
        <f t="shared" si="966"/>
        <v>20864.516129032261</v>
      </c>
      <c r="AC682" s="124"/>
      <c r="AD682" s="213">
        <f t="shared" si="967"/>
        <v>7.0000000000000007E-2</v>
      </c>
      <c r="AE682" s="213">
        <v>7.0000000000000007E-2</v>
      </c>
      <c r="AF682" s="215">
        <v>0.38</v>
      </c>
      <c r="AG682" s="215" t="s">
        <v>9</v>
      </c>
      <c r="AH682" s="148">
        <f t="shared" si="990"/>
        <v>20864.516129032261</v>
      </c>
      <c r="AI682" s="122">
        <f t="shared" si="970"/>
        <v>0.38</v>
      </c>
      <c r="AJ682" s="444"/>
      <c r="AK682" s="150">
        <f t="shared" si="982"/>
        <v>14794.838709677419</v>
      </c>
      <c r="AL682" s="148">
        <f t="shared" si="991"/>
        <v>13909.677419354841</v>
      </c>
      <c r="AM682" s="125">
        <f t="shared" si="988"/>
        <v>0.35483870967741937</v>
      </c>
      <c r="AN682" s="125">
        <f t="shared" si="989"/>
        <v>0.33333333333333337</v>
      </c>
      <c r="AO682" s="136">
        <f t="shared" si="971"/>
        <v>0.42</v>
      </c>
      <c r="AP682" s="17" t="s">
        <v>1291</v>
      </c>
      <c r="AQ682" s="141"/>
      <c r="AR682" s="141"/>
      <c r="AS682" s="141"/>
      <c r="AT682" s="141"/>
      <c r="AU682" s="141"/>
      <c r="AV682" s="141"/>
      <c r="AW682" s="225">
        <v>11760</v>
      </c>
      <c r="AX682" s="126">
        <f t="shared" si="976"/>
        <v>12936.000000000002</v>
      </c>
      <c r="AY682" s="198"/>
      <c r="AZ682" s="128"/>
      <c r="BB682" s="134">
        <f t="shared" si="984"/>
        <v>69548.387096774211</v>
      </c>
      <c r="BC682" s="134">
        <f t="shared" si="985"/>
        <v>41729.032258064522</v>
      </c>
      <c r="BD682" s="134">
        <f t="shared" si="986"/>
        <v>34774.193548387106</v>
      </c>
      <c r="BE682" s="134">
        <f t="shared" si="987"/>
        <v>27819.354838709685</v>
      </c>
    </row>
    <row r="683" spans="1:57" s="129" customFormat="1" hidden="1">
      <c r="A683" s="88" t="s">
        <v>1276</v>
      </c>
      <c r="B683" s="88" t="s">
        <v>1317</v>
      </c>
      <c r="C683" s="88" t="s">
        <v>1317</v>
      </c>
      <c r="D683" s="88" t="s">
        <v>656</v>
      </c>
      <c r="E683" s="88" t="s">
        <v>684</v>
      </c>
      <c r="F683" s="89" t="s">
        <v>743</v>
      </c>
      <c r="G683" s="92" t="s">
        <v>820</v>
      </c>
      <c r="H683" s="320" t="s">
        <v>3406</v>
      </c>
      <c r="I683" s="167" t="s">
        <v>3358</v>
      </c>
      <c r="J683" s="167" t="str">
        <f>_xlfn.XLOOKUP(I683,[1]Sheet1!$A:$A,[1]Sheet1!$B:$B,"")</f>
        <v/>
      </c>
      <c r="K683" s="310" t="s">
        <v>3359</v>
      </c>
      <c r="L683" s="310" t="s">
        <v>3360</v>
      </c>
      <c r="M683" s="92" t="s">
        <v>69</v>
      </c>
      <c r="N683" s="89" t="s">
        <v>158</v>
      </c>
      <c r="O683" s="165"/>
      <c r="P683" s="89" t="s">
        <v>715</v>
      </c>
      <c r="Q683" s="92" t="s">
        <v>690</v>
      </c>
      <c r="R683" s="92">
        <v>2</v>
      </c>
      <c r="S683" s="311" t="e">
        <v>#N/A</v>
      </c>
      <c r="T683" s="311">
        <v>8544700000</v>
      </c>
      <c r="U683" s="312">
        <v>0</v>
      </c>
      <c r="V683" s="313">
        <v>30</v>
      </c>
      <c r="W683" s="311">
        <v>45</v>
      </c>
      <c r="X683" s="311">
        <v>55</v>
      </c>
      <c r="Y683" s="311" t="s">
        <v>691</v>
      </c>
      <c r="Z683" s="314">
        <f t="shared" si="977"/>
        <v>37740.299999999996</v>
      </c>
      <c r="AA683" s="314"/>
      <c r="AB683" s="315">
        <f t="shared" si="966"/>
        <v>34337.741935483871</v>
      </c>
      <c r="AC683" s="315"/>
      <c r="AD683" s="316">
        <f t="shared" si="967"/>
        <v>7.0000000000000007E-2</v>
      </c>
      <c r="AE683" s="316">
        <v>7.0000000000000007E-2</v>
      </c>
      <c r="AF683" s="316">
        <v>0.38</v>
      </c>
      <c r="AG683" s="316" t="s">
        <v>9</v>
      </c>
      <c r="AH683" s="317">
        <f t="shared" si="990"/>
        <v>34337.741935483871</v>
      </c>
      <c r="AI683" s="316">
        <f t="shared" si="970"/>
        <v>0.38</v>
      </c>
      <c r="AJ683" s="444"/>
      <c r="AK683" s="318">
        <f t="shared" si="982"/>
        <v>24348.580645161292</v>
      </c>
      <c r="AL683" s="317">
        <f t="shared" si="991"/>
        <v>22891.827956989251</v>
      </c>
      <c r="AM683" s="319">
        <f t="shared" si="988"/>
        <v>0.35483870967741926</v>
      </c>
      <c r="AN683" s="319">
        <f t="shared" si="989"/>
        <v>0.33333333333333326</v>
      </c>
      <c r="AO683" s="136">
        <f t="shared" si="971"/>
        <v>0.42</v>
      </c>
      <c r="AP683" s="17" t="s">
        <v>1291</v>
      </c>
      <c r="AQ683" s="141"/>
      <c r="AR683" s="141"/>
      <c r="AS683" s="141"/>
      <c r="AT683" s="141"/>
      <c r="AU683" s="141"/>
      <c r="AV683" s="141"/>
      <c r="AW683" s="225">
        <v>19354</v>
      </c>
      <c r="AX683" s="126">
        <f t="shared" si="976"/>
        <v>21289.4</v>
      </c>
      <c r="AY683" s="198"/>
      <c r="AZ683" s="128"/>
      <c r="BB683" s="134">
        <f t="shared" si="984"/>
        <v>114459.13978494624</v>
      </c>
      <c r="BC683" s="134">
        <f t="shared" si="985"/>
        <v>68675.483870967742</v>
      </c>
      <c r="BD683" s="134">
        <f t="shared" si="986"/>
        <v>57229.569892473119</v>
      </c>
      <c r="BE683" s="134">
        <f t="shared" si="987"/>
        <v>45783.655913978495</v>
      </c>
    </row>
    <row r="684" spans="1:57" s="129" customFormat="1" hidden="1">
      <c r="A684" s="88" t="s">
        <v>1276</v>
      </c>
      <c r="B684" s="88" t="s">
        <v>1317</v>
      </c>
      <c r="C684" s="88" t="s">
        <v>1317</v>
      </c>
      <c r="D684" s="88" t="s">
        <v>656</v>
      </c>
      <c r="E684" s="88" t="s">
        <v>684</v>
      </c>
      <c r="F684" s="89" t="s">
        <v>743</v>
      </c>
      <c r="G684" s="92" t="s">
        <v>820</v>
      </c>
      <c r="H684" s="320" t="s">
        <v>3407</v>
      </c>
      <c r="I684" s="167" t="s">
        <v>3361</v>
      </c>
      <c r="J684" s="167" t="str">
        <f>_xlfn.XLOOKUP(I684,[1]Sheet1!$A:$A,[1]Sheet1!$B:$B,"")</f>
        <v/>
      </c>
      <c r="K684" s="310" t="s">
        <v>3362</v>
      </c>
      <c r="L684" s="310" t="s">
        <v>3363</v>
      </c>
      <c r="M684" s="92" t="s">
        <v>69</v>
      </c>
      <c r="N684" s="89" t="s">
        <v>158</v>
      </c>
      <c r="O684" s="165"/>
      <c r="P684" s="89" t="s">
        <v>715</v>
      </c>
      <c r="Q684" s="92" t="s">
        <v>690</v>
      </c>
      <c r="R684" s="92">
        <v>2</v>
      </c>
      <c r="S684" s="311" t="e">
        <v>#N/A</v>
      </c>
      <c r="T684" s="311">
        <v>8544700000</v>
      </c>
      <c r="U684" s="312">
        <v>0</v>
      </c>
      <c r="V684" s="313">
        <v>30</v>
      </c>
      <c r="W684" s="311">
        <v>45</v>
      </c>
      <c r="X684" s="311">
        <v>55</v>
      </c>
      <c r="Y684" s="311" t="s">
        <v>691</v>
      </c>
      <c r="Z684" s="314">
        <f t="shared" si="977"/>
        <v>74757.149999999994</v>
      </c>
      <c r="AA684" s="314"/>
      <c r="AB684" s="315">
        <f t="shared" si="966"/>
        <v>68017.258064516136</v>
      </c>
      <c r="AC684" s="315"/>
      <c r="AD684" s="316">
        <f t="shared" si="967"/>
        <v>7.0000000000000007E-2</v>
      </c>
      <c r="AE684" s="316">
        <v>7.0000000000000007E-2</v>
      </c>
      <c r="AF684" s="316">
        <v>0.38</v>
      </c>
      <c r="AG684" s="316" t="s">
        <v>9</v>
      </c>
      <c r="AH684" s="317">
        <f t="shared" si="990"/>
        <v>68017.258064516136</v>
      </c>
      <c r="AI684" s="316">
        <f t="shared" si="970"/>
        <v>0.38</v>
      </c>
      <c r="AJ684" s="444"/>
      <c r="AK684" s="318">
        <f t="shared" si="982"/>
        <v>48230.419354838712</v>
      </c>
      <c r="AL684" s="317">
        <f t="shared" si="991"/>
        <v>45344.838709677424</v>
      </c>
      <c r="AM684" s="319">
        <f t="shared" si="988"/>
        <v>0.35483870967741926</v>
      </c>
      <c r="AN684" s="319">
        <f t="shared" si="989"/>
        <v>0.33333333333333337</v>
      </c>
      <c r="AO684" s="136">
        <f t="shared" si="971"/>
        <v>0.42</v>
      </c>
      <c r="AP684" s="17" t="s">
        <v>1291</v>
      </c>
      <c r="AQ684" s="141"/>
      <c r="AR684" s="141"/>
      <c r="AS684" s="141"/>
      <c r="AT684" s="141"/>
      <c r="AU684" s="141"/>
      <c r="AV684" s="141"/>
      <c r="AW684" s="225">
        <v>38337</v>
      </c>
      <c r="AX684" s="126">
        <f t="shared" si="976"/>
        <v>42170.700000000004</v>
      </c>
      <c r="AY684" s="198"/>
      <c r="AZ684" s="128"/>
      <c r="BB684" s="134">
        <f t="shared" si="984"/>
        <v>226724.19354838712</v>
      </c>
      <c r="BC684" s="134">
        <f t="shared" si="985"/>
        <v>136034.51612903227</v>
      </c>
      <c r="BD684" s="134">
        <f t="shared" si="986"/>
        <v>113362.09677419356</v>
      </c>
      <c r="BE684" s="134">
        <f t="shared" si="987"/>
        <v>90689.677419354848</v>
      </c>
    </row>
    <row r="685" spans="1:57" s="129" customFormat="1" hidden="1">
      <c r="A685" s="88" t="s">
        <v>1276</v>
      </c>
      <c r="B685" s="88" t="s">
        <v>1317</v>
      </c>
      <c r="C685" s="88" t="s">
        <v>1317</v>
      </c>
      <c r="D685" s="88" t="s">
        <v>656</v>
      </c>
      <c r="E685" s="88" t="s">
        <v>684</v>
      </c>
      <c r="F685" s="89" t="s">
        <v>686</v>
      </c>
      <c r="G685" s="92" t="s">
        <v>839</v>
      </c>
      <c r="H685" s="320" t="s">
        <v>3398</v>
      </c>
      <c r="I685" s="167" t="s">
        <v>2411</v>
      </c>
      <c r="J685" s="167" t="str">
        <f>_xlfn.XLOOKUP(I685,[1]Sheet1!$A:$A,[1]Sheet1!$B:$B,"")</f>
        <v>U0803014</v>
      </c>
      <c r="K685" s="88" t="s">
        <v>841</v>
      </c>
      <c r="L685" s="88" t="s">
        <v>842</v>
      </c>
      <c r="M685" s="92" t="s">
        <v>69</v>
      </c>
      <c r="N685" s="89" t="s">
        <v>158</v>
      </c>
      <c r="O685" s="165"/>
      <c r="P685" s="89" t="s">
        <v>715</v>
      </c>
      <c r="Q685" s="92" t="s">
        <v>690</v>
      </c>
      <c r="R685" s="92">
        <v>2</v>
      </c>
      <c r="S685" s="92" t="e">
        <v>#N/A</v>
      </c>
      <c r="T685" s="92">
        <v>8544700000</v>
      </c>
      <c r="U685" s="155">
        <v>0</v>
      </c>
      <c r="V685" s="207">
        <v>30</v>
      </c>
      <c r="W685" s="92">
        <v>45</v>
      </c>
      <c r="X685" s="92">
        <v>55</v>
      </c>
      <c r="Y685" s="92" t="s">
        <v>691</v>
      </c>
      <c r="Z685" s="133">
        <f t="shared" si="977"/>
        <v>320.80645161290317</v>
      </c>
      <c r="AA685" s="133"/>
      <c r="AB685" s="124">
        <f t="shared" si="966"/>
        <v>292.18750000000006</v>
      </c>
      <c r="AC685" s="124"/>
      <c r="AD685" s="213">
        <f t="shared" si="967"/>
        <v>7.0000000000000007E-2</v>
      </c>
      <c r="AE685" s="213">
        <v>7.0000000000000007E-2</v>
      </c>
      <c r="AF685" s="215">
        <v>0.36</v>
      </c>
      <c r="AG685" s="215" t="s">
        <v>9</v>
      </c>
      <c r="AH685" s="148">
        <f t="shared" si="990"/>
        <v>292.18750000000006</v>
      </c>
      <c r="AI685" s="122">
        <f t="shared" si="970"/>
        <v>0.36</v>
      </c>
      <c r="AJ685" s="444"/>
      <c r="AK685" s="150">
        <f t="shared" si="982"/>
        <v>213.87096774193549</v>
      </c>
      <c r="AL685" s="148">
        <f t="shared" si="991"/>
        <v>201.07526881720435</v>
      </c>
      <c r="AM685" s="125">
        <f t="shared" si="988"/>
        <v>0.33333333333333326</v>
      </c>
      <c r="AN685" s="125">
        <f t="shared" si="989"/>
        <v>0.31182795698924726</v>
      </c>
      <c r="AO685" s="136">
        <f t="shared" si="971"/>
        <v>0.39999999999999997</v>
      </c>
      <c r="AP685" s="17" t="s">
        <v>1291</v>
      </c>
      <c r="AQ685" s="141"/>
      <c r="AR685" s="141"/>
      <c r="AS685" s="141"/>
      <c r="AT685" s="141"/>
      <c r="AU685" s="141"/>
      <c r="AV685" s="141"/>
      <c r="AW685" s="225">
        <v>170</v>
      </c>
      <c r="AX685" s="126">
        <f t="shared" si="976"/>
        <v>187.00000000000003</v>
      </c>
      <c r="AY685" s="198"/>
      <c r="AZ685" s="128"/>
      <c r="BB685" s="134">
        <f t="shared" si="984"/>
        <v>973.9583333333336</v>
      </c>
      <c r="BC685" s="134">
        <f t="shared" si="985"/>
        <v>584.37500000000011</v>
      </c>
      <c r="BD685" s="134">
        <f t="shared" si="986"/>
        <v>486.9791666666668</v>
      </c>
      <c r="BE685" s="134">
        <f t="shared" si="987"/>
        <v>389.58333333333348</v>
      </c>
    </row>
    <row r="686" spans="1:57" s="129" customFormat="1" hidden="1">
      <c r="A686" s="88" t="s">
        <v>1276</v>
      </c>
      <c r="B686" s="88" t="s">
        <v>1317</v>
      </c>
      <c r="C686" s="88" t="s">
        <v>1317</v>
      </c>
      <c r="D686" s="88" t="s">
        <v>656</v>
      </c>
      <c r="E686" s="88" t="s">
        <v>684</v>
      </c>
      <c r="F686" s="89" t="s">
        <v>686</v>
      </c>
      <c r="G686" s="92" t="s">
        <v>839</v>
      </c>
      <c r="H686" s="320" t="s">
        <v>3399</v>
      </c>
      <c r="I686" s="167" t="s">
        <v>2412</v>
      </c>
      <c r="J686" s="167" t="str">
        <f>_xlfn.XLOOKUP(I686,[1]Sheet1!$A:$A,[1]Sheet1!$B:$B,"")</f>
        <v>U0803018</v>
      </c>
      <c r="K686" s="88" t="s">
        <v>845</v>
      </c>
      <c r="L686" s="88" t="s">
        <v>846</v>
      </c>
      <c r="M686" s="92" t="s">
        <v>69</v>
      </c>
      <c r="N686" s="89" t="s">
        <v>158</v>
      </c>
      <c r="O686" s="165"/>
      <c r="P686" s="89" t="s">
        <v>715</v>
      </c>
      <c r="Q686" s="92" t="s">
        <v>690</v>
      </c>
      <c r="R686" s="92">
        <v>2</v>
      </c>
      <c r="S686" s="92" t="e">
        <v>#N/A</v>
      </c>
      <c r="T686" s="92">
        <v>8544700000</v>
      </c>
      <c r="U686" s="155">
        <v>0</v>
      </c>
      <c r="V686" s="207">
        <v>30</v>
      </c>
      <c r="W686" s="92">
        <v>45</v>
      </c>
      <c r="X686" s="92">
        <v>55</v>
      </c>
      <c r="Y686" s="92" t="s">
        <v>691</v>
      </c>
      <c r="Z686" s="133">
        <f t="shared" si="977"/>
        <v>335.90322580645164</v>
      </c>
      <c r="AA686" s="133"/>
      <c r="AB686" s="124">
        <f t="shared" si="966"/>
        <v>305.9375</v>
      </c>
      <c r="AC686" s="124"/>
      <c r="AD686" s="213">
        <f t="shared" si="967"/>
        <v>7.0000000000000007E-2</v>
      </c>
      <c r="AE686" s="213">
        <v>7.0000000000000007E-2</v>
      </c>
      <c r="AF686" s="215">
        <v>0.36</v>
      </c>
      <c r="AG686" s="215" t="s">
        <v>9</v>
      </c>
      <c r="AH686" s="148">
        <f t="shared" si="990"/>
        <v>305.9375</v>
      </c>
      <c r="AI686" s="122">
        <f t="shared" si="970"/>
        <v>0.36</v>
      </c>
      <c r="AJ686" s="444"/>
      <c r="AK686" s="150">
        <f t="shared" si="982"/>
        <v>223.93548387096774</v>
      </c>
      <c r="AL686" s="148">
        <f t="shared" si="991"/>
        <v>210.53763440860217</v>
      </c>
      <c r="AM686" s="125">
        <f t="shared" si="988"/>
        <v>0.33333333333333337</v>
      </c>
      <c r="AN686" s="125">
        <f t="shared" si="989"/>
        <v>0.31182795698924726</v>
      </c>
      <c r="AO686" s="136">
        <f t="shared" si="971"/>
        <v>0.39999999999999997</v>
      </c>
      <c r="AP686" s="17" t="s">
        <v>1291</v>
      </c>
      <c r="AQ686" s="141"/>
      <c r="AR686" s="141"/>
      <c r="AS686" s="141"/>
      <c r="AT686" s="141"/>
      <c r="AU686" s="141"/>
      <c r="AV686" s="141"/>
      <c r="AW686" s="225">
        <v>178</v>
      </c>
      <c r="AX686" s="126">
        <f t="shared" si="976"/>
        <v>195.8</v>
      </c>
      <c r="AY686" s="198"/>
      <c r="AZ686" s="128"/>
      <c r="BB686" s="134">
        <f t="shared" si="984"/>
        <v>1019.7916666666667</v>
      </c>
      <c r="BC686" s="134">
        <f t="shared" si="985"/>
        <v>611.875</v>
      </c>
      <c r="BD686" s="134">
        <f t="shared" si="986"/>
        <v>509.89583333333337</v>
      </c>
      <c r="BE686" s="134">
        <f t="shared" si="987"/>
        <v>407.91666666666674</v>
      </c>
    </row>
    <row r="687" spans="1:57" s="129" customFormat="1" hidden="1">
      <c r="A687" s="88" t="s">
        <v>1276</v>
      </c>
      <c r="B687" s="88" t="s">
        <v>1317</v>
      </c>
      <c r="C687" s="88" t="s">
        <v>1317</v>
      </c>
      <c r="D687" s="88" t="s">
        <v>656</v>
      </c>
      <c r="E687" s="88" t="s">
        <v>684</v>
      </c>
      <c r="F687" s="89" t="s">
        <v>686</v>
      </c>
      <c r="G687" s="92" t="s">
        <v>839</v>
      </c>
      <c r="H687" s="320" t="s">
        <v>3400</v>
      </c>
      <c r="I687" s="167" t="s">
        <v>2413</v>
      </c>
      <c r="J687" s="167" t="str">
        <f>_xlfn.XLOOKUP(I687,[1]Sheet1!$A:$A,[1]Sheet1!$B:$B,"")</f>
        <v>U0803004</v>
      </c>
      <c r="K687" s="88" t="s">
        <v>848</v>
      </c>
      <c r="L687" s="88" t="s">
        <v>849</v>
      </c>
      <c r="M687" s="92" t="s">
        <v>69</v>
      </c>
      <c r="N687" s="89" t="s">
        <v>158</v>
      </c>
      <c r="O687" s="165"/>
      <c r="P687" s="89" t="s">
        <v>715</v>
      </c>
      <c r="Q687" s="92" t="s">
        <v>690</v>
      </c>
      <c r="R687" s="92">
        <v>2</v>
      </c>
      <c r="S687" s="92" t="e">
        <v>#N/A</v>
      </c>
      <c r="T687" s="92">
        <v>8544700000</v>
      </c>
      <c r="U687" s="155">
        <v>0</v>
      </c>
      <c r="V687" s="207">
        <v>30</v>
      </c>
      <c r="W687" s="92">
        <v>45</v>
      </c>
      <c r="X687" s="92">
        <v>55</v>
      </c>
      <c r="Y687" s="92" t="s">
        <v>691</v>
      </c>
      <c r="Z687" s="133">
        <f t="shared" si="977"/>
        <v>358.54838709677415</v>
      </c>
      <c r="AA687" s="133"/>
      <c r="AB687" s="124">
        <f t="shared" si="966"/>
        <v>326.56250000000006</v>
      </c>
      <c r="AC687" s="124"/>
      <c r="AD687" s="213">
        <f t="shared" si="967"/>
        <v>7.0000000000000007E-2</v>
      </c>
      <c r="AE687" s="213">
        <v>7.0000000000000007E-2</v>
      </c>
      <c r="AF687" s="215">
        <v>0.36</v>
      </c>
      <c r="AG687" s="215" t="s">
        <v>9</v>
      </c>
      <c r="AH687" s="148">
        <f t="shared" si="990"/>
        <v>326.56250000000006</v>
      </c>
      <c r="AI687" s="122">
        <f t="shared" si="970"/>
        <v>0.36</v>
      </c>
      <c r="AJ687" s="444"/>
      <c r="AK687" s="150">
        <f t="shared" si="982"/>
        <v>239.03225806451613</v>
      </c>
      <c r="AL687" s="148">
        <f t="shared" si="991"/>
        <v>224.73118279569897</v>
      </c>
      <c r="AM687" s="125">
        <f t="shared" si="988"/>
        <v>0.33333333333333326</v>
      </c>
      <c r="AN687" s="125">
        <f t="shared" si="989"/>
        <v>0.31182795698924726</v>
      </c>
      <c r="AO687" s="136">
        <f t="shared" si="971"/>
        <v>0.39999999999999997</v>
      </c>
      <c r="AP687" s="17" t="s">
        <v>1291</v>
      </c>
      <c r="AQ687" s="141"/>
      <c r="AR687" s="141"/>
      <c r="AS687" s="141"/>
      <c r="AT687" s="141"/>
      <c r="AU687" s="141"/>
      <c r="AV687" s="141"/>
      <c r="AW687" s="225">
        <v>190</v>
      </c>
      <c r="AX687" s="126">
        <f t="shared" si="976"/>
        <v>209.00000000000003</v>
      </c>
      <c r="AY687" s="198"/>
      <c r="AZ687" s="128"/>
      <c r="BB687" s="134">
        <f t="shared" si="984"/>
        <v>1088.541666666667</v>
      </c>
      <c r="BC687" s="134">
        <f t="shared" si="985"/>
        <v>653.12500000000011</v>
      </c>
      <c r="BD687" s="134">
        <f t="shared" si="986"/>
        <v>544.27083333333348</v>
      </c>
      <c r="BE687" s="134">
        <f t="shared" si="987"/>
        <v>435.4166666666668</v>
      </c>
    </row>
    <row r="688" spans="1:57" s="129" customFormat="1" hidden="1">
      <c r="A688" s="88" t="s">
        <v>1276</v>
      </c>
      <c r="B688" s="88" t="s">
        <v>1317</v>
      </c>
      <c r="C688" s="88" t="s">
        <v>1317</v>
      </c>
      <c r="D688" s="88" t="s">
        <v>656</v>
      </c>
      <c r="E688" s="88" t="s">
        <v>684</v>
      </c>
      <c r="F688" s="89" t="s">
        <v>686</v>
      </c>
      <c r="G688" s="92" t="s">
        <v>839</v>
      </c>
      <c r="H688" s="320" t="s">
        <v>3401</v>
      </c>
      <c r="I688" s="167" t="s">
        <v>2414</v>
      </c>
      <c r="J688" s="167" t="str">
        <f>_xlfn.XLOOKUP(I688,[1]Sheet1!$A:$A,[1]Sheet1!$B:$B,"")</f>
        <v>U0803008</v>
      </c>
      <c r="K688" s="88" t="s">
        <v>851</v>
      </c>
      <c r="L688" s="88" t="s">
        <v>852</v>
      </c>
      <c r="M688" s="92" t="s">
        <v>69</v>
      </c>
      <c r="N688" s="89" t="s">
        <v>158</v>
      </c>
      <c r="O688" s="165"/>
      <c r="P688" s="89" t="s">
        <v>715</v>
      </c>
      <c r="Q688" s="92" t="s">
        <v>690</v>
      </c>
      <c r="R688" s="92">
        <v>2</v>
      </c>
      <c r="S688" s="92" t="e">
        <v>#N/A</v>
      </c>
      <c r="T688" s="92">
        <v>8544700000</v>
      </c>
      <c r="U688" s="155">
        <v>0</v>
      </c>
      <c r="V688" s="207">
        <v>30</v>
      </c>
      <c r="W688" s="92">
        <v>45</v>
      </c>
      <c r="X688" s="92">
        <v>55</v>
      </c>
      <c r="Y688" s="92" t="s">
        <v>691</v>
      </c>
      <c r="Z688" s="133">
        <f t="shared" si="977"/>
        <v>462.33870967741933</v>
      </c>
      <c r="AA688" s="133"/>
      <c r="AB688" s="124">
        <f t="shared" si="966"/>
        <v>421.09375</v>
      </c>
      <c r="AC688" s="124"/>
      <c r="AD688" s="213">
        <f t="shared" si="967"/>
        <v>7.0000000000000007E-2</v>
      </c>
      <c r="AE688" s="213">
        <v>7.0000000000000007E-2</v>
      </c>
      <c r="AF688" s="215">
        <v>0.36</v>
      </c>
      <c r="AG688" s="215" t="s">
        <v>9</v>
      </c>
      <c r="AH688" s="148">
        <f t="shared" si="990"/>
        <v>421.09375</v>
      </c>
      <c r="AI688" s="122">
        <f t="shared" si="970"/>
        <v>0.36</v>
      </c>
      <c r="AJ688" s="444"/>
      <c r="AK688" s="150">
        <f t="shared" si="982"/>
        <v>308.22580645161287</v>
      </c>
      <c r="AL688" s="148">
        <f t="shared" si="991"/>
        <v>289.78494623655916</v>
      </c>
      <c r="AM688" s="125">
        <f t="shared" si="988"/>
        <v>0.33333333333333337</v>
      </c>
      <c r="AN688" s="125">
        <f t="shared" si="989"/>
        <v>0.31182795698924726</v>
      </c>
      <c r="AO688" s="136">
        <f t="shared" si="971"/>
        <v>0.39999999999999997</v>
      </c>
      <c r="AP688" s="17" t="s">
        <v>1291</v>
      </c>
      <c r="AQ688" s="141"/>
      <c r="AR688" s="141"/>
      <c r="AS688" s="141"/>
      <c r="AT688" s="141"/>
      <c r="AU688" s="141"/>
      <c r="AV688" s="141"/>
      <c r="AW688" s="225">
        <v>245</v>
      </c>
      <c r="AX688" s="126">
        <f t="shared" si="976"/>
        <v>269.5</v>
      </c>
      <c r="AY688" s="198"/>
      <c r="AZ688" s="128"/>
      <c r="BB688" s="134">
        <f t="shared" si="984"/>
        <v>1403.6458333333335</v>
      </c>
      <c r="BC688" s="134">
        <f t="shared" si="985"/>
        <v>842.18750000000011</v>
      </c>
      <c r="BD688" s="134">
        <f t="shared" si="986"/>
        <v>701.82291666666674</v>
      </c>
      <c r="BE688" s="134">
        <f t="shared" si="987"/>
        <v>561.45833333333337</v>
      </c>
    </row>
    <row r="689" spans="1:57" s="129" customFormat="1" hidden="1">
      <c r="A689" s="88" t="s">
        <v>1276</v>
      </c>
      <c r="B689" s="88" t="s">
        <v>1318</v>
      </c>
      <c r="C689" s="88" t="s">
        <v>1318</v>
      </c>
      <c r="D689" s="88" t="s">
        <v>656</v>
      </c>
      <c r="E689" s="88" t="s">
        <v>684</v>
      </c>
      <c r="F689" s="89" t="s">
        <v>686</v>
      </c>
      <c r="G689" s="92" t="s">
        <v>839</v>
      </c>
      <c r="H689" s="320" t="s">
        <v>3398</v>
      </c>
      <c r="I689" s="167" t="s">
        <v>2241</v>
      </c>
      <c r="J689" s="167" t="str">
        <f>_xlfn.XLOOKUP(I689,[1]Sheet1!$A:$A,[1]Sheet1!$B:$B,"")</f>
        <v>U0803023</v>
      </c>
      <c r="K689" s="88" t="s">
        <v>2242</v>
      </c>
      <c r="L689" s="88" t="s">
        <v>2243</v>
      </c>
      <c r="M689" s="92" t="s">
        <v>125</v>
      </c>
      <c r="N689" s="89" t="s">
        <v>1223</v>
      </c>
      <c r="O689" s="165"/>
      <c r="P689" s="89" t="s">
        <v>715</v>
      </c>
      <c r="Q689" s="92" t="s">
        <v>690</v>
      </c>
      <c r="R689" s="92">
        <v>2</v>
      </c>
      <c r="S689" s="92" t="e">
        <v>#N/A</v>
      </c>
      <c r="T689" s="92">
        <v>8544700000</v>
      </c>
      <c r="U689" s="155">
        <v>0</v>
      </c>
      <c r="V689" s="207">
        <v>30</v>
      </c>
      <c r="W689" s="92">
        <v>45</v>
      </c>
      <c r="X689" s="92">
        <v>55</v>
      </c>
      <c r="Y689" s="92" t="s">
        <v>691</v>
      </c>
      <c r="Z689" s="133">
        <f t="shared" si="977"/>
        <v>335.90322580645164</v>
      </c>
      <c r="AA689" s="133"/>
      <c r="AB689" s="124">
        <f t="shared" si="966"/>
        <v>305.9375</v>
      </c>
      <c r="AC689" s="124"/>
      <c r="AD689" s="213">
        <f t="shared" si="967"/>
        <v>7.0000000000000007E-2</v>
      </c>
      <c r="AE689" s="213">
        <v>7.0000000000000007E-2</v>
      </c>
      <c r="AF689" s="215">
        <v>0.36</v>
      </c>
      <c r="AG689" s="215" t="s">
        <v>9</v>
      </c>
      <c r="AH689" s="148">
        <f t="shared" si="990"/>
        <v>305.9375</v>
      </c>
      <c r="AI689" s="122">
        <f t="shared" si="970"/>
        <v>0.36</v>
      </c>
      <c r="AJ689" s="444"/>
      <c r="AK689" s="150">
        <f t="shared" si="982"/>
        <v>223.93548387096774</v>
      </c>
      <c r="AL689" s="148">
        <f t="shared" si="991"/>
        <v>210.53763440860217</v>
      </c>
      <c r="AM689" s="125">
        <f t="shared" si="988"/>
        <v>0.33333333333333337</v>
      </c>
      <c r="AN689" s="125">
        <f t="shared" si="989"/>
        <v>0.31182795698924726</v>
      </c>
      <c r="AO689" s="136">
        <f t="shared" si="971"/>
        <v>0.39999999999999997</v>
      </c>
      <c r="AP689" s="17" t="s">
        <v>1291</v>
      </c>
      <c r="AQ689" s="141"/>
      <c r="AR689" s="141"/>
      <c r="AS689" s="141"/>
      <c r="AT689" s="141"/>
      <c r="AU689" s="141"/>
      <c r="AV689" s="141"/>
      <c r="AW689" s="225">
        <v>178</v>
      </c>
      <c r="AX689" s="126">
        <f t="shared" si="976"/>
        <v>195.8</v>
      </c>
      <c r="AY689" s="17"/>
      <c r="AZ689" s="128">
        <v>8544700000</v>
      </c>
      <c r="BB689" s="134">
        <f t="shared" si="984"/>
        <v>1019.7916666666667</v>
      </c>
      <c r="BC689" s="134">
        <f t="shared" si="985"/>
        <v>611.875</v>
      </c>
      <c r="BD689" s="134">
        <f t="shared" si="986"/>
        <v>509.89583333333337</v>
      </c>
      <c r="BE689" s="134">
        <f t="shared" si="987"/>
        <v>407.91666666666674</v>
      </c>
    </row>
    <row r="690" spans="1:57" s="129" customFormat="1" hidden="1">
      <c r="A690" s="88" t="s">
        <v>1276</v>
      </c>
      <c r="B690" s="88" t="s">
        <v>1318</v>
      </c>
      <c r="C690" s="88" t="s">
        <v>1318</v>
      </c>
      <c r="D690" s="88" t="s">
        <v>656</v>
      </c>
      <c r="E690" s="88" t="s">
        <v>684</v>
      </c>
      <c r="F690" s="89" t="s">
        <v>686</v>
      </c>
      <c r="G690" s="92" t="s">
        <v>839</v>
      </c>
      <c r="H690" s="320" t="s">
        <v>3399</v>
      </c>
      <c r="I690" s="167" t="s">
        <v>3364</v>
      </c>
      <c r="J690" s="167" t="str">
        <f>_xlfn.XLOOKUP(I690,[1]Sheet1!$A:$A,[1]Sheet1!$B:$B,"")</f>
        <v/>
      </c>
      <c r="K690" s="88" t="s">
        <v>3365</v>
      </c>
      <c r="L690" s="88" t="s">
        <v>3366</v>
      </c>
      <c r="M690" s="92" t="s">
        <v>125</v>
      </c>
      <c r="N690" s="89" t="s">
        <v>1223</v>
      </c>
      <c r="O690" s="165"/>
      <c r="P690" s="89" t="s">
        <v>715</v>
      </c>
      <c r="Q690" s="92" t="s">
        <v>690</v>
      </c>
      <c r="R690" s="92">
        <v>2</v>
      </c>
      <c r="S690" s="92" t="e">
        <v>#N/A</v>
      </c>
      <c r="T690" s="92">
        <v>8544700000</v>
      </c>
      <c r="U690" s="155">
        <v>0</v>
      </c>
      <c r="V690" s="207">
        <v>30</v>
      </c>
      <c r="W690" s="92">
        <v>45</v>
      </c>
      <c r="X690" s="92">
        <v>55</v>
      </c>
      <c r="Y690" s="92" t="s">
        <v>691</v>
      </c>
      <c r="Z690" s="133">
        <f t="shared" si="977"/>
        <v>349.11290322580641</v>
      </c>
      <c r="AA690" s="133"/>
      <c r="AB690" s="124">
        <f t="shared" si="966"/>
        <v>317.96875000000006</v>
      </c>
      <c r="AC690" s="124"/>
      <c r="AD690" s="213">
        <f t="shared" si="967"/>
        <v>7.0000000000000007E-2</v>
      </c>
      <c r="AE690" s="213">
        <v>7.0000000000000007E-2</v>
      </c>
      <c r="AF690" s="215">
        <v>0.36</v>
      </c>
      <c r="AG690" s="215" t="s">
        <v>9</v>
      </c>
      <c r="AH690" s="148">
        <f t="shared" si="990"/>
        <v>317.96875000000006</v>
      </c>
      <c r="AI690" s="122">
        <f t="shared" si="970"/>
        <v>0.36</v>
      </c>
      <c r="AJ690" s="444"/>
      <c r="AK690" s="150">
        <f t="shared" si="982"/>
        <v>232.74193548387098</v>
      </c>
      <c r="AL690" s="148">
        <f t="shared" si="991"/>
        <v>218.81720430107532</v>
      </c>
      <c r="AM690" s="125">
        <f t="shared" si="988"/>
        <v>0.33333333333333326</v>
      </c>
      <c r="AN690" s="125">
        <f t="shared" si="989"/>
        <v>0.31182795698924726</v>
      </c>
      <c r="AO690" s="136">
        <f t="shared" si="971"/>
        <v>0.39999999999999997</v>
      </c>
      <c r="AP690" s="17" t="s">
        <v>1291</v>
      </c>
      <c r="AQ690" s="141"/>
      <c r="AR690" s="141"/>
      <c r="AS690" s="141"/>
      <c r="AT690" s="141"/>
      <c r="AU690" s="141"/>
      <c r="AV690" s="141"/>
      <c r="AW690" s="225">
        <v>185</v>
      </c>
      <c r="AX690" s="126">
        <f t="shared" si="976"/>
        <v>203.50000000000003</v>
      </c>
      <c r="AY690" s="17"/>
      <c r="AZ690" s="128">
        <v>8544700000</v>
      </c>
      <c r="BB690" s="134">
        <f t="shared" si="984"/>
        <v>1059.8958333333335</v>
      </c>
      <c r="BC690" s="134">
        <f t="shared" si="985"/>
        <v>635.93750000000011</v>
      </c>
      <c r="BD690" s="134">
        <f t="shared" si="986"/>
        <v>529.94791666666674</v>
      </c>
      <c r="BE690" s="134">
        <f t="shared" si="987"/>
        <v>423.95833333333343</v>
      </c>
    </row>
    <row r="691" spans="1:57" s="129" customFormat="1" hidden="1">
      <c r="A691" s="88" t="s">
        <v>1276</v>
      </c>
      <c r="B691" s="88" t="s">
        <v>1318</v>
      </c>
      <c r="C691" s="88" t="s">
        <v>1318</v>
      </c>
      <c r="D691" s="88" t="s">
        <v>656</v>
      </c>
      <c r="E691" s="88" t="s">
        <v>684</v>
      </c>
      <c r="F691" s="89" t="s">
        <v>686</v>
      </c>
      <c r="G691" s="92" t="s">
        <v>839</v>
      </c>
      <c r="H691" s="320" t="s">
        <v>3400</v>
      </c>
      <c r="I691" s="167" t="s">
        <v>1660</v>
      </c>
      <c r="J691" s="167" t="str">
        <f>_xlfn.XLOOKUP(I691,[1]Sheet1!$A:$A,[1]Sheet1!$B:$B,"")</f>
        <v>U0803020</v>
      </c>
      <c r="K691" s="88" t="s">
        <v>1662</v>
      </c>
      <c r="L691" s="88" t="s">
        <v>1664</v>
      </c>
      <c r="M691" s="92" t="s">
        <v>125</v>
      </c>
      <c r="N691" s="89" t="s">
        <v>1223</v>
      </c>
      <c r="O691" s="165"/>
      <c r="P691" s="89" t="s">
        <v>715</v>
      </c>
      <c r="Q691" s="92" t="s">
        <v>690</v>
      </c>
      <c r="R691" s="92">
        <v>2</v>
      </c>
      <c r="S691" s="92" t="e">
        <v>#N/A</v>
      </c>
      <c r="T691" s="92">
        <v>8544700000</v>
      </c>
      <c r="U691" s="155">
        <v>0</v>
      </c>
      <c r="V691" s="207">
        <v>30</v>
      </c>
      <c r="W691" s="92">
        <v>45</v>
      </c>
      <c r="X691" s="92">
        <v>55</v>
      </c>
      <c r="Y691" s="92" t="s">
        <v>691</v>
      </c>
      <c r="Z691" s="133">
        <f t="shared" si="977"/>
        <v>373.64516129032256</v>
      </c>
      <c r="AA691" s="133"/>
      <c r="AB691" s="124">
        <f t="shared" si="966"/>
        <v>340.3125</v>
      </c>
      <c r="AC691" s="124"/>
      <c r="AD691" s="213">
        <f t="shared" si="967"/>
        <v>7.0000000000000007E-2</v>
      </c>
      <c r="AE691" s="213">
        <v>7.0000000000000007E-2</v>
      </c>
      <c r="AF691" s="215">
        <v>0.36</v>
      </c>
      <c r="AG691" s="215" t="s">
        <v>9</v>
      </c>
      <c r="AH691" s="148">
        <f t="shared" si="990"/>
        <v>340.3125</v>
      </c>
      <c r="AI691" s="122">
        <f t="shared" si="970"/>
        <v>0.36</v>
      </c>
      <c r="AJ691" s="444"/>
      <c r="AK691" s="150">
        <f t="shared" si="982"/>
        <v>249.09677419354838</v>
      </c>
      <c r="AL691" s="148">
        <f t="shared" si="991"/>
        <v>234.1935483870968</v>
      </c>
      <c r="AM691" s="125">
        <f t="shared" ref="AM691:AM724" si="992">1-(AK691/Z691)</f>
        <v>0.33333333333333326</v>
      </c>
      <c r="AN691" s="125">
        <f t="shared" ref="AN691:AN724" si="993">1-(AL691/AB691)</f>
        <v>0.31182795698924726</v>
      </c>
      <c r="AO691" s="136">
        <f t="shared" si="971"/>
        <v>0.39999999999999997</v>
      </c>
      <c r="AP691" s="17" t="s">
        <v>1291</v>
      </c>
      <c r="AQ691" s="141"/>
      <c r="AR691" s="141"/>
      <c r="AS691" s="141"/>
      <c r="AT691" s="141"/>
      <c r="AU691" s="141"/>
      <c r="AV691" s="141"/>
      <c r="AW691" s="225">
        <v>198</v>
      </c>
      <c r="AX691" s="126">
        <f t="shared" si="976"/>
        <v>217.8</v>
      </c>
      <c r="AY691" s="17"/>
      <c r="AZ691" s="128">
        <v>8544700000</v>
      </c>
      <c r="BB691" s="134">
        <f t="shared" si="984"/>
        <v>1134.375</v>
      </c>
      <c r="BC691" s="134">
        <f t="shared" si="985"/>
        <v>680.625</v>
      </c>
      <c r="BD691" s="134">
        <f t="shared" si="986"/>
        <v>567.1875</v>
      </c>
      <c r="BE691" s="134">
        <f t="shared" si="987"/>
        <v>453.75</v>
      </c>
    </row>
    <row r="692" spans="1:57" s="129" customFormat="1" hidden="1">
      <c r="A692" s="88" t="s">
        <v>1276</v>
      </c>
      <c r="B692" s="88" t="s">
        <v>1318</v>
      </c>
      <c r="C692" s="88" t="s">
        <v>1318</v>
      </c>
      <c r="D692" s="88" t="s">
        <v>656</v>
      </c>
      <c r="E692" s="88" t="s">
        <v>684</v>
      </c>
      <c r="F692" s="89" t="s">
        <v>686</v>
      </c>
      <c r="G692" s="92" t="s">
        <v>839</v>
      </c>
      <c r="H692" s="320" t="s">
        <v>3401</v>
      </c>
      <c r="I692" s="167" t="s">
        <v>1661</v>
      </c>
      <c r="J692" s="167" t="str">
        <f>_xlfn.XLOOKUP(I692,[1]Sheet1!$A:$A,[1]Sheet1!$B:$B,"")</f>
        <v>U0803022</v>
      </c>
      <c r="K692" s="88" t="s">
        <v>1663</v>
      </c>
      <c r="L692" s="88" t="s">
        <v>1665</v>
      </c>
      <c r="M692" s="92" t="s">
        <v>125</v>
      </c>
      <c r="N692" s="89" t="s">
        <v>1223</v>
      </c>
      <c r="O692" s="165"/>
      <c r="P692" s="89" t="s">
        <v>715</v>
      </c>
      <c r="Q692" s="92" t="s">
        <v>690</v>
      </c>
      <c r="R692" s="92">
        <v>2</v>
      </c>
      <c r="S692" s="92" t="e">
        <v>#N/A</v>
      </c>
      <c r="T692" s="92">
        <v>8544700000</v>
      </c>
      <c r="U692" s="155">
        <v>0</v>
      </c>
      <c r="V692" s="207">
        <v>30</v>
      </c>
      <c r="W692" s="92">
        <v>45</v>
      </c>
      <c r="X692" s="92">
        <v>55</v>
      </c>
      <c r="Y692" s="92" t="s">
        <v>691</v>
      </c>
      <c r="Z692" s="133">
        <f t="shared" si="977"/>
        <v>473.66129032258061</v>
      </c>
      <c r="AA692" s="133"/>
      <c r="AB692" s="124">
        <f t="shared" si="966"/>
        <v>431.40625</v>
      </c>
      <c r="AC692" s="124"/>
      <c r="AD692" s="213">
        <f t="shared" si="967"/>
        <v>7.0000000000000007E-2</v>
      </c>
      <c r="AE692" s="213">
        <v>7.0000000000000007E-2</v>
      </c>
      <c r="AF692" s="215">
        <v>0.36</v>
      </c>
      <c r="AG692" s="215" t="s">
        <v>9</v>
      </c>
      <c r="AH692" s="148">
        <f t="shared" si="990"/>
        <v>431.40625</v>
      </c>
      <c r="AI692" s="122">
        <f t="shared" si="970"/>
        <v>0.36</v>
      </c>
      <c r="AJ692" s="444"/>
      <c r="AK692" s="150">
        <f t="shared" si="982"/>
        <v>315.77419354838713</v>
      </c>
      <c r="AL692" s="148">
        <f t="shared" si="991"/>
        <v>296.88172043010758</v>
      </c>
      <c r="AM692" s="125">
        <f t="shared" si="992"/>
        <v>0.33333333333333326</v>
      </c>
      <c r="AN692" s="125">
        <f t="shared" si="993"/>
        <v>0.31182795698924715</v>
      </c>
      <c r="AO692" s="136">
        <f t="shared" si="971"/>
        <v>0.39999999999999997</v>
      </c>
      <c r="AP692" s="17" t="s">
        <v>1291</v>
      </c>
      <c r="AQ692" s="141"/>
      <c r="AR692" s="141"/>
      <c r="AS692" s="141"/>
      <c r="AT692" s="141"/>
      <c r="AU692" s="141"/>
      <c r="AV692" s="141"/>
      <c r="AW692" s="225">
        <v>251</v>
      </c>
      <c r="AX692" s="126">
        <f t="shared" si="976"/>
        <v>276.10000000000002</v>
      </c>
      <c r="AY692" s="17"/>
      <c r="AZ692" s="128">
        <v>8544700000</v>
      </c>
      <c r="BB692" s="134">
        <f t="shared" si="984"/>
        <v>1438.0208333333335</v>
      </c>
      <c r="BC692" s="134">
        <f t="shared" si="985"/>
        <v>862.81250000000011</v>
      </c>
      <c r="BD692" s="134">
        <f t="shared" si="986"/>
        <v>719.01041666666674</v>
      </c>
      <c r="BE692" s="134">
        <f t="shared" si="987"/>
        <v>575.20833333333337</v>
      </c>
    </row>
    <row r="693" spans="1:57" s="129" customFormat="1" hidden="1">
      <c r="A693" s="88" t="s">
        <v>1276</v>
      </c>
      <c r="B693" s="88" t="s">
        <v>1318</v>
      </c>
      <c r="C693" s="88" t="s">
        <v>1318</v>
      </c>
      <c r="D693" s="88" t="s">
        <v>656</v>
      </c>
      <c r="E693" s="88" t="s">
        <v>684</v>
      </c>
      <c r="F693" s="89" t="s">
        <v>702</v>
      </c>
      <c r="G693" s="92" t="s">
        <v>839</v>
      </c>
      <c r="H693" s="320" t="s">
        <v>3398</v>
      </c>
      <c r="I693" s="167" t="s">
        <v>853</v>
      </c>
      <c r="J693" s="167" t="str">
        <f>_xlfn.XLOOKUP(I693,[1]Sheet1!$A:$A,[1]Sheet1!$B:$B,"")</f>
        <v>U0807012</v>
      </c>
      <c r="K693" s="88" t="s">
        <v>854</v>
      </c>
      <c r="L693" s="88" t="s">
        <v>855</v>
      </c>
      <c r="M693" s="92" t="s">
        <v>125</v>
      </c>
      <c r="N693" s="89" t="s">
        <v>158</v>
      </c>
      <c r="O693" s="165"/>
      <c r="P693" s="89" t="s">
        <v>715</v>
      </c>
      <c r="Q693" s="92" t="s">
        <v>690</v>
      </c>
      <c r="R693" s="92">
        <v>2</v>
      </c>
      <c r="S693" s="92" t="e">
        <v>#N/A</v>
      </c>
      <c r="T693" s="92">
        <v>8544700000</v>
      </c>
      <c r="U693" s="155">
        <v>0</v>
      </c>
      <c r="V693" s="207">
        <v>30</v>
      </c>
      <c r="W693" s="92">
        <v>45</v>
      </c>
      <c r="X693" s="92">
        <v>55</v>
      </c>
      <c r="Y693" s="92" t="s">
        <v>691</v>
      </c>
      <c r="Z693" s="133">
        <f t="shared" si="977"/>
        <v>306.42857142857144</v>
      </c>
      <c r="AA693" s="133"/>
      <c r="AB693" s="124">
        <f t="shared" si="966"/>
        <v>279.23076923076928</v>
      </c>
      <c r="AC693" s="124"/>
      <c r="AD693" s="213">
        <f t="shared" si="967"/>
        <v>7.0000000000000007E-2</v>
      </c>
      <c r="AE693" s="213">
        <v>7.0000000000000007E-2</v>
      </c>
      <c r="AF693" s="215">
        <v>0.35</v>
      </c>
      <c r="AG693" s="215" t="s">
        <v>9</v>
      </c>
      <c r="AH693" s="148">
        <f t="shared" si="990"/>
        <v>279.23076923076928</v>
      </c>
      <c r="AI693" s="122">
        <f t="shared" si="970"/>
        <v>0.35</v>
      </c>
      <c r="AJ693" s="444"/>
      <c r="AK693" s="150">
        <f t="shared" si="982"/>
        <v>207.58064516129033</v>
      </c>
      <c r="AL693" s="148">
        <f t="shared" si="991"/>
        <v>195.1612903225807</v>
      </c>
      <c r="AM693" s="125">
        <f t="shared" si="992"/>
        <v>0.32258064516129037</v>
      </c>
      <c r="AN693" s="125">
        <f t="shared" si="993"/>
        <v>0.30107526881720426</v>
      </c>
      <c r="AO693" s="136">
        <f t="shared" si="971"/>
        <v>0.38999999999999996</v>
      </c>
      <c r="AP693" s="17" t="s">
        <v>1291</v>
      </c>
      <c r="AQ693" s="141"/>
      <c r="AR693" s="141"/>
      <c r="AS693" s="141"/>
      <c r="AT693" s="141"/>
      <c r="AU693" s="141"/>
      <c r="AV693" s="141"/>
      <c r="AW693" s="225">
        <v>165</v>
      </c>
      <c r="AX693" s="126">
        <f t="shared" si="976"/>
        <v>181.50000000000003</v>
      </c>
      <c r="AY693" s="198"/>
      <c r="AZ693" s="128"/>
      <c r="BB693" s="134">
        <f t="shared" si="984"/>
        <v>930.76923076923094</v>
      </c>
      <c r="BC693" s="134">
        <f t="shared" si="985"/>
        <v>558.46153846153857</v>
      </c>
      <c r="BD693" s="134">
        <f t="shared" si="986"/>
        <v>465.38461538461547</v>
      </c>
      <c r="BE693" s="134">
        <f t="shared" si="987"/>
        <v>372.30769230769238</v>
      </c>
    </row>
    <row r="694" spans="1:57" s="129" customFormat="1" hidden="1">
      <c r="A694" s="88" t="s">
        <v>1276</v>
      </c>
      <c r="B694" s="88" t="s">
        <v>1318</v>
      </c>
      <c r="C694" s="88" t="s">
        <v>1318</v>
      </c>
      <c r="D694" s="88" t="s">
        <v>656</v>
      </c>
      <c r="E694" s="88" t="s">
        <v>684</v>
      </c>
      <c r="F694" s="89" t="s">
        <v>702</v>
      </c>
      <c r="G694" s="92" t="s">
        <v>839</v>
      </c>
      <c r="H694" s="320" t="s">
        <v>3399</v>
      </c>
      <c r="I694" s="167" t="s">
        <v>856</v>
      </c>
      <c r="J694" s="167" t="str">
        <f>_xlfn.XLOOKUP(I694,[1]Sheet1!$A:$A,[1]Sheet1!$B:$B,"")</f>
        <v>U0807016</v>
      </c>
      <c r="K694" s="88" t="s">
        <v>857</v>
      </c>
      <c r="L694" s="88" t="s">
        <v>858</v>
      </c>
      <c r="M694" s="92" t="s">
        <v>125</v>
      </c>
      <c r="N694" s="89" t="s">
        <v>158</v>
      </c>
      <c r="O694" s="165"/>
      <c r="P694" s="89" t="s">
        <v>715</v>
      </c>
      <c r="Q694" s="92" t="s">
        <v>690</v>
      </c>
      <c r="R694" s="92">
        <v>2</v>
      </c>
      <c r="S694" s="92" t="e">
        <v>#N/A</v>
      </c>
      <c r="T694" s="92">
        <v>8544700000</v>
      </c>
      <c r="U694" s="155">
        <v>0</v>
      </c>
      <c r="V694" s="207">
        <v>30</v>
      </c>
      <c r="W694" s="92">
        <v>45</v>
      </c>
      <c r="X694" s="92">
        <v>55</v>
      </c>
      <c r="Y694" s="92" t="s">
        <v>691</v>
      </c>
      <c r="Z694" s="133">
        <f t="shared" si="977"/>
        <v>328.29850746268659</v>
      </c>
      <c r="AA694" s="133"/>
      <c r="AB694" s="124">
        <f t="shared" si="966"/>
        <v>299.71014492753625</v>
      </c>
      <c r="AC694" s="124"/>
      <c r="AD694" s="213">
        <f t="shared" si="967"/>
        <v>7.0000000000000007E-2</v>
      </c>
      <c r="AE694" s="213">
        <v>7.0000000000000007E-2</v>
      </c>
      <c r="AF694" s="215">
        <v>0.31</v>
      </c>
      <c r="AG694" s="215" t="s">
        <v>9</v>
      </c>
      <c r="AH694" s="148">
        <f t="shared" si="990"/>
        <v>299.71014492753625</v>
      </c>
      <c r="AI694" s="122">
        <f t="shared" si="970"/>
        <v>0.31000000000000005</v>
      </c>
      <c r="AJ694" s="444"/>
      <c r="AK694" s="150">
        <f t="shared" si="982"/>
        <v>236.51612903225805</v>
      </c>
      <c r="AL694" s="148">
        <f t="shared" si="991"/>
        <v>222.3655913978495</v>
      </c>
      <c r="AM694" s="125">
        <f t="shared" si="992"/>
        <v>0.27956989247311836</v>
      </c>
      <c r="AN694" s="125">
        <f t="shared" si="993"/>
        <v>0.25806451612903214</v>
      </c>
      <c r="AO694" s="136">
        <f t="shared" si="971"/>
        <v>0.35</v>
      </c>
      <c r="AP694" s="17" t="s">
        <v>1291</v>
      </c>
      <c r="AQ694" s="141"/>
      <c r="AR694" s="141"/>
      <c r="AS694" s="141"/>
      <c r="AT694" s="141"/>
      <c r="AU694" s="141"/>
      <c r="AV694" s="141"/>
      <c r="AW694" s="225">
        <v>188</v>
      </c>
      <c r="AX694" s="126">
        <f t="shared" si="976"/>
        <v>206.8</v>
      </c>
      <c r="AY694" s="198"/>
      <c r="AZ694" s="128"/>
      <c r="BB694" s="134">
        <f t="shared" si="984"/>
        <v>999.0338164251209</v>
      </c>
      <c r="BC694" s="134">
        <f t="shared" si="985"/>
        <v>599.4202898550725</v>
      </c>
      <c r="BD694" s="134">
        <f t="shared" si="986"/>
        <v>499.51690821256045</v>
      </c>
      <c r="BE694" s="134">
        <f t="shared" si="987"/>
        <v>399.61352657004841</v>
      </c>
    </row>
    <row r="695" spans="1:57" s="129" customFormat="1" hidden="1">
      <c r="A695" s="88" t="s">
        <v>1276</v>
      </c>
      <c r="B695" s="88" t="s">
        <v>1318</v>
      </c>
      <c r="C695" s="88" t="s">
        <v>1318</v>
      </c>
      <c r="D695" s="88" t="s">
        <v>656</v>
      </c>
      <c r="E695" s="88" t="s">
        <v>684</v>
      </c>
      <c r="F695" s="89" t="s">
        <v>702</v>
      </c>
      <c r="G695" s="92" t="s">
        <v>839</v>
      </c>
      <c r="H695" s="320" t="s">
        <v>3400</v>
      </c>
      <c r="I695" s="167" t="s">
        <v>859</v>
      </c>
      <c r="J695" s="167" t="str">
        <f>_xlfn.XLOOKUP(I695,[1]Sheet1!$A:$A,[1]Sheet1!$B:$B,"")</f>
        <v>U0807004</v>
      </c>
      <c r="K695" s="88" t="s">
        <v>860</v>
      </c>
      <c r="L695" s="88" t="s">
        <v>861</v>
      </c>
      <c r="M695" s="92" t="s">
        <v>125</v>
      </c>
      <c r="N695" s="89" t="s">
        <v>158</v>
      </c>
      <c r="O695" s="165"/>
      <c r="P695" s="89" t="s">
        <v>715</v>
      </c>
      <c r="Q695" s="92" t="s">
        <v>690</v>
      </c>
      <c r="R695" s="92">
        <v>2</v>
      </c>
      <c r="S695" s="92" t="e">
        <v>#N/A</v>
      </c>
      <c r="T695" s="92">
        <v>8544700000</v>
      </c>
      <c r="U695" s="155">
        <v>0</v>
      </c>
      <c r="V695" s="207">
        <v>30</v>
      </c>
      <c r="W695" s="92">
        <v>45</v>
      </c>
      <c r="X695" s="92">
        <v>55</v>
      </c>
      <c r="Y695" s="92" t="s">
        <v>691</v>
      </c>
      <c r="Z695" s="133">
        <f t="shared" si="977"/>
        <v>380.68656716417911</v>
      </c>
      <c r="AA695" s="133"/>
      <c r="AB695" s="124">
        <f t="shared" si="966"/>
        <v>347.536231884058</v>
      </c>
      <c r="AC695" s="124"/>
      <c r="AD695" s="213">
        <f t="shared" si="967"/>
        <v>7.0000000000000007E-2</v>
      </c>
      <c r="AE695" s="213">
        <v>7.0000000000000007E-2</v>
      </c>
      <c r="AF695" s="215">
        <v>0.31</v>
      </c>
      <c r="AG695" s="215" t="s">
        <v>9</v>
      </c>
      <c r="AH695" s="148">
        <f t="shared" si="990"/>
        <v>347.536231884058</v>
      </c>
      <c r="AI695" s="122">
        <f t="shared" si="970"/>
        <v>0.31000000000000005</v>
      </c>
      <c r="AJ695" s="444"/>
      <c r="AK695" s="150">
        <f t="shared" si="982"/>
        <v>274.25806451612902</v>
      </c>
      <c r="AL695" s="148">
        <f t="shared" si="991"/>
        <v>257.84946236559142</v>
      </c>
      <c r="AM695" s="125">
        <f t="shared" si="992"/>
        <v>0.27956989247311825</v>
      </c>
      <c r="AN695" s="125">
        <f t="shared" si="993"/>
        <v>0.25806451612903225</v>
      </c>
      <c r="AO695" s="136">
        <f t="shared" si="971"/>
        <v>0.35</v>
      </c>
      <c r="AP695" s="17" t="s">
        <v>1291</v>
      </c>
      <c r="AQ695" s="141"/>
      <c r="AR695" s="141"/>
      <c r="AS695" s="141"/>
      <c r="AT695" s="141"/>
      <c r="AU695" s="141"/>
      <c r="AV695" s="141"/>
      <c r="AW695" s="225">
        <v>218</v>
      </c>
      <c r="AX695" s="126">
        <f t="shared" si="976"/>
        <v>239.8</v>
      </c>
      <c r="AY695" s="198"/>
      <c r="AZ695" s="128"/>
      <c r="BB695" s="134">
        <f t="shared" si="984"/>
        <v>1158.4541062801934</v>
      </c>
      <c r="BC695" s="134">
        <f t="shared" si="985"/>
        <v>695.07246376811599</v>
      </c>
      <c r="BD695" s="134">
        <f t="shared" si="986"/>
        <v>579.2270531400967</v>
      </c>
      <c r="BE695" s="134">
        <f t="shared" si="987"/>
        <v>463.38164251207741</v>
      </c>
    </row>
    <row r="696" spans="1:57" s="129" customFormat="1" hidden="1">
      <c r="A696" s="88" t="s">
        <v>1276</v>
      </c>
      <c r="B696" s="88" t="s">
        <v>1318</v>
      </c>
      <c r="C696" s="88" t="s">
        <v>1318</v>
      </c>
      <c r="D696" s="88" t="s">
        <v>656</v>
      </c>
      <c r="E696" s="88" t="s">
        <v>684</v>
      </c>
      <c r="F696" s="89" t="s">
        <v>702</v>
      </c>
      <c r="G696" s="92" t="s">
        <v>839</v>
      </c>
      <c r="H696" s="320" t="s">
        <v>3401</v>
      </c>
      <c r="I696" s="167" t="s">
        <v>862</v>
      </c>
      <c r="J696" s="167" t="str">
        <f>_xlfn.XLOOKUP(I696,[1]Sheet1!$A:$A,[1]Sheet1!$B:$B,"")</f>
        <v>U0807008</v>
      </c>
      <c r="K696" s="88" t="s">
        <v>863</v>
      </c>
      <c r="L696" s="88" t="s">
        <v>864</v>
      </c>
      <c r="M696" s="92" t="s">
        <v>125</v>
      </c>
      <c r="N696" s="89" t="s">
        <v>158</v>
      </c>
      <c r="O696" s="165"/>
      <c r="P696" s="89" t="s">
        <v>715</v>
      </c>
      <c r="Q696" s="92" t="s">
        <v>690</v>
      </c>
      <c r="R696" s="92">
        <v>2</v>
      </c>
      <c r="S696" s="92" t="e">
        <v>#N/A</v>
      </c>
      <c r="T696" s="92">
        <v>8544700000</v>
      </c>
      <c r="U696" s="155">
        <v>0</v>
      </c>
      <c r="V696" s="207">
        <v>30</v>
      </c>
      <c r="W696" s="92">
        <v>45</v>
      </c>
      <c r="X696" s="92">
        <v>55</v>
      </c>
      <c r="Y696" s="92" t="s">
        <v>691</v>
      </c>
      <c r="Z696" s="133">
        <f t="shared" si="977"/>
        <v>534.35820895522397</v>
      </c>
      <c r="AA696" s="133"/>
      <c r="AB696" s="124">
        <f t="shared" si="966"/>
        <v>487.82608695652181</v>
      </c>
      <c r="AC696" s="124"/>
      <c r="AD696" s="213">
        <f t="shared" si="967"/>
        <v>7.0000000000000007E-2</v>
      </c>
      <c r="AE696" s="213">
        <v>7.0000000000000007E-2</v>
      </c>
      <c r="AF696" s="215">
        <v>0.31</v>
      </c>
      <c r="AG696" s="215" t="s">
        <v>9</v>
      </c>
      <c r="AH696" s="148">
        <f t="shared" si="990"/>
        <v>487.82608695652181</v>
      </c>
      <c r="AI696" s="122">
        <f t="shared" si="970"/>
        <v>0.31000000000000005</v>
      </c>
      <c r="AJ696" s="444"/>
      <c r="AK696" s="150">
        <f t="shared" si="982"/>
        <v>384.9677419354839</v>
      </c>
      <c r="AL696" s="148">
        <f t="shared" si="991"/>
        <v>361.9354838709678</v>
      </c>
      <c r="AM696" s="125">
        <f t="shared" si="992"/>
        <v>0.27956989247311836</v>
      </c>
      <c r="AN696" s="125">
        <f t="shared" si="993"/>
        <v>0.25806451612903225</v>
      </c>
      <c r="AO696" s="136">
        <f t="shared" si="971"/>
        <v>0.35</v>
      </c>
      <c r="AP696" s="17" t="s">
        <v>1291</v>
      </c>
      <c r="AQ696" s="141"/>
      <c r="AR696" s="141"/>
      <c r="AS696" s="141"/>
      <c r="AT696" s="141"/>
      <c r="AU696" s="141"/>
      <c r="AV696" s="141"/>
      <c r="AW696" s="225">
        <v>306</v>
      </c>
      <c r="AX696" s="126">
        <f t="shared" si="976"/>
        <v>336.6</v>
      </c>
      <c r="AY696" s="198"/>
      <c r="AZ696" s="128"/>
      <c r="BB696" s="134">
        <f t="shared" si="984"/>
        <v>1626.0869565217395</v>
      </c>
      <c r="BC696" s="134">
        <f t="shared" si="985"/>
        <v>975.65217391304361</v>
      </c>
      <c r="BD696" s="134">
        <f t="shared" si="986"/>
        <v>813.04347826086973</v>
      </c>
      <c r="BE696" s="134">
        <f t="shared" si="987"/>
        <v>650.43478260869585</v>
      </c>
    </row>
    <row r="697" spans="1:57" s="129" customFormat="1" hidden="1">
      <c r="A697" s="88" t="s">
        <v>1276</v>
      </c>
      <c r="B697" s="88" t="s">
        <v>1318</v>
      </c>
      <c r="C697" s="88" t="s">
        <v>1318</v>
      </c>
      <c r="D697" s="88" t="s">
        <v>656</v>
      </c>
      <c r="E697" s="88" t="s">
        <v>684</v>
      </c>
      <c r="F697" s="89" t="s">
        <v>717</v>
      </c>
      <c r="G697" s="92" t="s">
        <v>839</v>
      </c>
      <c r="H697" s="320" t="s">
        <v>3398</v>
      </c>
      <c r="I697" s="167" t="s">
        <v>865</v>
      </c>
      <c r="J697" s="167" t="str">
        <f>_xlfn.XLOOKUP(I697,[1]Sheet1!$A:$A,[1]Sheet1!$B:$B,"")</f>
        <v>U0802006</v>
      </c>
      <c r="K697" s="88" t="s">
        <v>866</v>
      </c>
      <c r="L697" s="88" t="s">
        <v>867</v>
      </c>
      <c r="M697" s="92" t="s">
        <v>108</v>
      </c>
      <c r="N697" s="89" t="s">
        <v>158</v>
      </c>
      <c r="O697" s="165"/>
      <c r="P697" s="89" t="s">
        <v>715</v>
      </c>
      <c r="Q697" s="92" t="s">
        <v>690</v>
      </c>
      <c r="R697" s="92">
        <v>2</v>
      </c>
      <c r="S697" s="92" t="e">
        <v>#N/A</v>
      </c>
      <c r="T697" s="92">
        <v>8544700000</v>
      </c>
      <c r="U697" s="155">
        <v>0</v>
      </c>
      <c r="V697" s="207">
        <v>30</v>
      </c>
      <c r="W697" s="92">
        <v>45</v>
      </c>
      <c r="X697" s="92">
        <v>55</v>
      </c>
      <c r="Y697" s="92" t="s">
        <v>691</v>
      </c>
      <c r="Z697" s="133">
        <f t="shared" si="977"/>
        <v>278.84999999999997</v>
      </c>
      <c r="AA697" s="133"/>
      <c r="AB697" s="124">
        <f t="shared" si="966"/>
        <v>253.70967741935485</v>
      </c>
      <c r="AC697" s="124"/>
      <c r="AD697" s="213">
        <f t="shared" si="967"/>
        <v>7.0000000000000007E-2</v>
      </c>
      <c r="AE697" s="213">
        <v>7.0000000000000007E-2</v>
      </c>
      <c r="AF697" s="215">
        <v>0.38</v>
      </c>
      <c r="AG697" s="215" t="s">
        <v>9</v>
      </c>
      <c r="AH697" s="148">
        <f t="shared" si="990"/>
        <v>253.70967741935485</v>
      </c>
      <c r="AI697" s="122">
        <f t="shared" si="970"/>
        <v>0.38</v>
      </c>
      <c r="AJ697" s="444"/>
      <c r="AK697" s="150">
        <f t="shared" si="982"/>
        <v>179.90322580645162</v>
      </c>
      <c r="AL697" s="148">
        <f t="shared" si="991"/>
        <v>169.13978494623657</v>
      </c>
      <c r="AM697" s="125">
        <f t="shared" si="992"/>
        <v>0.35483870967741926</v>
      </c>
      <c r="AN697" s="125">
        <f t="shared" si="993"/>
        <v>0.33333333333333326</v>
      </c>
      <c r="AO697" s="136">
        <f t="shared" si="971"/>
        <v>0.42</v>
      </c>
      <c r="AP697" s="17" t="s">
        <v>1291</v>
      </c>
      <c r="AQ697" s="141"/>
      <c r="AR697" s="141"/>
      <c r="AS697" s="141"/>
      <c r="AT697" s="141"/>
      <c r="AU697" s="141"/>
      <c r="AV697" s="141"/>
      <c r="AW697" s="225">
        <v>143</v>
      </c>
      <c r="AX697" s="126">
        <f t="shared" si="976"/>
        <v>157.30000000000001</v>
      </c>
      <c r="AY697" s="198"/>
      <c r="AZ697" s="128"/>
      <c r="BB697" s="134">
        <f t="shared" si="984"/>
        <v>845.69892473118284</v>
      </c>
      <c r="BC697" s="134">
        <f t="shared" si="985"/>
        <v>507.41935483870969</v>
      </c>
      <c r="BD697" s="134">
        <f t="shared" si="986"/>
        <v>422.84946236559142</v>
      </c>
      <c r="BE697" s="134">
        <f t="shared" si="987"/>
        <v>338.27956989247315</v>
      </c>
    </row>
    <row r="698" spans="1:57" s="129" customFormat="1" hidden="1">
      <c r="A698" s="88" t="s">
        <v>1276</v>
      </c>
      <c r="B698" s="88" t="s">
        <v>1318</v>
      </c>
      <c r="C698" s="88" t="s">
        <v>1318</v>
      </c>
      <c r="D698" s="88" t="s">
        <v>656</v>
      </c>
      <c r="E698" s="88" t="s">
        <v>684</v>
      </c>
      <c r="F698" s="89" t="s">
        <v>717</v>
      </c>
      <c r="G698" s="92" t="s">
        <v>839</v>
      </c>
      <c r="H698" s="320" t="s">
        <v>3399</v>
      </c>
      <c r="I698" s="167" t="s">
        <v>868</v>
      </c>
      <c r="J698" s="167" t="str">
        <f>_xlfn.XLOOKUP(I698,[1]Sheet1!$A:$A,[1]Sheet1!$B:$B,"")</f>
        <v>U0802008</v>
      </c>
      <c r="K698" s="88" t="s">
        <v>869</v>
      </c>
      <c r="L698" s="88" t="s">
        <v>870</v>
      </c>
      <c r="M698" s="92" t="s">
        <v>108</v>
      </c>
      <c r="N698" s="89" t="s">
        <v>158</v>
      </c>
      <c r="O698" s="165"/>
      <c r="P698" s="89" t="s">
        <v>715</v>
      </c>
      <c r="Q698" s="92" t="s">
        <v>690</v>
      </c>
      <c r="R698" s="92">
        <v>2</v>
      </c>
      <c r="S698" s="92" t="e">
        <v>#N/A</v>
      </c>
      <c r="T698" s="92">
        <v>8544700000</v>
      </c>
      <c r="U698" s="155">
        <v>0</v>
      </c>
      <c r="V698" s="207">
        <v>30</v>
      </c>
      <c r="W698" s="92">
        <v>45</v>
      </c>
      <c r="X698" s="92">
        <v>55</v>
      </c>
      <c r="Y698" s="92" t="s">
        <v>691</v>
      </c>
      <c r="Z698" s="133">
        <f t="shared" si="977"/>
        <v>295.37704918032784</v>
      </c>
      <c r="AA698" s="133"/>
      <c r="AB698" s="124">
        <f t="shared" si="966"/>
        <v>268.88888888888891</v>
      </c>
      <c r="AC698" s="124"/>
      <c r="AD698" s="213">
        <f t="shared" si="967"/>
        <v>7.0000000000000007E-2</v>
      </c>
      <c r="AE698" s="213">
        <v>7.0000000000000007E-2</v>
      </c>
      <c r="AF698" s="215">
        <v>0.37</v>
      </c>
      <c r="AG698" s="215" t="s">
        <v>9</v>
      </c>
      <c r="AH698" s="148">
        <f t="shared" si="990"/>
        <v>268.88888888888891</v>
      </c>
      <c r="AI698" s="122">
        <f t="shared" si="970"/>
        <v>0.37</v>
      </c>
      <c r="AJ698" s="444"/>
      <c r="AK698" s="150">
        <f t="shared" si="982"/>
        <v>193.74193548387095</v>
      </c>
      <c r="AL698" s="148">
        <f t="shared" si="991"/>
        <v>182.15053763440861</v>
      </c>
      <c r="AM698" s="125">
        <f t="shared" si="992"/>
        <v>0.34408602150537637</v>
      </c>
      <c r="AN698" s="125">
        <f t="shared" si="993"/>
        <v>0.32258064516129037</v>
      </c>
      <c r="AO698" s="136">
        <f t="shared" si="971"/>
        <v>0.41</v>
      </c>
      <c r="AP698" s="17" t="s">
        <v>1291</v>
      </c>
      <c r="AQ698" s="141"/>
      <c r="AR698" s="141"/>
      <c r="AS698" s="141"/>
      <c r="AT698" s="141"/>
      <c r="AU698" s="141"/>
      <c r="AV698" s="141"/>
      <c r="AW698" s="225">
        <v>154</v>
      </c>
      <c r="AX698" s="126">
        <f t="shared" si="976"/>
        <v>169.4</v>
      </c>
      <c r="AY698" s="198"/>
      <c r="AZ698" s="128"/>
      <c r="BB698" s="134">
        <f t="shared" si="984"/>
        <v>896.29629629629642</v>
      </c>
      <c r="BC698" s="134">
        <f t="shared" si="985"/>
        <v>537.77777777777783</v>
      </c>
      <c r="BD698" s="134">
        <f t="shared" si="986"/>
        <v>448.14814814814821</v>
      </c>
      <c r="BE698" s="134">
        <f t="shared" si="987"/>
        <v>358.51851851851859</v>
      </c>
    </row>
    <row r="699" spans="1:57" s="129" customFormat="1" hidden="1">
      <c r="A699" s="88" t="s">
        <v>1276</v>
      </c>
      <c r="B699" s="88" t="s">
        <v>1318</v>
      </c>
      <c r="C699" s="88" t="s">
        <v>1318</v>
      </c>
      <c r="D699" s="88" t="s">
        <v>656</v>
      </c>
      <c r="E699" s="88" t="s">
        <v>684</v>
      </c>
      <c r="F699" s="89" t="s">
        <v>717</v>
      </c>
      <c r="G699" s="92" t="s">
        <v>839</v>
      </c>
      <c r="H699" s="320" t="s">
        <v>3400</v>
      </c>
      <c r="I699" s="167" t="s">
        <v>871</v>
      </c>
      <c r="J699" s="167" t="str">
        <f>_xlfn.XLOOKUP(I699,[1]Sheet1!$A:$A,[1]Sheet1!$B:$B,"")</f>
        <v>U0802002</v>
      </c>
      <c r="K699" s="88" t="s">
        <v>872</v>
      </c>
      <c r="L699" s="88" t="s">
        <v>873</v>
      </c>
      <c r="M699" s="92" t="s">
        <v>108</v>
      </c>
      <c r="N699" s="89" t="s">
        <v>158</v>
      </c>
      <c r="O699" s="165"/>
      <c r="P699" s="89" t="s">
        <v>715</v>
      </c>
      <c r="Q699" s="92" t="s">
        <v>690</v>
      </c>
      <c r="R699" s="92">
        <v>2</v>
      </c>
      <c r="S699" s="92" t="e">
        <v>#N/A</v>
      </c>
      <c r="T699" s="92">
        <v>8544700000</v>
      </c>
      <c r="U699" s="155">
        <v>0</v>
      </c>
      <c r="V699" s="207">
        <v>30</v>
      </c>
      <c r="W699" s="92">
        <v>45</v>
      </c>
      <c r="X699" s="92">
        <v>55</v>
      </c>
      <c r="Y699" s="92" t="s">
        <v>691</v>
      </c>
      <c r="Z699" s="133">
        <f t="shared" si="977"/>
        <v>316.47540983606552</v>
      </c>
      <c r="AA699" s="133"/>
      <c r="AB699" s="124">
        <f t="shared" si="966"/>
        <v>288.09523809523813</v>
      </c>
      <c r="AC699" s="124"/>
      <c r="AD699" s="213">
        <f t="shared" si="967"/>
        <v>7.0000000000000007E-2</v>
      </c>
      <c r="AE699" s="213">
        <v>7.0000000000000007E-2</v>
      </c>
      <c r="AF699" s="215">
        <v>0.37</v>
      </c>
      <c r="AG699" s="215" t="s">
        <v>9</v>
      </c>
      <c r="AH699" s="148">
        <f t="shared" si="990"/>
        <v>288.09523809523813</v>
      </c>
      <c r="AI699" s="122">
        <f t="shared" si="970"/>
        <v>0.37</v>
      </c>
      <c r="AJ699" s="444"/>
      <c r="AK699" s="150">
        <f t="shared" si="982"/>
        <v>207.58064516129033</v>
      </c>
      <c r="AL699" s="148">
        <f t="shared" si="991"/>
        <v>195.1612903225807</v>
      </c>
      <c r="AM699" s="125">
        <f t="shared" si="992"/>
        <v>0.34408602150537615</v>
      </c>
      <c r="AN699" s="125">
        <f t="shared" si="993"/>
        <v>0.32258064516129026</v>
      </c>
      <c r="AO699" s="136">
        <f t="shared" si="971"/>
        <v>0.41</v>
      </c>
      <c r="AP699" s="17" t="s">
        <v>1291</v>
      </c>
      <c r="AQ699" s="141"/>
      <c r="AR699" s="141"/>
      <c r="AS699" s="141"/>
      <c r="AT699" s="141"/>
      <c r="AU699" s="141"/>
      <c r="AV699" s="141"/>
      <c r="AW699" s="225">
        <v>165</v>
      </c>
      <c r="AX699" s="126">
        <f t="shared" si="976"/>
        <v>181.50000000000003</v>
      </c>
      <c r="AY699" s="198"/>
      <c r="AZ699" s="128"/>
      <c r="BB699" s="134">
        <f t="shared" si="984"/>
        <v>960.31746031746047</v>
      </c>
      <c r="BC699" s="134">
        <f t="shared" si="985"/>
        <v>576.19047619047626</v>
      </c>
      <c r="BD699" s="134">
        <f t="shared" si="986"/>
        <v>480.15873015873024</v>
      </c>
      <c r="BE699" s="134">
        <f t="shared" si="987"/>
        <v>384.12698412698421</v>
      </c>
    </row>
    <row r="700" spans="1:57" s="129" customFormat="1" hidden="1">
      <c r="A700" s="88" t="s">
        <v>1276</v>
      </c>
      <c r="B700" s="88" t="s">
        <v>1318</v>
      </c>
      <c r="C700" s="88" t="s">
        <v>1318</v>
      </c>
      <c r="D700" s="88" t="s">
        <v>656</v>
      </c>
      <c r="E700" s="88" t="s">
        <v>684</v>
      </c>
      <c r="F700" s="89" t="s">
        <v>717</v>
      </c>
      <c r="G700" s="92" t="s">
        <v>839</v>
      </c>
      <c r="H700" s="320" t="s">
        <v>3401</v>
      </c>
      <c r="I700" s="167" t="s">
        <v>874</v>
      </c>
      <c r="J700" s="167" t="str">
        <f>_xlfn.XLOOKUP(I700,[1]Sheet1!$A:$A,[1]Sheet1!$B:$B,"")</f>
        <v>U0802004</v>
      </c>
      <c r="K700" s="88" t="s">
        <v>875</v>
      </c>
      <c r="L700" s="88" t="s">
        <v>876</v>
      </c>
      <c r="M700" s="92" t="s">
        <v>108</v>
      </c>
      <c r="N700" s="89" t="s">
        <v>158</v>
      </c>
      <c r="O700" s="165"/>
      <c r="P700" s="89" t="s">
        <v>715</v>
      </c>
      <c r="Q700" s="92" t="s">
        <v>690</v>
      </c>
      <c r="R700" s="92">
        <v>2</v>
      </c>
      <c r="S700" s="92" t="e">
        <v>#N/A</v>
      </c>
      <c r="T700" s="92">
        <v>8544700000</v>
      </c>
      <c r="U700" s="155">
        <v>0</v>
      </c>
      <c r="V700" s="207">
        <v>30</v>
      </c>
      <c r="W700" s="92">
        <v>45</v>
      </c>
      <c r="X700" s="92">
        <v>55</v>
      </c>
      <c r="Y700" s="92" t="s">
        <v>691</v>
      </c>
      <c r="Z700" s="133">
        <f t="shared" si="977"/>
        <v>422.70967741935482</v>
      </c>
      <c r="AA700" s="133"/>
      <c r="AB700" s="124">
        <f t="shared" si="966"/>
        <v>385.00000000000006</v>
      </c>
      <c r="AC700" s="124"/>
      <c r="AD700" s="213">
        <f t="shared" si="967"/>
        <v>7.0000000000000007E-2</v>
      </c>
      <c r="AE700" s="213">
        <v>7.0000000000000007E-2</v>
      </c>
      <c r="AF700" s="215">
        <v>0.36</v>
      </c>
      <c r="AG700" s="215" t="s">
        <v>9</v>
      </c>
      <c r="AH700" s="148">
        <f t="shared" si="990"/>
        <v>385.00000000000006</v>
      </c>
      <c r="AI700" s="122">
        <f t="shared" si="970"/>
        <v>0.36</v>
      </c>
      <c r="AJ700" s="444"/>
      <c r="AK700" s="150">
        <f t="shared" si="982"/>
        <v>281.80645161290323</v>
      </c>
      <c r="AL700" s="148">
        <f t="shared" si="991"/>
        <v>264.94623655913983</v>
      </c>
      <c r="AM700" s="125">
        <f t="shared" si="992"/>
        <v>0.33333333333333326</v>
      </c>
      <c r="AN700" s="125">
        <f t="shared" si="993"/>
        <v>0.31182795698924726</v>
      </c>
      <c r="AO700" s="136">
        <f t="shared" si="971"/>
        <v>0.39999999999999997</v>
      </c>
      <c r="AP700" s="17" t="s">
        <v>1291</v>
      </c>
      <c r="AQ700" s="141"/>
      <c r="AR700" s="141"/>
      <c r="AS700" s="141"/>
      <c r="AT700" s="141"/>
      <c r="AU700" s="141"/>
      <c r="AV700" s="141"/>
      <c r="AW700" s="225">
        <v>224</v>
      </c>
      <c r="AX700" s="126">
        <f t="shared" si="976"/>
        <v>246.40000000000003</v>
      </c>
      <c r="AY700" s="198"/>
      <c r="AZ700" s="128"/>
      <c r="BB700" s="134">
        <f t="shared" si="984"/>
        <v>1283.3333333333335</v>
      </c>
      <c r="BC700" s="134">
        <f t="shared" si="985"/>
        <v>770.00000000000011</v>
      </c>
      <c r="BD700" s="134">
        <f t="shared" si="986"/>
        <v>641.66666666666674</v>
      </c>
      <c r="BE700" s="134">
        <f t="shared" si="987"/>
        <v>513.33333333333337</v>
      </c>
    </row>
    <row r="701" spans="1:57" s="129" customFormat="1" hidden="1">
      <c r="A701" s="88" t="s">
        <v>1276</v>
      </c>
      <c r="B701" s="88" t="s">
        <v>1318</v>
      </c>
      <c r="C701" s="88" t="s">
        <v>1318</v>
      </c>
      <c r="D701" s="88" t="s">
        <v>656</v>
      </c>
      <c r="E701" s="88" t="s">
        <v>684</v>
      </c>
      <c r="F701" s="89" t="s">
        <v>730</v>
      </c>
      <c r="G701" s="92" t="s">
        <v>839</v>
      </c>
      <c r="H701" s="320" t="s">
        <v>3398</v>
      </c>
      <c r="I701" s="167" t="s">
        <v>877</v>
      </c>
      <c r="J701" s="167" t="str">
        <f>_xlfn.XLOOKUP(I701,[1]Sheet1!$A:$A,[1]Sheet1!$B:$B,"")</f>
        <v>U0801006</v>
      </c>
      <c r="K701" s="88" t="s">
        <v>878</v>
      </c>
      <c r="L701" s="88" t="s">
        <v>879</v>
      </c>
      <c r="M701" s="92" t="s">
        <v>108</v>
      </c>
      <c r="N701" s="89" t="s">
        <v>158</v>
      </c>
      <c r="O701" s="165"/>
      <c r="P701" s="89" t="s">
        <v>715</v>
      </c>
      <c r="Q701" s="92" t="s">
        <v>690</v>
      </c>
      <c r="R701" s="92">
        <v>2</v>
      </c>
      <c r="S701" s="92" t="e">
        <v>#N/A</v>
      </c>
      <c r="T701" s="92">
        <v>8544700000</v>
      </c>
      <c r="U701" s="155">
        <v>0</v>
      </c>
      <c r="V701" s="207">
        <v>30</v>
      </c>
      <c r="W701" s="92">
        <v>45</v>
      </c>
      <c r="X701" s="92">
        <v>55</v>
      </c>
      <c r="Y701" s="92" t="s">
        <v>691</v>
      </c>
      <c r="Z701" s="133">
        <f t="shared" si="977"/>
        <v>373.64516129032256</v>
      </c>
      <c r="AA701" s="133"/>
      <c r="AB701" s="124">
        <f t="shared" si="966"/>
        <v>340.3125</v>
      </c>
      <c r="AC701" s="124"/>
      <c r="AD701" s="213">
        <f t="shared" si="967"/>
        <v>7.0000000000000007E-2</v>
      </c>
      <c r="AE701" s="213">
        <v>7.0000000000000007E-2</v>
      </c>
      <c r="AF701" s="215">
        <v>0.36</v>
      </c>
      <c r="AG701" s="215" t="s">
        <v>9</v>
      </c>
      <c r="AH701" s="148">
        <f t="shared" si="990"/>
        <v>340.3125</v>
      </c>
      <c r="AI701" s="122">
        <f t="shared" si="970"/>
        <v>0.36</v>
      </c>
      <c r="AJ701" s="444"/>
      <c r="AK701" s="150">
        <f t="shared" si="982"/>
        <v>249.09677419354838</v>
      </c>
      <c r="AL701" s="148">
        <f t="shared" si="991"/>
        <v>234.1935483870968</v>
      </c>
      <c r="AM701" s="125">
        <f t="shared" si="992"/>
        <v>0.33333333333333326</v>
      </c>
      <c r="AN701" s="125">
        <f t="shared" si="993"/>
        <v>0.31182795698924726</v>
      </c>
      <c r="AO701" s="136">
        <f t="shared" si="971"/>
        <v>0.39999999999999997</v>
      </c>
      <c r="AP701" s="17" t="s">
        <v>1291</v>
      </c>
      <c r="AQ701" s="141"/>
      <c r="AR701" s="141"/>
      <c r="AS701" s="141"/>
      <c r="AT701" s="141"/>
      <c r="AU701" s="141"/>
      <c r="AV701" s="141"/>
      <c r="AW701" s="225">
        <v>198</v>
      </c>
      <c r="AX701" s="126">
        <f t="shared" si="976"/>
        <v>217.8</v>
      </c>
      <c r="AY701" s="198"/>
      <c r="AZ701" s="128"/>
      <c r="BB701" s="134">
        <f t="shared" si="984"/>
        <v>1134.375</v>
      </c>
      <c r="BC701" s="134">
        <f t="shared" si="985"/>
        <v>680.625</v>
      </c>
      <c r="BD701" s="134">
        <f t="shared" si="986"/>
        <v>567.1875</v>
      </c>
      <c r="BE701" s="134">
        <f t="shared" si="987"/>
        <v>453.75</v>
      </c>
    </row>
    <row r="702" spans="1:57" s="129" customFormat="1" hidden="1">
      <c r="A702" s="88" t="s">
        <v>1276</v>
      </c>
      <c r="B702" s="88" t="s">
        <v>1318</v>
      </c>
      <c r="C702" s="88" t="s">
        <v>1318</v>
      </c>
      <c r="D702" s="88" t="s">
        <v>656</v>
      </c>
      <c r="E702" s="88" t="s">
        <v>684</v>
      </c>
      <c r="F702" s="89" t="s">
        <v>730</v>
      </c>
      <c r="G702" s="92" t="s">
        <v>839</v>
      </c>
      <c r="H702" s="320" t="s">
        <v>3399</v>
      </c>
      <c r="I702" s="167" t="s">
        <v>880</v>
      </c>
      <c r="J702" s="167" t="str">
        <f>_xlfn.XLOOKUP(I702,[1]Sheet1!$A:$A,[1]Sheet1!$B:$B,"")</f>
        <v>U0801008</v>
      </c>
      <c r="K702" s="88" t="s">
        <v>881</v>
      </c>
      <c r="L702" s="88" t="s">
        <v>882</v>
      </c>
      <c r="M702" s="92" t="s">
        <v>108</v>
      </c>
      <c r="N702" s="89" t="s">
        <v>158</v>
      </c>
      <c r="O702" s="165"/>
      <c r="P702" s="89" t="s">
        <v>715</v>
      </c>
      <c r="Q702" s="92" t="s">
        <v>690</v>
      </c>
      <c r="R702" s="92">
        <v>2</v>
      </c>
      <c r="S702" s="92" t="e">
        <v>#N/A</v>
      </c>
      <c r="T702" s="92">
        <v>8544700000</v>
      </c>
      <c r="U702" s="155">
        <v>0</v>
      </c>
      <c r="V702" s="207">
        <v>30</v>
      </c>
      <c r="W702" s="92">
        <v>45</v>
      </c>
      <c r="X702" s="92">
        <v>55</v>
      </c>
      <c r="Y702" s="92" t="s">
        <v>691</v>
      </c>
      <c r="Z702" s="133">
        <f t="shared" si="977"/>
        <v>390.62903225806451</v>
      </c>
      <c r="AA702" s="133"/>
      <c r="AB702" s="124">
        <f t="shared" si="966"/>
        <v>355.78125</v>
      </c>
      <c r="AC702" s="124"/>
      <c r="AD702" s="213">
        <f t="shared" si="967"/>
        <v>7.0000000000000007E-2</v>
      </c>
      <c r="AE702" s="213">
        <v>7.0000000000000007E-2</v>
      </c>
      <c r="AF702" s="215">
        <v>0.36</v>
      </c>
      <c r="AG702" s="215" t="s">
        <v>9</v>
      </c>
      <c r="AH702" s="148">
        <f t="shared" si="990"/>
        <v>355.78125</v>
      </c>
      <c r="AI702" s="122">
        <f t="shared" si="970"/>
        <v>0.36</v>
      </c>
      <c r="AJ702" s="444"/>
      <c r="AK702" s="150">
        <f t="shared" si="982"/>
        <v>260.41935483870969</v>
      </c>
      <c r="AL702" s="148">
        <f t="shared" si="991"/>
        <v>244.83870967741939</v>
      </c>
      <c r="AM702" s="125">
        <f t="shared" si="992"/>
        <v>0.33333333333333326</v>
      </c>
      <c r="AN702" s="125">
        <f t="shared" si="993"/>
        <v>0.31182795698924726</v>
      </c>
      <c r="AO702" s="136">
        <f t="shared" si="971"/>
        <v>0.39999999999999997</v>
      </c>
      <c r="AP702" s="17" t="s">
        <v>1291</v>
      </c>
      <c r="AQ702" s="141"/>
      <c r="AR702" s="141"/>
      <c r="AS702" s="141"/>
      <c r="AT702" s="141"/>
      <c r="AU702" s="141"/>
      <c r="AV702" s="141"/>
      <c r="AW702" s="225">
        <v>207</v>
      </c>
      <c r="AX702" s="126">
        <f t="shared" si="976"/>
        <v>227.70000000000002</v>
      </c>
      <c r="AY702" s="198"/>
      <c r="AZ702" s="128"/>
      <c r="BB702" s="134">
        <f t="shared" si="984"/>
        <v>1185.9375</v>
      </c>
      <c r="BC702" s="134">
        <f t="shared" si="985"/>
        <v>711.5625</v>
      </c>
      <c r="BD702" s="134">
        <f t="shared" si="986"/>
        <v>592.96875</v>
      </c>
      <c r="BE702" s="134">
        <f t="shared" si="987"/>
        <v>474.375</v>
      </c>
    </row>
    <row r="703" spans="1:57" s="129" customFormat="1" hidden="1">
      <c r="A703" s="88" t="s">
        <v>1276</v>
      </c>
      <c r="B703" s="88" t="s">
        <v>1318</v>
      </c>
      <c r="C703" s="88" t="s">
        <v>1318</v>
      </c>
      <c r="D703" s="88" t="s">
        <v>656</v>
      </c>
      <c r="E703" s="88" t="s">
        <v>684</v>
      </c>
      <c r="F703" s="89" t="s">
        <v>730</v>
      </c>
      <c r="G703" s="92" t="s">
        <v>839</v>
      </c>
      <c r="H703" s="320" t="s">
        <v>3400</v>
      </c>
      <c r="I703" s="167" t="s">
        <v>2409</v>
      </c>
      <c r="J703" s="167" t="str">
        <f>_xlfn.XLOOKUP(I703,[1]Sheet1!$A:$A,[1]Sheet1!$B:$B,"")</f>
        <v>U0801002</v>
      </c>
      <c r="K703" s="88" t="s">
        <v>884</v>
      </c>
      <c r="L703" s="88" t="s">
        <v>885</v>
      </c>
      <c r="M703" s="92" t="s">
        <v>108</v>
      </c>
      <c r="N703" s="89" t="s">
        <v>158</v>
      </c>
      <c r="O703" s="165"/>
      <c r="P703" s="89" t="s">
        <v>715</v>
      </c>
      <c r="Q703" s="92" t="s">
        <v>690</v>
      </c>
      <c r="R703" s="92">
        <v>2</v>
      </c>
      <c r="S703" s="92" t="e">
        <v>#N/A</v>
      </c>
      <c r="T703" s="92">
        <v>8544700000</v>
      </c>
      <c r="U703" s="155">
        <v>0</v>
      </c>
      <c r="V703" s="207">
        <v>30</v>
      </c>
      <c r="W703" s="92">
        <v>45</v>
      </c>
      <c r="X703" s="92">
        <v>55</v>
      </c>
      <c r="Y703" s="92" t="s">
        <v>691</v>
      </c>
      <c r="Z703" s="133">
        <f t="shared" si="977"/>
        <v>411.38709677419354</v>
      </c>
      <c r="AA703" s="133"/>
      <c r="AB703" s="124">
        <f t="shared" si="966"/>
        <v>374.6875</v>
      </c>
      <c r="AC703" s="124"/>
      <c r="AD703" s="213">
        <f t="shared" si="967"/>
        <v>7.0000000000000007E-2</v>
      </c>
      <c r="AE703" s="213">
        <v>7.0000000000000007E-2</v>
      </c>
      <c r="AF703" s="215">
        <v>0.36</v>
      </c>
      <c r="AG703" s="215" t="s">
        <v>9</v>
      </c>
      <c r="AH703" s="148">
        <f t="shared" si="990"/>
        <v>374.6875</v>
      </c>
      <c r="AI703" s="122">
        <f t="shared" si="970"/>
        <v>0.36</v>
      </c>
      <c r="AJ703" s="444"/>
      <c r="AK703" s="150">
        <f t="shared" si="982"/>
        <v>274.25806451612902</v>
      </c>
      <c r="AL703" s="148">
        <f t="shared" si="991"/>
        <v>257.84946236559142</v>
      </c>
      <c r="AM703" s="125">
        <f t="shared" si="992"/>
        <v>0.33333333333333337</v>
      </c>
      <c r="AN703" s="125">
        <f t="shared" si="993"/>
        <v>0.31182795698924726</v>
      </c>
      <c r="AO703" s="136">
        <f t="shared" si="971"/>
        <v>0.39999999999999997</v>
      </c>
      <c r="AP703" s="17" t="s">
        <v>1291</v>
      </c>
      <c r="AQ703" s="141"/>
      <c r="AR703" s="141"/>
      <c r="AS703" s="141"/>
      <c r="AT703" s="141"/>
      <c r="AU703" s="141"/>
      <c r="AV703" s="141"/>
      <c r="AW703" s="225">
        <v>218</v>
      </c>
      <c r="AX703" s="126">
        <f t="shared" si="976"/>
        <v>239.8</v>
      </c>
      <c r="AY703" s="198"/>
      <c r="AZ703" s="128"/>
      <c r="BB703" s="134">
        <f t="shared" si="984"/>
        <v>1248.9583333333335</v>
      </c>
      <c r="BC703" s="134">
        <f t="shared" si="985"/>
        <v>749.37500000000011</v>
      </c>
      <c r="BD703" s="134">
        <f t="shared" si="986"/>
        <v>624.47916666666674</v>
      </c>
      <c r="BE703" s="134">
        <f t="shared" si="987"/>
        <v>499.58333333333343</v>
      </c>
    </row>
    <row r="704" spans="1:57" s="129" customFormat="1" hidden="1">
      <c r="A704" s="88" t="s">
        <v>1276</v>
      </c>
      <c r="B704" s="88" t="s">
        <v>1318</v>
      </c>
      <c r="C704" s="88" t="s">
        <v>1318</v>
      </c>
      <c r="D704" s="88" t="s">
        <v>656</v>
      </c>
      <c r="E704" s="88" t="s">
        <v>684</v>
      </c>
      <c r="F704" s="89" t="s">
        <v>730</v>
      </c>
      <c r="G704" s="92" t="s">
        <v>839</v>
      </c>
      <c r="H704" s="320" t="s">
        <v>3401</v>
      </c>
      <c r="I704" s="167" t="s">
        <v>2410</v>
      </c>
      <c r="J704" s="167" t="str">
        <f>_xlfn.XLOOKUP(I704,[1]Sheet1!$A:$A,[1]Sheet1!$B:$B,"")</f>
        <v>U0801004</v>
      </c>
      <c r="K704" s="88" t="s">
        <v>887</v>
      </c>
      <c r="L704" s="88" t="s">
        <v>2355</v>
      </c>
      <c r="M704" s="92" t="s">
        <v>108</v>
      </c>
      <c r="N704" s="89" t="s">
        <v>158</v>
      </c>
      <c r="O704" s="165"/>
      <c r="P704" s="89" t="s">
        <v>715</v>
      </c>
      <c r="Q704" s="92" t="s">
        <v>690</v>
      </c>
      <c r="R704" s="92">
        <v>2</v>
      </c>
      <c r="S704" s="92" t="e">
        <v>#N/A</v>
      </c>
      <c r="T704" s="92">
        <v>8544700000</v>
      </c>
      <c r="U704" s="155">
        <v>0</v>
      </c>
      <c r="V704" s="207">
        <v>30</v>
      </c>
      <c r="W704" s="92">
        <v>45</v>
      </c>
      <c r="X704" s="92">
        <v>55</v>
      </c>
      <c r="Y704" s="92" t="s">
        <v>691</v>
      </c>
      <c r="Z704" s="133">
        <f t="shared" si="977"/>
        <v>517.0645161290322</v>
      </c>
      <c r="AA704" s="133"/>
      <c r="AB704" s="124">
        <f t="shared" si="966"/>
        <v>470.93750000000006</v>
      </c>
      <c r="AC704" s="124"/>
      <c r="AD704" s="213">
        <f t="shared" si="967"/>
        <v>7.0000000000000007E-2</v>
      </c>
      <c r="AE704" s="213">
        <v>7.0000000000000007E-2</v>
      </c>
      <c r="AF704" s="215">
        <v>0.36</v>
      </c>
      <c r="AG704" s="215" t="s">
        <v>9</v>
      </c>
      <c r="AH704" s="148">
        <f t="shared" si="990"/>
        <v>470.93750000000006</v>
      </c>
      <c r="AI704" s="122">
        <f t="shared" si="970"/>
        <v>0.36</v>
      </c>
      <c r="AJ704" s="444"/>
      <c r="AK704" s="150">
        <f t="shared" si="982"/>
        <v>344.70967741935482</v>
      </c>
      <c r="AL704" s="148">
        <f t="shared" si="991"/>
        <v>324.08602150537638</v>
      </c>
      <c r="AM704" s="125">
        <f t="shared" si="992"/>
        <v>0.33333333333333326</v>
      </c>
      <c r="AN704" s="125">
        <f t="shared" si="993"/>
        <v>0.31182795698924737</v>
      </c>
      <c r="AO704" s="136">
        <f t="shared" si="971"/>
        <v>0.39999999999999997</v>
      </c>
      <c r="AP704" s="17" t="s">
        <v>1291</v>
      </c>
      <c r="AQ704" s="141"/>
      <c r="AR704" s="141"/>
      <c r="AS704" s="141"/>
      <c r="AT704" s="141"/>
      <c r="AU704" s="141"/>
      <c r="AV704" s="141"/>
      <c r="AW704" s="225">
        <v>274</v>
      </c>
      <c r="AX704" s="126">
        <f t="shared" si="976"/>
        <v>301.40000000000003</v>
      </c>
      <c r="AY704" s="198"/>
      <c r="AZ704" s="128"/>
      <c r="BB704" s="134">
        <f t="shared" si="984"/>
        <v>1569.791666666667</v>
      </c>
      <c r="BC704" s="134">
        <f t="shared" si="985"/>
        <v>941.87500000000011</v>
      </c>
      <c r="BD704" s="134">
        <f t="shared" si="986"/>
        <v>784.89583333333348</v>
      </c>
      <c r="BE704" s="134">
        <f t="shared" si="987"/>
        <v>627.91666666666686</v>
      </c>
    </row>
    <row r="705" spans="1:57" s="129" customFormat="1" hidden="1">
      <c r="A705" s="88" t="s">
        <v>1276</v>
      </c>
      <c r="B705" s="88" t="s">
        <v>1318</v>
      </c>
      <c r="C705" s="88" t="s">
        <v>1318</v>
      </c>
      <c r="D705" s="88" t="s">
        <v>656</v>
      </c>
      <c r="E705" s="88" t="s">
        <v>684</v>
      </c>
      <c r="F705" s="89" t="s">
        <v>730</v>
      </c>
      <c r="G705" s="92" t="s">
        <v>839</v>
      </c>
      <c r="H705" s="320" t="s">
        <v>3401</v>
      </c>
      <c r="I705" s="167" t="s">
        <v>3976</v>
      </c>
      <c r="J705" s="167" t="str">
        <f>_xlfn.XLOOKUP(I705,[1]Sheet1!$A:$A,[1]Sheet1!$B:$B,"")</f>
        <v>U0801009</v>
      </c>
      <c r="K705" s="88" t="s">
        <v>3977</v>
      </c>
      <c r="L705" s="88" t="s">
        <v>3978</v>
      </c>
      <c r="M705" s="92" t="s">
        <v>108</v>
      </c>
      <c r="N705" s="89" t="s">
        <v>158</v>
      </c>
      <c r="O705" s="165"/>
      <c r="P705" s="89" t="s">
        <v>715</v>
      </c>
      <c r="Q705" s="92" t="s">
        <v>690</v>
      </c>
      <c r="R705" s="92">
        <v>2</v>
      </c>
      <c r="S705" s="92" t="e">
        <v>#N/A</v>
      </c>
      <c r="T705" s="92">
        <v>8544700000</v>
      </c>
      <c r="U705" s="324">
        <v>0</v>
      </c>
      <c r="V705" s="207">
        <v>30</v>
      </c>
      <c r="W705" s="92">
        <v>45</v>
      </c>
      <c r="X705" s="92">
        <v>55</v>
      </c>
      <c r="Y705" s="92" t="s">
        <v>691</v>
      </c>
      <c r="Z705" s="133">
        <f>(AW705/(1-(AF705+2%)))*$F$6</f>
        <v>517.0645161290322</v>
      </c>
      <c r="AA705" s="133"/>
      <c r="AB705" s="124">
        <f>AX705/(1-AF705)</f>
        <v>470.93750000000006</v>
      </c>
      <c r="AC705" s="124"/>
      <c r="AD705" s="213">
        <f>AE705</f>
        <v>7.0000000000000007E-2</v>
      </c>
      <c r="AE705" s="213">
        <v>7.0000000000000007E-2</v>
      </c>
      <c r="AF705" s="215">
        <v>0.36</v>
      </c>
      <c r="AG705" s="215" t="s">
        <v>9</v>
      </c>
      <c r="AH705" s="148">
        <f>AB705</f>
        <v>470.93750000000006</v>
      </c>
      <c r="AI705" s="122">
        <f>1-(AX705/AH705)</f>
        <v>0.36</v>
      </c>
      <c r="AJ705" s="444"/>
      <c r="AK705" s="150">
        <f>(AW705/(1-AD705))*$F$6</f>
        <v>344.70967741935482</v>
      </c>
      <c r="AL705" s="148">
        <f>AX705/(1-AE705)</f>
        <v>324.08602150537638</v>
      </c>
      <c r="AM705" s="325">
        <f>1-(AK705/Z705)</f>
        <v>0.33333333333333326</v>
      </c>
      <c r="AN705" s="325">
        <f>1-(AL705/AB705)</f>
        <v>0.31182795698924737</v>
      </c>
      <c r="AO705" s="136">
        <f>AF705+4%</f>
        <v>0.39999999999999997</v>
      </c>
      <c r="AP705" s="17" t="s">
        <v>1291</v>
      </c>
      <c r="AQ705" s="141"/>
      <c r="AR705" s="141"/>
      <c r="AS705" s="141"/>
      <c r="AT705" s="141"/>
      <c r="AU705" s="141"/>
      <c r="AV705" s="141"/>
      <c r="AW705" s="225">
        <v>274</v>
      </c>
      <c r="AX705" s="126">
        <f>AW705*1.1</f>
        <v>301.40000000000003</v>
      </c>
      <c r="AY705" s="198"/>
      <c r="AZ705" s="128"/>
      <c r="BB705" s="134">
        <f>AB705/0.3</f>
        <v>1569.791666666667</v>
      </c>
      <c r="BC705" s="134">
        <f>BB705*0.6</f>
        <v>941.87500000000011</v>
      </c>
      <c r="BD705" s="134">
        <f>BB705*0.5</f>
        <v>784.89583333333348</v>
      </c>
      <c r="BE705" s="134">
        <f>BB705*0.4</f>
        <v>627.91666666666686</v>
      </c>
    </row>
    <row r="706" spans="1:57" s="129" customFormat="1" hidden="1">
      <c r="A706" s="88" t="s">
        <v>1276</v>
      </c>
      <c r="B706" s="88" t="s">
        <v>1318</v>
      </c>
      <c r="C706" s="88" t="s">
        <v>1318</v>
      </c>
      <c r="D706" s="88" t="s">
        <v>656</v>
      </c>
      <c r="E706" s="88" t="s">
        <v>684</v>
      </c>
      <c r="F706" s="89" t="s">
        <v>730</v>
      </c>
      <c r="G706" s="92" t="s">
        <v>839</v>
      </c>
      <c r="H706" s="320" t="s">
        <v>3401</v>
      </c>
      <c r="I706" s="167" t="s">
        <v>3979</v>
      </c>
      <c r="J706" s="167" t="str">
        <f>_xlfn.XLOOKUP(I706,[1]Sheet1!$A:$A,[1]Sheet1!$B:$B,"")</f>
        <v>U0808003</v>
      </c>
      <c r="K706" s="88" t="s">
        <v>3980</v>
      </c>
      <c r="L706" s="88" t="s">
        <v>3981</v>
      </c>
      <c r="M706" s="92" t="s">
        <v>108</v>
      </c>
      <c r="N706" s="89" t="s">
        <v>158</v>
      </c>
      <c r="O706" s="165"/>
      <c r="P706" s="89" t="s">
        <v>715</v>
      </c>
      <c r="Q706" s="92" t="s">
        <v>690</v>
      </c>
      <c r="R706" s="92">
        <v>2</v>
      </c>
      <c r="S706" s="92" t="e">
        <v>#N/A</v>
      </c>
      <c r="T706" s="92">
        <v>8544700000</v>
      </c>
      <c r="U706" s="324">
        <v>0</v>
      </c>
      <c r="V706" s="207">
        <v>30</v>
      </c>
      <c r="W706" s="92">
        <v>45</v>
      </c>
      <c r="X706" s="92">
        <v>55</v>
      </c>
      <c r="Y706" s="92" t="s">
        <v>691</v>
      </c>
      <c r="Z706" s="133">
        <f>(AW706/(1-(AF706+2%)))*$F$6</f>
        <v>735.96774193548379</v>
      </c>
      <c r="AA706" s="133"/>
      <c r="AB706" s="124">
        <f>AX706/(1-AF706)</f>
        <v>670.31250000000011</v>
      </c>
      <c r="AC706" s="124"/>
      <c r="AD706" s="213">
        <f>AE706</f>
        <v>7.0000000000000007E-2</v>
      </c>
      <c r="AE706" s="213">
        <v>7.0000000000000007E-2</v>
      </c>
      <c r="AF706" s="215">
        <v>0.36</v>
      </c>
      <c r="AG706" s="215" t="s">
        <v>9</v>
      </c>
      <c r="AH706" s="148">
        <f>AB706</f>
        <v>670.31250000000011</v>
      </c>
      <c r="AI706" s="122">
        <f>1-(AX706/AH706)</f>
        <v>0.36</v>
      </c>
      <c r="AJ706" s="444"/>
      <c r="AK706" s="150">
        <f>(AW706/(1-AD706))*$F$6</f>
        <v>490.64516129032256</v>
      </c>
      <c r="AL706" s="148">
        <f>AX706/(1-AE706)</f>
        <v>461.29032258064524</v>
      </c>
      <c r="AM706" s="325">
        <f>1-(AK706/Z706)</f>
        <v>0.33333333333333326</v>
      </c>
      <c r="AN706" s="325">
        <f>1-(AL706/AB706)</f>
        <v>0.31182795698924737</v>
      </c>
      <c r="AO706" s="136">
        <f>AF706+4%</f>
        <v>0.39999999999999997</v>
      </c>
      <c r="AP706" s="17" t="s">
        <v>1291</v>
      </c>
      <c r="AQ706" s="141"/>
      <c r="AR706" s="141"/>
      <c r="AS706" s="141"/>
      <c r="AT706" s="141"/>
      <c r="AU706" s="141"/>
      <c r="AV706" s="141"/>
      <c r="AW706" s="225">
        <v>390</v>
      </c>
      <c r="AX706" s="126">
        <f>AW706*1.1</f>
        <v>429.00000000000006</v>
      </c>
      <c r="AY706" s="198"/>
      <c r="AZ706" s="128"/>
      <c r="BB706" s="134">
        <f>AB706/0.3</f>
        <v>2234.3750000000005</v>
      </c>
      <c r="BC706" s="134">
        <f>BB706*0.6</f>
        <v>1340.6250000000002</v>
      </c>
      <c r="BD706" s="134">
        <f>BB706*0.5</f>
        <v>1117.1875000000002</v>
      </c>
      <c r="BE706" s="134">
        <f>BB706*0.4</f>
        <v>893.75000000000023</v>
      </c>
    </row>
    <row r="707" spans="1:57" s="129" customFormat="1" hidden="1">
      <c r="A707" s="88" t="s">
        <v>1276</v>
      </c>
      <c r="B707" s="88" t="s">
        <v>1318</v>
      </c>
      <c r="C707" s="88" t="s">
        <v>1318</v>
      </c>
      <c r="D707" s="88" t="s">
        <v>656</v>
      </c>
      <c r="E707" s="88" t="s">
        <v>684</v>
      </c>
      <c r="F707" s="89" t="s">
        <v>730</v>
      </c>
      <c r="G707" s="92" t="s">
        <v>839</v>
      </c>
      <c r="H707" s="320" t="s">
        <v>3400</v>
      </c>
      <c r="I707" s="167" t="s">
        <v>2405</v>
      </c>
      <c r="J707" s="167" t="str">
        <f>_xlfn.XLOOKUP(I707,[1]Sheet1!$A:$A,[1]Sheet1!$B:$B,"")</f>
        <v/>
      </c>
      <c r="K707" s="88" t="s">
        <v>2353</v>
      </c>
      <c r="L707" s="88" t="s">
        <v>2356</v>
      </c>
      <c r="M707" s="92" t="s">
        <v>1584</v>
      </c>
      <c r="N707" s="89" t="s">
        <v>158</v>
      </c>
      <c r="O707" s="165"/>
      <c r="P707" s="89" t="s">
        <v>715</v>
      </c>
      <c r="Q707" s="92" t="s">
        <v>690</v>
      </c>
      <c r="R707" s="92">
        <v>2</v>
      </c>
      <c r="S707" s="92" t="e">
        <v>#N/A</v>
      </c>
      <c r="T707" s="92">
        <v>8544700000</v>
      </c>
      <c r="U707" s="155">
        <v>0</v>
      </c>
      <c r="V707" s="207">
        <v>30</v>
      </c>
      <c r="W707" s="92">
        <v>45</v>
      </c>
      <c r="X707" s="92">
        <v>55</v>
      </c>
      <c r="Y707" s="92" t="s">
        <v>691</v>
      </c>
      <c r="Z707" s="133">
        <f t="shared" si="977"/>
        <v>598.20967741935488</v>
      </c>
      <c r="AA707" s="133"/>
      <c r="AB707" s="124">
        <f t="shared" si="966"/>
        <v>544.84375000000011</v>
      </c>
      <c r="AC707" s="124"/>
      <c r="AD707" s="213">
        <f t="shared" si="967"/>
        <v>7.0000000000000007E-2</v>
      </c>
      <c r="AE707" s="213">
        <v>7.0000000000000007E-2</v>
      </c>
      <c r="AF707" s="215">
        <v>0.36</v>
      </c>
      <c r="AG707" s="215" t="s">
        <v>9</v>
      </c>
      <c r="AH707" s="148">
        <f t="shared" si="990"/>
        <v>544.84375000000011</v>
      </c>
      <c r="AI707" s="122">
        <f t="shared" ref="AI707:AI744" si="994">1-(AX707/AH707)</f>
        <v>0.3600000000000001</v>
      </c>
      <c r="AJ707" s="444"/>
      <c r="AK707" s="150">
        <f t="shared" si="982"/>
        <v>398.80645161290323</v>
      </c>
      <c r="AL707" s="148">
        <f t="shared" si="991"/>
        <v>374.94623655913983</v>
      </c>
      <c r="AM707" s="125">
        <f t="shared" si="992"/>
        <v>0.33333333333333337</v>
      </c>
      <c r="AN707" s="125">
        <f t="shared" si="993"/>
        <v>0.31182795698924737</v>
      </c>
      <c r="AO707" s="136">
        <f t="shared" si="971"/>
        <v>0.39999999999999997</v>
      </c>
      <c r="AP707" s="17" t="s">
        <v>1291</v>
      </c>
      <c r="AQ707" s="141"/>
      <c r="AR707" s="141"/>
      <c r="AS707" s="141"/>
      <c r="AT707" s="141"/>
      <c r="AU707" s="141"/>
      <c r="AV707" s="141"/>
      <c r="AW707" s="225">
        <v>317</v>
      </c>
      <c r="AX707" s="126">
        <f t="shared" si="976"/>
        <v>348.70000000000005</v>
      </c>
      <c r="AY707" s="198"/>
      <c r="AZ707" s="128"/>
      <c r="BB707" s="134">
        <f t="shared" si="984"/>
        <v>1816.1458333333337</v>
      </c>
      <c r="BC707" s="134">
        <f t="shared" si="985"/>
        <v>1089.6875000000002</v>
      </c>
      <c r="BD707" s="134">
        <f t="shared" si="986"/>
        <v>908.07291666666686</v>
      </c>
      <c r="BE707" s="134">
        <f t="shared" si="987"/>
        <v>726.45833333333348</v>
      </c>
    </row>
    <row r="708" spans="1:57" s="129" customFormat="1" hidden="1">
      <c r="A708" s="88" t="s">
        <v>1276</v>
      </c>
      <c r="B708" s="88" t="s">
        <v>1318</v>
      </c>
      <c r="C708" s="88" t="s">
        <v>1318</v>
      </c>
      <c r="D708" s="88" t="s">
        <v>656</v>
      </c>
      <c r="E708" s="88" t="s">
        <v>684</v>
      </c>
      <c r="F708" s="89" t="s">
        <v>730</v>
      </c>
      <c r="G708" s="92" t="s">
        <v>839</v>
      </c>
      <c r="H708" s="320" t="s">
        <v>3401</v>
      </c>
      <c r="I708" s="167" t="s">
        <v>2352</v>
      </c>
      <c r="J708" s="167" t="str">
        <f>_xlfn.XLOOKUP(I708,[1]Sheet1!$A:$A,[1]Sheet1!$B:$B,"")</f>
        <v/>
      </c>
      <c r="K708" s="88" t="s">
        <v>2354</v>
      </c>
      <c r="L708" s="88" t="s">
        <v>2357</v>
      </c>
      <c r="M708" s="92" t="s">
        <v>1584</v>
      </c>
      <c r="N708" s="89" t="s">
        <v>158</v>
      </c>
      <c r="O708" s="165"/>
      <c r="P708" s="89" t="s">
        <v>715</v>
      </c>
      <c r="Q708" s="92" t="s">
        <v>690</v>
      </c>
      <c r="R708" s="92">
        <v>2</v>
      </c>
      <c r="S708" s="92" t="e">
        <v>#N/A</v>
      </c>
      <c r="T708" s="92">
        <v>8544700000</v>
      </c>
      <c r="U708" s="155">
        <v>0</v>
      </c>
      <c r="V708" s="207">
        <v>30</v>
      </c>
      <c r="W708" s="92">
        <v>45</v>
      </c>
      <c r="X708" s="92">
        <v>55</v>
      </c>
      <c r="Y708" s="92" t="s">
        <v>691</v>
      </c>
      <c r="Z708" s="133">
        <f t="shared" si="977"/>
        <v>769.9354838709678</v>
      </c>
      <c r="AA708" s="133"/>
      <c r="AB708" s="124">
        <f t="shared" si="966"/>
        <v>701.25</v>
      </c>
      <c r="AC708" s="124"/>
      <c r="AD708" s="213">
        <f t="shared" si="967"/>
        <v>7.0000000000000007E-2</v>
      </c>
      <c r="AE708" s="213">
        <v>7.0000000000000007E-2</v>
      </c>
      <c r="AF708" s="215">
        <v>0.36</v>
      </c>
      <c r="AG708" s="215" t="s">
        <v>9</v>
      </c>
      <c r="AH708" s="148">
        <f t="shared" si="990"/>
        <v>701.25</v>
      </c>
      <c r="AI708" s="122">
        <f t="shared" si="994"/>
        <v>0.36</v>
      </c>
      <c r="AJ708" s="444"/>
      <c r="AK708" s="150">
        <f t="shared" si="982"/>
        <v>513.29032258064512</v>
      </c>
      <c r="AL708" s="148">
        <f t="shared" si="991"/>
        <v>482.58064516129036</v>
      </c>
      <c r="AM708" s="125">
        <f t="shared" si="992"/>
        <v>0.33333333333333348</v>
      </c>
      <c r="AN708" s="125">
        <f t="shared" si="993"/>
        <v>0.31182795698924726</v>
      </c>
      <c r="AO708" s="136">
        <f t="shared" ref="AO708:AO744" si="995">AF708+4%</f>
        <v>0.39999999999999997</v>
      </c>
      <c r="AP708" s="17" t="s">
        <v>1291</v>
      </c>
      <c r="AQ708" s="141"/>
      <c r="AR708" s="141"/>
      <c r="AS708" s="141"/>
      <c r="AT708" s="141"/>
      <c r="AU708" s="141"/>
      <c r="AV708" s="141"/>
      <c r="AW708" s="225">
        <v>408</v>
      </c>
      <c r="AX708" s="126">
        <f t="shared" si="976"/>
        <v>448.8</v>
      </c>
      <c r="AY708" s="198"/>
      <c r="AZ708" s="128"/>
      <c r="BB708" s="134">
        <f t="shared" si="984"/>
        <v>2337.5</v>
      </c>
      <c r="BC708" s="134">
        <f t="shared" si="985"/>
        <v>1402.5</v>
      </c>
      <c r="BD708" s="134">
        <f t="shared" si="986"/>
        <v>1168.75</v>
      </c>
      <c r="BE708" s="134">
        <f t="shared" si="987"/>
        <v>935</v>
      </c>
    </row>
    <row r="709" spans="1:57" s="129" customFormat="1" hidden="1">
      <c r="A709" s="88" t="s">
        <v>1276</v>
      </c>
      <c r="B709" s="88" t="s">
        <v>1318</v>
      </c>
      <c r="C709" s="88" t="s">
        <v>1318</v>
      </c>
      <c r="D709" s="88" t="s">
        <v>656</v>
      </c>
      <c r="E709" s="88" t="s">
        <v>684</v>
      </c>
      <c r="F709" s="89" t="s">
        <v>730</v>
      </c>
      <c r="G709" s="92" t="s">
        <v>839</v>
      </c>
      <c r="H709" s="320" t="s">
        <v>3404</v>
      </c>
      <c r="I709" s="167" t="s">
        <v>2358</v>
      </c>
      <c r="J709" s="167" t="str">
        <f>_xlfn.XLOOKUP(I709,[1]Sheet1!$A:$A,[1]Sheet1!$B:$B,"")</f>
        <v/>
      </c>
      <c r="K709" s="88" t="s">
        <v>2363</v>
      </c>
      <c r="L709" s="88" t="s">
        <v>2369</v>
      </c>
      <c r="M709" s="92" t="s">
        <v>1584</v>
      </c>
      <c r="N709" s="89" t="s">
        <v>158</v>
      </c>
      <c r="O709" s="165"/>
      <c r="P709" s="89" t="s">
        <v>715</v>
      </c>
      <c r="Q709" s="92" t="s">
        <v>690</v>
      </c>
      <c r="R709" s="92">
        <v>2</v>
      </c>
      <c r="S709" s="92" t="e">
        <v>#N/A</v>
      </c>
      <c r="T709" s="92">
        <v>8544700000</v>
      </c>
      <c r="U709" s="155">
        <v>0</v>
      </c>
      <c r="V709" s="207">
        <v>30</v>
      </c>
      <c r="W709" s="92">
        <v>45</v>
      </c>
      <c r="X709" s="92">
        <v>55</v>
      </c>
      <c r="Y709" s="92" t="s">
        <v>691</v>
      </c>
      <c r="Z709" s="133">
        <f t="shared" si="977"/>
        <v>577.45161290322574</v>
      </c>
      <c r="AA709" s="133"/>
      <c r="AB709" s="124">
        <f t="shared" si="966"/>
        <v>525.9375</v>
      </c>
      <c r="AC709" s="124"/>
      <c r="AD709" s="213">
        <f t="shared" si="967"/>
        <v>7.0000000000000007E-2</v>
      </c>
      <c r="AE709" s="213">
        <v>7.0000000000000007E-2</v>
      </c>
      <c r="AF709" s="215">
        <v>0.36</v>
      </c>
      <c r="AG709" s="215" t="s">
        <v>9</v>
      </c>
      <c r="AH709" s="148">
        <f t="shared" si="990"/>
        <v>525.9375</v>
      </c>
      <c r="AI709" s="122">
        <f t="shared" si="994"/>
        <v>0.36</v>
      </c>
      <c r="AJ709" s="444"/>
      <c r="AK709" s="150">
        <f t="shared" si="982"/>
        <v>384.9677419354839</v>
      </c>
      <c r="AL709" s="148">
        <f t="shared" si="991"/>
        <v>361.9354838709678</v>
      </c>
      <c r="AM709" s="125">
        <f t="shared" si="992"/>
        <v>0.33333333333333315</v>
      </c>
      <c r="AN709" s="125">
        <f t="shared" si="993"/>
        <v>0.31182795698924715</v>
      </c>
      <c r="AO709" s="136">
        <f t="shared" si="995"/>
        <v>0.39999999999999997</v>
      </c>
      <c r="AP709" s="17" t="s">
        <v>1291</v>
      </c>
      <c r="AQ709" s="141"/>
      <c r="AR709" s="141"/>
      <c r="AS709" s="141"/>
      <c r="AT709" s="141"/>
      <c r="AU709" s="141"/>
      <c r="AV709" s="141"/>
      <c r="AW709" s="225">
        <v>306</v>
      </c>
      <c r="AX709" s="126">
        <f t="shared" si="976"/>
        <v>336.6</v>
      </c>
      <c r="AY709" s="198"/>
      <c r="AZ709" s="128"/>
      <c r="BB709" s="134">
        <f t="shared" si="984"/>
        <v>1753.125</v>
      </c>
      <c r="BC709" s="134">
        <f t="shared" si="985"/>
        <v>1051.875</v>
      </c>
      <c r="BD709" s="134">
        <f t="shared" si="986"/>
        <v>876.5625</v>
      </c>
      <c r="BE709" s="134">
        <f t="shared" si="987"/>
        <v>701.25</v>
      </c>
    </row>
    <row r="710" spans="1:57" s="129" customFormat="1" hidden="1">
      <c r="A710" s="88" t="s">
        <v>1276</v>
      </c>
      <c r="B710" s="88" t="s">
        <v>1318</v>
      </c>
      <c r="C710" s="88" t="s">
        <v>1318</v>
      </c>
      <c r="D710" s="88" t="s">
        <v>656</v>
      </c>
      <c r="E710" s="88" t="s">
        <v>684</v>
      </c>
      <c r="F710" s="89" t="s">
        <v>730</v>
      </c>
      <c r="G710" s="92" t="s">
        <v>839</v>
      </c>
      <c r="H710" s="320" t="s">
        <v>3398</v>
      </c>
      <c r="I710" s="167" t="s">
        <v>2359</v>
      </c>
      <c r="J710" s="167" t="str">
        <f>_xlfn.XLOOKUP(I710,[1]Sheet1!$A:$A,[1]Sheet1!$B:$B,"")</f>
        <v/>
      </c>
      <c r="K710" s="88" t="s">
        <v>2364</v>
      </c>
      <c r="L710" s="88" t="s">
        <v>2370</v>
      </c>
      <c r="M710" s="92" t="s">
        <v>1584</v>
      </c>
      <c r="N710" s="89" t="s">
        <v>158</v>
      </c>
      <c r="O710" s="165"/>
      <c r="P710" s="89" t="s">
        <v>715</v>
      </c>
      <c r="Q710" s="92" t="s">
        <v>690</v>
      </c>
      <c r="R710" s="92">
        <v>2</v>
      </c>
      <c r="S710" s="92" t="e">
        <v>#N/A</v>
      </c>
      <c r="T710" s="92">
        <v>8544700000</v>
      </c>
      <c r="U710" s="155">
        <v>0</v>
      </c>
      <c r="V710" s="207">
        <v>30</v>
      </c>
      <c r="W710" s="92">
        <v>45</v>
      </c>
      <c r="X710" s="92">
        <v>55</v>
      </c>
      <c r="Y710" s="92" t="s">
        <v>691</v>
      </c>
      <c r="Z710" s="133">
        <f t="shared" si="977"/>
        <v>590.66129032258061</v>
      </c>
      <c r="AA710" s="133"/>
      <c r="AB710" s="124">
        <f t="shared" si="966"/>
        <v>537.96875</v>
      </c>
      <c r="AC710" s="124"/>
      <c r="AD710" s="213">
        <f t="shared" si="967"/>
        <v>7.0000000000000007E-2</v>
      </c>
      <c r="AE710" s="213">
        <v>7.0000000000000007E-2</v>
      </c>
      <c r="AF710" s="215">
        <v>0.36</v>
      </c>
      <c r="AG710" s="215" t="s">
        <v>9</v>
      </c>
      <c r="AH710" s="148">
        <f t="shared" si="990"/>
        <v>537.96875</v>
      </c>
      <c r="AI710" s="122">
        <f t="shared" si="994"/>
        <v>0.36</v>
      </c>
      <c r="AJ710" s="444"/>
      <c r="AK710" s="150">
        <f t="shared" si="982"/>
        <v>393.77419354838707</v>
      </c>
      <c r="AL710" s="148">
        <f t="shared" si="991"/>
        <v>370.21505376344089</v>
      </c>
      <c r="AM710" s="125">
        <f t="shared" si="992"/>
        <v>0.33333333333333337</v>
      </c>
      <c r="AN710" s="125">
        <f t="shared" si="993"/>
        <v>0.31182795698924726</v>
      </c>
      <c r="AO710" s="136">
        <f t="shared" si="995"/>
        <v>0.39999999999999997</v>
      </c>
      <c r="AP710" s="17" t="s">
        <v>1291</v>
      </c>
      <c r="AQ710" s="141"/>
      <c r="AR710" s="141"/>
      <c r="AS710" s="141"/>
      <c r="AT710" s="141"/>
      <c r="AU710" s="141"/>
      <c r="AV710" s="141"/>
      <c r="AW710" s="225">
        <v>313</v>
      </c>
      <c r="AX710" s="126">
        <f t="shared" si="976"/>
        <v>344.3</v>
      </c>
      <c r="AY710" s="198"/>
      <c r="AZ710" s="128"/>
      <c r="BB710" s="134">
        <f t="shared" si="984"/>
        <v>1793.2291666666667</v>
      </c>
      <c r="BC710" s="134">
        <f t="shared" si="985"/>
        <v>1075.9375</v>
      </c>
      <c r="BD710" s="134">
        <f t="shared" si="986"/>
        <v>896.61458333333337</v>
      </c>
      <c r="BE710" s="134">
        <f t="shared" si="987"/>
        <v>717.29166666666674</v>
      </c>
    </row>
    <row r="711" spans="1:57" s="129" customFormat="1" hidden="1">
      <c r="A711" s="88" t="s">
        <v>1276</v>
      </c>
      <c r="B711" s="88" t="s">
        <v>1318</v>
      </c>
      <c r="C711" s="88" t="s">
        <v>1318</v>
      </c>
      <c r="D711" s="88" t="s">
        <v>656</v>
      </c>
      <c r="E711" s="88" t="s">
        <v>684</v>
      </c>
      <c r="F711" s="89" t="s">
        <v>730</v>
      </c>
      <c r="G711" s="92" t="s">
        <v>839</v>
      </c>
      <c r="H711" s="320" t="s">
        <v>3399</v>
      </c>
      <c r="I711" s="167" t="s">
        <v>2360</v>
      </c>
      <c r="J711" s="167" t="str">
        <f>_xlfn.XLOOKUP(I711,[1]Sheet1!$A:$A,[1]Sheet1!$B:$B,"")</f>
        <v/>
      </c>
      <c r="K711" s="88" t="s">
        <v>2365</v>
      </c>
      <c r="L711" s="88" t="s">
        <v>2371</v>
      </c>
      <c r="M711" s="92" t="s">
        <v>1584</v>
      </c>
      <c r="N711" s="89" t="s">
        <v>158</v>
      </c>
      <c r="O711" s="165"/>
      <c r="P711" s="89" t="s">
        <v>715</v>
      </c>
      <c r="Q711" s="92" t="s">
        <v>690</v>
      </c>
      <c r="R711" s="92">
        <v>2</v>
      </c>
      <c r="S711" s="92" t="e">
        <v>#N/A</v>
      </c>
      <c r="T711" s="92">
        <v>8544700000</v>
      </c>
      <c r="U711" s="155">
        <v>0</v>
      </c>
      <c r="V711" s="207">
        <v>30</v>
      </c>
      <c r="W711" s="92">
        <v>45</v>
      </c>
      <c r="X711" s="92">
        <v>55</v>
      </c>
      <c r="Y711" s="92" t="s">
        <v>691</v>
      </c>
      <c r="Z711" s="133">
        <f t="shared" si="977"/>
        <v>605.75806451612902</v>
      </c>
      <c r="AA711" s="133"/>
      <c r="AB711" s="124">
        <f t="shared" si="966"/>
        <v>551.71875</v>
      </c>
      <c r="AC711" s="124"/>
      <c r="AD711" s="213">
        <f t="shared" si="967"/>
        <v>7.0000000000000007E-2</v>
      </c>
      <c r="AE711" s="213">
        <v>7.0000000000000007E-2</v>
      </c>
      <c r="AF711" s="215">
        <v>0.36</v>
      </c>
      <c r="AG711" s="215" t="s">
        <v>9</v>
      </c>
      <c r="AH711" s="148">
        <f t="shared" si="990"/>
        <v>551.71875</v>
      </c>
      <c r="AI711" s="122">
        <f t="shared" si="994"/>
        <v>0.36</v>
      </c>
      <c r="AJ711" s="444"/>
      <c r="AK711" s="150">
        <f t="shared" si="982"/>
        <v>403.83870967741933</v>
      </c>
      <c r="AL711" s="148">
        <f t="shared" si="991"/>
        <v>379.67741935483878</v>
      </c>
      <c r="AM711" s="125">
        <f t="shared" si="992"/>
        <v>0.33333333333333337</v>
      </c>
      <c r="AN711" s="125">
        <f t="shared" si="993"/>
        <v>0.31182795698924715</v>
      </c>
      <c r="AO711" s="136">
        <f t="shared" si="995"/>
        <v>0.39999999999999997</v>
      </c>
      <c r="AP711" s="17" t="s">
        <v>1291</v>
      </c>
      <c r="AQ711" s="141"/>
      <c r="AR711" s="141"/>
      <c r="AS711" s="141"/>
      <c r="AT711" s="141"/>
      <c r="AU711" s="141"/>
      <c r="AV711" s="141"/>
      <c r="AW711" s="225">
        <v>321</v>
      </c>
      <c r="AX711" s="126">
        <f t="shared" ref="AX711:AX744" si="996">AW711*1.1</f>
        <v>353.1</v>
      </c>
      <c r="AY711" s="198"/>
      <c r="AZ711" s="128"/>
      <c r="BB711" s="134">
        <f t="shared" si="984"/>
        <v>1839.0625</v>
      </c>
      <c r="BC711" s="134">
        <f t="shared" si="985"/>
        <v>1103.4375</v>
      </c>
      <c r="BD711" s="134">
        <f t="shared" si="986"/>
        <v>919.53125</v>
      </c>
      <c r="BE711" s="134">
        <f t="shared" si="987"/>
        <v>735.625</v>
      </c>
    </row>
    <row r="712" spans="1:57" s="129" customFormat="1" hidden="1">
      <c r="A712" s="88" t="s">
        <v>1276</v>
      </c>
      <c r="B712" s="88" t="s">
        <v>1318</v>
      </c>
      <c r="C712" s="88" t="s">
        <v>1318</v>
      </c>
      <c r="D712" s="88" t="s">
        <v>656</v>
      </c>
      <c r="E712" s="88" t="s">
        <v>684</v>
      </c>
      <c r="F712" s="89" t="s">
        <v>730</v>
      </c>
      <c r="G712" s="92" t="s">
        <v>839</v>
      </c>
      <c r="H712" s="320" t="s">
        <v>3400</v>
      </c>
      <c r="I712" s="167" t="s">
        <v>2361</v>
      </c>
      <c r="J712" s="167" t="str">
        <f>_xlfn.XLOOKUP(I712,[1]Sheet1!$A:$A,[1]Sheet1!$B:$B,"")</f>
        <v/>
      </c>
      <c r="K712" s="88" t="s">
        <v>2377</v>
      </c>
      <c r="L712" s="88" t="s">
        <v>2367</v>
      </c>
      <c r="M712" s="92" t="s">
        <v>1584</v>
      </c>
      <c r="N712" s="89" t="s">
        <v>158</v>
      </c>
      <c r="O712" s="165"/>
      <c r="P712" s="89" t="s">
        <v>715</v>
      </c>
      <c r="Q712" s="92" t="s">
        <v>690</v>
      </c>
      <c r="R712" s="92">
        <v>2</v>
      </c>
      <c r="S712" s="92" t="e">
        <v>#N/A</v>
      </c>
      <c r="T712" s="92">
        <v>8544700000</v>
      </c>
      <c r="U712" s="155">
        <v>0</v>
      </c>
      <c r="V712" s="207">
        <v>30</v>
      </c>
      <c r="W712" s="92">
        <v>45</v>
      </c>
      <c r="X712" s="92">
        <v>55</v>
      </c>
      <c r="Y712" s="92" t="s">
        <v>691</v>
      </c>
      <c r="Z712" s="133">
        <f t="shared" ref="Z712:Z744" si="997">(AW712/(1-(AF712+2%)))*$F$6</f>
        <v>634.06451612903231</v>
      </c>
      <c r="AA712" s="133"/>
      <c r="AB712" s="124">
        <f t="shared" si="966"/>
        <v>577.5</v>
      </c>
      <c r="AC712" s="124"/>
      <c r="AD712" s="213">
        <f t="shared" si="967"/>
        <v>7.0000000000000007E-2</v>
      </c>
      <c r="AE712" s="213">
        <v>7.0000000000000007E-2</v>
      </c>
      <c r="AF712" s="215">
        <v>0.36</v>
      </c>
      <c r="AG712" s="215" t="s">
        <v>9</v>
      </c>
      <c r="AH712" s="148">
        <f t="shared" si="990"/>
        <v>577.5</v>
      </c>
      <c r="AI712" s="122">
        <f t="shared" si="994"/>
        <v>0.36</v>
      </c>
      <c r="AJ712" s="444"/>
      <c r="AK712" s="150">
        <f t="shared" ref="AK712:AK744" si="998">(AW712/(1-AD712))*$F$6</f>
        <v>422.70967741935482</v>
      </c>
      <c r="AL712" s="148">
        <f t="shared" si="991"/>
        <v>397.41935483870975</v>
      </c>
      <c r="AM712" s="125">
        <f t="shared" si="992"/>
        <v>0.33333333333333337</v>
      </c>
      <c r="AN712" s="125">
        <f t="shared" si="993"/>
        <v>0.31182795698924715</v>
      </c>
      <c r="AO712" s="136">
        <f t="shared" si="995"/>
        <v>0.39999999999999997</v>
      </c>
      <c r="AP712" s="17" t="s">
        <v>1291</v>
      </c>
      <c r="AQ712" s="141"/>
      <c r="AR712" s="141"/>
      <c r="AS712" s="141"/>
      <c r="AT712" s="141"/>
      <c r="AU712" s="141"/>
      <c r="AV712" s="141"/>
      <c r="AW712" s="225">
        <v>336</v>
      </c>
      <c r="AX712" s="126">
        <f t="shared" si="996"/>
        <v>369.6</v>
      </c>
      <c r="AY712" s="198"/>
      <c r="AZ712" s="128"/>
      <c r="BB712" s="134">
        <f t="shared" ref="BB712:BB744" si="999">AB712/0.3</f>
        <v>1925</v>
      </c>
      <c r="BC712" s="134">
        <f t="shared" ref="BC712:BC744" si="1000">BB712*0.6</f>
        <v>1155</v>
      </c>
      <c r="BD712" s="134">
        <f t="shared" ref="BD712:BD744" si="1001">BB712*0.5</f>
        <v>962.5</v>
      </c>
      <c r="BE712" s="134">
        <f t="shared" ref="BE712:BE744" si="1002">BB712*0.4</f>
        <v>770</v>
      </c>
    </row>
    <row r="713" spans="1:57" s="129" customFormat="1" hidden="1">
      <c r="A713" s="88" t="s">
        <v>1276</v>
      </c>
      <c r="B713" s="88" t="s">
        <v>1318</v>
      </c>
      <c r="C713" s="88" t="s">
        <v>1318</v>
      </c>
      <c r="D713" s="88" t="s">
        <v>656</v>
      </c>
      <c r="E713" s="88" t="s">
        <v>684</v>
      </c>
      <c r="F713" s="89" t="s">
        <v>730</v>
      </c>
      <c r="G713" s="92" t="s">
        <v>839</v>
      </c>
      <c r="H713" s="320" t="s">
        <v>3401</v>
      </c>
      <c r="I713" s="167" t="s">
        <v>2362</v>
      </c>
      <c r="J713" s="167" t="str">
        <f>_xlfn.XLOOKUP(I713,[1]Sheet1!$A:$A,[1]Sheet1!$B:$B,"")</f>
        <v/>
      </c>
      <c r="K713" s="88" t="s">
        <v>2366</v>
      </c>
      <c r="L713" s="88" t="s">
        <v>2368</v>
      </c>
      <c r="M713" s="92" t="s">
        <v>1584</v>
      </c>
      <c r="N713" s="89" t="s">
        <v>158</v>
      </c>
      <c r="O713" s="165"/>
      <c r="P713" s="89" t="s">
        <v>715</v>
      </c>
      <c r="Q713" s="92" t="s">
        <v>690</v>
      </c>
      <c r="R713" s="92">
        <v>2</v>
      </c>
      <c r="S713" s="92" t="e">
        <v>#N/A</v>
      </c>
      <c r="T713" s="92">
        <v>8544700000</v>
      </c>
      <c r="U713" s="155">
        <v>0</v>
      </c>
      <c r="V713" s="207">
        <v>30</v>
      </c>
      <c r="W713" s="92">
        <v>45</v>
      </c>
      <c r="X713" s="92">
        <v>55</v>
      </c>
      <c r="Y713" s="92" t="s">
        <v>691</v>
      </c>
      <c r="Z713" s="133">
        <f t="shared" si="997"/>
        <v>805.79032258064512</v>
      </c>
      <c r="AA713" s="133"/>
      <c r="AB713" s="124">
        <f t="shared" si="966"/>
        <v>733.90625</v>
      </c>
      <c r="AC713" s="124"/>
      <c r="AD713" s="213">
        <f t="shared" si="967"/>
        <v>7.0000000000000007E-2</v>
      </c>
      <c r="AE713" s="213">
        <v>7.0000000000000007E-2</v>
      </c>
      <c r="AF713" s="215">
        <v>0.36</v>
      </c>
      <c r="AG713" s="215" t="s">
        <v>9</v>
      </c>
      <c r="AH713" s="148">
        <f t="shared" si="990"/>
        <v>733.90625</v>
      </c>
      <c r="AI713" s="122">
        <f t="shared" si="994"/>
        <v>0.36</v>
      </c>
      <c r="AJ713" s="444"/>
      <c r="AK713" s="150">
        <f t="shared" si="998"/>
        <v>537.19354838709683</v>
      </c>
      <c r="AL713" s="148">
        <f t="shared" si="991"/>
        <v>505.05376344086028</v>
      </c>
      <c r="AM713" s="125">
        <f t="shared" si="992"/>
        <v>0.33333333333333326</v>
      </c>
      <c r="AN713" s="125">
        <f t="shared" si="993"/>
        <v>0.31182795698924726</v>
      </c>
      <c r="AO713" s="136">
        <f t="shared" si="995"/>
        <v>0.39999999999999997</v>
      </c>
      <c r="AP713" s="17" t="s">
        <v>1291</v>
      </c>
      <c r="AQ713" s="141"/>
      <c r="AR713" s="141"/>
      <c r="AS713" s="141"/>
      <c r="AT713" s="141"/>
      <c r="AU713" s="141"/>
      <c r="AV713" s="141"/>
      <c r="AW713" s="225">
        <v>427</v>
      </c>
      <c r="AX713" s="126">
        <f t="shared" si="996"/>
        <v>469.70000000000005</v>
      </c>
      <c r="AY713" s="198"/>
      <c r="AZ713" s="128"/>
      <c r="BB713" s="134">
        <f t="shared" si="999"/>
        <v>2446.354166666667</v>
      </c>
      <c r="BC713" s="134">
        <f t="shared" si="1000"/>
        <v>1467.8125000000002</v>
      </c>
      <c r="BD713" s="134">
        <f t="shared" si="1001"/>
        <v>1223.1770833333335</v>
      </c>
      <c r="BE713" s="134">
        <f t="shared" si="1002"/>
        <v>978.54166666666686</v>
      </c>
    </row>
    <row r="714" spans="1:57" s="129" customFormat="1" hidden="1">
      <c r="A714" s="88" t="s">
        <v>1276</v>
      </c>
      <c r="B714" s="88" t="s">
        <v>1317</v>
      </c>
      <c r="C714" s="88" t="s">
        <v>1317</v>
      </c>
      <c r="D714" s="88" t="s">
        <v>656</v>
      </c>
      <c r="E714" s="88" t="s">
        <v>684</v>
      </c>
      <c r="F714" s="89" t="s">
        <v>743</v>
      </c>
      <c r="G714" s="92" t="s">
        <v>839</v>
      </c>
      <c r="H714" s="320" t="s">
        <v>3400</v>
      </c>
      <c r="I714" s="167" t="s">
        <v>3367</v>
      </c>
      <c r="J714" s="167" t="str">
        <f>_xlfn.XLOOKUP(I714,[1]Sheet1!$A:$A,[1]Sheet1!$B:$B,"")</f>
        <v/>
      </c>
      <c r="K714" s="310" t="s">
        <v>3368</v>
      </c>
      <c r="L714" s="310" t="s">
        <v>3369</v>
      </c>
      <c r="M714" s="92" t="s">
        <v>69</v>
      </c>
      <c r="N714" s="89" t="s">
        <v>158</v>
      </c>
      <c r="O714" s="165"/>
      <c r="P714" s="89" t="s">
        <v>715</v>
      </c>
      <c r="Q714" s="92" t="s">
        <v>690</v>
      </c>
      <c r="R714" s="92">
        <v>2</v>
      </c>
      <c r="S714" s="311" t="e">
        <v>#N/A</v>
      </c>
      <c r="T714" s="311">
        <v>8544700000</v>
      </c>
      <c r="U714" s="312">
        <v>0</v>
      </c>
      <c r="V714" s="313">
        <v>30</v>
      </c>
      <c r="W714" s="311">
        <v>45</v>
      </c>
      <c r="X714" s="311">
        <v>55</v>
      </c>
      <c r="Y714" s="311" t="s">
        <v>691</v>
      </c>
      <c r="Z714" s="314">
        <f t="shared" si="997"/>
        <v>819.00000000000011</v>
      </c>
      <c r="AA714" s="314"/>
      <c r="AB714" s="315">
        <f t="shared" si="966"/>
        <v>747.6811594202901</v>
      </c>
      <c r="AC714" s="315"/>
      <c r="AD714" s="316">
        <f t="shared" ref="AD714:AD744" si="1003">AE714</f>
        <v>7.0000000000000007E-2</v>
      </c>
      <c r="AE714" s="316">
        <v>7.0000000000000007E-2</v>
      </c>
      <c r="AF714" s="316">
        <v>0.31</v>
      </c>
      <c r="AG714" s="316" t="s">
        <v>9</v>
      </c>
      <c r="AH714" s="317">
        <f t="shared" si="990"/>
        <v>747.6811594202901</v>
      </c>
      <c r="AI714" s="316">
        <f t="shared" si="994"/>
        <v>0.31000000000000005</v>
      </c>
      <c r="AJ714" s="444"/>
      <c r="AK714" s="318">
        <f t="shared" si="998"/>
        <v>590.0322580645161</v>
      </c>
      <c r="AL714" s="317">
        <f t="shared" si="991"/>
        <v>554.73118279569906</v>
      </c>
      <c r="AM714" s="319">
        <f t="shared" si="992"/>
        <v>0.27956989247311836</v>
      </c>
      <c r="AN714" s="319">
        <f t="shared" si="993"/>
        <v>0.25806451612903236</v>
      </c>
      <c r="AO714" s="136">
        <f t="shared" si="995"/>
        <v>0.35</v>
      </c>
      <c r="AP714" s="17" t="s">
        <v>1291</v>
      </c>
      <c r="AQ714" s="141"/>
      <c r="AR714" s="141"/>
      <c r="AS714" s="141"/>
      <c r="AT714" s="141"/>
      <c r="AU714" s="141"/>
      <c r="AV714" s="141"/>
      <c r="AW714" s="225">
        <v>469</v>
      </c>
      <c r="AX714" s="126">
        <f t="shared" si="996"/>
        <v>515.90000000000009</v>
      </c>
      <c r="AY714" s="198"/>
      <c r="AZ714" s="128"/>
      <c r="BB714" s="134">
        <f t="shared" si="999"/>
        <v>2492.2705314009672</v>
      </c>
      <c r="BC714" s="134">
        <f t="shared" si="1000"/>
        <v>1495.3623188405802</v>
      </c>
      <c r="BD714" s="134">
        <f t="shared" si="1001"/>
        <v>1246.1352657004836</v>
      </c>
      <c r="BE714" s="134">
        <f t="shared" si="1002"/>
        <v>996.90821256038691</v>
      </c>
    </row>
    <row r="715" spans="1:57" s="129" customFormat="1" hidden="1">
      <c r="A715" s="88" t="s">
        <v>1276</v>
      </c>
      <c r="B715" s="88" t="s">
        <v>1317</v>
      </c>
      <c r="C715" s="88" t="s">
        <v>1317</v>
      </c>
      <c r="D715" s="88" t="s">
        <v>656</v>
      </c>
      <c r="E715" s="88" t="s">
        <v>684</v>
      </c>
      <c r="F715" s="89" t="s">
        <v>743</v>
      </c>
      <c r="G715" s="92" t="s">
        <v>839</v>
      </c>
      <c r="H715" s="320" t="s">
        <v>3401</v>
      </c>
      <c r="I715" s="167" t="s">
        <v>3370</v>
      </c>
      <c r="J715" s="167" t="str">
        <f>_xlfn.XLOOKUP(I715,[1]Sheet1!$A:$A,[1]Sheet1!$B:$B,"")</f>
        <v/>
      </c>
      <c r="K715" s="310" t="s">
        <v>3371</v>
      </c>
      <c r="L715" s="310" t="s">
        <v>3372</v>
      </c>
      <c r="M715" s="92" t="s">
        <v>69</v>
      </c>
      <c r="N715" s="89" t="s">
        <v>158</v>
      </c>
      <c r="O715" s="165"/>
      <c r="P715" s="89" t="s">
        <v>715</v>
      </c>
      <c r="Q715" s="92" t="s">
        <v>690</v>
      </c>
      <c r="R715" s="92">
        <v>2</v>
      </c>
      <c r="S715" s="311" t="e">
        <v>#N/A</v>
      </c>
      <c r="T715" s="311">
        <v>8544700000</v>
      </c>
      <c r="U715" s="312">
        <v>0</v>
      </c>
      <c r="V715" s="313">
        <v>30</v>
      </c>
      <c r="W715" s="311">
        <v>45</v>
      </c>
      <c r="X715" s="311">
        <v>55</v>
      </c>
      <c r="Y715" s="311" t="s">
        <v>691</v>
      </c>
      <c r="Z715" s="314">
        <f t="shared" si="997"/>
        <v>894.08955223880594</v>
      </c>
      <c r="AA715" s="314"/>
      <c r="AB715" s="315">
        <f t="shared" si="966"/>
        <v>816.23188405797111</v>
      </c>
      <c r="AC715" s="315"/>
      <c r="AD715" s="316">
        <f t="shared" si="1003"/>
        <v>7.0000000000000007E-2</v>
      </c>
      <c r="AE715" s="316">
        <v>7.0000000000000007E-2</v>
      </c>
      <c r="AF715" s="316">
        <v>0.31</v>
      </c>
      <c r="AG715" s="316" t="s">
        <v>9</v>
      </c>
      <c r="AH715" s="317">
        <f t="shared" si="990"/>
        <v>816.23188405797111</v>
      </c>
      <c r="AI715" s="316">
        <f t="shared" si="994"/>
        <v>0.31000000000000005</v>
      </c>
      <c r="AJ715" s="444"/>
      <c r="AK715" s="318">
        <f t="shared" si="998"/>
        <v>644.12903225806463</v>
      </c>
      <c r="AL715" s="317">
        <f t="shared" si="991"/>
        <v>605.59139784946251</v>
      </c>
      <c r="AM715" s="319">
        <f t="shared" si="992"/>
        <v>0.27956989247311814</v>
      </c>
      <c r="AN715" s="319">
        <f t="shared" si="993"/>
        <v>0.25806451612903214</v>
      </c>
      <c r="AO715" s="136">
        <f t="shared" si="995"/>
        <v>0.35</v>
      </c>
      <c r="AP715" s="17" t="s">
        <v>1291</v>
      </c>
      <c r="AQ715" s="141"/>
      <c r="AR715" s="141"/>
      <c r="AS715" s="141"/>
      <c r="AT715" s="141"/>
      <c r="AU715" s="141"/>
      <c r="AV715" s="141"/>
      <c r="AW715" s="225">
        <v>512</v>
      </c>
      <c r="AX715" s="126">
        <f t="shared" si="996"/>
        <v>563.20000000000005</v>
      </c>
      <c r="AY715" s="198"/>
      <c r="AZ715" s="128"/>
      <c r="BB715" s="134">
        <f t="shared" si="999"/>
        <v>2720.7729468599036</v>
      </c>
      <c r="BC715" s="134">
        <f t="shared" si="1000"/>
        <v>1632.4637681159422</v>
      </c>
      <c r="BD715" s="134">
        <f t="shared" si="1001"/>
        <v>1360.3864734299518</v>
      </c>
      <c r="BE715" s="134">
        <f t="shared" si="1002"/>
        <v>1088.3091787439614</v>
      </c>
    </row>
    <row r="716" spans="1:57" s="129" customFormat="1" hidden="1">
      <c r="A716" s="88" t="s">
        <v>1276</v>
      </c>
      <c r="B716" s="88" t="s">
        <v>1317</v>
      </c>
      <c r="C716" s="88" t="s">
        <v>1317</v>
      </c>
      <c r="D716" s="88" t="s">
        <v>656</v>
      </c>
      <c r="E716" s="88" t="s">
        <v>684</v>
      </c>
      <c r="F716" s="89" t="s">
        <v>743</v>
      </c>
      <c r="G716" s="92" t="s">
        <v>839</v>
      </c>
      <c r="H716" s="320" t="s">
        <v>3402</v>
      </c>
      <c r="I716" s="167" t="s">
        <v>889</v>
      </c>
      <c r="J716" s="167" t="str">
        <f>_xlfn.XLOOKUP(I716,[1]Sheet1!$A:$A,[1]Sheet1!$B:$B,"")</f>
        <v>U0806004</v>
      </c>
      <c r="K716" s="88" t="s">
        <v>890</v>
      </c>
      <c r="L716" s="88" t="s">
        <v>891</v>
      </c>
      <c r="M716" s="92" t="s">
        <v>69</v>
      </c>
      <c r="N716" s="89" t="s">
        <v>158</v>
      </c>
      <c r="O716" s="165"/>
      <c r="P716" s="89" t="s">
        <v>715</v>
      </c>
      <c r="Q716" s="92" t="s">
        <v>690</v>
      </c>
      <c r="R716" s="92">
        <v>2</v>
      </c>
      <c r="S716" s="92" t="e">
        <v>#N/A</v>
      </c>
      <c r="T716" s="92">
        <v>8544700000</v>
      </c>
      <c r="U716" s="155">
        <v>0</v>
      </c>
      <c r="V716" s="207">
        <v>30</v>
      </c>
      <c r="W716" s="92">
        <v>45</v>
      </c>
      <c r="X716" s="92">
        <v>55</v>
      </c>
      <c r="Y716" s="92" t="s">
        <v>691</v>
      </c>
      <c r="Z716" s="133">
        <f t="shared" si="997"/>
        <v>951.71641791044783</v>
      </c>
      <c r="AA716" s="133"/>
      <c r="AB716" s="124">
        <f t="shared" ref="AB716:AB744" si="1004">AX716/(1-AF716)</f>
        <v>868.84057971014499</v>
      </c>
      <c r="AC716" s="124"/>
      <c r="AD716" s="213">
        <f t="shared" si="1003"/>
        <v>7.0000000000000007E-2</v>
      </c>
      <c r="AE716" s="213">
        <v>7.0000000000000007E-2</v>
      </c>
      <c r="AF716" s="215">
        <v>0.31</v>
      </c>
      <c r="AG716" s="215" t="s">
        <v>9</v>
      </c>
      <c r="AH716" s="148">
        <f t="shared" si="990"/>
        <v>868.84057971014499</v>
      </c>
      <c r="AI716" s="122">
        <f t="shared" si="994"/>
        <v>0.31000000000000005</v>
      </c>
      <c r="AJ716" s="444"/>
      <c r="AK716" s="150">
        <f t="shared" si="998"/>
        <v>685.64516129032268</v>
      </c>
      <c r="AL716" s="148">
        <f t="shared" si="991"/>
        <v>644.6236559139785</v>
      </c>
      <c r="AM716" s="125">
        <f t="shared" si="992"/>
        <v>0.27956989247311825</v>
      </c>
      <c r="AN716" s="125">
        <f t="shared" si="993"/>
        <v>0.25806451612903236</v>
      </c>
      <c r="AO716" s="136">
        <f t="shared" si="995"/>
        <v>0.35</v>
      </c>
      <c r="AP716" s="17" t="s">
        <v>1291</v>
      </c>
      <c r="AQ716" s="141"/>
      <c r="AR716" s="141"/>
      <c r="AS716" s="141"/>
      <c r="AT716" s="141"/>
      <c r="AU716" s="141"/>
      <c r="AV716" s="141"/>
      <c r="AW716" s="225">
        <v>545</v>
      </c>
      <c r="AX716" s="126">
        <f t="shared" si="996"/>
        <v>599.5</v>
      </c>
      <c r="AY716" s="198"/>
      <c r="AZ716" s="128"/>
      <c r="BB716" s="134">
        <f t="shared" si="999"/>
        <v>2896.1352657004836</v>
      </c>
      <c r="BC716" s="134">
        <f t="shared" si="1000"/>
        <v>1737.6811594202902</v>
      </c>
      <c r="BD716" s="134">
        <f t="shared" si="1001"/>
        <v>1448.0676328502418</v>
      </c>
      <c r="BE716" s="134">
        <f t="shared" si="1002"/>
        <v>1158.4541062801934</v>
      </c>
    </row>
    <row r="717" spans="1:57" s="129" customFormat="1" hidden="1">
      <c r="A717" s="88" t="s">
        <v>1276</v>
      </c>
      <c r="B717" s="88" t="s">
        <v>1317</v>
      </c>
      <c r="C717" s="88" t="s">
        <v>1317</v>
      </c>
      <c r="D717" s="88" t="s">
        <v>656</v>
      </c>
      <c r="E717" s="88" t="s">
        <v>684</v>
      </c>
      <c r="F717" s="89" t="s">
        <v>743</v>
      </c>
      <c r="G717" s="92" t="s">
        <v>839</v>
      </c>
      <c r="H717" s="320" t="s">
        <v>3405</v>
      </c>
      <c r="I717" s="167" t="s">
        <v>3373</v>
      </c>
      <c r="J717" s="167" t="str">
        <f>_xlfn.XLOOKUP(I717,[1]Sheet1!$A:$A,[1]Sheet1!$B:$B,"")</f>
        <v/>
      </c>
      <c r="K717" s="310" t="s">
        <v>3374</v>
      </c>
      <c r="L717" s="310" t="s">
        <v>3375</v>
      </c>
      <c r="M717" s="92" t="s">
        <v>69</v>
      </c>
      <c r="N717" s="89" t="s">
        <v>158</v>
      </c>
      <c r="O717" s="165"/>
      <c r="P717" s="89" t="s">
        <v>715</v>
      </c>
      <c r="Q717" s="92" t="s">
        <v>690</v>
      </c>
      <c r="R717" s="92">
        <v>2</v>
      </c>
      <c r="S717" s="311" t="e">
        <v>#N/A</v>
      </c>
      <c r="T717" s="311">
        <v>8544700000</v>
      </c>
      <c r="U717" s="312">
        <v>0</v>
      </c>
      <c r="V717" s="313">
        <v>30</v>
      </c>
      <c r="W717" s="311">
        <v>45</v>
      </c>
      <c r="X717" s="311">
        <v>55</v>
      </c>
      <c r="Y717" s="311" t="s">
        <v>691</v>
      </c>
      <c r="Z717" s="314">
        <f t="shared" si="997"/>
        <v>1197.9402985074628</v>
      </c>
      <c r="AA717" s="314"/>
      <c r="AB717" s="315">
        <f t="shared" si="1004"/>
        <v>1093.6231884057972</v>
      </c>
      <c r="AC717" s="315"/>
      <c r="AD717" s="316">
        <f t="shared" si="1003"/>
        <v>7.0000000000000007E-2</v>
      </c>
      <c r="AE717" s="316">
        <v>7.0000000000000007E-2</v>
      </c>
      <c r="AF717" s="316">
        <v>0.31</v>
      </c>
      <c r="AG717" s="316" t="s">
        <v>9</v>
      </c>
      <c r="AH717" s="317">
        <f t="shared" si="990"/>
        <v>1093.6231884057972</v>
      </c>
      <c r="AI717" s="316">
        <f t="shared" si="994"/>
        <v>0.31000000000000005</v>
      </c>
      <c r="AJ717" s="444"/>
      <c r="AK717" s="318">
        <f t="shared" si="998"/>
        <v>863.03225806451621</v>
      </c>
      <c r="AL717" s="317">
        <f t="shared" si="991"/>
        <v>811.39784946236568</v>
      </c>
      <c r="AM717" s="319">
        <f t="shared" si="992"/>
        <v>0.27956989247311825</v>
      </c>
      <c r="AN717" s="319">
        <f t="shared" si="993"/>
        <v>0.25806451612903225</v>
      </c>
      <c r="AO717" s="136">
        <f t="shared" si="995"/>
        <v>0.35</v>
      </c>
      <c r="AP717" s="17" t="s">
        <v>1291</v>
      </c>
      <c r="AQ717" s="141"/>
      <c r="AR717" s="141"/>
      <c r="AS717" s="141"/>
      <c r="AT717" s="141"/>
      <c r="AU717" s="141"/>
      <c r="AV717" s="141"/>
      <c r="AW717" s="225">
        <v>686</v>
      </c>
      <c r="AX717" s="126">
        <f t="shared" si="996"/>
        <v>754.6</v>
      </c>
      <c r="AY717" s="198"/>
      <c r="AZ717" s="128"/>
      <c r="BB717" s="134">
        <f t="shared" si="999"/>
        <v>3645.4106280193241</v>
      </c>
      <c r="BC717" s="134">
        <f t="shared" si="1000"/>
        <v>2187.2463768115945</v>
      </c>
      <c r="BD717" s="134">
        <f t="shared" si="1001"/>
        <v>1822.7053140096621</v>
      </c>
      <c r="BE717" s="134">
        <f t="shared" si="1002"/>
        <v>1458.1642512077296</v>
      </c>
    </row>
    <row r="718" spans="1:57" s="129" customFormat="1" hidden="1">
      <c r="A718" s="88" t="s">
        <v>1276</v>
      </c>
      <c r="B718" s="88" t="s">
        <v>1317</v>
      </c>
      <c r="C718" s="88" t="s">
        <v>1317</v>
      </c>
      <c r="D718" s="88" t="s">
        <v>656</v>
      </c>
      <c r="E718" s="88" t="s">
        <v>684</v>
      </c>
      <c r="F718" s="89" t="s">
        <v>743</v>
      </c>
      <c r="G718" s="92" t="s">
        <v>839</v>
      </c>
      <c r="H718" s="320" t="s">
        <v>3403</v>
      </c>
      <c r="I718" s="167" t="s">
        <v>892</v>
      </c>
      <c r="J718" s="167" t="str">
        <f>_xlfn.XLOOKUP(I718,[1]Sheet1!$A:$A,[1]Sheet1!$B:$B,"")</f>
        <v>U0806008</v>
      </c>
      <c r="K718" s="88" t="s">
        <v>893</v>
      </c>
      <c r="L718" s="88" t="s">
        <v>894</v>
      </c>
      <c r="M718" s="92" t="s">
        <v>69</v>
      </c>
      <c r="N718" s="89" t="s">
        <v>158</v>
      </c>
      <c r="O718" s="165"/>
      <c r="P718" s="89" t="s">
        <v>715</v>
      </c>
      <c r="Q718" s="92" t="s">
        <v>690</v>
      </c>
      <c r="R718" s="92">
        <v>2</v>
      </c>
      <c r="S718" s="92" t="e">
        <v>#N/A</v>
      </c>
      <c r="T718" s="92">
        <v>8544700000</v>
      </c>
      <c r="U718" s="155">
        <v>0</v>
      </c>
      <c r="V718" s="207">
        <v>30</v>
      </c>
      <c r="W718" s="92">
        <v>45</v>
      </c>
      <c r="X718" s="92">
        <v>55</v>
      </c>
      <c r="Y718" s="92" t="s">
        <v>691</v>
      </c>
      <c r="Z718" s="133">
        <f t="shared" si="997"/>
        <v>1370.8208955223881</v>
      </c>
      <c r="AA718" s="133"/>
      <c r="AB718" s="124">
        <f t="shared" si="1004"/>
        <v>1251.4492753623192</v>
      </c>
      <c r="AC718" s="124"/>
      <c r="AD718" s="213">
        <f t="shared" si="1003"/>
        <v>7.0000000000000007E-2</v>
      </c>
      <c r="AE718" s="213">
        <v>7.0000000000000007E-2</v>
      </c>
      <c r="AF718" s="215">
        <v>0.31</v>
      </c>
      <c r="AG718" s="215" t="s">
        <v>9</v>
      </c>
      <c r="AH718" s="148">
        <f t="shared" si="990"/>
        <v>1251.4492753623192</v>
      </c>
      <c r="AI718" s="122">
        <f t="shared" si="994"/>
        <v>0.31000000000000016</v>
      </c>
      <c r="AJ718" s="444"/>
      <c r="AK718" s="150">
        <f t="shared" si="998"/>
        <v>987.58064516129025</v>
      </c>
      <c r="AL718" s="148">
        <f t="shared" si="991"/>
        <v>928.49462365591421</v>
      </c>
      <c r="AM718" s="125">
        <f t="shared" si="992"/>
        <v>0.27956989247311836</v>
      </c>
      <c r="AN718" s="125">
        <f t="shared" si="993"/>
        <v>0.25806451612903225</v>
      </c>
      <c r="AO718" s="136">
        <f t="shared" si="995"/>
        <v>0.35</v>
      </c>
      <c r="AP718" s="17" t="s">
        <v>1291</v>
      </c>
      <c r="AQ718" s="141"/>
      <c r="AR718" s="141"/>
      <c r="AS718" s="141"/>
      <c r="AT718" s="141"/>
      <c r="AU718" s="141"/>
      <c r="AV718" s="141"/>
      <c r="AW718" s="225">
        <v>785</v>
      </c>
      <c r="AX718" s="126">
        <f t="shared" si="996"/>
        <v>863.50000000000011</v>
      </c>
      <c r="AY718" s="198"/>
      <c r="AZ718" s="128"/>
      <c r="BB718" s="134">
        <f t="shared" si="999"/>
        <v>4171.4975845410645</v>
      </c>
      <c r="BC718" s="134">
        <f t="shared" si="1000"/>
        <v>2502.8985507246384</v>
      </c>
      <c r="BD718" s="134">
        <f t="shared" si="1001"/>
        <v>2085.7487922705322</v>
      </c>
      <c r="BE718" s="134">
        <f t="shared" si="1002"/>
        <v>1668.5990338164258</v>
      </c>
    </row>
    <row r="719" spans="1:57" s="129" customFormat="1" hidden="1">
      <c r="A719" s="88" t="s">
        <v>1276</v>
      </c>
      <c r="B719" s="88" t="s">
        <v>1317</v>
      </c>
      <c r="C719" s="88" t="s">
        <v>1317</v>
      </c>
      <c r="D719" s="88" t="s">
        <v>656</v>
      </c>
      <c r="E719" s="88" t="s">
        <v>684</v>
      </c>
      <c r="F719" s="89" t="s">
        <v>743</v>
      </c>
      <c r="G719" s="92" t="s">
        <v>839</v>
      </c>
      <c r="H719" s="320" t="s">
        <v>3406</v>
      </c>
      <c r="I719" s="167" t="s">
        <v>3376</v>
      </c>
      <c r="J719" s="167" t="str">
        <f>_xlfn.XLOOKUP(I719,[1]Sheet1!$A:$A,[1]Sheet1!$B:$B,"")</f>
        <v/>
      </c>
      <c r="K719" s="310" t="s">
        <v>3377</v>
      </c>
      <c r="L719" s="310" t="s">
        <v>3378</v>
      </c>
      <c r="M719" s="92" t="s">
        <v>69</v>
      </c>
      <c r="N719" s="89" t="s">
        <v>158</v>
      </c>
      <c r="O719" s="165"/>
      <c r="P719" s="89" t="s">
        <v>715</v>
      </c>
      <c r="Q719" s="92" t="s">
        <v>690</v>
      </c>
      <c r="R719" s="92">
        <v>2</v>
      </c>
      <c r="S719" s="311" t="e">
        <v>#N/A</v>
      </c>
      <c r="T719" s="311">
        <v>8544700000</v>
      </c>
      <c r="U719" s="312">
        <v>0</v>
      </c>
      <c r="V719" s="313">
        <v>30</v>
      </c>
      <c r="W719" s="311">
        <v>45</v>
      </c>
      <c r="X719" s="311">
        <v>55</v>
      </c>
      <c r="Y719" s="311" t="s">
        <v>691</v>
      </c>
      <c r="Z719" s="314">
        <f t="shared" si="997"/>
        <v>2008.2089552238808</v>
      </c>
      <c r="AA719" s="314"/>
      <c r="AB719" s="315">
        <f t="shared" si="1004"/>
        <v>1833.3333333333335</v>
      </c>
      <c r="AC719" s="315"/>
      <c r="AD719" s="316">
        <f t="shared" si="1003"/>
        <v>7.0000000000000007E-2</v>
      </c>
      <c r="AE719" s="316">
        <v>7.0000000000000007E-2</v>
      </c>
      <c r="AF719" s="316">
        <v>0.31</v>
      </c>
      <c r="AG719" s="316" t="s">
        <v>9</v>
      </c>
      <c r="AH719" s="317">
        <f t="shared" si="990"/>
        <v>1833.3333333333335</v>
      </c>
      <c r="AI719" s="316">
        <f t="shared" si="994"/>
        <v>0.31000000000000005</v>
      </c>
      <c r="AJ719" s="444"/>
      <c r="AK719" s="318">
        <f t="shared" si="998"/>
        <v>1446.7741935483873</v>
      </c>
      <c r="AL719" s="317">
        <f t="shared" si="991"/>
        <v>1360.2150537634409</v>
      </c>
      <c r="AM719" s="319">
        <f t="shared" si="992"/>
        <v>0.27956989247311825</v>
      </c>
      <c r="AN719" s="319">
        <f t="shared" si="993"/>
        <v>0.25806451612903225</v>
      </c>
      <c r="AO719" s="136">
        <f t="shared" si="995"/>
        <v>0.35</v>
      </c>
      <c r="AP719" s="17" t="s">
        <v>1291</v>
      </c>
      <c r="AQ719" s="141"/>
      <c r="AR719" s="141"/>
      <c r="AS719" s="141"/>
      <c r="AT719" s="141"/>
      <c r="AU719" s="141"/>
      <c r="AV719" s="141"/>
      <c r="AW719" s="225">
        <v>1150</v>
      </c>
      <c r="AX719" s="126">
        <f t="shared" si="996"/>
        <v>1265</v>
      </c>
      <c r="AY719" s="198"/>
      <c r="AZ719" s="128"/>
      <c r="BB719" s="134">
        <f t="shared" si="999"/>
        <v>6111.1111111111122</v>
      </c>
      <c r="BC719" s="134">
        <f t="shared" si="1000"/>
        <v>3666.6666666666674</v>
      </c>
      <c r="BD719" s="134">
        <f t="shared" si="1001"/>
        <v>3055.5555555555561</v>
      </c>
      <c r="BE719" s="134">
        <f t="shared" si="1002"/>
        <v>2444.4444444444448</v>
      </c>
    </row>
    <row r="720" spans="1:57" s="129" customFormat="1" hidden="1">
      <c r="A720" s="88" t="s">
        <v>1276</v>
      </c>
      <c r="B720" s="88" t="s">
        <v>1317</v>
      </c>
      <c r="C720" s="88" t="s">
        <v>1317</v>
      </c>
      <c r="D720" s="88" t="s">
        <v>656</v>
      </c>
      <c r="E720" s="88" t="s">
        <v>684</v>
      </c>
      <c r="F720" s="89" t="s">
        <v>743</v>
      </c>
      <c r="G720" s="92" t="s">
        <v>839</v>
      </c>
      <c r="H720" s="320" t="s">
        <v>3407</v>
      </c>
      <c r="I720" s="167" t="s">
        <v>3379</v>
      </c>
      <c r="J720" s="167" t="str">
        <f>_xlfn.XLOOKUP(I720,[1]Sheet1!$A:$A,[1]Sheet1!$B:$B,"")</f>
        <v/>
      </c>
      <c r="K720" s="310" t="s">
        <v>3380</v>
      </c>
      <c r="L720" s="310" t="s">
        <v>3381</v>
      </c>
      <c r="M720" s="92" t="s">
        <v>69</v>
      </c>
      <c r="N720" s="89" t="s">
        <v>158</v>
      </c>
      <c r="O720" s="165"/>
      <c r="P720" s="89" t="s">
        <v>715</v>
      </c>
      <c r="Q720" s="92" t="s">
        <v>690</v>
      </c>
      <c r="R720" s="92">
        <v>2</v>
      </c>
      <c r="S720" s="311" t="e">
        <v>#N/A</v>
      </c>
      <c r="T720" s="311">
        <v>8544700000</v>
      </c>
      <c r="U720" s="312">
        <v>0</v>
      </c>
      <c r="V720" s="313">
        <v>30</v>
      </c>
      <c r="W720" s="311">
        <v>45</v>
      </c>
      <c r="X720" s="311">
        <v>55</v>
      </c>
      <c r="Y720" s="311" t="s">
        <v>691</v>
      </c>
      <c r="Z720" s="314">
        <f t="shared" si="997"/>
        <v>3330.1343283582091</v>
      </c>
      <c r="AA720" s="314"/>
      <c r="AB720" s="315">
        <f t="shared" si="1004"/>
        <v>3040.1449275362324</v>
      </c>
      <c r="AC720" s="315"/>
      <c r="AD720" s="316">
        <f t="shared" si="1003"/>
        <v>7.0000000000000007E-2</v>
      </c>
      <c r="AE720" s="316">
        <v>7.0000000000000007E-2</v>
      </c>
      <c r="AF720" s="316">
        <v>0.31</v>
      </c>
      <c r="AG720" s="316" t="s">
        <v>9</v>
      </c>
      <c r="AH720" s="317">
        <f t="shared" si="990"/>
        <v>3040.1449275362324</v>
      </c>
      <c r="AI720" s="316">
        <f t="shared" si="994"/>
        <v>0.31000000000000005</v>
      </c>
      <c r="AJ720" s="444"/>
      <c r="AK720" s="318">
        <f t="shared" si="998"/>
        <v>2399.1290322580644</v>
      </c>
      <c r="AL720" s="317">
        <f t="shared" si="991"/>
        <v>2255.5913978494627</v>
      </c>
      <c r="AM720" s="319">
        <f t="shared" si="992"/>
        <v>0.27956989247311836</v>
      </c>
      <c r="AN720" s="319">
        <f t="shared" si="993"/>
        <v>0.25806451612903225</v>
      </c>
      <c r="AO720" s="136">
        <f t="shared" si="995"/>
        <v>0.35</v>
      </c>
      <c r="AP720" s="17" t="s">
        <v>1291</v>
      </c>
      <c r="AQ720" s="141"/>
      <c r="AR720" s="141"/>
      <c r="AS720" s="141"/>
      <c r="AT720" s="141"/>
      <c r="AU720" s="141"/>
      <c r="AV720" s="141"/>
      <c r="AW720" s="225">
        <v>1907</v>
      </c>
      <c r="AX720" s="126">
        <f t="shared" si="996"/>
        <v>2097.7000000000003</v>
      </c>
      <c r="AY720" s="198"/>
      <c r="AZ720" s="128"/>
      <c r="BB720" s="134">
        <f t="shared" si="999"/>
        <v>10133.816425120775</v>
      </c>
      <c r="BC720" s="134">
        <f t="shared" si="1000"/>
        <v>6080.2898550724649</v>
      </c>
      <c r="BD720" s="134">
        <f t="shared" si="1001"/>
        <v>5066.9082125603873</v>
      </c>
      <c r="BE720" s="134">
        <f t="shared" si="1002"/>
        <v>4053.5265700483101</v>
      </c>
    </row>
    <row r="721" spans="1:57" s="129" customFormat="1" hidden="1">
      <c r="A721" s="88" t="s">
        <v>1276</v>
      </c>
      <c r="B721" s="88" t="s">
        <v>1318</v>
      </c>
      <c r="C721" s="88" t="s">
        <v>1318</v>
      </c>
      <c r="D721" s="88" t="s">
        <v>656</v>
      </c>
      <c r="E721" s="88" t="s">
        <v>684</v>
      </c>
      <c r="F721" s="89" t="s">
        <v>743</v>
      </c>
      <c r="G721" s="92" t="s">
        <v>839</v>
      </c>
      <c r="H721" s="320" t="s">
        <v>3400</v>
      </c>
      <c r="I721" s="167" t="s">
        <v>3780</v>
      </c>
      <c r="J721" s="167" t="str">
        <f>_xlfn.XLOOKUP(I721,[1]Sheet1!$A:$A,[1]Sheet1!$B:$B,"")</f>
        <v/>
      </c>
      <c r="K721" s="310" t="s">
        <v>3382</v>
      </c>
      <c r="L721" s="310" t="s">
        <v>3781</v>
      </c>
      <c r="M721" s="92" t="s">
        <v>125</v>
      </c>
      <c r="N721" s="89" t="s">
        <v>158</v>
      </c>
      <c r="O721" s="165"/>
      <c r="P721" s="89" t="s">
        <v>715</v>
      </c>
      <c r="Q721" s="92" t="s">
        <v>690</v>
      </c>
      <c r="R721" s="92">
        <v>2</v>
      </c>
      <c r="S721" s="311" t="e">
        <v>#N/A</v>
      </c>
      <c r="T721" s="311">
        <v>8544700000</v>
      </c>
      <c r="U721" s="312">
        <v>0</v>
      </c>
      <c r="V721" s="313">
        <v>30</v>
      </c>
      <c r="W721" s="311">
        <v>45</v>
      </c>
      <c r="X721" s="311">
        <v>55</v>
      </c>
      <c r="Y721" s="311" t="s">
        <v>691</v>
      </c>
      <c r="Z721" s="314">
        <f t="shared" si="997"/>
        <v>927.26865671641804</v>
      </c>
      <c r="AA721" s="314"/>
      <c r="AB721" s="315">
        <f t="shared" si="1004"/>
        <v>846.52173913043487</v>
      </c>
      <c r="AC721" s="315"/>
      <c r="AD721" s="316">
        <f t="shared" si="1003"/>
        <v>7.0000000000000007E-2</v>
      </c>
      <c r="AE721" s="316">
        <v>7.0000000000000007E-2</v>
      </c>
      <c r="AF721" s="316">
        <v>0.31</v>
      </c>
      <c r="AG721" s="316" t="s">
        <v>9</v>
      </c>
      <c r="AH721" s="317">
        <f t="shared" si="990"/>
        <v>846.52173913043487</v>
      </c>
      <c r="AI721" s="316">
        <f t="shared" si="994"/>
        <v>0.31000000000000005</v>
      </c>
      <c r="AJ721" s="444"/>
      <c r="AK721" s="318">
        <f t="shared" si="998"/>
        <v>668.0322580645161</v>
      </c>
      <c r="AL721" s="317">
        <f t="shared" si="991"/>
        <v>628.06451612903231</v>
      </c>
      <c r="AM721" s="319">
        <f t="shared" si="992"/>
        <v>0.27956989247311836</v>
      </c>
      <c r="AN721" s="319">
        <f t="shared" si="993"/>
        <v>0.25806451612903225</v>
      </c>
      <c r="AO721" s="136">
        <f t="shared" si="995"/>
        <v>0.35</v>
      </c>
      <c r="AP721" s="17" t="s">
        <v>1291</v>
      </c>
      <c r="AQ721" s="141"/>
      <c r="AR721" s="141"/>
      <c r="AS721" s="141"/>
      <c r="AT721" s="141"/>
      <c r="AU721" s="141"/>
      <c r="AV721" s="141"/>
      <c r="AW721" s="225">
        <v>531</v>
      </c>
      <c r="AX721" s="126">
        <f t="shared" si="996"/>
        <v>584.1</v>
      </c>
      <c r="AY721" s="198"/>
      <c r="AZ721" s="128"/>
      <c r="BB721" s="134">
        <f t="shared" si="999"/>
        <v>2821.739130434783</v>
      </c>
      <c r="BC721" s="134">
        <f t="shared" si="1000"/>
        <v>1693.0434782608697</v>
      </c>
      <c r="BD721" s="134">
        <f t="shared" si="1001"/>
        <v>1410.8695652173915</v>
      </c>
      <c r="BE721" s="134">
        <f t="shared" si="1002"/>
        <v>1128.6956521739132</v>
      </c>
    </row>
    <row r="722" spans="1:57" s="129" customFormat="1" hidden="1">
      <c r="A722" s="88" t="s">
        <v>1276</v>
      </c>
      <c r="B722" s="88" t="s">
        <v>1318</v>
      </c>
      <c r="C722" s="88" t="s">
        <v>1318</v>
      </c>
      <c r="D722" s="88" t="s">
        <v>656</v>
      </c>
      <c r="E722" s="88" t="s">
        <v>684</v>
      </c>
      <c r="F722" s="89" t="s">
        <v>743</v>
      </c>
      <c r="G722" s="92" t="s">
        <v>839</v>
      </c>
      <c r="H722" s="320" t="s">
        <v>3401</v>
      </c>
      <c r="I722" s="167" t="s">
        <v>3383</v>
      </c>
      <c r="J722" s="167" t="str">
        <f>_xlfn.XLOOKUP(I722,[1]Sheet1!$A:$A,[1]Sheet1!$B:$B,"")</f>
        <v/>
      </c>
      <c r="K722" s="310" t="s">
        <v>3384</v>
      </c>
      <c r="L722" s="310" t="s">
        <v>3385</v>
      </c>
      <c r="M722" s="92" t="s">
        <v>125</v>
      </c>
      <c r="N722" s="89" t="s">
        <v>158</v>
      </c>
      <c r="O722" s="165"/>
      <c r="P722" s="89" t="s">
        <v>715</v>
      </c>
      <c r="Q722" s="92" t="s">
        <v>690</v>
      </c>
      <c r="R722" s="92">
        <v>2</v>
      </c>
      <c r="S722" s="311" t="e">
        <v>#N/A</v>
      </c>
      <c r="T722" s="311">
        <v>8544700000</v>
      </c>
      <c r="U722" s="312">
        <v>0</v>
      </c>
      <c r="V722" s="313">
        <v>30</v>
      </c>
      <c r="W722" s="311">
        <v>45</v>
      </c>
      <c r="X722" s="311">
        <v>55</v>
      </c>
      <c r="Y722" s="311" t="s">
        <v>691</v>
      </c>
      <c r="Z722" s="314">
        <f t="shared" si="997"/>
        <v>1004.1044776119404</v>
      </c>
      <c r="AA722" s="314"/>
      <c r="AB722" s="315">
        <f t="shared" si="1004"/>
        <v>916.66666666666674</v>
      </c>
      <c r="AC722" s="315"/>
      <c r="AD722" s="316">
        <f t="shared" si="1003"/>
        <v>7.0000000000000007E-2</v>
      </c>
      <c r="AE722" s="316">
        <v>7.0000000000000007E-2</v>
      </c>
      <c r="AF722" s="316">
        <v>0.31</v>
      </c>
      <c r="AG722" s="316" t="s">
        <v>9</v>
      </c>
      <c r="AH722" s="317">
        <f t="shared" si="990"/>
        <v>916.66666666666674</v>
      </c>
      <c r="AI722" s="316">
        <f t="shared" si="994"/>
        <v>0.31000000000000005</v>
      </c>
      <c r="AJ722" s="444"/>
      <c r="AK722" s="318">
        <f t="shared" si="998"/>
        <v>723.38709677419365</v>
      </c>
      <c r="AL722" s="317">
        <f t="shared" si="991"/>
        <v>680.10752688172045</v>
      </c>
      <c r="AM722" s="319">
        <f t="shared" si="992"/>
        <v>0.27956989247311825</v>
      </c>
      <c r="AN722" s="319">
        <f t="shared" si="993"/>
        <v>0.25806451612903225</v>
      </c>
      <c r="AO722" s="136">
        <f t="shared" si="995"/>
        <v>0.35</v>
      </c>
      <c r="AP722" s="17" t="s">
        <v>1291</v>
      </c>
      <c r="AQ722" s="141"/>
      <c r="AR722" s="141"/>
      <c r="AS722" s="141"/>
      <c r="AT722" s="141"/>
      <c r="AU722" s="141"/>
      <c r="AV722" s="141"/>
      <c r="AW722" s="225">
        <v>575</v>
      </c>
      <c r="AX722" s="126">
        <f t="shared" si="996"/>
        <v>632.5</v>
      </c>
      <c r="AY722" s="198"/>
      <c r="AZ722" s="128"/>
      <c r="BB722" s="134">
        <f t="shared" si="999"/>
        <v>3055.5555555555561</v>
      </c>
      <c r="BC722" s="134">
        <f t="shared" si="1000"/>
        <v>1833.3333333333337</v>
      </c>
      <c r="BD722" s="134">
        <f t="shared" si="1001"/>
        <v>1527.7777777777781</v>
      </c>
      <c r="BE722" s="134">
        <f t="shared" si="1002"/>
        <v>1222.2222222222224</v>
      </c>
    </row>
    <row r="723" spans="1:57" s="129" customFormat="1" hidden="1">
      <c r="A723" s="88" t="s">
        <v>1276</v>
      </c>
      <c r="B723" s="88" t="s">
        <v>1318</v>
      </c>
      <c r="C723" s="88" t="s">
        <v>1318</v>
      </c>
      <c r="D723" s="88" t="s">
        <v>656</v>
      </c>
      <c r="E723" s="88" t="s">
        <v>684</v>
      </c>
      <c r="F723" s="89" t="s">
        <v>743</v>
      </c>
      <c r="G723" s="92" t="s">
        <v>839</v>
      </c>
      <c r="H723" s="320" t="s">
        <v>3402</v>
      </c>
      <c r="I723" s="167" t="s">
        <v>3782</v>
      </c>
      <c r="J723" s="167" t="s">
        <v>3646</v>
      </c>
      <c r="K723" s="88" t="s">
        <v>1668</v>
      </c>
      <c r="L723" s="88" t="s">
        <v>1669</v>
      </c>
      <c r="M723" s="92" t="s">
        <v>125</v>
      </c>
      <c r="N723" s="89" t="s">
        <v>158</v>
      </c>
      <c r="O723" s="165"/>
      <c r="P723" s="89" t="s">
        <v>715</v>
      </c>
      <c r="Q723" s="92" t="s">
        <v>690</v>
      </c>
      <c r="R723" s="92">
        <v>2</v>
      </c>
      <c r="S723" s="92" t="e">
        <v>#N/A</v>
      </c>
      <c r="T723" s="92">
        <v>8544700000</v>
      </c>
      <c r="U723" s="155">
        <v>0</v>
      </c>
      <c r="V723" s="207">
        <v>30</v>
      </c>
      <c r="W723" s="92">
        <v>45</v>
      </c>
      <c r="X723" s="92">
        <v>55</v>
      </c>
      <c r="Y723" s="92" t="s">
        <v>691</v>
      </c>
      <c r="Z723" s="133">
        <f t="shared" si="997"/>
        <v>949.97014925373139</v>
      </c>
      <c r="AA723" s="133"/>
      <c r="AB723" s="124">
        <f t="shared" si="1004"/>
        <v>867.24637681159436</v>
      </c>
      <c r="AC723" s="124"/>
      <c r="AD723" s="213">
        <f t="shared" si="1003"/>
        <v>7.0000000000000007E-2</v>
      </c>
      <c r="AE723" s="213">
        <v>7.0000000000000007E-2</v>
      </c>
      <c r="AF723" s="215">
        <v>0.31</v>
      </c>
      <c r="AG723" s="215" t="s">
        <v>9</v>
      </c>
      <c r="AH723" s="148">
        <f t="shared" si="990"/>
        <v>867.24637681159436</v>
      </c>
      <c r="AI723" s="122">
        <f t="shared" si="994"/>
        <v>0.31000000000000005</v>
      </c>
      <c r="AJ723" s="444"/>
      <c r="AK723" s="150">
        <f t="shared" si="998"/>
        <v>684.38709677419354</v>
      </c>
      <c r="AL723" s="148">
        <f t="shared" si="991"/>
        <v>643.44086021505393</v>
      </c>
      <c r="AM723" s="125">
        <f t="shared" si="992"/>
        <v>0.27956989247311836</v>
      </c>
      <c r="AN723" s="125">
        <f t="shared" si="993"/>
        <v>0.25806451612903225</v>
      </c>
      <c r="AO723" s="136">
        <f t="shared" si="995"/>
        <v>0.35</v>
      </c>
      <c r="AP723" s="17" t="s">
        <v>1291</v>
      </c>
      <c r="AQ723" s="141"/>
      <c r="AR723" s="141"/>
      <c r="AS723" s="141"/>
      <c r="AT723" s="141"/>
      <c r="AU723" s="141"/>
      <c r="AV723" s="141"/>
      <c r="AW723" s="225">
        <v>544</v>
      </c>
      <c r="AX723" s="126">
        <f t="shared" si="996"/>
        <v>598.40000000000009</v>
      </c>
      <c r="AY723" s="198"/>
      <c r="AZ723" s="128"/>
      <c r="BB723" s="134">
        <f t="shared" si="999"/>
        <v>2890.8212560386478</v>
      </c>
      <c r="BC723" s="134">
        <f t="shared" si="1000"/>
        <v>1734.4927536231887</v>
      </c>
      <c r="BD723" s="134">
        <f t="shared" si="1001"/>
        <v>1445.4106280193239</v>
      </c>
      <c r="BE723" s="134">
        <f t="shared" si="1002"/>
        <v>1156.3285024154591</v>
      </c>
    </row>
    <row r="724" spans="1:57" s="129" customFormat="1" hidden="1">
      <c r="A724" s="88" t="s">
        <v>1276</v>
      </c>
      <c r="B724" s="88" t="s">
        <v>1318</v>
      </c>
      <c r="C724" s="88" t="s">
        <v>1318</v>
      </c>
      <c r="D724" s="88" t="s">
        <v>656</v>
      </c>
      <c r="E724" s="88" t="s">
        <v>684</v>
      </c>
      <c r="F724" s="89" t="s">
        <v>743</v>
      </c>
      <c r="G724" s="92" t="s">
        <v>839</v>
      </c>
      <c r="H724" s="320" t="s">
        <v>3405</v>
      </c>
      <c r="I724" s="167" t="s">
        <v>3386</v>
      </c>
      <c r="J724" s="167" t="str">
        <f>_xlfn.XLOOKUP(I724,[1]Sheet1!$A:$A,[1]Sheet1!$B:$B,"")</f>
        <v/>
      </c>
      <c r="K724" s="310" t="s">
        <v>3387</v>
      </c>
      <c r="L724" s="310" t="s">
        <v>3388</v>
      </c>
      <c r="M724" s="92" t="s">
        <v>125</v>
      </c>
      <c r="N724" s="89" t="s">
        <v>158</v>
      </c>
      <c r="O724" s="165"/>
      <c r="P724" s="89" t="s">
        <v>715</v>
      </c>
      <c r="Q724" s="92" t="s">
        <v>690</v>
      </c>
      <c r="R724" s="92">
        <v>2</v>
      </c>
      <c r="S724" s="311" t="e">
        <v>#N/A</v>
      </c>
      <c r="T724" s="311">
        <v>8544700000</v>
      </c>
      <c r="U724" s="312">
        <v>0</v>
      </c>
      <c r="V724" s="313">
        <v>30</v>
      </c>
      <c r="W724" s="311">
        <v>45</v>
      </c>
      <c r="X724" s="311">
        <v>55</v>
      </c>
      <c r="Y724" s="311" t="s">
        <v>691</v>
      </c>
      <c r="Z724" s="314">
        <f t="shared" si="997"/>
        <v>1320.1791044776119</v>
      </c>
      <c r="AA724" s="314"/>
      <c r="AB724" s="315">
        <f t="shared" si="1004"/>
        <v>1205.217391304348</v>
      </c>
      <c r="AC724" s="315"/>
      <c r="AD724" s="316">
        <f t="shared" si="1003"/>
        <v>7.0000000000000007E-2</v>
      </c>
      <c r="AE724" s="316">
        <v>7.0000000000000007E-2</v>
      </c>
      <c r="AF724" s="316">
        <v>0.31</v>
      </c>
      <c r="AG724" s="316" t="s">
        <v>9</v>
      </c>
      <c r="AH724" s="317">
        <f t="shared" si="990"/>
        <v>1205.217391304348</v>
      </c>
      <c r="AI724" s="316">
        <f t="shared" si="994"/>
        <v>0.31000000000000005</v>
      </c>
      <c r="AJ724" s="444"/>
      <c r="AK724" s="318">
        <f t="shared" si="998"/>
        <v>951.09677419354841</v>
      </c>
      <c r="AL724" s="317">
        <f t="shared" si="991"/>
        <v>894.19354838709683</v>
      </c>
      <c r="AM724" s="319">
        <f t="shared" si="992"/>
        <v>0.27956989247311825</v>
      </c>
      <c r="AN724" s="319">
        <f t="shared" si="993"/>
        <v>0.25806451612903236</v>
      </c>
      <c r="AO724" s="136">
        <f t="shared" si="995"/>
        <v>0.35</v>
      </c>
      <c r="AP724" s="17" t="s">
        <v>1291</v>
      </c>
      <c r="AQ724" s="141"/>
      <c r="AR724" s="141"/>
      <c r="AS724" s="141"/>
      <c r="AT724" s="141"/>
      <c r="AU724" s="141"/>
      <c r="AV724" s="141"/>
      <c r="AW724" s="225">
        <v>756</v>
      </c>
      <c r="AX724" s="126">
        <f t="shared" si="996"/>
        <v>831.6</v>
      </c>
      <c r="AY724" s="198"/>
      <c r="AZ724" s="128"/>
      <c r="BB724" s="134">
        <f t="shared" si="999"/>
        <v>4017.3913043478269</v>
      </c>
      <c r="BC724" s="134">
        <f t="shared" si="1000"/>
        <v>2410.434782608696</v>
      </c>
      <c r="BD724" s="134">
        <f t="shared" si="1001"/>
        <v>2008.6956521739135</v>
      </c>
      <c r="BE724" s="134">
        <f t="shared" si="1002"/>
        <v>1606.9565217391309</v>
      </c>
    </row>
    <row r="725" spans="1:57" s="129" customFormat="1" hidden="1">
      <c r="A725" s="88" t="s">
        <v>1276</v>
      </c>
      <c r="B725" s="88" t="s">
        <v>1318</v>
      </c>
      <c r="C725" s="88" t="s">
        <v>1318</v>
      </c>
      <c r="D725" s="88" t="s">
        <v>656</v>
      </c>
      <c r="E725" s="88" t="s">
        <v>684</v>
      </c>
      <c r="F725" s="89" t="s">
        <v>743</v>
      </c>
      <c r="G725" s="92" t="s">
        <v>839</v>
      </c>
      <c r="H725" s="320" t="s">
        <v>3403</v>
      </c>
      <c r="I725" s="167" t="s">
        <v>3389</v>
      </c>
      <c r="J725" s="167" t="str">
        <f>_xlfn.XLOOKUP(I725,[1]Sheet1!$A:$A,[1]Sheet1!$B:$B,"")</f>
        <v/>
      </c>
      <c r="K725" s="310" t="s">
        <v>3390</v>
      </c>
      <c r="L725" s="310" t="s">
        <v>3391</v>
      </c>
      <c r="M725" s="92" t="s">
        <v>125</v>
      </c>
      <c r="N725" s="89" t="s">
        <v>158</v>
      </c>
      <c r="O725" s="165"/>
      <c r="P725" s="89" t="s">
        <v>715</v>
      </c>
      <c r="Q725" s="92" t="s">
        <v>690</v>
      </c>
      <c r="R725" s="92">
        <v>2</v>
      </c>
      <c r="S725" s="311" t="e">
        <v>#N/A</v>
      </c>
      <c r="T725" s="311">
        <v>8544700000</v>
      </c>
      <c r="U725" s="312">
        <v>0</v>
      </c>
      <c r="V725" s="313">
        <v>30</v>
      </c>
      <c r="W725" s="311">
        <v>45</v>
      </c>
      <c r="X725" s="311">
        <v>55</v>
      </c>
      <c r="Y725" s="311" t="s">
        <v>691</v>
      </c>
      <c r="Z725" s="314">
        <f t="shared" si="997"/>
        <v>1702.6119402985075</v>
      </c>
      <c r="AA725" s="314"/>
      <c r="AB725" s="315">
        <f t="shared" si="1004"/>
        <v>1554.3478260869567</v>
      </c>
      <c r="AC725" s="315"/>
      <c r="AD725" s="316">
        <f t="shared" si="1003"/>
        <v>7.0000000000000007E-2</v>
      </c>
      <c r="AE725" s="316">
        <v>7.0000000000000007E-2</v>
      </c>
      <c r="AF725" s="316">
        <v>0.31</v>
      </c>
      <c r="AG725" s="316" t="s">
        <v>9</v>
      </c>
      <c r="AH725" s="317">
        <f t="shared" si="990"/>
        <v>1554.3478260869567</v>
      </c>
      <c r="AI725" s="316">
        <f t="shared" si="994"/>
        <v>0.31000000000000005</v>
      </c>
      <c r="AJ725" s="444"/>
      <c r="AK725" s="318">
        <f t="shared" si="998"/>
        <v>1226.6129032258066</v>
      </c>
      <c r="AL725" s="317">
        <f t="shared" si="991"/>
        <v>1153.2258064516129</v>
      </c>
      <c r="AM725" s="319">
        <f t="shared" ref="AM725:AM744" si="1005">1-(AK725/Z725)</f>
        <v>0.27956989247311825</v>
      </c>
      <c r="AN725" s="319">
        <f t="shared" ref="AN725:AN744" si="1006">1-(AL725/AB725)</f>
        <v>0.25806451612903236</v>
      </c>
      <c r="AO725" s="136">
        <f t="shared" si="995"/>
        <v>0.35</v>
      </c>
      <c r="AP725" s="17" t="s">
        <v>1291</v>
      </c>
      <c r="AQ725" s="141"/>
      <c r="AR725" s="141"/>
      <c r="AS725" s="141"/>
      <c r="AT725" s="141"/>
      <c r="AU725" s="141"/>
      <c r="AV725" s="141"/>
      <c r="AW725" s="225">
        <v>975</v>
      </c>
      <c r="AX725" s="126">
        <f t="shared" si="996"/>
        <v>1072.5</v>
      </c>
      <c r="AY725" s="198"/>
      <c r="AZ725" s="128"/>
      <c r="BB725" s="134">
        <f t="shared" si="999"/>
        <v>5181.1594202898559</v>
      </c>
      <c r="BC725" s="134">
        <f t="shared" si="1000"/>
        <v>3108.6956521739135</v>
      </c>
      <c r="BD725" s="134">
        <f t="shared" si="1001"/>
        <v>2590.579710144928</v>
      </c>
      <c r="BE725" s="134">
        <f t="shared" si="1002"/>
        <v>2072.4637681159425</v>
      </c>
    </row>
    <row r="726" spans="1:57" s="129" customFormat="1" hidden="1">
      <c r="A726" s="88" t="s">
        <v>1276</v>
      </c>
      <c r="B726" s="88" t="s">
        <v>1318</v>
      </c>
      <c r="C726" s="88" t="s">
        <v>1318</v>
      </c>
      <c r="D726" s="88" t="s">
        <v>656</v>
      </c>
      <c r="E726" s="88" t="s">
        <v>684</v>
      </c>
      <c r="F726" s="89" t="s">
        <v>743</v>
      </c>
      <c r="G726" s="92" t="s">
        <v>839</v>
      </c>
      <c r="H726" s="320" t="s">
        <v>3406</v>
      </c>
      <c r="I726" s="167" t="s">
        <v>3392</v>
      </c>
      <c r="J726" s="167" t="str">
        <f>_xlfn.XLOOKUP(I726,[1]Sheet1!$A:$A,[1]Sheet1!$B:$B,"")</f>
        <v/>
      </c>
      <c r="K726" s="310" t="s">
        <v>3393</v>
      </c>
      <c r="L726" s="310" t="s">
        <v>3394</v>
      </c>
      <c r="M726" s="92" t="s">
        <v>125</v>
      </c>
      <c r="N726" s="89" t="s">
        <v>158</v>
      </c>
      <c r="O726" s="165"/>
      <c r="P726" s="89" t="s">
        <v>715</v>
      </c>
      <c r="Q726" s="92" t="s">
        <v>690</v>
      </c>
      <c r="R726" s="92">
        <v>2</v>
      </c>
      <c r="S726" s="311" t="e">
        <v>#N/A</v>
      </c>
      <c r="T726" s="311">
        <v>8544700000</v>
      </c>
      <c r="U726" s="312">
        <v>0</v>
      </c>
      <c r="V726" s="313">
        <v>30</v>
      </c>
      <c r="W726" s="311">
        <v>45</v>
      </c>
      <c r="X726" s="311">
        <v>55</v>
      </c>
      <c r="Y726" s="311" t="s">
        <v>691</v>
      </c>
      <c r="Z726" s="314">
        <f t="shared" si="997"/>
        <v>2200.2985074626868</v>
      </c>
      <c r="AA726" s="314"/>
      <c r="AB726" s="315">
        <f t="shared" si="1004"/>
        <v>2008.6956521739132</v>
      </c>
      <c r="AC726" s="315"/>
      <c r="AD726" s="316">
        <f t="shared" si="1003"/>
        <v>7.0000000000000007E-2</v>
      </c>
      <c r="AE726" s="316">
        <v>7.0000000000000007E-2</v>
      </c>
      <c r="AF726" s="316">
        <v>0.31</v>
      </c>
      <c r="AG726" s="316" t="s">
        <v>9</v>
      </c>
      <c r="AH726" s="317">
        <f t="shared" si="990"/>
        <v>2008.6956521739132</v>
      </c>
      <c r="AI726" s="316">
        <f t="shared" si="994"/>
        <v>0.31000000000000005</v>
      </c>
      <c r="AJ726" s="444"/>
      <c r="AK726" s="318">
        <f t="shared" si="998"/>
        <v>1585.1612903225807</v>
      </c>
      <c r="AL726" s="317">
        <f t="shared" si="991"/>
        <v>1490.3225806451615</v>
      </c>
      <c r="AM726" s="319">
        <f t="shared" si="1005"/>
        <v>0.27956989247311825</v>
      </c>
      <c r="AN726" s="319">
        <f t="shared" si="1006"/>
        <v>0.25806451612903225</v>
      </c>
      <c r="AO726" s="136">
        <f t="shared" si="995"/>
        <v>0.35</v>
      </c>
      <c r="AP726" s="17" t="s">
        <v>1291</v>
      </c>
      <c r="AQ726" s="141"/>
      <c r="AR726" s="141"/>
      <c r="AS726" s="141"/>
      <c r="AT726" s="141"/>
      <c r="AU726" s="141"/>
      <c r="AV726" s="141"/>
      <c r="AW726" s="225">
        <v>1260</v>
      </c>
      <c r="AX726" s="126">
        <f t="shared" si="996"/>
        <v>1386</v>
      </c>
      <c r="AY726" s="198"/>
      <c r="AZ726" s="128"/>
      <c r="BB726" s="134">
        <f t="shared" si="999"/>
        <v>6695.652173913044</v>
      </c>
      <c r="BC726" s="134">
        <f t="shared" si="1000"/>
        <v>4017.391304347826</v>
      </c>
      <c r="BD726" s="134">
        <f t="shared" si="1001"/>
        <v>3347.826086956522</v>
      </c>
      <c r="BE726" s="134">
        <f t="shared" si="1002"/>
        <v>2678.2608695652179</v>
      </c>
    </row>
    <row r="727" spans="1:57" s="129" customFormat="1" hidden="1">
      <c r="A727" s="88" t="s">
        <v>1276</v>
      </c>
      <c r="B727" s="88" t="s">
        <v>1318</v>
      </c>
      <c r="C727" s="88" t="s">
        <v>1318</v>
      </c>
      <c r="D727" s="88" t="s">
        <v>656</v>
      </c>
      <c r="E727" s="88" t="s">
        <v>684</v>
      </c>
      <c r="F727" s="89" t="s">
        <v>743</v>
      </c>
      <c r="G727" s="92" t="s">
        <v>839</v>
      </c>
      <c r="H727" s="320" t="s">
        <v>3407</v>
      </c>
      <c r="I727" s="167" t="s">
        <v>3395</v>
      </c>
      <c r="J727" s="167" t="str">
        <f>_xlfn.XLOOKUP(I727,[1]Sheet1!$A:$A,[1]Sheet1!$B:$B,"")</f>
        <v/>
      </c>
      <c r="K727" s="310" t="s">
        <v>3396</v>
      </c>
      <c r="L727" s="310" t="s">
        <v>3397</v>
      </c>
      <c r="M727" s="92" t="s">
        <v>125</v>
      </c>
      <c r="N727" s="89" t="s">
        <v>158</v>
      </c>
      <c r="O727" s="165"/>
      <c r="P727" s="89" t="s">
        <v>715</v>
      </c>
      <c r="Q727" s="92" t="s">
        <v>690</v>
      </c>
      <c r="R727" s="92">
        <v>2</v>
      </c>
      <c r="S727" s="311" t="e">
        <v>#N/A</v>
      </c>
      <c r="T727" s="311">
        <v>8544700000</v>
      </c>
      <c r="U727" s="312">
        <v>0</v>
      </c>
      <c r="V727" s="313">
        <v>30</v>
      </c>
      <c r="W727" s="311">
        <v>45</v>
      </c>
      <c r="X727" s="311">
        <v>55</v>
      </c>
      <c r="Y727" s="311" t="s">
        <v>691</v>
      </c>
      <c r="Z727" s="314">
        <f t="shared" si="997"/>
        <v>3597.313432835821</v>
      </c>
      <c r="AA727" s="314"/>
      <c r="AB727" s="315">
        <f t="shared" si="1004"/>
        <v>3284.057971014493</v>
      </c>
      <c r="AC727" s="315"/>
      <c r="AD727" s="316">
        <f t="shared" si="1003"/>
        <v>7.0000000000000007E-2</v>
      </c>
      <c r="AE727" s="316">
        <v>7.0000000000000007E-2</v>
      </c>
      <c r="AF727" s="316">
        <v>0.31</v>
      </c>
      <c r="AG727" s="316" t="s">
        <v>9</v>
      </c>
      <c r="AH727" s="317">
        <f t="shared" si="990"/>
        <v>3284.057971014493</v>
      </c>
      <c r="AI727" s="316">
        <f t="shared" si="994"/>
        <v>0.31000000000000005</v>
      </c>
      <c r="AJ727" s="444"/>
      <c r="AK727" s="318">
        <f t="shared" si="998"/>
        <v>2591.6129032258063</v>
      </c>
      <c r="AL727" s="317">
        <f t="shared" si="991"/>
        <v>2436.5591397849462</v>
      </c>
      <c r="AM727" s="319">
        <f t="shared" si="1005"/>
        <v>0.27956989247311836</v>
      </c>
      <c r="AN727" s="319">
        <f t="shared" si="1006"/>
        <v>0.25806451612903236</v>
      </c>
      <c r="AO727" s="136">
        <f t="shared" si="995"/>
        <v>0.35</v>
      </c>
      <c r="AP727" s="17" t="s">
        <v>1291</v>
      </c>
      <c r="AQ727" s="141"/>
      <c r="AR727" s="141"/>
      <c r="AS727" s="141"/>
      <c r="AT727" s="141"/>
      <c r="AU727" s="141"/>
      <c r="AV727" s="141"/>
      <c r="AW727" s="225">
        <v>2060</v>
      </c>
      <c r="AX727" s="126">
        <f t="shared" si="996"/>
        <v>2266</v>
      </c>
      <c r="AY727" s="198"/>
      <c r="AZ727" s="128"/>
      <c r="BB727" s="134">
        <f t="shared" si="999"/>
        <v>10946.859903381644</v>
      </c>
      <c r="BC727" s="134">
        <f t="shared" si="1000"/>
        <v>6568.1159420289869</v>
      </c>
      <c r="BD727" s="134">
        <f t="shared" si="1001"/>
        <v>5473.4299516908222</v>
      </c>
      <c r="BE727" s="134">
        <f t="shared" si="1002"/>
        <v>4378.7439613526576</v>
      </c>
    </row>
    <row r="728" spans="1:57" s="129" customFormat="1" hidden="1">
      <c r="A728" s="88" t="s">
        <v>1276</v>
      </c>
      <c r="B728" s="88" t="s">
        <v>1318</v>
      </c>
      <c r="C728" s="88" t="s">
        <v>1318</v>
      </c>
      <c r="D728" s="88" t="s">
        <v>656</v>
      </c>
      <c r="E728" s="88" t="s">
        <v>684</v>
      </c>
      <c r="F728" s="89" t="s">
        <v>751</v>
      </c>
      <c r="G728" s="92" t="s">
        <v>839</v>
      </c>
      <c r="H728" s="320" t="s">
        <v>3403</v>
      </c>
      <c r="I728" s="167" t="s">
        <v>898</v>
      </c>
      <c r="J728" s="167" t="str">
        <f>_xlfn.XLOOKUP(I728,[1]Sheet1!$A:$A,[1]Sheet1!$B:$B,"")</f>
        <v>U0805006</v>
      </c>
      <c r="K728" s="88" t="s">
        <v>899</v>
      </c>
      <c r="L728" s="88" t="s">
        <v>900</v>
      </c>
      <c r="M728" s="92" t="s">
        <v>2403</v>
      </c>
      <c r="N728" s="89" t="s">
        <v>158</v>
      </c>
      <c r="O728" s="165"/>
      <c r="P728" s="89" t="s">
        <v>715</v>
      </c>
      <c r="Q728" s="92" t="s">
        <v>690</v>
      </c>
      <c r="R728" s="92">
        <v>2</v>
      </c>
      <c r="S728" s="92" t="e">
        <v>#N/A</v>
      </c>
      <c r="T728" s="92">
        <v>8544700000</v>
      </c>
      <c r="U728" s="155">
        <v>0</v>
      </c>
      <c r="V728" s="207">
        <v>30</v>
      </c>
      <c r="W728" s="92">
        <v>45</v>
      </c>
      <c r="X728" s="92">
        <v>55</v>
      </c>
      <c r="Y728" s="92" t="s">
        <v>691</v>
      </c>
      <c r="Z728" s="133">
        <f t="shared" si="997"/>
        <v>1222.3880597014925</v>
      </c>
      <c r="AA728" s="133"/>
      <c r="AB728" s="124">
        <f t="shared" si="1004"/>
        <v>1115.9420289855075</v>
      </c>
      <c r="AC728" s="124"/>
      <c r="AD728" s="213">
        <f t="shared" si="1003"/>
        <v>7.0000000000000007E-2</v>
      </c>
      <c r="AE728" s="213">
        <v>7.0000000000000007E-2</v>
      </c>
      <c r="AF728" s="215">
        <v>0.31</v>
      </c>
      <c r="AG728" s="215" t="s">
        <v>9</v>
      </c>
      <c r="AH728" s="148">
        <f t="shared" si="990"/>
        <v>1115.9420289855075</v>
      </c>
      <c r="AI728" s="122">
        <f t="shared" si="994"/>
        <v>0.31000000000000005</v>
      </c>
      <c r="AJ728" s="444"/>
      <c r="AK728" s="150">
        <f t="shared" si="998"/>
        <v>880.64516129032256</v>
      </c>
      <c r="AL728" s="148">
        <f t="shared" si="991"/>
        <v>827.95698924731198</v>
      </c>
      <c r="AM728" s="125">
        <f t="shared" si="1005"/>
        <v>0.27956989247311825</v>
      </c>
      <c r="AN728" s="125">
        <f t="shared" si="1006"/>
        <v>0.25806451612903225</v>
      </c>
      <c r="AO728" s="136">
        <f t="shared" si="995"/>
        <v>0.35</v>
      </c>
      <c r="AP728" s="17" t="s">
        <v>1291</v>
      </c>
      <c r="AQ728" s="141"/>
      <c r="AR728" s="141"/>
      <c r="AS728" s="141"/>
      <c r="AT728" s="141"/>
      <c r="AU728" s="141"/>
      <c r="AV728" s="141"/>
      <c r="AW728" s="225">
        <v>700</v>
      </c>
      <c r="AX728" s="126">
        <f t="shared" si="996"/>
        <v>770.00000000000011</v>
      </c>
      <c r="AY728" s="198"/>
      <c r="AZ728" s="128"/>
      <c r="BB728" s="134">
        <f t="shared" si="999"/>
        <v>3719.8067632850252</v>
      </c>
      <c r="BC728" s="134">
        <f t="shared" si="1000"/>
        <v>2231.884057971015</v>
      </c>
      <c r="BD728" s="134">
        <f t="shared" si="1001"/>
        <v>1859.9033816425126</v>
      </c>
      <c r="BE728" s="134">
        <f t="shared" si="1002"/>
        <v>1487.9227053140103</v>
      </c>
    </row>
    <row r="729" spans="1:57" s="129" customFormat="1" hidden="1">
      <c r="A729" s="88" t="s">
        <v>1276</v>
      </c>
      <c r="B729" s="88" t="s">
        <v>1318</v>
      </c>
      <c r="C729" s="88" t="s">
        <v>1318</v>
      </c>
      <c r="D729" s="88" t="s">
        <v>656</v>
      </c>
      <c r="E729" s="88" t="s">
        <v>684</v>
      </c>
      <c r="F729" s="89" t="s">
        <v>751</v>
      </c>
      <c r="G729" s="92" t="s">
        <v>839</v>
      </c>
      <c r="H729" s="320" t="s">
        <v>3402</v>
      </c>
      <c r="I729" s="167" t="s">
        <v>4023</v>
      </c>
      <c r="J729" s="167" t="str">
        <f>_xlfn.XLOOKUP(I729,[1]Sheet1!$A:$A,[1]Sheet1!$B:$B,"")</f>
        <v>U0805003</v>
      </c>
      <c r="K729" s="88" t="s">
        <v>896</v>
      </c>
      <c r="L729" s="88" t="s">
        <v>897</v>
      </c>
      <c r="M729" s="92" t="s">
        <v>2403</v>
      </c>
      <c r="N729" s="89" t="s">
        <v>158</v>
      </c>
      <c r="O729" s="165"/>
      <c r="P729" s="89" t="s">
        <v>715</v>
      </c>
      <c r="Q729" s="92" t="s">
        <v>690</v>
      </c>
      <c r="R729" s="92">
        <v>2</v>
      </c>
      <c r="S729" s="92" t="e">
        <v>#N/A</v>
      </c>
      <c r="T729" s="92">
        <v>8544700000</v>
      </c>
      <c r="U729" s="155">
        <v>0</v>
      </c>
      <c r="V729" s="207">
        <v>30</v>
      </c>
      <c r="W729" s="92">
        <v>45</v>
      </c>
      <c r="X729" s="92">
        <v>55</v>
      </c>
      <c r="Y729" s="92" t="s">
        <v>691</v>
      </c>
      <c r="Z729" s="133">
        <f t="shared" si="997"/>
        <v>862.6567164179105</v>
      </c>
      <c r="AA729" s="133"/>
      <c r="AB729" s="124">
        <f t="shared" si="1004"/>
        <v>787.53623188405811</v>
      </c>
      <c r="AC729" s="124"/>
      <c r="AD729" s="213">
        <f t="shared" si="1003"/>
        <v>7.0000000000000007E-2</v>
      </c>
      <c r="AE729" s="213">
        <v>7.0000000000000007E-2</v>
      </c>
      <c r="AF729" s="215">
        <v>0.31</v>
      </c>
      <c r="AG729" s="215" t="s">
        <v>9</v>
      </c>
      <c r="AH729" s="148">
        <f t="shared" si="990"/>
        <v>787.53623188405811</v>
      </c>
      <c r="AI729" s="122">
        <f t="shared" si="994"/>
        <v>0.31000000000000005</v>
      </c>
      <c r="AJ729" s="444"/>
      <c r="AK729" s="150">
        <f t="shared" si="998"/>
        <v>621.48387096774195</v>
      </c>
      <c r="AL729" s="148">
        <f t="shared" si="991"/>
        <v>584.30107526881739</v>
      </c>
      <c r="AM729" s="125">
        <f t="shared" si="1005"/>
        <v>0.27956989247311825</v>
      </c>
      <c r="AN729" s="125">
        <f t="shared" si="1006"/>
        <v>0.25806451612903214</v>
      </c>
      <c r="AO729" s="136">
        <f t="shared" si="995"/>
        <v>0.35</v>
      </c>
      <c r="AP729" s="17" t="s">
        <v>1291</v>
      </c>
      <c r="AQ729" s="141"/>
      <c r="AR729" s="141"/>
      <c r="AS729" s="141"/>
      <c r="AT729" s="141"/>
      <c r="AU729" s="141"/>
      <c r="AV729" s="141"/>
      <c r="AW729" s="225">
        <v>494</v>
      </c>
      <c r="AX729" s="126">
        <f t="shared" si="996"/>
        <v>543.40000000000009</v>
      </c>
      <c r="AY729" s="198"/>
      <c r="AZ729" s="128"/>
      <c r="BB729" s="134">
        <f t="shared" si="999"/>
        <v>2625.1207729468606</v>
      </c>
      <c r="BC729" s="134">
        <f t="shared" si="1000"/>
        <v>1575.0724637681162</v>
      </c>
      <c r="BD729" s="134">
        <f t="shared" si="1001"/>
        <v>1312.5603864734303</v>
      </c>
      <c r="BE729" s="134">
        <f t="shared" si="1002"/>
        <v>1050.0483091787444</v>
      </c>
    </row>
    <row r="730" spans="1:57" s="129" customFormat="1" hidden="1">
      <c r="A730" s="88" t="s">
        <v>1276</v>
      </c>
      <c r="B730" s="88" t="s">
        <v>1318</v>
      </c>
      <c r="C730" s="88" t="s">
        <v>1318</v>
      </c>
      <c r="D730" s="88" t="s">
        <v>656</v>
      </c>
      <c r="E730" s="88" t="s">
        <v>684</v>
      </c>
      <c r="F730" s="89" t="s">
        <v>751</v>
      </c>
      <c r="G730" s="92" t="s">
        <v>839</v>
      </c>
      <c r="H730" s="320" t="s">
        <v>3401</v>
      </c>
      <c r="I730" s="167" t="s">
        <v>4019</v>
      </c>
      <c r="J730" s="167" t="str">
        <f>_xlfn.XLOOKUP(I730,[1]Sheet1!$A:$A,[1]Sheet1!$B:$B,"")</f>
        <v/>
      </c>
      <c r="K730" s="88" t="s">
        <v>1838</v>
      </c>
      <c r="L730" s="88" t="s">
        <v>1839</v>
      </c>
      <c r="M730" s="92" t="s">
        <v>2403</v>
      </c>
      <c r="N730" s="89" t="s">
        <v>158</v>
      </c>
      <c r="O730" s="165"/>
      <c r="P730" s="89" t="s">
        <v>715</v>
      </c>
      <c r="Q730" s="92" t="s">
        <v>690</v>
      </c>
      <c r="R730" s="92">
        <v>2</v>
      </c>
      <c r="S730" s="92" t="e">
        <v>#N/A</v>
      </c>
      <c r="T730" s="92">
        <v>8544700000</v>
      </c>
      <c r="U730" s="155">
        <v>0</v>
      </c>
      <c r="V730" s="207">
        <v>30</v>
      </c>
      <c r="W730" s="92">
        <v>45</v>
      </c>
      <c r="X730" s="92">
        <v>55</v>
      </c>
      <c r="Y730" s="92" t="s">
        <v>691</v>
      </c>
      <c r="Z730" s="133">
        <f t="shared" si="997"/>
        <v>660.08955223880594</v>
      </c>
      <c r="AA730" s="133"/>
      <c r="AB730" s="124">
        <f t="shared" si="1004"/>
        <v>602.60869565217399</v>
      </c>
      <c r="AC730" s="124"/>
      <c r="AD730" s="213">
        <f t="shared" si="1003"/>
        <v>7.0000000000000007E-2</v>
      </c>
      <c r="AE730" s="213">
        <v>7.0000000000000007E-2</v>
      </c>
      <c r="AF730" s="215">
        <v>0.31</v>
      </c>
      <c r="AG730" s="215" t="s">
        <v>9</v>
      </c>
      <c r="AH730" s="148">
        <f t="shared" si="990"/>
        <v>602.60869565217399</v>
      </c>
      <c r="AI730" s="122">
        <f t="shared" si="994"/>
        <v>0.31000000000000005</v>
      </c>
      <c r="AJ730" s="444"/>
      <c r="AK730" s="150">
        <f t="shared" si="998"/>
        <v>475.54838709677421</v>
      </c>
      <c r="AL730" s="148">
        <f t="shared" si="991"/>
        <v>447.09677419354841</v>
      </c>
      <c r="AM730" s="125">
        <f t="shared" si="1005"/>
        <v>0.27956989247311825</v>
      </c>
      <c r="AN730" s="125">
        <f t="shared" si="1006"/>
        <v>0.25806451612903236</v>
      </c>
      <c r="AO730" s="136">
        <f t="shared" si="995"/>
        <v>0.35</v>
      </c>
      <c r="AP730" s="17" t="s">
        <v>1291</v>
      </c>
      <c r="AQ730" s="141"/>
      <c r="AR730" s="141"/>
      <c r="AS730" s="141"/>
      <c r="AT730" s="141"/>
      <c r="AU730" s="141"/>
      <c r="AV730" s="141"/>
      <c r="AW730" s="225">
        <v>378</v>
      </c>
      <c r="AX730" s="126">
        <f t="shared" si="996"/>
        <v>415.8</v>
      </c>
      <c r="AY730" s="198"/>
      <c r="AZ730" s="128"/>
      <c r="BB730" s="134">
        <f t="shared" si="999"/>
        <v>2008.6956521739135</v>
      </c>
      <c r="BC730" s="134">
        <f t="shared" si="1000"/>
        <v>1205.217391304348</v>
      </c>
      <c r="BD730" s="134">
        <f t="shared" si="1001"/>
        <v>1004.3478260869567</v>
      </c>
      <c r="BE730" s="134">
        <f t="shared" si="1002"/>
        <v>803.47826086956547</v>
      </c>
    </row>
    <row r="731" spans="1:57" s="129" customFormat="1" hidden="1">
      <c r="A731" s="88" t="s">
        <v>1276</v>
      </c>
      <c r="B731" s="88" t="s">
        <v>1318</v>
      </c>
      <c r="C731" s="88" t="s">
        <v>1318</v>
      </c>
      <c r="D731" s="88" t="s">
        <v>656</v>
      </c>
      <c r="E731" s="88" t="s">
        <v>684</v>
      </c>
      <c r="F731" s="89" t="s">
        <v>758</v>
      </c>
      <c r="G731" s="92" t="s">
        <v>839</v>
      </c>
      <c r="H731" s="320" t="s">
        <v>3402</v>
      </c>
      <c r="I731" s="167" t="s">
        <v>901</v>
      </c>
      <c r="J731" s="167" t="str">
        <f>_xlfn.XLOOKUP(I731,[1]Sheet1!$A:$A,[1]Sheet1!$B:$B,"")</f>
        <v>U0804003</v>
      </c>
      <c r="K731" s="88" t="s">
        <v>902</v>
      </c>
      <c r="L731" s="88" t="s">
        <v>903</v>
      </c>
      <c r="M731" s="92" t="s">
        <v>2403</v>
      </c>
      <c r="N731" s="89" t="s">
        <v>158</v>
      </c>
      <c r="O731" s="165"/>
      <c r="P731" s="89" t="s">
        <v>715</v>
      </c>
      <c r="Q731" s="92" t="s">
        <v>690</v>
      </c>
      <c r="R731" s="92">
        <v>2</v>
      </c>
      <c r="S731" s="92" t="e">
        <v>#N/A</v>
      </c>
      <c r="T731" s="92">
        <v>8544700000</v>
      </c>
      <c r="U731" s="155">
        <v>0</v>
      </c>
      <c r="V731" s="207">
        <v>30</v>
      </c>
      <c r="W731" s="92">
        <v>45</v>
      </c>
      <c r="X731" s="92">
        <v>55</v>
      </c>
      <c r="Y731" s="92" t="s">
        <v>691</v>
      </c>
      <c r="Z731" s="133">
        <f t="shared" si="997"/>
        <v>1005.8507462686567</v>
      </c>
      <c r="AA731" s="133"/>
      <c r="AB731" s="124">
        <f t="shared" si="1004"/>
        <v>918.26086956521749</v>
      </c>
      <c r="AC731" s="124"/>
      <c r="AD731" s="213">
        <f t="shared" si="1003"/>
        <v>7.0000000000000007E-2</v>
      </c>
      <c r="AE731" s="213">
        <v>7.0000000000000007E-2</v>
      </c>
      <c r="AF731" s="215">
        <v>0.31</v>
      </c>
      <c r="AG731" s="215" t="s">
        <v>9</v>
      </c>
      <c r="AH731" s="148">
        <f t="shared" si="990"/>
        <v>918.26086956521749</v>
      </c>
      <c r="AI731" s="122">
        <f t="shared" si="994"/>
        <v>0.31000000000000005</v>
      </c>
      <c r="AJ731" s="444"/>
      <c r="AK731" s="150">
        <f t="shared" si="998"/>
        <v>724.64516129032256</v>
      </c>
      <c r="AL731" s="148">
        <f t="shared" si="991"/>
        <v>681.29032258064524</v>
      </c>
      <c r="AM731" s="125">
        <f t="shared" si="1005"/>
        <v>0.27956989247311836</v>
      </c>
      <c r="AN731" s="125">
        <f t="shared" si="1006"/>
        <v>0.25806451612903225</v>
      </c>
      <c r="AO731" s="136">
        <f t="shared" si="995"/>
        <v>0.35</v>
      </c>
      <c r="AP731" s="17" t="s">
        <v>1291</v>
      </c>
      <c r="AQ731" s="141"/>
      <c r="AR731" s="141"/>
      <c r="AS731" s="141"/>
      <c r="AT731" s="141"/>
      <c r="AU731" s="141"/>
      <c r="AV731" s="141"/>
      <c r="AW731" s="225">
        <v>576</v>
      </c>
      <c r="AX731" s="126">
        <f t="shared" si="996"/>
        <v>633.6</v>
      </c>
      <c r="AY731" s="198"/>
      <c r="AZ731" s="128"/>
      <c r="BB731" s="134">
        <f t="shared" si="999"/>
        <v>3060.8695652173919</v>
      </c>
      <c r="BC731" s="134">
        <f t="shared" si="1000"/>
        <v>1836.5217391304352</v>
      </c>
      <c r="BD731" s="134">
        <f t="shared" si="1001"/>
        <v>1530.434782608696</v>
      </c>
      <c r="BE731" s="134">
        <f t="shared" si="1002"/>
        <v>1224.3478260869567</v>
      </c>
    </row>
    <row r="732" spans="1:57" s="129" customFormat="1" hidden="1">
      <c r="A732" s="88" t="s">
        <v>1276</v>
      </c>
      <c r="B732" s="88" t="s">
        <v>1318</v>
      </c>
      <c r="C732" s="88" t="s">
        <v>1318</v>
      </c>
      <c r="D732" s="88" t="s">
        <v>656</v>
      </c>
      <c r="E732" s="88" t="s">
        <v>684</v>
      </c>
      <c r="F732" s="89" t="s">
        <v>758</v>
      </c>
      <c r="G732" s="92" t="s">
        <v>839</v>
      </c>
      <c r="H732" s="320" t="s">
        <v>3403</v>
      </c>
      <c r="I732" s="167" t="s">
        <v>904</v>
      </c>
      <c r="J732" s="167" t="str">
        <f>_xlfn.XLOOKUP(I732,[1]Sheet1!$A:$A,[1]Sheet1!$B:$B,"")</f>
        <v>U0804006</v>
      </c>
      <c r="K732" s="88" t="s">
        <v>905</v>
      </c>
      <c r="L732" s="88" t="s">
        <v>906</v>
      </c>
      <c r="M732" s="92" t="s">
        <v>2403</v>
      </c>
      <c r="N732" s="89" t="s">
        <v>158</v>
      </c>
      <c r="O732" s="165"/>
      <c r="P732" s="89" t="s">
        <v>715</v>
      </c>
      <c r="Q732" s="92" t="s">
        <v>690</v>
      </c>
      <c r="R732" s="92">
        <v>2</v>
      </c>
      <c r="S732" s="92" t="e">
        <v>#N/A</v>
      </c>
      <c r="T732" s="92">
        <v>8544700000</v>
      </c>
      <c r="U732" s="155">
        <v>0</v>
      </c>
      <c r="V732" s="207">
        <v>30</v>
      </c>
      <c r="W732" s="92">
        <v>45</v>
      </c>
      <c r="X732" s="92">
        <v>55</v>
      </c>
      <c r="Y732" s="92" t="s">
        <v>691</v>
      </c>
      <c r="Z732" s="133">
        <f t="shared" si="997"/>
        <v>1421.4626865671644</v>
      </c>
      <c r="AA732" s="133"/>
      <c r="AB732" s="124">
        <f t="shared" si="1004"/>
        <v>1297.68115942029</v>
      </c>
      <c r="AC732" s="124"/>
      <c r="AD732" s="213">
        <f t="shared" si="1003"/>
        <v>7.0000000000000007E-2</v>
      </c>
      <c r="AE732" s="213">
        <v>7.0000000000000007E-2</v>
      </c>
      <c r="AF732" s="215">
        <v>0.31</v>
      </c>
      <c r="AG732" s="215" t="s">
        <v>9</v>
      </c>
      <c r="AH732" s="148">
        <f t="shared" si="990"/>
        <v>1297.68115942029</v>
      </c>
      <c r="AI732" s="122">
        <f t="shared" si="994"/>
        <v>0.31000000000000005</v>
      </c>
      <c r="AJ732" s="444"/>
      <c r="AK732" s="150">
        <f t="shared" si="998"/>
        <v>1024.0645161290322</v>
      </c>
      <c r="AL732" s="148">
        <f t="shared" si="991"/>
        <v>962.79569892473137</v>
      </c>
      <c r="AM732" s="125">
        <f t="shared" si="1005"/>
        <v>0.27956989247311848</v>
      </c>
      <c r="AN732" s="125">
        <f t="shared" si="1006"/>
        <v>0.25806451612903214</v>
      </c>
      <c r="AO732" s="136">
        <f t="shared" si="995"/>
        <v>0.35</v>
      </c>
      <c r="AP732" s="17" t="s">
        <v>1291</v>
      </c>
      <c r="AQ732" s="141"/>
      <c r="AR732" s="141"/>
      <c r="AS732" s="141"/>
      <c r="AT732" s="141"/>
      <c r="AU732" s="141"/>
      <c r="AV732" s="141"/>
      <c r="AW732" s="225">
        <v>814</v>
      </c>
      <c r="AX732" s="126">
        <f t="shared" si="996"/>
        <v>895.40000000000009</v>
      </c>
      <c r="AY732" s="198"/>
      <c r="AZ732" s="128"/>
      <c r="BB732" s="134">
        <f t="shared" si="999"/>
        <v>4325.6038647343003</v>
      </c>
      <c r="BC732" s="134">
        <f t="shared" si="1000"/>
        <v>2595.36231884058</v>
      </c>
      <c r="BD732" s="134">
        <f t="shared" si="1001"/>
        <v>2162.8019323671501</v>
      </c>
      <c r="BE732" s="134">
        <f t="shared" si="1002"/>
        <v>1730.2415458937203</v>
      </c>
    </row>
    <row r="733" spans="1:57" s="129" customFormat="1" hidden="1">
      <c r="A733" s="88" t="s">
        <v>1276</v>
      </c>
      <c r="B733" s="88" t="s">
        <v>1318</v>
      </c>
      <c r="C733" s="88" t="s">
        <v>1318</v>
      </c>
      <c r="D733" s="88" t="s">
        <v>656</v>
      </c>
      <c r="E733" s="88" t="s">
        <v>684</v>
      </c>
      <c r="F733" s="89" t="s">
        <v>2327</v>
      </c>
      <c r="G733" s="92" t="s">
        <v>839</v>
      </c>
      <c r="H733" s="320" t="s">
        <v>3402</v>
      </c>
      <c r="I733" s="167" t="s">
        <v>4020</v>
      </c>
      <c r="J733" s="167" t="str">
        <f>_xlfn.XLOOKUP(I733,[1]Sheet1!$A:$A,[1]Sheet1!$B:$B,"")</f>
        <v/>
      </c>
      <c r="K733" s="88" t="s">
        <v>4021</v>
      </c>
      <c r="L733" s="88" t="s">
        <v>4022</v>
      </c>
      <c r="M733" s="92" t="s">
        <v>1277</v>
      </c>
      <c r="N733" s="89" t="s">
        <v>1223</v>
      </c>
      <c r="O733" s="165"/>
      <c r="P733" s="89" t="s">
        <v>715</v>
      </c>
      <c r="Q733" s="92" t="s">
        <v>690</v>
      </c>
      <c r="R733" s="92">
        <v>2</v>
      </c>
      <c r="S733" s="92" t="e">
        <v>#N/A</v>
      </c>
      <c r="T733" s="92">
        <v>8544700000</v>
      </c>
      <c r="U733" s="324">
        <v>0</v>
      </c>
      <c r="V733" s="207">
        <v>30</v>
      </c>
      <c r="W733" s="92">
        <v>45</v>
      </c>
      <c r="X733" s="92">
        <v>55</v>
      </c>
      <c r="Y733" s="92" t="s">
        <v>691</v>
      </c>
      <c r="Z733" s="133">
        <f>(AW733/(1-(AF733+2%)))*$F$6</f>
        <v>1204.9253731343285</v>
      </c>
      <c r="AA733" s="133"/>
      <c r="AB733" s="124">
        <f>AX733/(1-AF733)</f>
        <v>1100.0000000000002</v>
      </c>
      <c r="AC733" s="124"/>
      <c r="AD733" s="213">
        <f>AE733</f>
        <v>7.0000000000000007E-2</v>
      </c>
      <c r="AE733" s="213">
        <v>7.0000000000000007E-2</v>
      </c>
      <c r="AF733" s="215">
        <v>0.31</v>
      </c>
      <c r="AG733" s="215" t="s">
        <v>9</v>
      </c>
      <c r="AH733" s="148">
        <f>AB733</f>
        <v>1100.0000000000002</v>
      </c>
      <c r="AI733" s="122">
        <f>1-(AX733/AH733)</f>
        <v>0.31000000000000005</v>
      </c>
      <c r="AJ733" s="444"/>
      <c r="AK733" s="150">
        <f>(AW733/(1-AD733))*$F$6</f>
        <v>868.06451612903231</v>
      </c>
      <c r="AL733" s="148">
        <f>AX733/(1-AE733)</f>
        <v>816.12903225806474</v>
      </c>
      <c r="AM733" s="325">
        <f>1-(AK733/Z733)</f>
        <v>0.27956989247311836</v>
      </c>
      <c r="AN733" s="325">
        <f>1-(AL733/AB733)</f>
        <v>0.25806451612903225</v>
      </c>
      <c r="AO733" s="136">
        <f>AF733+4%</f>
        <v>0.35</v>
      </c>
      <c r="AP733" s="17" t="s">
        <v>1291</v>
      </c>
      <c r="AQ733" s="141"/>
      <c r="AR733" s="141"/>
      <c r="AS733" s="141"/>
      <c r="AT733" s="141"/>
      <c r="AU733" s="141"/>
      <c r="AV733" s="141"/>
      <c r="AW733" s="225">
        <v>690</v>
      </c>
      <c r="AX733" s="126">
        <f>AW733*1.1</f>
        <v>759.00000000000011</v>
      </c>
      <c r="AY733" s="198"/>
      <c r="AZ733" s="128"/>
      <c r="BB733" s="134">
        <f>AB733/0.3</f>
        <v>3666.6666666666674</v>
      </c>
      <c r="BC733" s="134">
        <f>BB733*0.6</f>
        <v>2200.0000000000005</v>
      </c>
      <c r="BD733" s="134">
        <f>BB733*0.5</f>
        <v>1833.3333333333337</v>
      </c>
      <c r="BE733" s="134">
        <f>BB733*0.4</f>
        <v>1466.666666666667</v>
      </c>
    </row>
    <row r="734" spans="1:57" s="129" customFormat="1" hidden="1">
      <c r="A734" s="88" t="s">
        <v>1276</v>
      </c>
      <c r="B734" s="88" t="s">
        <v>1318</v>
      </c>
      <c r="C734" s="88" t="s">
        <v>1318</v>
      </c>
      <c r="D734" s="88" t="s">
        <v>656</v>
      </c>
      <c r="E734" s="88" t="s">
        <v>684</v>
      </c>
      <c r="F734" s="89" t="s">
        <v>2327</v>
      </c>
      <c r="G734" s="92" t="s">
        <v>839</v>
      </c>
      <c r="H734" s="320" t="s">
        <v>3400</v>
      </c>
      <c r="I734" s="167" t="s">
        <v>2372</v>
      </c>
      <c r="J734" s="167" t="str">
        <f>_xlfn.XLOOKUP(I734,[1]Sheet1!$A:$A,[1]Sheet1!$B:$B,"")</f>
        <v/>
      </c>
      <c r="K734" s="88" t="s">
        <v>2378</v>
      </c>
      <c r="L734" s="88" t="s">
        <v>2383</v>
      </c>
      <c r="M734" s="92" t="s">
        <v>1584</v>
      </c>
      <c r="N734" s="89" t="s">
        <v>1223</v>
      </c>
      <c r="O734" s="165"/>
      <c r="P734" s="89" t="s">
        <v>715</v>
      </c>
      <c r="Q734" s="92" t="s">
        <v>690</v>
      </c>
      <c r="R734" s="92">
        <v>2</v>
      </c>
      <c r="S734" s="92" t="e">
        <v>#N/A</v>
      </c>
      <c r="T734" s="92">
        <v>8544700000</v>
      </c>
      <c r="U734" s="155">
        <v>0</v>
      </c>
      <c r="V734" s="207">
        <v>30</v>
      </c>
      <c r="W734" s="92">
        <v>45</v>
      </c>
      <c r="X734" s="92">
        <v>55</v>
      </c>
      <c r="Y734" s="92" t="s">
        <v>691</v>
      </c>
      <c r="Z734" s="133">
        <f t="shared" si="997"/>
        <v>1122.8507462686568</v>
      </c>
      <c r="AA734" s="133"/>
      <c r="AB734" s="124">
        <f t="shared" si="1004"/>
        <v>1025.0724637681162</v>
      </c>
      <c r="AC734" s="124"/>
      <c r="AD734" s="213">
        <f t="shared" si="1003"/>
        <v>7.0000000000000007E-2</v>
      </c>
      <c r="AE734" s="213">
        <v>7.0000000000000007E-2</v>
      </c>
      <c r="AF734" s="215">
        <v>0.31</v>
      </c>
      <c r="AG734" s="215" t="s">
        <v>9</v>
      </c>
      <c r="AH734" s="148">
        <f t="shared" si="990"/>
        <v>1025.0724637681162</v>
      </c>
      <c r="AI734" s="122">
        <f t="shared" si="994"/>
        <v>0.31000000000000016</v>
      </c>
      <c r="AJ734" s="444"/>
      <c r="AK734" s="150">
        <f t="shared" si="998"/>
        <v>808.9354838709678</v>
      </c>
      <c r="AL734" s="148">
        <f t="shared" si="991"/>
        <v>760.53763440860223</v>
      </c>
      <c r="AM734" s="125">
        <f t="shared" si="1005"/>
        <v>0.27956989247311836</v>
      </c>
      <c r="AN734" s="125">
        <f t="shared" si="1006"/>
        <v>0.25806451612903236</v>
      </c>
      <c r="AO734" s="136">
        <f t="shared" si="995"/>
        <v>0.35</v>
      </c>
      <c r="AP734" s="17" t="s">
        <v>1291</v>
      </c>
      <c r="AQ734" s="141"/>
      <c r="AR734" s="141"/>
      <c r="AS734" s="141"/>
      <c r="AT734" s="141"/>
      <c r="AU734" s="141"/>
      <c r="AV734" s="141"/>
      <c r="AW734" s="225">
        <v>643</v>
      </c>
      <c r="AX734" s="126">
        <f t="shared" si="996"/>
        <v>707.30000000000007</v>
      </c>
      <c r="AY734" s="198"/>
      <c r="AZ734" s="128"/>
      <c r="BB734" s="134">
        <f t="shared" si="999"/>
        <v>3416.9082125603877</v>
      </c>
      <c r="BC734" s="134">
        <f t="shared" si="1000"/>
        <v>2050.1449275362324</v>
      </c>
      <c r="BD734" s="134">
        <f t="shared" si="1001"/>
        <v>1708.4541062801939</v>
      </c>
      <c r="BE734" s="134">
        <f t="shared" si="1002"/>
        <v>1366.7632850241553</v>
      </c>
    </row>
    <row r="735" spans="1:57" s="129" customFormat="1" hidden="1">
      <c r="A735" s="88" t="s">
        <v>1276</v>
      </c>
      <c r="B735" s="88" t="s">
        <v>1318</v>
      </c>
      <c r="C735" s="88" t="s">
        <v>1318</v>
      </c>
      <c r="D735" s="88" t="s">
        <v>656</v>
      </c>
      <c r="E735" s="88" t="s">
        <v>684</v>
      </c>
      <c r="F735" s="89" t="s">
        <v>2327</v>
      </c>
      <c r="G735" s="92" t="s">
        <v>839</v>
      </c>
      <c r="H735" s="320" t="s">
        <v>3401</v>
      </c>
      <c r="I735" s="167" t="s">
        <v>2373</v>
      </c>
      <c r="J735" s="167" t="str">
        <f>_xlfn.XLOOKUP(I735,[1]Sheet1!$A:$A,[1]Sheet1!$B:$B,"")</f>
        <v/>
      </c>
      <c r="K735" s="88" t="s">
        <v>2379</v>
      </c>
      <c r="L735" s="88" t="s">
        <v>2384</v>
      </c>
      <c r="M735" s="92" t="s">
        <v>1584</v>
      </c>
      <c r="N735" s="89" t="s">
        <v>1223</v>
      </c>
      <c r="O735" s="165"/>
      <c r="P735" s="89" t="s">
        <v>715</v>
      </c>
      <c r="Q735" s="92" t="s">
        <v>690</v>
      </c>
      <c r="R735" s="92">
        <v>2</v>
      </c>
      <c r="S735" s="92" t="e">
        <v>#N/A</v>
      </c>
      <c r="T735" s="92">
        <v>8544700000</v>
      </c>
      <c r="U735" s="155">
        <v>0</v>
      </c>
      <c r="V735" s="207">
        <v>30</v>
      </c>
      <c r="W735" s="92">
        <v>45</v>
      </c>
      <c r="X735" s="92">
        <v>55</v>
      </c>
      <c r="Y735" s="92" t="s">
        <v>691</v>
      </c>
      <c r="Z735" s="133">
        <f t="shared" si="997"/>
        <v>1197.9402985074628</v>
      </c>
      <c r="AA735" s="133"/>
      <c r="AB735" s="124">
        <f t="shared" si="1004"/>
        <v>1093.6231884057972</v>
      </c>
      <c r="AC735" s="124"/>
      <c r="AD735" s="213">
        <f t="shared" si="1003"/>
        <v>7.0000000000000007E-2</v>
      </c>
      <c r="AE735" s="213">
        <v>7.0000000000000007E-2</v>
      </c>
      <c r="AF735" s="215">
        <v>0.31</v>
      </c>
      <c r="AG735" s="215" t="s">
        <v>9</v>
      </c>
      <c r="AH735" s="148">
        <f t="shared" si="990"/>
        <v>1093.6231884057972</v>
      </c>
      <c r="AI735" s="122">
        <f t="shared" si="994"/>
        <v>0.31000000000000005</v>
      </c>
      <c r="AJ735" s="444"/>
      <c r="AK735" s="150">
        <f t="shared" si="998"/>
        <v>863.03225806451621</v>
      </c>
      <c r="AL735" s="148">
        <f t="shared" si="991"/>
        <v>811.39784946236568</v>
      </c>
      <c r="AM735" s="125">
        <f t="shared" si="1005"/>
        <v>0.27956989247311825</v>
      </c>
      <c r="AN735" s="125">
        <f t="shared" si="1006"/>
        <v>0.25806451612903225</v>
      </c>
      <c r="AO735" s="136">
        <f t="shared" si="995"/>
        <v>0.35</v>
      </c>
      <c r="AP735" s="17" t="s">
        <v>1291</v>
      </c>
      <c r="AQ735" s="141"/>
      <c r="AR735" s="141"/>
      <c r="AS735" s="141"/>
      <c r="AT735" s="141"/>
      <c r="AU735" s="141"/>
      <c r="AV735" s="141"/>
      <c r="AW735" s="225">
        <v>686</v>
      </c>
      <c r="AX735" s="126">
        <f t="shared" si="996"/>
        <v>754.6</v>
      </c>
      <c r="AY735" s="198"/>
      <c r="AZ735" s="128"/>
      <c r="BB735" s="134">
        <f t="shared" si="999"/>
        <v>3645.4106280193241</v>
      </c>
      <c r="BC735" s="134">
        <f t="shared" si="1000"/>
        <v>2187.2463768115945</v>
      </c>
      <c r="BD735" s="134">
        <f t="shared" si="1001"/>
        <v>1822.7053140096621</v>
      </c>
      <c r="BE735" s="134">
        <f t="shared" si="1002"/>
        <v>1458.1642512077296</v>
      </c>
    </row>
    <row r="736" spans="1:57" s="129" customFormat="1" hidden="1">
      <c r="A736" s="88" t="s">
        <v>1276</v>
      </c>
      <c r="B736" s="88" t="s">
        <v>1318</v>
      </c>
      <c r="C736" s="88" t="s">
        <v>1318</v>
      </c>
      <c r="D736" s="88" t="s">
        <v>656</v>
      </c>
      <c r="E736" s="88" t="s">
        <v>684</v>
      </c>
      <c r="F736" s="89" t="s">
        <v>2327</v>
      </c>
      <c r="G736" s="92" t="s">
        <v>839</v>
      </c>
      <c r="H736" s="320" t="s">
        <v>3402</v>
      </c>
      <c r="I736" s="167" t="s">
        <v>2374</v>
      </c>
      <c r="J736" s="167" t="str">
        <f>_xlfn.XLOOKUP(I736,[1]Sheet1!$A:$A,[1]Sheet1!$B:$B,"")</f>
        <v/>
      </c>
      <c r="K736" s="88" t="s">
        <v>2380</v>
      </c>
      <c r="L736" s="88" t="s">
        <v>2385</v>
      </c>
      <c r="M736" s="92" t="s">
        <v>1584</v>
      </c>
      <c r="N736" s="89" t="s">
        <v>1223</v>
      </c>
      <c r="O736" s="165"/>
      <c r="P736" s="89" t="s">
        <v>715</v>
      </c>
      <c r="Q736" s="92" t="s">
        <v>690</v>
      </c>
      <c r="R736" s="92">
        <v>2</v>
      </c>
      <c r="S736" s="92" t="e">
        <v>#N/A</v>
      </c>
      <c r="T736" s="92">
        <v>8544700000</v>
      </c>
      <c r="U736" s="155">
        <v>0</v>
      </c>
      <c r="V736" s="207">
        <v>30</v>
      </c>
      <c r="W736" s="92">
        <v>45</v>
      </c>
      <c r="X736" s="92">
        <v>55</v>
      </c>
      <c r="Y736" s="92" t="s">
        <v>691</v>
      </c>
      <c r="Z736" s="133">
        <f t="shared" si="997"/>
        <v>1384.7910447761196</v>
      </c>
      <c r="AA736" s="133"/>
      <c r="AB736" s="124">
        <f t="shared" si="1004"/>
        <v>1264.2028985507247</v>
      </c>
      <c r="AC736" s="124"/>
      <c r="AD736" s="213">
        <f t="shared" si="1003"/>
        <v>7.0000000000000007E-2</v>
      </c>
      <c r="AE736" s="213">
        <v>7.0000000000000007E-2</v>
      </c>
      <c r="AF736" s="215">
        <v>0.31</v>
      </c>
      <c r="AG736" s="215" t="s">
        <v>9</v>
      </c>
      <c r="AH736" s="148">
        <f t="shared" si="990"/>
        <v>1264.2028985507247</v>
      </c>
      <c r="AI736" s="122">
        <f t="shared" si="994"/>
        <v>0.31000000000000005</v>
      </c>
      <c r="AJ736" s="444"/>
      <c r="AK736" s="150">
        <f t="shared" si="998"/>
        <v>997.64516129032256</v>
      </c>
      <c r="AL736" s="148">
        <f t="shared" si="991"/>
        <v>937.95698924731198</v>
      </c>
      <c r="AM736" s="125">
        <f t="shared" si="1005"/>
        <v>0.27956989247311836</v>
      </c>
      <c r="AN736" s="125">
        <f t="shared" si="1006"/>
        <v>0.25806451612903225</v>
      </c>
      <c r="AO736" s="136">
        <f t="shared" si="995"/>
        <v>0.35</v>
      </c>
      <c r="AP736" s="17" t="s">
        <v>1291</v>
      </c>
      <c r="AQ736" s="141"/>
      <c r="AR736" s="141"/>
      <c r="AS736" s="141"/>
      <c r="AT736" s="141"/>
      <c r="AU736" s="141"/>
      <c r="AV736" s="141"/>
      <c r="AW736" s="225">
        <v>793</v>
      </c>
      <c r="AX736" s="126">
        <f t="shared" si="996"/>
        <v>872.30000000000007</v>
      </c>
      <c r="AY736" s="198"/>
      <c r="AZ736" s="128"/>
      <c r="BB736" s="134">
        <f t="shared" si="999"/>
        <v>4214.0096618357493</v>
      </c>
      <c r="BC736" s="134">
        <f t="shared" si="1000"/>
        <v>2528.4057971014495</v>
      </c>
      <c r="BD736" s="134">
        <f t="shared" si="1001"/>
        <v>2107.0048309178746</v>
      </c>
      <c r="BE736" s="134">
        <f t="shared" si="1002"/>
        <v>1685.6038647342998</v>
      </c>
    </row>
    <row r="737" spans="1:57" s="129" customFormat="1" hidden="1">
      <c r="A737" s="88" t="s">
        <v>1276</v>
      </c>
      <c r="B737" s="88" t="s">
        <v>1318</v>
      </c>
      <c r="C737" s="88" t="s">
        <v>1318</v>
      </c>
      <c r="D737" s="88" t="s">
        <v>656</v>
      </c>
      <c r="E737" s="88" t="s">
        <v>684</v>
      </c>
      <c r="F737" s="89" t="s">
        <v>2327</v>
      </c>
      <c r="G737" s="92" t="s">
        <v>839</v>
      </c>
      <c r="H737" s="320" t="s">
        <v>3406</v>
      </c>
      <c r="I737" s="167" t="s">
        <v>2375</v>
      </c>
      <c r="J737" s="167" t="str">
        <f>_xlfn.XLOOKUP(I737,[1]Sheet1!$A:$A,[1]Sheet1!$B:$B,"")</f>
        <v/>
      </c>
      <c r="K737" s="88" t="s">
        <v>2381</v>
      </c>
      <c r="L737" s="88" t="s">
        <v>2389</v>
      </c>
      <c r="M737" s="92" t="s">
        <v>1584</v>
      </c>
      <c r="N737" s="89" t="s">
        <v>1223</v>
      </c>
      <c r="O737" s="165"/>
      <c r="P737" s="89" t="s">
        <v>715</v>
      </c>
      <c r="Q737" s="92" t="s">
        <v>690</v>
      </c>
      <c r="R737" s="92">
        <v>2</v>
      </c>
      <c r="S737" s="92" t="e">
        <v>#N/A</v>
      </c>
      <c r="T737" s="92">
        <v>8544700000</v>
      </c>
      <c r="U737" s="155">
        <v>0</v>
      </c>
      <c r="V737" s="207">
        <v>30</v>
      </c>
      <c r="W737" s="92">
        <v>45</v>
      </c>
      <c r="X737" s="92">
        <v>55</v>
      </c>
      <c r="Y737" s="92" t="s">
        <v>691</v>
      </c>
      <c r="Z737" s="133">
        <f t="shared" si="997"/>
        <v>2348.7313432835822</v>
      </c>
      <c r="AA737" s="133"/>
      <c r="AB737" s="124">
        <f t="shared" si="1004"/>
        <v>2144.202898550725</v>
      </c>
      <c r="AC737" s="124"/>
      <c r="AD737" s="213">
        <f t="shared" si="1003"/>
        <v>7.0000000000000007E-2</v>
      </c>
      <c r="AE737" s="213">
        <v>7.0000000000000007E-2</v>
      </c>
      <c r="AF737" s="215">
        <v>0.31</v>
      </c>
      <c r="AG737" s="215" t="s">
        <v>9</v>
      </c>
      <c r="AH737" s="148">
        <f t="shared" si="990"/>
        <v>2144.202898550725</v>
      </c>
      <c r="AI737" s="122">
        <f t="shared" si="994"/>
        <v>0.31000000000000005</v>
      </c>
      <c r="AJ737" s="444"/>
      <c r="AK737" s="150">
        <f t="shared" si="998"/>
        <v>1692.0967741935483</v>
      </c>
      <c r="AL737" s="148">
        <f t="shared" si="991"/>
        <v>1590.8602150537638</v>
      </c>
      <c r="AM737" s="125">
        <f t="shared" si="1005"/>
        <v>0.27956989247311836</v>
      </c>
      <c r="AN737" s="125">
        <f t="shared" si="1006"/>
        <v>0.25806451612903225</v>
      </c>
      <c r="AO737" s="136">
        <f t="shared" si="995"/>
        <v>0.35</v>
      </c>
      <c r="AP737" s="17" t="s">
        <v>1291</v>
      </c>
      <c r="AQ737" s="141"/>
      <c r="AR737" s="141"/>
      <c r="AS737" s="141"/>
      <c r="AT737" s="141"/>
      <c r="AU737" s="141"/>
      <c r="AV737" s="141"/>
      <c r="AW737" s="225">
        <v>1345</v>
      </c>
      <c r="AX737" s="126">
        <f t="shared" si="996"/>
        <v>1479.5000000000002</v>
      </c>
      <c r="AY737" s="198"/>
      <c r="AZ737" s="128"/>
      <c r="BB737" s="134">
        <f t="shared" si="999"/>
        <v>7147.3429951690832</v>
      </c>
      <c r="BC737" s="134">
        <f t="shared" si="1000"/>
        <v>4288.4057971014499</v>
      </c>
      <c r="BD737" s="134">
        <f t="shared" si="1001"/>
        <v>3573.6714975845416</v>
      </c>
      <c r="BE737" s="134">
        <f t="shared" si="1002"/>
        <v>2858.9371980676333</v>
      </c>
    </row>
    <row r="738" spans="1:57" s="129" customFormat="1" hidden="1">
      <c r="A738" s="88" t="s">
        <v>1276</v>
      </c>
      <c r="B738" s="88" t="s">
        <v>1318</v>
      </c>
      <c r="C738" s="88" t="s">
        <v>1318</v>
      </c>
      <c r="D738" s="88" t="s">
        <v>656</v>
      </c>
      <c r="E738" s="88" t="s">
        <v>684</v>
      </c>
      <c r="F738" s="89" t="s">
        <v>2327</v>
      </c>
      <c r="G738" s="92" t="s">
        <v>839</v>
      </c>
      <c r="H738" s="320" t="s">
        <v>3407</v>
      </c>
      <c r="I738" s="167" t="s">
        <v>2376</v>
      </c>
      <c r="J738" s="167" t="str">
        <f>_xlfn.XLOOKUP(I738,[1]Sheet1!$A:$A,[1]Sheet1!$B:$B,"")</f>
        <v/>
      </c>
      <c r="K738" s="88" t="s">
        <v>2382</v>
      </c>
      <c r="L738" s="88" t="s">
        <v>2390</v>
      </c>
      <c r="M738" s="92" t="s">
        <v>1584</v>
      </c>
      <c r="N738" s="89" t="s">
        <v>1223</v>
      </c>
      <c r="O738" s="165"/>
      <c r="P738" s="89" t="s">
        <v>715</v>
      </c>
      <c r="Q738" s="92" t="s">
        <v>690</v>
      </c>
      <c r="R738" s="92">
        <v>2</v>
      </c>
      <c r="S738" s="92" t="e">
        <v>#N/A</v>
      </c>
      <c r="T738" s="92">
        <v>8544700000</v>
      </c>
      <c r="U738" s="155">
        <v>0</v>
      </c>
      <c r="V738" s="207">
        <v>30</v>
      </c>
      <c r="W738" s="92">
        <v>45</v>
      </c>
      <c r="X738" s="92">
        <v>55</v>
      </c>
      <c r="Y738" s="92" t="s">
        <v>691</v>
      </c>
      <c r="Z738" s="133">
        <f t="shared" si="997"/>
        <v>3686.3731343283584</v>
      </c>
      <c r="AA738" s="133"/>
      <c r="AB738" s="124">
        <f t="shared" si="1004"/>
        <v>3365.3623188405804</v>
      </c>
      <c r="AC738" s="124"/>
      <c r="AD738" s="213">
        <f t="shared" si="1003"/>
        <v>7.0000000000000007E-2</v>
      </c>
      <c r="AE738" s="213">
        <v>7.0000000000000007E-2</v>
      </c>
      <c r="AF738" s="215">
        <v>0.31</v>
      </c>
      <c r="AG738" s="215" t="s">
        <v>9</v>
      </c>
      <c r="AH738" s="148">
        <f t="shared" si="990"/>
        <v>3365.3623188405804</v>
      </c>
      <c r="AI738" s="122">
        <f t="shared" si="994"/>
        <v>0.31000000000000005</v>
      </c>
      <c r="AJ738" s="444"/>
      <c r="AK738" s="150">
        <f t="shared" si="998"/>
        <v>2655.7741935483868</v>
      </c>
      <c r="AL738" s="148">
        <f t="shared" si="991"/>
        <v>2496.8817204301081</v>
      </c>
      <c r="AM738" s="125">
        <f t="shared" si="1005"/>
        <v>0.27956989247311836</v>
      </c>
      <c r="AN738" s="125">
        <f t="shared" si="1006"/>
        <v>0.25806451612903225</v>
      </c>
      <c r="AO738" s="136">
        <f t="shared" si="995"/>
        <v>0.35</v>
      </c>
      <c r="AP738" s="17" t="s">
        <v>1291</v>
      </c>
      <c r="AQ738" s="141"/>
      <c r="AR738" s="141"/>
      <c r="AS738" s="141"/>
      <c r="AT738" s="141"/>
      <c r="AU738" s="141"/>
      <c r="AV738" s="141"/>
      <c r="AW738" s="225">
        <v>2111</v>
      </c>
      <c r="AX738" s="126">
        <f t="shared" si="996"/>
        <v>2322.1000000000004</v>
      </c>
      <c r="AY738" s="198"/>
      <c r="AZ738" s="128"/>
      <c r="BB738" s="134">
        <f t="shared" si="999"/>
        <v>11217.874396135268</v>
      </c>
      <c r="BC738" s="134">
        <f t="shared" si="1000"/>
        <v>6730.7246376811609</v>
      </c>
      <c r="BD738" s="134">
        <f t="shared" si="1001"/>
        <v>5608.9371980676342</v>
      </c>
      <c r="BE738" s="134">
        <f t="shared" si="1002"/>
        <v>4487.1497584541075</v>
      </c>
    </row>
    <row r="739" spans="1:57" s="129" customFormat="1" hidden="1">
      <c r="A739" s="88" t="s">
        <v>1276</v>
      </c>
      <c r="B739" s="88" t="s">
        <v>1318</v>
      </c>
      <c r="C739" s="88" t="s">
        <v>1318</v>
      </c>
      <c r="D739" s="88" t="s">
        <v>656</v>
      </c>
      <c r="E739" s="88" t="s">
        <v>684</v>
      </c>
      <c r="F739" s="89" t="s">
        <v>1670</v>
      </c>
      <c r="G739" s="92" t="s">
        <v>839</v>
      </c>
      <c r="H739" s="320" t="s">
        <v>3402</v>
      </c>
      <c r="I739" s="167" t="s">
        <v>2400</v>
      </c>
      <c r="J739" s="167" t="str">
        <f>_xlfn.XLOOKUP(I739,[1]Sheet1!$A:$A,[1]Sheet1!$B:$B,"")</f>
        <v/>
      </c>
      <c r="K739" s="88" t="s">
        <v>2401</v>
      </c>
      <c r="L739" s="88" t="s">
        <v>2402</v>
      </c>
      <c r="M739" s="92" t="s">
        <v>1584</v>
      </c>
      <c r="N739" s="89" t="s">
        <v>1223</v>
      </c>
      <c r="O739" s="165"/>
      <c r="P739" s="89" t="s">
        <v>715</v>
      </c>
      <c r="Q739" s="92" t="s">
        <v>690</v>
      </c>
      <c r="R739" s="92">
        <v>2</v>
      </c>
      <c r="S739" s="92" t="e">
        <v>#N/A</v>
      </c>
      <c r="T739" s="92">
        <v>8544700000</v>
      </c>
      <c r="U739" s="155">
        <v>0</v>
      </c>
      <c r="V739" s="207">
        <v>30</v>
      </c>
      <c r="W739" s="92">
        <v>45</v>
      </c>
      <c r="X739" s="92">
        <v>55</v>
      </c>
      <c r="Y739" s="92" t="s">
        <v>691</v>
      </c>
      <c r="Z739" s="133">
        <f t="shared" si="997"/>
        <v>1646.7313432835822</v>
      </c>
      <c r="AA739" s="133"/>
      <c r="AB739" s="124">
        <f t="shared" si="1004"/>
        <v>1503.3333333333337</v>
      </c>
      <c r="AC739" s="124"/>
      <c r="AD739" s="213">
        <f t="shared" si="1003"/>
        <v>7.0000000000000007E-2</v>
      </c>
      <c r="AE739" s="213">
        <v>7.0000000000000007E-2</v>
      </c>
      <c r="AF739" s="215">
        <v>0.31</v>
      </c>
      <c r="AG739" s="215" t="s">
        <v>9</v>
      </c>
      <c r="AH739" s="148">
        <f t="shared" si="990"/>
        <v>1503.3333333333337</v>
      </c>
      <c r="AI739" s="122">
        <f t="shared" si="994"/>
        <v>0.31000000000000005</v>
      </c>
      <c r="AJ739" s="444"/>
      <c r="AK739" s="150">
        <f t="shared" si="998"/>
        <v>1186.3548387096773</v>
      </c>
      <c r="AL739" s="148">
        <f t="shared" si="991"/>
        <v>1115.3763440860218</v>
      </c>
      <c r="AM739" s="125">
        <f t="shared" si="1005"/>
        <v>0.27956989247311836</v>
      </c>
      <c r="AN739" s="125">
        <f t="shared" si="1006"/>
        <v>0.25806451612903225</v>
      </c>
      <c r="AO739" s="136">
        <f t="shared" si="995"/>
        <v>0.35</v>
      </c>
      <c r="AP739" s="17" t="s">
        <v>1291</v>
      </c>
      <c r="AQ739" s="141"/>
      <c r="AR739" s="141"/>
      <c r="AS739" s="141"/>
      <c r="AT739" s="141"/>
      <c r="AU739" s="141"/>
      <c r="AV739" s="141"/>
      <c r="AW739" s="225">
        <v>943</v>
      </c>
      <c r="AX739" s="126">
        <f t="shared" si="996"/>
        <v>1037.3000000000002</v>
      </c>
      <c r="AY739" s="198"/>
      <c r="AZ739" s="128"/>
      <c r="BB739" s="134">
        <f t="shared" si="999"/>
        <v>5011.1111111111122</v>
      </c>
      <c r="BC739" s="134">
        <f t="shared" si="1000"/>
        <v>3006.6666666666674</v>
      </c>
      <c r="BD739" s="134">
        <f t="shared" si="1001"/>
        <v>2505.5555555555561</v>
      </c>
      <c r="BE739" s="134">
        <f t="shared" si="1002"/>
        <v>2004.444444444445</v>
      </c>
    </row>
    <row r="740" spans="1:57" s="129" customFormat="1" hidden="1">
      <c r="A740" s="88" t="s">
        <v>1276</v>
      </c>
      <c r="B740" s="88" t="s">
        <v>1318</v>
      </c>
      <c r="C740" s="88" t="s">
        <v>1318</v>
      </c>
      <c r="D740" s="88" t="s">
        <v>656</v>
      </c>
      <c r="E740" s="88" t="s">
        <v>684</v>
      </c>
      <c r="F740" s="89" t="s">
        <v>1670</v>
      </c>
      <c r="G740" s="92" t="s">
        <v>839</v>
      </c>
      <c r="H740" s="320" t="s">
        <v>3400</v>
      </c>
      <c r="I740" s="167" t="s">
        <v>3653</v>
      </c>
      <c r="J740" s="167" t="s">
        <v>3656</v>
      </c>
      <c r="K740" s="164" t="s">
        <v>3647</v>
      </c>
      <c r="L740" s="164" t="s">
        <v>3650</v>
      </c>
      <c r="M740" s="92" t="s">
        <v>1584</v>
      </c>
      <c r="N740" s="89" t="s">
        <v>1223</v>
      </c>
      <c r="O740" s="165"/>
      <c r="P740" s="89" t="s">
        <v>715</v>
      </c>
      <c r="Q740" s="92" t="s">
        <v>690</v>
      </c>
      <c r="R740" s="92">
        <v>2</v>
      </c>
      <c r="S740" s="92" t="e">
        <v>#N/A</v>
      </c>
      <c r="T740" s="92">
        <v>8544700000</v>
      </c>
      <c r="U740" s="155">
        <v>0</v>
      </c>
      <c r="V740" s="207">
        <v>30</v>
      </c>
      <c r="W740" s="92">
        <v>45</v>
      </c>
      <c r="X740" s="92">
        <v>55</v>
      </c>
      <c r="Y740" s="92" t="s">
        <v>691</v>
      </c>
      <c r="Z740" s="133">
        <f t="shared" si="997"/>
        <v>1376.0597014925372</v>
      </c>
      <c r="AA740" s="133"/>
      <c r="AB740" s="124">
        <f t="shared" si="1004"/>
        <v>1256.2318840579712</v>
      </c>
      <c r="AC740" s="124"/>
      <c r="AD740" s="213">
        <f t="shared" si="1003"/>
        <v>7.0000000000000007E-2</v>
      </c>
      <c r="AE740" s="213">
        <v>7.0000000000000007E-2</v>
      </c>
      <c r="AF740" s="215">
        <v>0.31</v>
      </c>
      <c r="AG740" s="215" t="s">
        <v>9</v>
      </c>
      <c r="AH740" s="148">
        <f t="shared" si="990"/>
        <v>1256.2318840579712</v>
      </c>
      <c r="AI740" s="122">
        <f t="shared" si="994"/>
        <v>0.31000000000000005</v>
      </c>
      <c r="AJ740" s="444"/>
      <c r="AK740" s="150">
        <f t="shared" si="998"/>
        <v>991.35483870967744</v>
      </c>
      <c r="AL740" s="148">
        <f t="shared" si="991"/>
        <v>932.04301075268836</v>
      </c>
      <c r="AM740" s="125">
        <f t="shared" si="1005"/>
        <v>0.27956989247311825</v>
      </c>
      <c r="AN740" s="125">
        <f t="shared" si="1006"/>
        <v>0.25806451612903225</v>
      </c>
      <c r="AO740" s="136">
        <f t="shared" si="995"/>
        <v>0.35</v>
      </c>
      <c r="AP740" s="17" t="s">
        <v>1291</v>
      </c>
      <c r="AQ740" s="141"/>
      <c r="AR740" s="141"/>
      <c r="AS740" s="141"/>
      <c r="AT740" s="141"/>
      <c r="AU740" s="141"/>
      <c r="AV740" s="141"/>
      <c r="AW740" s="225">
        <v>788</v>
      </c>
      <c r="AX740" s="126">
        <f t="shared" si="996"/>
        <v>866.80000000000007</v>
      </c>
      <c r="AY740" s="198"/>
      <c r="AZ740" s="128"/>
      <c r="BB740" s="134">
        <f t="shared" si="999"/>
        <v>4187.4396135265706</v>
      </c>
      <c r="BC740" s="134">
        <f t="shared" si="1000"/>
        <v>2512.4637681159425</v>
      </c>
      <c r="BD740" s="134">
        <f t="shared" si="1001"/>
        <v>2093.7198067632853</v>
      </c>
      <c r="BE740" s="134">
        <f t="shared" si="1002"/>
        <v>1674.9758454106284</v>
      </c>
    </row>
    <row r="741" spans="1:57" s="129" customFormat="1" hidden="1">
      <c r="A741" s="88" t="s">
        <v>1276</v>
      </c>
      <c r="B741" s="88" t="s">
        <v>1318</v>
      </c>
      <c r="C741" s="88" t="s">
        <v>1318</v>
      </c>
      <c r="D741" s="88" t="s">
        <v>656</v>
      </c>
      <c r="E741" s="88" t="s">
        <v>684</v>
      </c>
      <c r="F741" s="89" t="s">
        <v>1670</v>
      </c>
      <c r="G741" s="92" t="s">
        <v>839</v>
      </c>
      <c r="H741" s="320" t="s">
        <v>3401</v>
      </c>
      <c r="I741" s="167" t="s">
        <v>3654</v>
      </c>
      <c r="J741" s="167" t="s">
        <v>3655</v>
      </c>
      <c r="K741" s="164" t="s">
        <v>3648</v>
      </c>
      <c r="L741" s="164" t="s">
        <v>3651</v>
      </c>
      <c r="M741" s="92" t="s">
        <v>1584</v>
      </c>
      <c r="N741" s="89" t="s">
        <v>1223</v>
      </c>
      <c r="O741" s="165"/>
      <c r="P741" s="89" t="s">
        <v>715</v>
      </c>
      <c r="Q741" s="92" t="s">
        <v>690</v>
      </c>
      <c r="R741" s="92">
        <v>2</v>
      </c>
      <c r="S741" s="92" t="e">
        <v>#N/A</v>
      </c>
      <c r="T741" s="92">
        <v>8544700000</v>
      </c>
      <c r="U741" s="155">
        <v>0</v>
      </c>
      <c r="V741" s="207">
        <v>30</v>
      </c>
      <c r="W741" s="92">
        <v>45</v>
      </c>
      <c r="X741" s="92">
        <v>55</v>
      </c>
      <c r="Y741" s="92" t="s">
        <v>691</v>
      </c>
      <c r="Z741" s="133">
        <f t="shared" si="997"/>
        <v>1452.8955223880598</v>
      </c>
      <c r="AA741" s="133"/>
      <c r="AB741" s="124">
        <f t="shared" si="1004"/>
        <v>1326.376811594203</v>
      </c>
      <c r="AC741" s="124"/>
      <c r="AD741" s="213">
        <f t="shared" si="1003"/>
        <v>7.0000000000000007E-2</v>
      </c>
      <c r="AE741" s="213">
        <v>7.0000000000000007E-2</v>
      </c>
      <c r="AF741" s="215">
        <v>0.31</v>
      </c>
      <c r="AG741" s="215" t="s">
        <v>9</v>
      </c>
      <c r="AH741" s="148">
        <f t="shared" si="990"/>
        <v>1326.376811594203</v>
      </c>
      <c r="AI741" s="122">
        <f t="shared" si="994"/>
        <v>0.31000000000000005</v>
      </c>
      <c r="AJ741" s="444"/>
      <c r="AK741" s="150">
        <f t="shared" si="998"/>
        <v>1046.7096774193549</v>
      </c>
      <c r="AL741" s="148">
        <f t="shared" si="991"/>
        <v>984.08602150537649</v>
      </c>
      <c r="AM741" s="125">
        <f t="shared" si="1005"/>
        <v>0.27956989247311836</v>
      </c>
      <c r="AN741" s="125">
        <f t="shared" si="1006"/>
        <v>0.25806451612903225</v>
      </c>
      <c r="AO741" s="136">
        <f t="shared" si="995"/>
        <v>0.35</v>
      </c>
      <c r="AP741" s="17" t="s">
        <v>1291</v>
      </c>
      <c r="AQ741" s="141"/>
      <c r="AR741" s="141"/>
      <c r="AS741" s="141"/>
      <c r="AT741" s="141"/>
      <c r="AU741" s="141"/>
      <c r="AV741" s="141"/>
      <c r="AW741" s="225">
        <v>832</v>
      </c>
      <c r="AX741" s="126">
        <f t="shared" si="996"/>
        <v>915.2</v>
      </c>
      <c r="AY741" s="198"/>
      <c r="AZ741" s="128"/>
      <c r="BB741" s="134">
        <f t="shared" si="999"/>
        <v>4421.2560386473433</v>
      </c>
      <c r="BC741" s="134">
        <f t="shared" si="1000"/>
        <v>2652.753623188406</v>
      </c>
      <c r="BD741" s="134">
        <f t="shared" si="1001"/>
        <v>2210.6280193236717</v>
      </c>
      <c r="BE741" s="134">
        <f t="shared" si="1002"/>
        <v>1768.5024154589373</v>
      </c>
    </row>
    <row r="742" spans="1:57" s="129" customFormat="1" hidden="1">
      <c r="A742" s="88" t="s">
        <v>1276</v>
      </c>
      <c r="B742" s="88" t="s">
        <v>1318</v>
      </c>
      <c r="C742" s="88" t="s">
        <v>1318</v>
      </c>
      <c r="D742" s="88" t="s">
        <v>656</v>
      </c>
      <c r="E742" s="88" t="s">
        <v>684</v>
      </c>
      <c r="F742" s="89" t="s">
        <v>1670</v>
      </c>
      <c r="G742" s="92" t="s">
        <v>839</v>
      </c>
      <c r="H742" s="320" t="s">
        <v>3402</v>
      </c>
      <c r="I742" s="167" t="s">
        <v>2392</v>
      </c>
      <c r="J742" s="167" t="s">
        <v>3657</v>
      </c>
      <c r="K742" s="164" t="s">
        <v>3649</v>
      </c>
      <c r="L742" s="164" t="s">
        <v>3652</v>
      </c>
      <c r="M742" s="92" t="s">
        <v>1584</v>
      </c>
      <c r="N742" s="89" t="s">
        <v>1223</v>
      </c>
      <c r="O742" s="165"/>
      <c r="P742" s="89" t="s">
        <v>715</v>
      </c>
      <c r="Q742" s="92" t="s">
        <v>690</v>
      </c>
      <c r="R742" s="92">
        <v>2</v>
      </c>
      <c r="S742" s="92" t="e">
        <v>#N/A</v>
      </c>
      <c r="T742" s="92">
        <v>8544700000</v>
      </c>
      <c r="U742" s="155">
        <v>0</v>
      </c>
      <c r="V742" s="207">
        <v>30</v>
      </c>
      <c r="W742" s="92">
        <v>45</v>
      </c>
      <c r="X742" s="92">
        <v>55</v>
      </c>
      <c r="Y742" s="92" t="s">
        <v>691</v>
      </c>
      <c r="Z742" s="133">
        <f t="shared" si="997"/>
        <v>1594.3432835820895</v>
      </c>
      <c r="AA742" s="133"/>
      <c r="AB742" s="124">
        <f t="shared" si="1004"/>
        <v>1455.5072463768117</v>
      </c>
      <c r="AC742" s="124"/>
      <c r="AD742" s="213">
        <f t="shared" si="1003"/>
        <v>7.0000000000000007E-2</v>
      </c>
      <c r="AE742" s="213">
        <v>7.0000000000000007E-2</v>
      </c>
      <c r="AF742" s="215">
        <v>0.31</v>
      </c>
      <c r="AG742" s="215" t="s">
        <v>9</v>
      </c>
      <c r="AH742" s="148">
        <f t="shared" si="990"/>
        <v>1455.5072463768117</v>
      </c>
      <c r="AI742" s="122">
        <f t="shared" si="994"/>
        <v>0.31000000000000005</v>
      </c>
      <c r="AJ742" s="444"/>
      <c r="AK742" s="150">
        <f t="shared" si="998"/>
        <v>1148.6129032258063</v>
      </c>
      <c r="AL742" s="148">
        <f t="shared" si="991"/>
        <v>1079.8924731182797</v>
      </c>
      <c r="AM742" s="125">
        <f t="shared" si="1005"/>
        <v>0.27956989247311836</v>
      </c>
      <c r="AN742" s="125">
        <f t="shared" si="1006"/>
        <v>0.25806451612903225</v>
      </c>
      <c r="AO742" s="136">
        <f t="shared" si="995"/>
        <v>0.35</v>
      </c>
      <c r="AP742" s="17" t="s">
        <v>1291</v>
      </c>
      <c r="AQ742" s="141"/>
      <c r="AR742" s="141"/>
      <c r="AS742" s="141"/>
      <c r="AT742" s="141"/>
      <c r="AU742" s="141"/>
      <c r="AV742" s="141"/>
      <c r="AW742" s="225">
        <v>913</v>
      </c>
      <c r="AX742" s="126">
        <f t="shared" si="996"/>
        <v>1004.3000000000001</v>
      </c>
      <c r="AY742" s="198"/>
      <c r="AZ742" s="128"/>
      <c r="BB742" s="134">
        <f t="shared" si="999"/>
        <v>4851.6908212560393</v>
      </c>
      <c r="BC742" s="134">
        <f t="shared" si="1000"/>
        <v>2911.0144927536235</v>
      </c>
      <c r="BD742" s="134">
        <f t="shared" si="1001"/>
        <v>2425.8454106280196</v>
      </c>
      <c r="BE742" s="134">
        <f t="shared" si="1002"/>
        <v>1940.6763285024158</v>
      </c>
    </row>
    <row r="743" spans="1:57" s="129" customFormat="1" hidden="1">
      <c r="A743" s="88" t="s">
        <v>1276</v>
      </c>
      <c r="B743" s="88" t="s">
        <v>1318</v>
      </c>
      <c r="C743" s="88" t="s">
        <v>1318</v>
      </c>
      <c r="D743" s="88" t="s">
        <v>656</v>
      </c>
      <c r="E743" s="88" t="s">
        <v>684</v>
      </c>
      <c r="F743" s="89" t="s">
        <v>1670</v>
      </c>
      <c r="G743" s="92" t="s">
        <v>839</v>
      </c>
      <c r="H743" s="320" t="s">
        <v>3406</v>
      </c>
      <c r="I743" s="167" t="s">
        <v>2393</v>
      </c>
      <c r="J743" s="167" t="str">
        <f>_xlfn.XLOOKUP(I743,[1]Sheet1!$A:$A,[1]Sheet1!$B:$B,"")</f>
        <v/>
      </c>
      <c r="K743" s="88" t="s">
        <v>2395</v>
      </c>
      <c r="L743" s="88" t="s">
        <v>2397</v>
      </c>
      <c r="M743" s="92" t="s">
        <v>1584</v>
      </c>
      <c r="N743" s="89" t="s">
        <v>1223</v>
      </c>
      <c r="O743" s="165"/>
      <c r="P743" s="89" t="s">
        <v>715</v>
      </c>
      <c r="Q743" s="92" t="s">
        <v>690</v>
      </c>
      <c r="R743" s="92">
        <v>2</v>
      </c>
      <c r="S743" s="92" t="e">
        <v>#N/A</v>
      </c>
      <c r="T743" s="92">
        <v>8544700000</v>
      </c>
      <c r="U743" s="155">
        <v>0</v>
      </c>
      <c r="V743" s="207">
        <v>30</v>
      </c>
      <c r="W743" s="92">
        <v>45</v>
      </c>
      <c r="X743" s="92">
        <v>55</v>
      </c>
      <c r="Y743" s="92" t="s">
        <v>691</v>
      </c>
      <c r="Z743" s="133">
        <f t="shared" si="997"/>
        <v>2816.7313432835822</v>
      </c>
      <c r="AA743" s="133"/>
      <c r="AB743" s="124">
        <f t="shared" si="1004"/>
        <v>2571.4492753623194</v>
      </c>
      <c r="AC743" s="124"/>
      <c r="AD743" s="213">
        <f t="shared" si="1003"/>
        <v>7.0000000000000007E-2</v>
      </c>
      <c r="AE743" s="213">
        <v>7.0000000000000007E-2</v>
      </c>
      <c r="AF743" s="215">
        <v>0.31</v>
      </c>
      <c r="AG743" s="215" t="s">
        <v>9</v>
      </c>
      <c r="AH743" s="148">
        <f t="shared" si="990"/>
        <v>2571.4492753623194</v>
      </c>
      <c r="AI743" s="122">
        <f t="shared" si="994"/>
        <v>0.31000000000000005</v>
      </c>
      <c r="AJ743" s="444"/>
      <c r="AK743" s="150">
        <f t="shared" si="998"/>
        <v>2029.258064516129</v>
      </c>
      <c r="AL743" s="148">
        <f t="shared" si="991"/>
        <v>1907.8494623655918</v>
      </c>
      <c r="AM743" s="125">
        <f t="shared" si="1005"/>
        <v>0.27956989247311825</v>
      </c>
      <c r="AN743" s="125">
        <f t="shared" si="1006"/>
        <v>0.25806451612903225</v>
      </c>
      <c r="AO743" s="136">
        <f t="shared" si="995"/>
        <v>0.35</v>
      </c>
      <c r="AP743" s="17" t="s">
        <v>1291</v>
      </c>
      <c r="AQ743" s="141"/>
      <c r="AR743" s="141"/>
      <c r="AS743" s="141"/>
      <c r="AT743" s="141"/>
      <c r="AU743" s="141"/>
      <c r="AV743" s="141"/>
      <c r="AW743" s="225">
        <v>1613</v>
      </c>
      <c r="AX743" s="126">
        <f t="shared" si="996"/>
        <v>1774.3000000000002</v>
      </c>
      <c r="AY743" s="198"/>
      <c r="AZ743" s="128"/>
      <c r="BB743" s="134">
        <f t="shared" si="999"/>
        <v>8571.4975845410645</v>
      </c>
      <c r="BC743" s="134">
        <f t="shared" si="1000"/>
        <v>5142.8985507246389</v>
      </c>
      <c r="BD743" s="134">
        <f t="shared" si="1001"/>
        <v>4285.7487922705322</v>
      </c>
      <c r="BE743" s="134">
        <f t="shared" si="1002"/>
        <v>3428.5990338164261</v>
      </c>
    </row>
    <row r="744" spans="1:57" s="129" customFormat="1" hidden="1">
      <c r="A744" s="88" t="s">
        <v>1276</v>
      </c>
      <c r="B744" s="88" t="s">
        <v>1318</v>
      </c>
      <c r="C744" s="88" t="s">
        <v>1318</v>
      </c>
      <c r="D744" s="88" t="s">
        <v>656</v>
      </c>
      <c r="E744" s="88" t="s">
        <v>684</v>
      </c>
      <c r="F744" s="89" t="s">
        <v>1670</v>
      </c>
      <c r="G744" s="92" t="s">
        <v>839</v>
      </c>
      <c r="H744" s="320" t="s">
        <v>3407</v>
      </c>
      <c r="I744" s="167" t="s">
        <v>2394</v>
      </c>
      <c r="J744" s="167" t="str">
        <f>_xlfn.XLOOKUP(I744,[1]Sheet1!$A:$A,[1]Sheet1!$B:$B,"")</f>
        <v/>
      </c>
      <c r="K744" s="88" t="s">
        <v>2396</v>
      </c>
      <c r="L744" s="88" t="s">
        <v>2398</v>
      </c>
      <c r="M744" s="92" t="s">
        <v>1584</v>
      </c>
      <c r="N744" s="89" t="s">
        <v>1223</v>
      </c>
      <c r="O744" s="165"/>
      <c r="P744" s="89" t="s">
        <v>715</v>
      </c>
      <c r="Q744" s="92" t="s">
        <v>690</v>
      </c>
      <c r="R744" s="92">
        <v>2</v>
      </c>
      <c r="S744" s="92" t="e">
        <v>#N/A</v>
      </c>
      <c r="T744" s="92">
        <v>8544700000</v>
      </c>
      <c r="U744" s="155">
        <v>0</v>
      </c>
      <c r="V744" s="207">
        <v>30</v>
      </c>
      <c r="W744" s="92">
        <v>45</v>
      </c>
      <c r="X744" s="92">
        <v>55</v>
      </c>
      <c r="Y744" s="92" t="s">
        <v>691</v>
      </c>
      <c r="Z744" s="133">
        <f t="shared" si="997"/>
        <v>4313.2835820895525</v>
      </c>
      <c r="AA744" s="133"/>
      <c r="AB744" s="124">
        <f t="shared" si="1004"/>
        <v>3937.68115942029</v>
      </c>
      <c r="AC744" s="124"/>
      <c r="AD744" s="213">
        <f t="shared" si="1003"/>
        <v>7.0000000000000007E-2</v>
      </c>
      <c r="AE744" s="213">
        <v>7.0000000000000007E-2</v>
      </c>
      <c r="AF744" s="215">
        <v>0.31</v>
      </c>
      <c r="AG744" s="215" t="s">
        <v>9</v>
      </c>
      <c r="AH744" s="148">
        <f t="shared" si="990"/>
        <v>3937.68115942029</v>
      </c>
      <c r="AI744" s="122">
        <f t="shared" si="994"/>
        <v>0.31000000000000005</v>
      </c>
      <c r="AJ744" s="444"/>
      <c r="AK744" s="150">
        <f t="shared" si="998"/>
        <v>3107.4193548387098</v>
      </c>
      <c r="AL744" s="148">
        <f t="shared" si="991"/>
        <v>2921.505376344086</v>
      </c>
      <c r="AM744" s="125">
        <f t="shared" si="1005"/>
        <v>0.27956989247311825</v>
      </c>
      <c r="AN744" s="125">
        <f t="shared" si="1006"/>
        <v>0.25806451612903225</v>
      </c>
      <c r="AO744" s="136">
        <f t="shared" si="995"/>
        <v>0.35</v>
      </c>
      <c r="AP744" s="17" t="s">
        <v>1291</v>
      </c>
      <c r="AQ744" s="141"/>
      <c r="AR744" s="141"/>
      <c r="AS744" s="141"/>
      <c r="AT744" s="141"/>
      <c r="AU744" s="141"/>
      <c r="AV744" s="141"/>
      <c r="AW744" s="225">
        <v>2470</v>
      </c>
      <c r="AX744" s="126">
        <f t="shared" si="996"/>
        <v>2717</v>
      </c>
      <c r="AY744" s="198"/>
      <c r="AZ744" s="128"/>
      <c r="BB744" s="134">
        <f t="shared" si="999"/>
        <v>13125.603864734301</v>
      </c>
      <c r="BC744" s="134">
        <f t="shared" si="1000"/>
        <v>7875.36231884058</v>
      </c>
      <c r="BD744" s="134">
        <f t="shared" si="1001"/>
        <v>6562.8019323671506</v>
      </c>
      <c r="BE744" s="134">
        <f t="shared" si="1002"/>
        <v>5250.2415458937212</v>
      </c>
    </row>
    <row r="745" spans="1:57" s="129" customFormat="1" hidden="1">
      <c r="A745" s="88" t="s">
        <v>1156</v>
      </c>
      <c r="B745" s="88" t="s">
        <v>1701</v>
      </c>
      <c r="C745" s="88" t="s">
        <v>1701</v>
      </c>
      <c r="D745" s="88" t="s">
        <v>1102</v>
      </c>
      <c r="E745" s="88" t="s">
        <v>1141</v>
      </c>
      <c r="F745" s="89" t="s">
        <v>1141</v>
      </c>
      <c r="G745" s="92"/>
      <c r="H745" s="92"/>
      <c r="I745" s="167" t="s">
        <v>3956</v>
      </c>
      <c r="J745" s="167" t="str">
        <f>_xlfn.XLOOKUP(I745,[1]Sheet1!$A:$A,[1]Sheet1!$B:$B,"")</f>
        <v/>
      </c>
      <c r="K745" s="88" t="s">
        <v>1154</v>
      </c>
      <c r="L745" s="88" t="s">
        <v>1155</v>
      </c>
      <c r="M745" s="92"/>
      <c r="N745" s="89" t="s">
        <v>60</v>
      </c>
      <c r="O745" s="165"/>
      <c r="P745" s="89" t="s">
        <v>241</v>
      </c>
      <c r="Q745" s="92" t="s">
        <v>1059</v>
      </c>
      <c r="R745" s="92">
        <v>240</v>
      </c>
      <c r="S745" s="92" t="e">
        <v>#N/A</v>
      </c>
      <c r="T745" s="92" t="s">
        <v>3868</v>
      </c>
      <c r="U745" s="324">
        <v>3.3000000000000002E-2</v>
      </c>
      <c r="V745" s="207">
        <v>45</v>
      </c>
      <c r="W745" s="92">
        <v>45</v>
      </c>
      <c r="X745" s="92">
        <v>55</v>
      </c>
      <c r="Y745" s="92" t="s">
        <v>691</v>
      </c>
      <c r="Z745" s="133">
        <f>AK745/(1-(AF745+2%))</f>
        <v>40.493734335839605</v>
      </c>
      <c r="AA745" s="133"/>
      <c r="AB745" s="161">
        <f>AX745/(1-AF745)</f>
        <v>31.872960706525117</v>
      </c>
      <c r="AC745" s="161"/>
      <c r="AD745" s="213">
        <f>AE745</f>
        <v>0.1</v>
      </c>
      <c r="AE745" s="213">
        <v>0.1</v>
      </c>
      <c r="AF745" s="215">
        <v>0.41000000000000003</v>
      </c>
      <c r="AG745" s="215" t="s">
        <v>281</v>
      </c>
      <c r="AH745" s="148">
        <f>AB745</f>
        <v>31.872960706525117</v>
      </c>
      <c r="AI745" s="122">
        <f>1-(AX745/AH745)</f>
        <v>0.41000000000000003</v>
      </c>
      <c r="AJ745" s="444"/>
      <c r="AK745" s="150">
        <f>AW745/(1-AD745)</f>
        <v>23.081428571428575</v>
      </c>
      <c r="AL745" s="153">
        <f>AX745/(1-AE745)</f>
        <v>20.894496463166462</v>
      </c>
      <c r="AM745" s="325">
        <f>1-(AK745/Z745)</f>
        <v>0.43000000000000005</v>
      </c>
      <c r="AN745" s="325">
        <f>1-(AL745/AB745)</f>
        <v>0.34444444444444455</v>
      </c>
      <c r="AO745" s="140"/>
      <c r="AP745" s="17" t="s">
        <v>1147</v>
      </c>
      <c r="AQ745" s="162"/>
      <c r="AR745" s="162"/>
      <c r="AS745" s="162"/>
      <c r="AT745" s="162">
        <f>0.23*7.1</f>
        <v>1.633</v>
      </c>
      <c r="AU745" s="162">
        <v>143.78</v>
      </c>
      <c r="AV745" s="141">
        <f>AT745+AU745</f>
        <v>145.41300000000001</v>
      </c>
      <c r="AW745" s="142">
        <f>(AT745+AU745)/$F$5</f>
        <v>20.773285714285716</v>
      </c>
      <c r="AX745" s="126">
        <f>(AW745/$F$6)+(($F$9+$G$9)/40/R745)+AW745*U745</f>
        <v>18.805046816849817</v>
      </c>
      <c r="AY745" s="127"/>
      <c r="AZ745" s="197" t="s">
        <v>1148</v>
      </c>
      <c r="BB745" s="161">
        <f>AB745/0.3</f>
        <v>106.24320235508372</v>
      </c>
      <c r="BC745" s="161">
        <f>BB745*0.6</f>
        <v>63.745921413050233</v>
      </c>
      <c r="BD745" s="161">
        <f>BB745*0.5</f>
        <v>53.121601177541862</v>
      </c>
      <c r="BE745" s="161">
        <f>BB745*0.4</f>
        <v>42.497280942033491</v>
      </c>
    </row>
    <row r="746" spans="1:57" s="129" customFormat="1" hidden="1">
      <c r="A746" s="88" t="s">
        <v>1156</v>
      </c>
      <c r="B746" s="88" t="s">
        <v>1701</v>
      </c>
      <c r="C746" s="88" t="s">
        <v>4004</v>
      </c>
      <c r="D746" s="88" t="s">
        <v>55</v>
      </c>
      <c r="E746" s="89" t="s">
        <v>56</v>
      </c>
      <c r="F746" s="90" t="s">
        <v>109</v>
      </c>
      <c r="G746" s="131" t="s">
        <v>132</v>
      </c>
      <c r="H746" s="131">
        <v>23</v>
      </c>
      <c r="I746" s="132" t="s">
        <v>4002</v>
      </c>
      <c r="J746" s="132" t="str">
        <f>_xlfn.XLOOKUP(I746,[1]Sheet1!$A:$A,[1]Sheet1!$B:$B,"")</f>
        <v/>
      </c>
      <c r="K746" s="90" t="s">
        <v>4005</v>
      </c>
      <c r="L746" s="90" t="s">
        <v>4007</v>
      </c>
      <c r="M746" s="131" t="s">
        <v>4009</v>
      </c>
      <c r="N746" s="91" t="s">
        <v>158</v>
      </c>
      <c r="O746" s="92">
        <v>19</v>
      </c>
      <c r="P746" s="88" t="s">
        <v>61</v>
      </c>
      <c r="Q746" s="92" t="s">
        <v>62</v>
      </c>
      <c r="R746" s="92">
        <v>9</v>
      </c>
      <c r="S746" s="123"/>
      <c r="T746" s="131" t="s">
        <v>159</v>
      </c>
      <c r="U746" s="155">
        <v>0</v>
      </c>
      <c r="V746" s="207">
        <v>60</v>
      </c>
      <c r="W746" s="207">
        <v>14</v>
      </c>
      <c r="X746" s="207">
        <v>14</v>
      </c>
      <c r="Y746" s="207" t="s">
        <v>1224</v>
      </c>
      <c r="Z746" s="133">
        <f t="shared" ref="Z746:Z747" si="1007">(AW746/(1-(AF746+2%)))*$F$6</f>
        <v>538.97530120481917</v>
      </c>
      <c r="AA746" s="133" t="e">
        <f>VLOOKUP(I746,'[2]PO &amp; SC Sept 2025'!$I$14:$BK$686,55,FALSE)+(($F$3/1000)-1.5)*O746</f>
        <v>#N/A</v>
      </c>
      <c r="AB746" s="124">
        <f>AX746/(1-AF746)</f>
        <v>458.20294955589077</v>
      </c>
      <c r="AC746" s="134" t="e">
        <f>VLOOKUP(I746,'[2]PO &amp; SC Sept 2025'!$I$14:$BE$686,49,FALSE)+(O746*(($F$4/1000)-1.5))</f>
        <v>#N/A</v>
      </c>
      <c r="AD746" s="213">
        <f>AE746</f>
        <v>7.0000000000000007E-2</v>
      </c>
      <c r="AE746" s="213">
        <v>7.0000000000000007E-2</v>
      </c>
      <c r="AF746" s="215">
        <v>0.15</v>
      </c>
      <c r="AG746" s="215" t="s">
        <v>9</v>
      </c>
      <c r="AH746" s="148">
        <f t="shared" ref="AH746:AH747" si="1008">AB746</f>
        <v>458.20294955589077</v>
      </c>
      <c r="AI746" s="122">
        <f t="shared" ref="AI746:AI747" si="1009">1-(AX746/AH746)</f>
        <v>0.15000000000000002</v>
      </c>
      <c r="AJ746" s="444"/>
      <c r="AK746" s="150">
        <f t="shared" ref="AK746:AK747" si="1010">AW746/(1-AD746)*$F$6</f>
        <v>481.02096774193552</v>
      </c>
      <c r="AL746" s="148">
        <f t="shared" ref="AL746:AL747" si="1011">AX746/(1-AE746)</f>
        <v>418.787642067212</v>
      </c>
      <c r="AM746" s="125">
        <f>1-(AK746/Z746)</f>
        <v>0.1075268817204299</v>
      </c>
      <c r="AN746" s="125">
        <f>1-(AL746/AB746)</f>
        <v>8.602150537634401E-2</v>
      </c>
      <c r="AO746" s="140"/>
      <c r="AP746" s="17" t="s">
        <v>160</v>
      </c>
      <c r="AQ746" s="141"/>
      <c r="AR746" s="141"/>
      <c r="AS746" s="153">
        <v>199</v>
      </c>
      <c r="AT746" s="141"/>
      <c r="AU746" s="141"/>
      <c r="AV746" s="141"/>
      <c r="AW746" s="154">
        <f>AS746+($F$4-1500)/1000*O746</f>
        <v>382.35</v>
      </c>
      <c r="AX746" s="126">
        <f>(AS746+($F$4-1500)/1000*O746)+($F$10/40/R746/$F$6)</f>
        <v>389.47250712250712</v>
      </c>
      <c r="AY746" s="17"/>
      <c r="AZ746" s="128" t="s">
        <v>63</v>
      </c>
      <c r="BB746" s="124">
        <f t="shared" ref="BB746:BB747" si="1012">AB746/0.3</f>
        <v>1527.3431651863027</v>
      </c>
      <c r="BC746" s="124">
        <f t="shared" ref="BC746:BC747" si="1013">BB746*0.6</f>
        <v>916.40589911178165</v>
      </c>
      <c r="BD746" s="124">
        <f t="shared" ref="BD746:BD747" si="1014">BB746*0.5</f>
        <v>763.67158259315136</v>
      </c>
      <c r="BE746" s="124">
        <f t="shared" ref="BE746:BE747" si="1015">BB746*0.4</f>
        <v>610.93726607452106</v>
      </c>
    </row>
    <row r="747" spans="1:57" s="129" customFormat="1" hidden="1">
      <c r="A747" s="88" t="s">
        <v>1156</v>
      </c>
      <c r="B747" s="88" t="s">
        <v>1701</v>
      </c>
      <c r="C747" s="88" t="s">
        <v>4004</v>
      </c>
      <c r="D747" s="88" t="s">
        <v>55</v>
      </c>
      <c r="E747" s="89" t="s">
        <v>56</v>
      </c>
      <c r="F747" s="90" t="s">
        <v>109</v>
      </c>
      <c r="G747" s="131" t="s">
        <v>132</v>
      </c>
      <c r="H747" s="131">
        <v>23</v>
      </c>
      <c r="I747" s="132" t="s">
        <v>4003</v>
      </c>
      <c r="J747" s="132" t="str">
        <f>_xlfn.XLOOKUP(I747,[1]Sheet1!$A:$A,[1]Sheet1!$B:$B,"")</f>
        <v/>
      </c>
      <c r="K747" s="90" t="s">
        <v>4006</v>
      </c>
      <c r="L747" s="90" t="s">
        <v>4008</v>
      </c>
      <c r="M747" s="131" t="s">
        <v>4009</v>
      </c>
      <c r="N747" s="91" t="s">
        <v>158</v>
      </c>
      <c r="O747" s="92">
        <v>37</v>
      </c>
      <c r="P747" s="88" t="s">
        <v>61</v>
      </c>
      <c r="Q747" s="92" t="s">
        <v>62</v>
      </c>
      <c r="R747" s="92">
        <v>4</v>
      </c>
      <c r="S747" s="123"/>
      <c r="T747" s="131" t="s">
        <v>159</v>
      </c>
      <c r="U747" s="155">
        <v>0</v>
      </c>
      <c r="V747" s="207">
        <v>60</v>
      </c>
      <c r="W747" s="207">
        <v>14</v>
      </c>
      <c r="X747" s="207">
        <v>14</v>
      </c>
      <c r="Y747" s="207" t="s">
        <v>1224</v>
      </c>
      <c r="Z747" s="133">
        <f t="shared" si="1007"/>
        <v>1083.1958083832335</v>
      </c>
      <c r="AA747" s="133" t="e">
        <f>VLOOKUP(I747,'[2]PO &amp; SC Sept 2025'!$I$14:$BK$686,55,FALSE)+(($F$3/1000)-1.5)*O747</f>
        <v>#N/A</v>
      </c>
      <c r="AB747" s="124">
        <f>AX747/(1-AF747)</f>
        <v>922.89548657969704</v>
      </c>
      <c r="AC747" s="134" t="e">
        <f>VLOOKUP(I747,'[2]PO &amp; SC Sept 2025'!$I$14:$BE$686,49,FALSE)+(O747*(($F$4/1000)-1.5))</f>
        <v>#N/A</v>
      </c>
      <c r="AD747" s="213">
        <f>AE747</f>
        <v>7.0000000000000007E-2</v>
      </c>
      <c r="AE747" s="213">
        <v>7.0000000000000007E-2</v>
      </c>
      <c r="AF747" s="215">
        <v>0.14499999999999999</v>
      </c>
      <c r="AG747" s="215" t="s">
        <v>9</v>
      </c>
      <c r="AH747" s="148">
        <f t="shared" si="1008"/>
        <v>922.89548657969704</v>
      </c>
      <c r="AI747" s="122">
        <f t="shared" si="1009"/>
        <v>0.14500000000000002</v>
      </c>
      <c r="AJ747" s="444"/>
      <c r="AK747" s="150">
        <f t="shared" si="1010"/>
        <v>972.54677419354834</v>
      </c>
      <c r="AL747" s="148">
        <f t="shared" si="1011"/>
        <v>848.4684312103667</v>
      </c>
      <c r="AM747" s="125">
        <f>1-(AK747/Z747)</f>
        <v>0.10215053763440862</v>
      </c>
      <c r="AN747" s="125">
        <f>1-(AL747/AB747)</f>
        <v>8.0645161290322509E-2</v>
      </c>
      <c r="AO747" s="140"/>
      <c r="AP747" s="17" t="s">
        <v>160</v>
      </c>
      <c r="AQ747" s="141"/>
      <c r="AR747" s="141"/>
      <c r="AS747" s="153">
        <v>416</v>
      </c>
      <c r="AT747" s="141"/>
      <c r="AU747" s="141"/>
      <c r="AV747" s="141"/>
      <c r="AW747" s="154">
        <f>AS747+($F$4-1500)/1000*O747</f>
        <v>773.05</v>
      </c>
      <c r="AX747" s="126">
        <f>(AS747+($F$4-1500)/1000*O747)+($F$10/40/R747/$F$6)</f>
        <v>789.07564102564095</v>
      </c>
      <c r="AY747" s="17"/>
      <c r="AZ747" s="128" t="s">
        <v>63</v>
      </c>
      <c r="BB747" s="124">
        <f t="shared" si="1012"/>
        <v>3076.3182885989904</v>
      </c>
      <c r="BC747" s="124">
        <f t="shared" si="1013"/>
        <v>1845.7909731593941</v>
      </c>
      <c r="BD747" s="124">
        <f t="shared" si="1014"/>
        <v>1538.1591442994952</v>
      </c>
      <c r="BE747" s="124">
        <f t="shared" si="1015"/>
        <v>1230.5273154395964</v>
      </c>
    </row>
    <row r="748" spans="1:57" s="129" customFormat="1" hidden="1">
      <c r="A748" s="88" t="s">
        <v>1156</v>
      </c>
      <c r="B748" s="88" t="s">
        <v>1317</v>
      </c>
      <c r="C748" s="88" t="s">
        <v>1317</v>
      </c>
      <c r="D748" s="88" t="s">
        <v>55</v>
      </c>
      <c r="E748" s="89" t="s">
        <v>56</v>
      </c>
      <c r="F748" s="90" t="s">
        <v>109</v>
      </c>
      <c r="G748" s="131" t="s">
        <v>132</v>
      </c>
      <c r="H748" s="131">
        <v>23</v>
      </c>
      <c r="I748" s="132" t="s">
        <v>1840</v>
      </c>
      <c r="J748" s="132" t="str">
        <f>_xlfn.XLOOKUP(I748,[1]Sheet1!$A:$A,[1]Sheet1!$B:$B,"")</f>
        <v>Z0603003</v>
      </c>
      <c r="K748" s="90" t="s">
        <v>2572</v>
      </c>
      <c r="L748" s="90" t="s">
        <v>2573</v>
      </c>
      <c r="M748" s="131" t="s">
        <v>69</v>
      </c>
      <c r="N748" s="91" t="s">
        <v>158</v>
      </c>
      <c r="O748" s="92">
        <v>19</v>
      </c>
      <c r="P748" s="88" t="s">
        <v>61</v>
      </c>
      <c r="Q748" s="92" t="s">
        <v>62</v>
      </c>
      <c r="R748" s="92">
        <v>9</v>
      </c>
      <c r="S748" s="92"/>
      <c r="T748" s="131" t="s">
        <v>159</v>
      </c>
      <c r="U748" s="155">
        <v>0</v>
      </c>
      <c r="V748" s="207">
        <v>60</v>
      </c>
      <c r="W748" s="207">
        <v>14</v>
      </c>
      <c r="X748" s="207">
        <v>14</v>
      </c>
      <c r="Y748" s="207" t="s">
        <v>1224</v>
      </c>
      <c r="Z748" s="133">
        <f t="shared" ref="Z748:Z749" si="1016">(AW748/(1-(AF748+2%)))*$F$6</f>
        <v>517.83072289156621</v>
      </c>
      <c r="AA748" s="133">
        <f>VLOOKUP(I748,'[2]PO &amp; SC Sept 2025'!$I$14:$BK$686,55,FALSE)+(($F$3/1000)-1.5)*O748</f>
        <v>512.20122839506178</v>
      </c>
      <c r="AB748" s="124">
        <f>AX748/(1-AF748)</f>
        <v>440.55589073236132</v>
      </c>
      <c r="AC748" s="134">
        <f>VLOOKUP(I748,'[2]PO &amp; SC Sept 2025'!$I$14:$BE$686,49,FALSE)+(O748*(($F$4/1000)-1.5))</f>
        <v>441.00828531517368</v>
      </c>
      <c r="AD748" s="213">
        <f t="shared" ref="AD748:AD749" si="1017">AE748</f>
        <v>7.0000000000000007E-2</v>
      </c>
      <c r="AE748" s="213">
        <v>7.0000000000000007E-2</v>
      </c>
      <c r="AF748" s="215">
        <v>0.15</v>
      </c>
      <c r="AG748" s="215" t="s">
        <v>9</v>
      </c>
      <c r="AH748" s="148">
        <f t="shared" ref="AH748:AH749" si="1018">AB748</f>
        <v>440.55589073236132</v>
      </c>
      <c r="AI748" s="122">
        <f t="shared" ref="AI748:AI749" si="1019">1-(AX748/AH748)</f>
        <v>0.15000000000000002</v>
      </c>
      <c r="AJ748" s="444"/>
      <c r="AK748" s="150">
        <f>AW748/(1-AD748)*$F$6</f>
        <v>462.15000000000003</v>
      </c>
      <c r="AL748" s="148">
        <f>AX748/(1-AE748)</f>
        <v>402.65860980914749</v>
      </c>
      <c r="AM748" s="125">
        <f t="shared" ref="AM748:AM749" si="1020">1-(AK748/Z748)</f>
        <v>0.1075268817204299</v>
      </c>
      <c r="AN748" s="125">
        <f t="shared" ref="AN748:AN749" si="1021">1-(AL748/AB748)</f>
        <v>8.602150537634401E-2</v>
      </c>
      <c r="AO748" s="140"/>
      <c r="AP748" s="17" t="s">
        <v>160</v>
      </c>
      <c r="AQ748" s="141"/>
      <c r="AR748" s="141"/>
      <c r="AS748" s="153">
        <v>184</v>
      </c>
      <c r="AT748" s="141"/>
      <c r="AU748" s="141"/>
      <c r="AV748" s="141"/>
      <c r="AW748" s="154">
        <f t="shared" ref="AW748" si="1022">AS748+($F$4-1500)/1000*O748</f>
        <v>367.35</v>
      </c>
      <c r="AX748" s="126">
        <f>(AS748+($F$4-1500)/1000*O748)+($F$10/40/R748/$F$6)</f>
        <v>374.47250712250712</v>
      </c>
      <c r="AY748" s="17"/>
      <c r="AZ748" s="128" t="s">
        <v>63</v>
      </c>
      <c r="BB748" s="124">
        <f t="shared" ref="BB748:BB754" si="1023">AB748/0.3</f>
        <v>1468.5196357745378</v>
      </c>
      <c r="BC748" s="124">
        <f t="shared" ref="BC748:BC754" si="1024">BB748*0.6</f>
        <v>881.11178146472264</v>
      </c>
      <c r="BD748" s="124">
        <f t="shared" ref="BD748:BD754" si="1025">BB748*0.5</f>
        <v>734.25981788726892</v>
      </c>
      <c r="BE748" s="124">
        <f t="shared" ref="BE748:BE754" si="1026">BB748*0.4</f>
        <v>587.40785430981521</v>
      </c>
    </row>
    <row r="749" spans="1:57" s="129" customFormat="1" hidden="1">
      <c r="A749" s="88" t="s">
        <v>1156</v>
      </c>
      <c r="B749" s="88" t="s">
        <v>1317</v>
      </c>
      <c r="C749" s="88" t="s">
        <v>1317</v>
      </c>
      <c r="D749" s="88" t="s">
        <v>55</v>
      </c>
      <c r="E749" s="89" t="s">
        <v>56</v>
      </c>
      <c r="F749" s="90" t="s">
        <v>109</v>
      </c>
      <c r="G749" s="131" t="s">
        <v>132</v>
      </c>
      <c r="H749" s="131">
        <v>23</v>
      </c>
      <c r="I749" s="132" t="s">
        <v>3408</v>
      </c>
      <c r="J749" s="132" t="s">
        <v>3409</v>
      </c>
      <c r="K749" s="90" t="s">
        <v>3410</v>
      </c>
      <c r="L749" s="90" t="s">
        <v>3411</v>
      </c>
      <c r="M749" s="131" t="s">
        <v>69</v>
      </c>
      <c r="N749" s="91" t="s">
        <v>158</v>
      </c>
      <c r="O749" s="92">
        <v>37</v>
      </c>
      <c r="P749" s="88" t="s">
        <v>61</v>
      </c>
      <c r="Q749" s="92" t="s">
        <v>62</v>
      </c>
      <c r="R749" s="92">
        <v>4</v>
      </c>
      <c r="S749" s="92"/>
      <c r="T749" s="131" t="s">
        <v>159</v>
      </c>
      <c r="U749" s="155">
        <v>0</v>
      </c>
      <c r="V749" s="207">
        <v>60</v>
      </c>
      <c r="W749" s="207">
        <v>14</v>
      </c>
      <c r="X749" s="207">
        <v>14</v>
      </c>
      <c r="Y749" s="207" t="s">
        <v>1224</v>
      </c>
      <c r="Z749" s="133">
        <f t="shared" si="1016"/>
        <v>1066.3814371257483</v>
      </c>
      <c r="AA749" s="133">
        <f>VLOOKUP(I749,'[2]PO &amp; SC Sept 2025'!$I$14:$BK$686,55,FALSE)+(($F$3/1000)-1.5)*O749</f>
        <v>1062.3047962962962</v>
      </c>
      <c r="AB749" s="124">
        <f t="shared" ref="AB749" si="1027">AX749/(1-AF749)</f>
        <v>908.86039886039873</v>
      </c>
      <c r="AC749" s="134">
        <f>VLOOKUP(I749,'[2]PO &amp; SC Sept 2025'!$I$14:$BE$686,49,FALSE)+(O749*(($F$4/1000)-1.5))</f>
        <v>916.48897328444218</v>
      </c>
      <c r="AD749" s="213">
        <f t="shared" si="1017"/>
        <v>7.0000000000000007E-2</v>
      </c>
      <c r="AE749" s="213">
        <v>7.0000000000000007E-2</v>
      </c>
      <c r="AF749" s="215">
        <v>0.14499999999999999</v>
      </c>
      <c r="AG749" s="215" t="s">
        <v>9</v>
      </c>
      <c r="AH749" s="148">
        <f t="shared" si="1018"/>
        <v>908.86039886039873</v>
      </c>
      <c r="AI749" s="122">
        <f t="shared" si="1019"/>
        <v>0.14500000000000002</v>
      </c>
      <c r="AJ749" s="444"/>
      <c r="AK749" s="150">
        <f>AW749/(1-AD749)*$F$6</f>
        <v>957.44999999999993</v>
      </c>
      <c r="AL749" s="148">
        <f t="shared" ref="AL749" si="1028">AX749/(1-AE749)</f>
        <v>835.565205403915</v>
      </c>
      <c r="AM749" s="125">
        <f t="shared" si="1020"/>
        <v>0.10215053763440851</v>
      </c>
      <c r="AN749" s="125">
        <f t="shared" si="1021"/>
        <v>8.0645161290322509E-2</v>
      </c>
      <c r="AO749" s="140"/>
      <c r="AP749" s="17" t="s">
        <v>160</v>
      </c>
      <c r="AQ749" s="141"/>
      <c r="AR749" s="141"/>
      <c r="AS749" s="153">
        <v>404</v>
      </c>
      <c r="AT749" s="141"/>
      <c r="AU749" s="141"/>
      <c r="AV749" s="141"/>
      <c r="AW749" s="154">
        <f>AS749+($F$4-1500)/1000*O749</f>
        <v>761.05</v>
      </c>
      <c r="AX749" s="126">
        <f>(AS749+($F$4-1500)/1000*O749)+($F$10/40/R749/$F$6)</f>
        <v>777.07564102564095</v>
      </c>
      <c r="AY749" s="17"/>
      <c r="AZ749" s="128" t="s">
        <v>63</v>
      </c>
      <c r="BB749" s="124">
        <f t="shared" si="1023"/>
        <v>3029.5346628679958</v>
      </c>
      <c r="BC749" s="124">
        <f t="shared" si="1024"/>
        <v>1817.7207977207975</v>
      </c>
      <c r="BD749" s="124">
        <f t="shared" si="1025"/>
        <v>1514.7673314339979</v>
      </c>
      <c r="BE749" s="124">
        <f t="shared" si="1026"/>
        <v>1211.8138651471984</v>
      </c>
    </row>
    <row r="750" spans="1:57" s="129" customFormat="1" hidden="1">
      <c r="A750" s="88" t="s">
        <v>1156</v>
      </c>
      <c r="B750" s="88" t="s">
        <v>1317</v>
      </c>
      <c r="C750" s="88" t="s">
        <v>1317</v>
      </c>
      <c r="D750" s="88" t="s">
        <v>1303</v>
      </c>
      <c r="E750" s="91" t="s">
        <v>1157</v>
      </c>
      <c r="F750" s="90" t="s">
        <v>447</v>
      </c>
      <c r="G750" s="131" t="s">
        <v>253</v>
      </c>
      <c r="H750" s="92">
        <v>26</v>
      </c>
      <c r="I750" s="132" t="s">
        <v>1158</v>
      </c>
      <c r="J750" s="132" t="str">
        <f>_xlfn.XLOOKUP(I750,[1]Sheet1!$A:$A,[1]Sheet1!$B:$B,"")</f>
        <v>Z0101006</v>
      </c>
      <c r="K750" s="91" t="s">
        <v>1159</v>
      </c>
      <c r="L750" s="89"/>
      <c r="M750" s="92"/>
      <c r="N750" s="91" t="s">
        <v>1295</v>
      </c>
      <c r="O750" s="131"/>
      <c r="P750" s="88" t="s">
        <v>1160</v>
      </c>
      <c r="Q750" s="584" t="s">
        <v>1161</v>
      </c>
      <c r="R750" s="92">
        <v>14400</v>
      </c>
      <c r="S750" s="92"/>
      <c r="T750" s="92" t="s">
        <v>403</v>
      </c>
      <c r="U750" s="155">
        <v>0</v>
      </c>
      <c r="V750" s="200">
        <v>60</v>
      </c>
      <c r="W750" s="92">
        <v>55</v>
      </c>
      <c r="X750" s="92">
        <v>55</v>
      </c>
      <c r="Y750" s="207" t="s">
        <v>64</v>
      </c>
      <c r="Z750" s="133">
        <f>AW750/(1-(AF750+2%))</f>
        <v>0.37245099886920463</v>
      </c>
      <c r="AA750" s="133"/>
      <c r="AB750" s="161">
        <f>AX750/(1-AF750)</f>
        <v>0.31796105743727848</v>
      </c>
      <c r="AC750" s="161"/>
      <c r="AD750" s="214">
        <f>AE750</f>
        <v>0.1</v>
      </c>
      <c r="AE750" s="214">
        <v>0.1</v>
      </c>
      <c r="AF750" s="217">
        <v>0.222</v>
      </c>
      <c r="AG750" s="218" t="s">
        <v>1162</v>
      </c>
      <c r="AH750" s="123">
        <f t="shared" ref="AH750:AH796" si="1029">AB750*(1-$AH$3)</f>
        <v>0.28616495169355066</v>
      </c>
      <c r="AI750" s="206">
        <f>1-(AX750/AH750)</f>
        <v>0.13555555555555554</v>
      </c>
      <c r="AJ750" s="444"/>
      <c r="AK750" s="201">
        <f>AW750/(1-AD750)</f>
        <v>0.31368650793650793</v>
      </c>
      <c r="AL750" s="202">
        <f>AX750/(1-AE750)</f>
        <v>0.27485966965133629</v>
      </c>
      <c r="AM750" s="208">
        <f t="shared" ref="AM750:AM795" si="1030">1-(AK750/Z750)</f>
        <v>0.15777777777777768</v>
      </c>
      <c r="AN750" s="208">
        <f t="shared" ref="AN750:AN795" si="1031">1-(AL750/AB750)</f>
        <v>0.13555555555555554</v>
      </c>
      <c r="AP750" s="19" t="s">
        <v>1163</v>
      </c>
      <c r="AQ750" s="434">
        <f>0.001*6.85</f>
        <v>6.8500000000000002E-3</v>
      </c>
      <c r="AR750" s="434">
        <f>0.273*6.85-AQ750/2</f>
        <v>1.866625</v>
      </c>
      <c r="AS750" s="128"/>
      <c r="AT750" s="162"/>
      <c r="AU750" s="180">
        <f t="shared" ref="AU750:AU779" si="1032">($F$2-70000)/2000*AQ750+AR750</f>
        <v>1.9762249999999999</v>
      </c>
      <c r="AV750" s="173"/>
      <c r="AW750" s="433">
        <f t="shared" ref="AW750:AW779" si="1033">(AT750+AU750)/$F$5</f>
        <v>0.28231785714285712</v>
      </c>
      <c r="AX750" s="126">
        <f t="shared" ref="AX750:AX779" si="1034">(AW750/$F$6)+(($F$9+$G$9)/40/R750)+AW750*U750</f>
        <v>0.24737370268620268</v>
      </c>
      <c r="AY750" s="163"/>
      <c r="AZ750" s="19"/>
      <c r="BB750" s="168">
        <f t="shared" si="1023"/>
        <v>1.059870191457595</v>
      </c>
      <c r="BC750" s="168">
        <f t="shared" si="1024"/>
        <v>0.63592211487455697</v>
      </c>
      <c r="BD750" s="168">
        <f t="shared" si="1025"/>
        <v>0.52993509572879749</v>
      </c>
      <c r="BE750" s="168">
        <f t="shared" si="1026"/>
        <v>0.42394807658303801</v>
      </c>
    </row>
    <row r="751" spans="1:57" s="129" customFormat="1" hidden="1">
      <c r="A751" s="88" t="s">
        <v>1156</v>
      </c>
      <c r="B751" s="88" t="s">
        <v>1317</v>
      </c>
      <c r="C751" s="88" t="s">
        <v>1317</v>
      </c>
      <c r="D751" s="88" t="s">
        <v>1303</v>
      </c>
      <c r="E751" s="91" t="s">
        <v>1157</v>
      </c>
      <c r="F751" s="90" t="s">
        <v>447</v>
      </c>
      <c r="G751" s="131" t="s">
        <v>253</v>
      </c>
      <c r="H751" s="92">
        <v>26</v>
      </c>
      <c r="I751" s="132" t="s">
        <v>1164</v>
      </c>
      <c r="J751" s="132" t="str">
        <f>_xlfn.XLOOKUP(I751,[1]Sheet1!$A:$A,[1]Sheet1!$B:$B,"")</f>
        <v>Z0101010</v>
      </c>
      <c r="K751" s="91" t="s">
        <v>449</v>
      </c>
      <c r="L751" s="89"/>
      <c r="M751" s="92"/>
      <c r="N751" s="91" t="s">
        <v>1295</v>
      </c>
      <c r="O751" s="131"/>
      <c r="P751" s="88" t="s">
        <v>1160</v>
      </c>
      <c r="Q751" s="584"/>
      <c r="R751" s="92">
        <v>12800</v>
      </c>
      <c r="S751" s="92"/>
      <c r="T751" s="92" t="s">
        <v>403</v>
      </c>
      <c r="U751" s="155">
        <v>0</v>
      </c>
      <c r="V751" s="200">
        <v>60</v>
      </c>
      <c r="W751" s="92">
        <v>55</v>
      </c>
      <c r="X751" s="92">
        <v>55</v>
      </c>
      <c r="Y751" s="207" t="s">
        <v>64</v>
      </c>
      <c r="Z751" s="133">
        <f t="shared" ref="Z751:Z779" si="1035">AW751/(1-(AF751+2%))</f>
        <v>0.40859875612514129</v>
      </c>
      <c r="AA751" s="133"/>
      <c r="AB751" s="161">
        <f t="shared" ref="AB751:AB814" si="1036">AX751/(1-AF751)</f>
        <v>0.34903863074051056</v>
      </c>
      <c r="AC751" s="161"/>
      <c r="AD751" s="214">
        <f t="shared" ref="AD751:AD814" si="1037">AE751</f>
        <v>0.1</v>
      </c>
      <c r="AE751" s="214">
        <v>0.1</v>
      </c>
      <c r="AF751" s="217">
        <v>0.222</v>
      </c>
      <c r="AG751" s="218" t="s">
        <v>1162</v>
      </c>
      <c r="AH751" s="123">
        <f t="shared" si="1029"/>
        <v>0.31413476766645954</v>
      </c>
      <c r="AI751" s="206">
        <f t="shared" ref="AI751:AI814" si="1038">1-(AX751/AH751)</f>
        <v>0.13555555555555565</v>
      </c>
      <c r="AJ751" s="444"/>
      <c r="AK751" s="201">
        <f t="shared" ref="AK751:AK794" si="1039">AW751/(1-AD751)</f>
        <v>0.34413095238095232</v>
      </c>
      <c r="AL751" s="202">
        <f t="shared" ref="AL751:AL814" si="1040">AX751/(1-AE751)</f>
        <v>0.30172450524013023</v>
      </c>
      <c r="AM751" s="208">
        <f t="shared" si="1030"/>
        <v>0.15777777777777779</v>
      </c>
      <c r="AN751" s="208">
        <f t="shared" si="1031"/>
        <v>0.13555555555555554</v>
      </c>
      <c r="AP751" s="19" t="s">
        <v>1163</v>
      </c>
      <c r="AQ751" s="434">
        <f>0.001*6.85</f>
        <v>6.8500000000000002E-3</v>
      </c>
      <c r="AR751" s="434">
        <f>0.301*6.85-AQ751/2</f>
        <v>2.0584249999999997</v>
      </c>
      <c r="AS751" s="128"/>
      <c r="AT751" s="162"/>
      <c r="AU751" s="180">
        <f t="shared" si="1032"/>
        <v>2.1680249999999996</v>
      </c>
      <c r="AV751" s="173"/>
      <c r="AW751" s="433">
        <f t="shared" si="1033"/>
        <v>0.3097178571428571</v>
      </c>
      <c r="AX751" s="126">
        <f t="shared" si="1034"/>
        <v>0.27155205471611721</v>
      </c>
      <c r="AY751" s="163"/>
      <c r="AZ751" s="19"/>
      <c r="BB751" s="168">
        <f t="shared" si="1023"/>
        <v>1.1634621024683687</v>
      </c>
      <c r="BC751" s="168">
        <f t="shared" si="1024"/>
        <v>0.69807726148102123</v>
      </c>
      <c r="BD751" s="168">
        <f t="shared" si="1025"/>
        <v>0.58173105123418434</v>
      </c>
      <c r="BE751" s="168">
        <f t="shared" si="1026"/>
        <v>0.4653848409873475</v>
      </c>
    </row>
    <row r="752" spans="1:57" s="129" customFormat="1" hidden="1">
      <c r="A752" s="88" t="s">
        <v>1156</v>
      </c>
      <c r="B752" s="88" t="s">
        <v>1317</v>
      </c>
      <c r="C752" s="88" t="s">
        <v>1317</v>
      </c>
      <c r="D752" s="88" t="s">
        <v>1303</v>
      </c>
      <c r="E752" s="91" t="s">
        <v>1157</v>
      </c>
      <c r="F752" s="90" t="s">
        <v>447</v>
      </c>
      <c r="G752" s="131" t="s">
        <v>253</v>
      </c>
      <c r="H752" s="92">
        <v>26</v>
      </c>
      <c r="I752" s="132" t="s">
        <v>1165</v>
      </c>
      <c r="J752" s="132" t="str">
        <f>_xlfn.XLOOKUP(I752,[1]Sheet1!$A:$A,[1]Sheet1!$B:$B,"")</f>
        <v>Z0101009</v>
      </c>
      <c r="K752" s="91" t="s">
        <v>454</v>
      </c>
      <c r="L752" s="89"/>
      <c r="M752" s="92"/>
      <c r="N752" s="91" t="s">
        <v>1295</v>
      </c>
      <c r="O752" s="131"/>
      <c r="P752" s="88" t="s">
        <v>1160</v>
      </c>
      <c r="Q752" s="584"/>
      <c r="R752" s="92">
        <v>8000</v>
      </c>
      <c r="S752" s="92"/>
      <c r="T752" s="92" t="s">
        <v>403</v>
      </c>
      <c r="U752" s="155">
        <v>0</v>
      </c>
      <c r="V752" s="200">
        <v>60</v>
      </c>
      <c r="W752" s="92">
        <v>55</v>
      </c>
      <c r="X752" s="92">
        <v>55</v>
      </c>
      <c r="Y752" s="207" t="s">
        <v>64</v>
      </c>
      <c r="Z752" s="133">
        <f t="shared" si="1035"/>
        <v>0.46992084432717673</v>
      </c>
      <c r="AA752" s="133"/>
      <c r="AB752" s="161">
        <f t="shared" si="1036"/>
        <v>0.40537524992859175</v>
      </c>
      <c r="AC752" s="161"/>
      <c r="AD752" s="214">
        <f t="shared" si="1037"/>
        <v>0.1</v>
      </c>
      <c r="AE752" s="214">
        <v>0.1</v>
      </c>
      <c r="AF752" s="217">
        <v>0.222</v>
      </c>
      <c r="AG752" s="218" t="s">
        <v>1162</v>
      </c>
      <c r="AH752" s="123">
        <f t="shared" si="1029"/>
        <v>0.36483772493573258</v>
      </c>
      <c r="AI752" s="206">
        <f t="shared" si="1038"/>
        <v>0.13555555555555554</v>
      </c>
      <c r="AJ752" s="444"/>
      <c r="AK752" s="201">
        <f t="shared" si="1039"/>
        <v>0.39577777777777773</v>
      </c>
      <c r="AL752" s="202">
        <f t="shared" si="1040"/>
        <v>0.35042438271604931</v>
      </c>
      <c r="AM752" s="208">
        <f t="shared" si="1030"/>
        <v>0.15777777777777779</v>
      </c>
      <c r="AN752" s="208">
        <f t="shared" si="1031"/>
        <v>0.13555555555555554</v>
      </c>
      <c r="AP752" s="19" t="s">
        <v>1163</v>
      </c>
      <c r="AQ752" s="434">
        <f>0.002*6.85</f>
        <v>1.37E-2</v>
      </c>
      <c r="AR752" s="434">
        <f>0.333*6.85-AQ752/2</f>
        <v>2.2742</v>
      </c>
      <c r="AS752" s="128"/>
      <c r="AT752" s="162"/>
      <c r="AU752" s="180">
        <f t="shared" si="1032"/>
        <v>2.4933999999999998</v>
      </c>
      <c r="AV752" s="173"/>
      <c r="AW752" s="433">
        <f t="shared" si="1033"/>
        <v>0.35619999999999996</v>
      </c>
      <c r="AX752" s="126">
        <f t="shared" si="1034"/>
        <v>0.3153819444444444</v>
      </c>
      <c r="AY752" s="163"/>
      <c r="AZ752" s="19"/>
      <c r="BB752" s="168">
        <f t="shared" si="1023"/>
        <v>1.3512508330953059</v>
      </c>
      <c r="BC752" s="168">
        <f t="shared" si="1024"/>
        <v>0.8107504998571835</v>
      </c>
      <c r="BD752" s="168">
        <f t="shared" si="1025"/>
        <v>0.67562541654765296</v>
      </c>
      <c r="BE752" s="168">
        <f t="shared" si="1026"/>
        <v>0.54050033323812241</v>
      </c>
    </row>
    <row r="753" spans="1:57" s="129" customFormat="1" hidden="1">
      <c r="A753" s="88" t="s">
        <v>1156</v>
      </c>
      <c r="B753" s="88" t="s">
        <v>1317</v>
      </c>
      <c r="C753" s="88" t="s">
        <v>1317</v>
      </c>
      <c r="D753" s="88" t="s">
        <v>1303</v>
      </c>
      <c r="E753" s="91" t="s">
        <v>1157</v>
      </c>
      <c r="F753" s="90" t="s">
        <v>447</v>
      </c>
      <c r="G753" s="131" t="s">
        <v>253</v>
      </c>
      <c r="H753" s="92">
        <v>26</v>
      </c>
      <c r="I753" s="132" t="s">
        <v>1166</v>
      </c>
      <c r="J753" s="132" t="str">
        <f>_xlfn.XLOOKUP(I753,[1]Sheet1!$A:$A,[1]Sheet1!$B:$B,"")</f>
        <v>Z0101008</v>
      </c>
      <c r="K753" s="91" t="s">
        <v>458</v>
      </c>
      <c r="L753" s="89"/>
      <c r="M753" s="92"/>
      <c r="N753" s="91" t="s">
        <v>1295</v>
      </c>
      <c r="O753" s="131"/>
      <c r="P753" s="88" t="s">
        <v>1160</v>
      </c>
      <c r="Q753" s="584"/>
      <c r="R753" s="92">
        <v>4480</v>
      </c>
      <c r="S753" s="92"/>
      <c r="T753" s="92" t="s">
        <v>403</v>
      </c>
      <c r="U753" s="155">
        <v>0</v>
      </c>
      <c r="V753" s="200">
        <v>60</v>
      </c>
      <c r="W753" s="92">
        <v>55</v>
      </c>
      <c r="X753" s="92">
        <v>55</v>
      </c>
      <c r="Y753" s="207" t="s">
        <v>64</v>
      </c>
      <c r="Z753" s="133">
        <f t="shared" si="1035"/>
        <v>0.6099934036939314</v>
      </c>
      <c r="AA753" s="133"/>
      <c r="AB753" s="161">
        <f t="shared" si="1036"/>
        <v>0.5330636988333004</v>
      </c>
      <c r="AC753" s="161"/>
      <c r="AD753" s="214">
        <f t="shared" si="1037"/>
        <v>0.1</v>
      </c>
      <c r="AE753" s="214">
        <v>0.1</v>
      </c>
      <c r="AF753" s="217">
        <v>0.222</v>
      </c>
      <c r="AG753" s="218" t="s">
        <v>1162</v>
      </c>
      <c r="AH753" s="123">
        <f t="shared" si="1029"/>
        <v>0.47975732894997036</v>
      </c>
      <c r="AI753" s="206">
        <f t="shared" si="1038"/>
        <v>0.13555555555555554</v>
      </c>
      <c r="AJ753" s="444"/>
      <c r="AK753" s="201">
        <f t="shared" si="1039"/>
        <v>0.51375000000000004</v>
      </c>
      <c r="AL753" s="202">
        <f t="shared" si="1040"/>
        <v>0.46080395299145305</v>
      </c>
      <c r="AM753" s="208">
        <f t="shared" si="1030"/>
        <v>0.15777777777777768</v>
      </c>
      <c r="AN753" s="208">
        <f t="shared" si="1031"/>
        <v>0.13555555555555554</v>
      </c>
      <c r="AP753" s="19" t="s">
        <v>1163</v>
      </c>
      <c r="AQ753" s="434">
        <f>0.003*6.85</f>
        <v>2.0549999999999999E-2</v>
      </c>
      <c r="AR753" s="434">
        <f>0.426*6.85-AQ753/2</f>
        <v>2.9078249999999999</v>
      </c>
      <c r="AS753" s="128"/>
      <c r="AT753" s="162"/>
      <c r="AU753" s="180">
        <f t="shared" si="1032"/>
        <v>3.2366250000000001</v>
      </c>
      <c r="AV753" s="173"/>
      <c r="AW753" s="433">
        <f t="shared" si="1033"/>
        <v>0.46237500000000004</v>
      </c>
      <c r="AX753" s="126">
        <f t="shared" si="1034"/>
        <v>0.41472355769230773</v>
      </c>
      <c r="AY753" s="163"/>
      <c r="AZ753" s="19"/>
      <c r="BB753" s="168">
        <f t="shared" si="1023"/>
        <v>1.7768789961110014</v>
      </c>
      <c r="BC753" s="168">
        <f t="shared" si="1024"/>
        <v>1.0661273976666008</v>
      </c>
      <c r="BD753" s="168">
        <f t="shared" si="1025"/>
        <v>0.88843949805550071</v>
      </c>
      <c r="BE753" s="168">
        <f t="shared" si="1026"/>
        <v>0.71075159844440061</v>
      </c>
    </row>
    <row r="754" spans="1:57" s="129" customFormat="1" hidden="1">
      <c r="A754" s="88" t="s">
        <v>1156</v>
      </c>
      <c r="B754" s="88" t="s">
        <v>1317</v>
      </c>
      <c r="C754" s="88" t="s">
        <v>1317</v>
      </c>
      <c r="D754" s="88" t="s">
        <v>1303</v>
      </c>
      <c r="E754" s="91" t="s">
        <v>1157</v>
      </c>
      <c r="F754" s="90" t="s">
        <v>447</v>
      </c>
      <c r="G754" s="131" t="s">
        <v>253</v>
      </c>
      <c r="H754" s="92">
        <v>26</v>
      </c>
      <c r="I754" s="132" t="s">
        <v>1167</v>
      </c>
      <c r="J754" s="132" t="str">
        <f>_xlfn.XLOOKUP(I754,[1]Sheet1!$A:$A,[1]Sheet1!$B:$B,"")</f>
        <v>Z0101012</v>
      </c>
      <c r="K754" s="91" t="s">
        <v>462</v>
      </c>
      <c r="L754" s="89"/>
      <c r="M754" s="92"/>
      <c r="N754" s="91" t="s">
        <v>1295</v>
      </c>
      <c r="O754" s="131"/>
      <c r="P754" s="88" t="s">
        <v>1160</v>
      </c>
      <c r="Q754" s="584"/>
      <c r="R754" s="92">
        <v>3200</v>
      </c>
      <c r="S754" s="92"/>
      <c r="T754" s="92" t="s">
        <v>403</v>
      </c>
      <c r="U754" s="155">
        <v>0</v>
      </c>
      <c r="V754" s="200">
        <v>60</v>
      </c>
      <c r="W754" s="92">
        <v>55</v>
      </c>
      <c r="X754" s="92">
        <v>55</v>
      </c>
      <c r="Y754" s="207" t="s">
        <v>64</v>
      </c>
      <c r="Z754" s="133">
        <f t="shared" si="1035"/>
        <v>0.87012815680361832</v>
      </c>
      <c r="AA754" s="133"/>
      <c r="AB754" s="161">
        <f t="shared" si="1036"/>
        <v>0.75972725414402775</v>
      </c>
      <c r="AC754" s="161"/>
      <c r="AD754" s="214">
        <f t="shared" si="1037"/>
        <v>0.1</v>
      </c>
      <c r="AE754" s="214">
        <v>0.1</v>
      </c>
      <c r="AF754" s="217">
        <v>0.222</v>
      </c>
      <c r="AG754" s="218" t="s">
        <v>1162</v>
      </c>
      <c r="AH754" s="123">
        <f t="shared" si="1029"/>
        <v>0.68375452872962494</v>
      </c>
      <c r="AI754" s="206">
        <f t="shared" si="1038"/>
        <v>0.13555555555555543</v>
      </c>
      <c r="AJ754" s="444"/>
      <c r="AK754" s="201">
        <f t="shared" si="1039"/>
        <v>0.73284126984126974</v>
      </c>
      <c r="AL754" s="202">
        <f t="shared" si="1040"/>
        <v>0.65674200413783734</v>
      </c>
      <c r="AM754" s="208">
        <f t="shared" si="1030"/>
        <v>0.15777777777777768</v>
      </c>
      <c r="AN754" s="208">
        <f t="shared" si="1031"/>
        <v>0.13555555555555554</v>
      </c>
      <c r="AP754" s="19" t="s">
        <v>1163</v>
      </c>
      <c r="AQ754" s="434">
        <f>0.006*6.85</f>
        <v>4.1099999999999998E-2</v>
      </c>
      <c r="AR754" s="434">
        <f>0.581*6.85-AQ754/2</f>
        <v>3.9592999999999994</v>
      </c>
      <c r="AS754" s="128"/>
      <c r="AT754" s="162"/>
      <c r="AU754" s="180">
        <f t="shared" si="1032"/>
        <v>4.6168999999999993</v>
      </c>
      <c r="AV754" s="173"/>
      <c r="AW754" s="433">
        <f t="shared" si="1033"/>
        <v>0.65955714285714273</v>
      </c>
      <c r="AX754" s="126">
        <f t="shared" si="1034"/>
        <v>0.59106780372405365</v>
      </c>
      <c r="AY754" s="163"/>
      <c r="AZ754" s="19"/>
      <c r="BB754" s="168">
        <f t="shared" si="1023"/>
        <v>2.5324241804800924</v>
      </c>
      <c r="BC754" s="168">
        <f t="shared" si="1024"/>
        <v>1.5194545082880555</v>
      </c>
      <c r="BD754" s="168">
        <f t="shared" si="1025"/>
        <v>1.2662120902400462</v>
      </c>
      <c r="BE754" s="168">
        <f t="shared" si="1026"/>
        <v>1.0129696721920369</v>
      </c>
    </row>
    <row r="755" spans="1:57" s="129" customFormat="1" hidden="1">
      <c r="A755" s="88" t="s">
        <v>1156</v>
      </c>
      <c r="B755" s="88" t="s">
        <v>1317</v>
      </c>
      <c r="C755" s="88" t="s">
        <v>1317</v>
      </c>
      <c r="D755" s="88" t="s">
        <v>1303</v>
      </c>
      <c r="E755" s="91" t="s">
        <v>1157</v>
      </c>
      <c r="F755" s="90" t="s">
        <v>447</v>
      </c>
      <c r="G755" s="131" t="s">
        <v>253</v>
      </c>
      <c r="H755" s="92">
        <v>26</v>
      </c>
      <c r="I755" s="132" t="s">
        <v>1168</v>
      </c>
      <c r="J755" s="132" t="str">
        <f>_xlfn.XLOOKUP(I755,[1]Sheet1!$A:$A,[1]Sheet1!$B:$B,"")</f>
        <v>Z0101003</v>
      </c>
      <c r="K755" s="91" t="s">
        <v>1169</v>
      </c>
      <c r="L755" s="89"/>
      <c r="M755" s="92"/>
      <c r="N755" s="91" t="s">
        <v>1295</v>
      </c>
      <c r="O755" s="131"/>
      <c r="P755" s="88" t="s">
        <v>1160</v>
      </c>
      <c r="Q755" s="584"/>
      <c r="R755" s="92">
        <v>2560</v>
      </c>
      <c r="S755" s="92"/>
      <c r="T755" s="92" t="s">
        <v>403</v>
      </c>
      <c r="U755" s="155">
        <v>0</v>
      </c>
      <c r="V755" s="200">
        <v>60</v>
      </c>
      <c r="W755" s="92">
        <v>55</v>
      </c>
      <c r="X755" s="92">
        <v>55</v>
      </c>
      <c r="Y755" s="207" t="s">
        <v>64</v>
      </c>
      <c r="Z755" s="133">
        <f t="shared" si="1035"/>
        <v>1.180611571805503</v>
      </c>
      <c r="AA755" s="133"/>
      <c r="AB755" s="161">
        <f t="shared" si="1036"/>
        <v>1.0270623841579014</v>
      </c>
      <c r="AC755" s="161"/>
      <c r="AD755" s="214">
        <f t="shared" si="1037"/>
        <v>0.1</v>
      </c>
      <c r="AE755" s="214">
        <v>0.1</v>
      </c>
      <c r="AF755" s="217">
        <v>0.222</v>
      </c>
      <c r="AG755" s="218" t="s">
        <v>1162</v>
      </c>
      <c r="AH755" s="123">
        <f t="shared" si="1029"/>
        <v>0.92435614574211133</v>
      </c>
      <c r="AI755" s="206">
        <f t="shared" si="1038"/>
        <v>0.13555555555555554</v>
      </c>
      <c r="AJ755" s="444"/>
      <c r="AK755" s="201">
        <f t="shared" si="1039"/>
        <v>0.99433730158730149</v>
      </c>
      <c r="AL755" s="202">
        <f t="shared" si="1040"/>
        <v>0.88783837208316374</v>
      </c>
      <c r="AM755" s="208">
        <f t="shared" si="1030"/>
        <v>0.15777777777777768</v>
      </c>
      <c r="AN755" s="208">
        <f t="shared" si="1031"/>
        <v>0.13555555555555543</v>
      </c>
      <c r="AP755" s="19" t="s">
        <v>1163</v>
      </c>
      <c r="AQ755" s="434">
        <f>0.009*6.85</f>
        <v>6.164999999999999E-2</v>
      </c>
      <c r="AR755" s="434">
        <f>0.775*6.85-AQ755/2</f>
        <v>5.2779249999999998</v>
      </c>
      <c r="AS755" s="128"/>
      <c r="AT755" s="162"/>
      <c r="AU755" s="180">
        <f t="shared" si="1032"/>
        <v>6.2643249999999995</v>
      </c>
      <c r="AV755" s="173"/>
      <c r="AW755" s="433">
        <f t="shared" si="1033"/>
        <v>0.89490357142857135</v>
      </c>
      <c r="AX755" s="126">
        <f t="shared" si="1034"/>
        <v>0.79905453487484734</v>
      </c>
      <c r="AY755" s="163"/>
      <c r="AZ755" s="19"/>
      <c r="BB755" s="168">
        <f t="shared" ref="BB755:BB823" si="1041">AB755/0.3</f>
        <v>3.4235412805263383</v>
      </c>
      <c r="BC755" s="168">
        <f t="shared" ref="BC755:BC823" si="1042">BB755*0.6</f>
        <v>2.0541247683158028</v>
      </c>
      <c r="BD755" s="168">
        <f t="shared" ref="BD755:BD823" si="1043">BB755*0.5</f>
        <v>1.7117706402631692</v>
      </c>
      <c r="BE755" s="168">
        <f t="shared" ref="BE755:BE823" si="1044">BB755*0.4</f>
        <v>1.3694165122105355</v>
      </c>
    </row>
    <row r="756" spans="1:57" s="129" customFormat="1" hidden="1">
      <c r="A756" s="88" t="s">
        <v>1156</v>
      </c>
      <c r="B756" s="88" t="s">
        <v>1317</v>
      </c>
      <c r="C756" s="88" t="s">
        <v>1317</v>
      </c>
      <c r="D756" s="88" t="s">
        <v>1303</v>
      </c>
      <c r="E756" s="91" t="s">
        <v>1157</v>
      </c>
      <c r="F756" s="90" t="s">
        <v>447</v>
      </c>
      <c r="G756" s="131" t="s">
        <v>253</v>
      </c>
      <c r="H756" s="92">
        <v>26</v>
      </c>
      <c r="I756" s="132" t="s">
        <v>1170</v>
      </c>
      <c r="J756" s="132" t="str">
        <f>_xlfn.XLOOKUP(I756,[1]Sheet1!$A:$A,[1]Sheet1!$B:$B,"")</f>
        <v>Z0101001</v>
      </c>
      <c r="K756" s="91" t="s">
        <v>470</v>
      </c>
      <c r="L756" s="89"/>
      <c r="M756" s="92"/>
      <c r="N756" s="91" t="s">
        <v>1295</v>
      </c>
      <c r="O756" s="131"/>
      <c r="P756" s="88" t="s">
        <v>1160</v>
      </c>
      <c r="Q756" s="584"/>
      <c r="R756" s="92">
        <v>1600</v>
      </c>
      <c r="S756" s="92"/>
      <c r="T756" s="92" t="s">
        <v>403</v>
      </c>
      <c r="U756" s="155">
        <v>0</v>
      </c>
      <c r="V756" s="200">
        <v>60</v>
      </c>
      <c r="W756" s="92">
        <v>55</v>
      </c>
      <c r="X756" s="92">
        <v>55</v>
      </c>
      <c r="Y756" s="207" t="s">
        <v>64</v>
      </c>
      <c r="Z756" s="133">
        <f t="shared" si="1035"/>
        <v>1.7602666792310591</v>
      </c>
      <c r="AA756" s="133"/>
      <c r="AB756" s="161">
        <f t="shared" si="1036"/>
        <v>1.5361177222520408</v>
      </c>
      <c r="AC756" s="161"/>
      <c r="AD756" s="214">
        <f t="shared" si="1037"/>
        <v>0.1</v>
      </c>
      <c r="AE756" s="214">
        <v>0.1</v>
      </c>
      <c r="AF756" s="217">
        <v>0.222</v>
      </c>
      <c r="AG756" s="218" t="s">
        <v>1162</v>
      </c>
      <c r="AH756" s="123">
        <f t="shared" si="1029"/>
        <v>1.3825059500268368</v>
      </c>
      <c r="AI756" s="206">
        <f t="shared" si="1038"/>
        <v>0.13555555555555554</v>
      </c>
      <c r="AJ756" s="444"/>
      <c r="AK756" s="201">
        <f t="shared" si="1039"/>
        <v>1.4825357142857141</v>
      </c>
      <c r="AL756" s="202">
        <f t="shared" si="1040"/>
        <v>1.3278884310134309</v>
      </c>
      <c r="AM756" s="208">
        <f t="shared" si="1030"/>
        <v>0.15777777777777779</v>
      </c>
      <c r="AN756" s="208">
        <f t="shared" si="1031"/>
        <v>0.13555555555555554</v>
      </c>
      <c r="AP756" s="19" t="s">
        <v>1163</v>
      </c>
      <c r="AQ756" s="434">
        <f>0.015*6.85</f>
        <v>0.10274999999999999</v>
      </c>
      <c r="AR756" s="434">
        <f>1.131*6.85-AQ756/2</f>
        <v>7.6959749999999998</v>
      </c>
      <c r="AS756" s="128"/>
      <c r="AT756" s="162"/>
      <c r="AU756" s="180">
        <f t="shared" si="1032"/>
        <v>9.339974999999999</v>
      </c>
      <c r="AV756" s="173"/>
      <c r="AW756" s="433">
        <f t="shared" si="1033"/>
        <v>1.3342821428571428</v>
      </c>
      <c r="AX756" s="126">
        <f t="shared" si="1034"/>
        <v>1.1950995879120878</v>
      </c>
      <c r="AY756" s="163"/>
      <c r="AZ756" s="19"/>
      <c r="BB756" s="168">
        <f t="shared" si="1041"/>
        <v>5.1203924075068032</v>
      </c>
      <c r="BC756" s="168">
        <f t="shared" si="1042"/>
        <v>3.072235444504082</v>
      </c>
      <c r="BD756" s="168">
        <f t="shared" si="1043"/>
        <v>2.5601962037534016</v>
      </c>
      <c r="BE756" s="168">
        <f t="shared" si="1044"/>
        <v>2.0481569630027212</v>
      </c>
    </row>
    <row r="757" spans="1:57" s="129" customFormat="1" hidden="1">
      <c r="A757" s="88" t="s">
        <v>1156</v>
      </c>
      <c r="B757" s="88" t="s">
        <v>1317</v>
      </c>
      <c r="C757" s="88" t="s">
        <v>1317</v>
      </c>
      <c r="D757" s="88" t="s">
        <v>1303</v>
      </c>
      <c r="E757" s="91" t="s">
        <v>1157</v>
      </c>
      <c r="F757" s="90" t="s">
        <v>447</v>
      </c>
      <c r="G757" s="131" t="s">
        <v>253</v>
      </c>
      <c r="H757" s="92">
        <v>26</v>
      </c>
      <c r="I757" s="132" t="s">
        <v>1171</v>
      </c>
      <c r="J757" s="132" t="str">
        <f>_xlfn.XLOOKUP(I757,[1]Sheet1!$A:$A,[1]Sheet1!$B:$B,"")</f>
        <v>Z0101007</v>
      </c>
      <c r="K757" s="91" t="s">
        <v>1172</v>
      </c>
      <c r="L757" s="89"/>
      <c r="M757" s="92"/>
      <c r="N757" s="91" t="s">
        <v>1295</v>
      </c>
      <c r="O757" s="131"/>
      <c r="P757" s="88" t="s">
        <v>1160</v>
      </c>
      <c r="Q757" s="584"/>
      <c r="R757" s="92">
        <v>960</v>
      </c>
      <c r="S757" s="92"/>
      <c r="T757" s="92" t="s">
        <v>403</v>
      </c>
      <c r="U757" s="155">
        <v>0</v>
      </c>
      <c r="V757" s="200">
        <v>60</v>
      </c>
      <c r="W757" s="92">
        <v>55</v>
      </c>
      <c r="X757" s="92">
        <v>55</v>
      </c>
      <c r="Y757" s="207" t="s">
        <v>64</v>
      </c>
      <c r="Z757" s="133">
        <f t="shared" si="1035"/>
        <v>3.2410337353938927</v>
      </c>
      <c r="AA757" s="133"/>
      <c r="AB757" s="161">
        <f t="shared" si="1036"/>
        <v>2.8160571665552379</v>
      </c>
      <c r="AC757" s="161"/>
      <c r="AD757" s="214">
        <f t="shared" si="1037"/>
        <v>0.1</v>
      </c>
      <c r="AE757" s="214">
        <v>0.1</v>
      </c>
      <c r="AF757" s="217">
        <v>0.222</v>
      </c>
      <c r="AG757" s="218" t="s">
        <v>1162</v>
      </c>
      <c r="AH757" s="123">
        <f t="shared" si="1029"/>
        <v>2.5344514498997142</v>
      </c>
      <c r="AI757" s="206">
        <f t="shared" si="1038"/>
        <v>0.13555555555555554</v>
      </c>
      <c r="AJ757" s="444"/>
      <c r="AK757" s="201">
        <f t="shared" si="1039"/>
        <v>2.7296706349206343</v>
      </c>
      <c r="AL757" s="202">
        <f t="shared" si="1040"/>
        <v>2.434324972866639</v>
      </c>
      <c r="AM757" s="208">
        <f t="shared" si="1030"/>
        <v>0.15777777777777768</v>
      </c>
      <c r="AN757" s="208">
        <f t="shared" si="1031"/>
        <v>0.13555555555555554</v>
      </c>
      <c r="AP757" s="19" t="s">
        <v>1163</v>
      </c>
      <c r="AQ757" s="434">
        <f>0.031*6.85</f>
        <v>0.21234999999999998</v>
      </c>
      <c r="AR757" s="434">
        <f>2.03*6.85-AQ757/2</f>
        <v>13.799324999999998</v>
      </c>
      <c r="AS757" s="128"/>
      <c r="AT757" s="162"/>
      <c r="AU757" s="180">
        <f t="shared" si="1032"/>
        <v>17.196924999999997</v>
      </c>
      <c r="AV757" s="173"/>
      <c r="AW757" s="433">
        <f t="shared" si="1033"/>
        <v>2.4567035714285708</v>
      </c>
      <c r="AX757" s="126">
        <f t="shared" si="1034"/>
        <v>2.1908924755799752</v>
      </c>
      <c r="AY757" s="163"/>
      <c r="AZ757" s="19"/>
      <c r="BB757" s="168">
        <f t="shared" si="1041"/>
        <v>9.3868572218507929</v>
      </c>
      <c r="BC757" s="168">
        <f t="shared" si="1042"/>
        <v>5.6321143331104757</v>
      </c>
      <c r="BD757" s="168">
        <f t="shared" si="1043"/>
        <v>4.6934286109253964</v>
      </c>
      <c r="BE757" s="168">
        <f t="shared" si="1044"/>
        <v>3.7547428887403171</v>
      </c>
    </row>
    <row r="758" spans="1:57" s="129" customFormat="1" hidden="1">
      <c r="A758" s="88" t="s">
        <v>1156</v>
      </c>
      <c r="B758" s="88" t="s">
        <v>1317</v>
      </c>
      <c r="C758" s="88" t="s">
        <v>1317</v>
      </c>
      <c r="D758" s="88" t="s">
        <v>1303</v>
      </c>
      <c r="E758" s="91" t="s">
        <v>1157</v>
      </c>
      <c r="F758" s="90" t="s">
        <v>447</v>
      </c>
      <c r="G758" s="131" t="s">
        <v>253</v>
      </c>
      <c r="H758" s="92">
        <v>26</v>
      </c>
      <c r="I758" s="132" t="s">
        <v>1173</v>
      </c>
      <c r="J758" s="132" t="str">
        <f>_xlfn.XLOOKUP(I758,[1]Sheet1!$A:$A,[1]Sheet1!$B:$B,"")</f>
        <v>Z0101011</v>
      </c>
      <c r="K758" s="91" t="s">
        <v>1174</v>
      </c>
      <c r="L758" s="89"/>
      <c r="M758" s="92"/>
      <c r="N758" s="91" t="s">
        <v>1295</v>
      </c>
      <c r="O758" s="131"/>
      <c r="P758" s="88" t="s">
        <v>1160</v>
      </c>
      <c r="Q758" s="584"/>
      <c r="R758" s="92">
        <v>640</v>
      </c>
      <c r="S758" s="92"/>
      <c r="T758" s="92" t="s">
        <v>403</v>
      </c>
      <c r="U758" s="155">
        <v>0</v>
      </c>
      <c r="V758" s="200">
        <v>60</v>
      </c>
      <c r="W758" s="92">
        <v>55</v>
      </c>
      <c r="X758" s="92">
        <v>55</v>
      </c>
      <c r="Y758" s="207" t="s">
        <v>64</v>
      </c>
      <c r="Z758" s="133">
        <f t="shared" si="1035"/>
        <v>4.6030295891443638</v>
      </c>
      <c r="AA758" s="133"/>
      <c r="AB758" s="161">
        <f t="shared" si="1036"/>
        <v>4.0088077758787914</v>
      </c>
      <c r="AC758" s="161"/>
      <c r="AD758" s="214">
        <f t="shared" si="1037"/>
        <v>0.1</v>
      </c>
      <c r="AE758" s="214">
        <v>0.1</v>
      </c>
      <c r="AF758" s="217">
        <v>0.222</v>
      </c>
      <c r="AG758" s="218" t="s">
        <v>1162</v>
      </c>
      <c r="AH758" s="123">
        <f t="shared" si="1029"/>
        <v>3.6079269982909126</v>
      </c>
      <c r="AI758" s="206">
        <f t="shared" si="1038"/>
        <v>0.13555555555555565</v>
      </c>
      <c r="AJ758" s="444"/>
      <c r="AK758" s="201">
        <f t="shared" si="1039"/>
        <v>3.8767738095238089</v>
      </c>
      <c r="AL758" s="202">
        <f t="shared" si="1040"/>
        <v>3.4653916107041107</v>
      </c>
      <c r="AM758" s="208">
        <f t="shared" si="1030"/>
        <v>0.15777777777777768</v>
      </c>
      <c r="AN758" s="208">
        <f t="shared" si="1031"/>
        <v>0.13555555555555554</v>
      </c>
      <c r="AP758" s="19" t="s">
        <v>1163</v>
      </c>
      <c r="AQ758" s="434">
        <f>0.045*6.85</f>
        <v>0.30824999999999997</v>
      </c>
      <c r="AR758" s="434">
        <f>2.868*6.85-AQ758/2</f>
        <v>19.491674999999997</v>
      </c>
      <c r="AS758" s="128"/>
      <c r="AT758" s="162"/>
      <c r="AU758" s="180">
        <f t="shared" si="1032"/>
        <v>24.423674999999996</v>
      </c>
      <c r="AV758" s="173"/>
      <c r="AW758" s="433">
        <f t="shared" si="1033"/>
        <v>3.4890964285714281</v>
      </c>
      <c r="AX758" s="126">
        <f t="shared" si="1034"/>
        <v>3.1188524496336996</v>
      </c>
      <c r="AY758" s="163"/>
      <c r="AZ758" s="19"/>
      <c r="BB758" s="168">
        <f t="shared" si="1041"/>
        <v>13.362692586262639</v>
      </c>
      <c r="BC758" s="168">
        <f t="shared" si="1042"/>
        <v>8.0176155517575829</v>
      </c>
      <c r="BD758" s="168">
        <f t="shared" si="1043"/>
        <v>6.6813462931313197</v>
      </c>
      <c r="BE758" s="168">
        <f t="shared" si="1044"/>
        <v>5.3450770345050564</v>
      </c>
    </row>
    <row r="759" spans="1:57" s="129" customFormat="1" hidden="1">
      <c r="A759" s="88" t="s">
        <v>1156</v>
      </c>
      <c r="B759" s="88" t="s">
        <v>1317</v>
      </c>
      <c r="C759" s="88" t="s">
        <v>1317</v>
      </c>
      <c r="D759" s="88" t="s">
        <v>1303</v>
      </c>
      <c r="E759" s="91" t="s">
        <v>1157</v>
      </c>
      <c r="F759" s="90" t="s">
        <v>447</v>
      </c>
      <c r="G759" s="131" t="s">
        <v>253</v>
      </c>
      <c r="H759" s="92">
        <v>26</v>
      </c>
      <c r="I759" s="132" t="s">
        <v>1175</v>
      </c>
      <c r="J759" s="132" t="str">
        <f>_xlfn.XLOOKUP(I759,[1]Sheet1!$A:$A,[1]Sheet1!$B:$B,"")</f>
        <v>Z0101005</v>
      </c>
      <c r="K759" s="91" t="s">
        <v>1176</v>
      </c>
      <c r="L759" s="89"/>
      <c r="M759" s="92"/>
      <c r="N759" s="91" t="s">
        <v>1295</v>
      </c>
      <c r="O759" s="131"/>
      <c r="P759" s="88" t="s">
        <v>1160</v>
      </c>
      <c r="Q759" s="584"/>
      <c r="R759" s="92">
        <v>480</v>
      </c>
      <c r="S759" s="92"/>
      <c r="T759" s="92" t="s">
        <v>403</v>
      </c>
      <c r="U759" s="155">
        <v>0</v>
      </c>
      <c r="V759" s="200">
        <v>60</v>
      </c>
      <c r="W759" s="92">
        <v>55</v>
      </c>
      <c r="X759" s="92">
        <v>55</v>
      </c>
      <c r="Y759" s="207" t="s">
        <v>64</v>
      </c>
      <c r="Z759" s="133">
        <f t="shared" si="1035"/>
        <v>6.2083773087071235</v>
      </c>
      <c r="AA759" s="133"/>
      <c r="AB759" s="161">
        <f t="shared" si="1036"/>
        <v>5.4042045679256479</v>
      </c>
      <c r="AC759" s="161"/>
      <c r="AD759" s="214">
        <f t="shared" si="1037"/>
        <v>0.1</v>
      </c>
      <c r="AE759" s="214">
        <v>0.1</v>
      </c>
      <c r="AF759" s="217">
        <v>0.222</v>
      </c>
      <c r="AG759" s="218" t="s">
        <v>1162</v>
      </c>
      <c r="AH759" s="123">
        <f t="shared" si="1029"/>
        <v>4.8637841111330831</v>
      </c>
      <c r="AI759" s="206">
        <f t="shared" si="1038"/>
        <v>0.13555555555555554</v>
      </c>
      <c r="AJ759" s="444"/>
      <c r="AK759" s="201">
        <f t="shared" si="1039"/>
        <v>5.2288333333333332</v>
      </c>
      <c r="AL759" s="202">
        <f t="shared" si="1040"/>
        <v>4.6716346153846162</v>
      </c>
      <c r="AM759" s="208">
        <f t="shared" si="1030"/>
        <v>0.15777777777777768</v>
      </c>
      <c r="AN759" s="208">
        <f t="shared" si="1031"/>
        <v>0.13555555555555543</v>
      </c>
      <c r="AP759" s="19" t="s">
        <v>1163</v>
      </c>
      <c r="AQ759" s="434">
        <f>0.062*6.85</f>
        <v>0.42469999999999997</v>
      </c>
      <c r="AR759" s="434">
        <f>3.848*6.85-AQ759/2</f>
        <v>26.146449999999998</v>
      </c>
      <c r="AS759" s="128"/>
      <c r="AT759" s="162"/>
      <c r="AU759" s="180">
        <f t="shared" si="1032"/>
        <v>32.941649999999996</v>
      </c>
      <c r="AV759" s="173"/>
      <c r="AW759" s="433">
        <f t="shared" si="1033"/>
        <v>4.7059499999999996</v>
      </c>
      <c r="AX759" s="126">
        <f t="shared" si="1034"/>
        <v>4.2044711538461543</v>
      </c>
      <c r="AY759" s="163"/>
      <c r="AZ759" s="19"/>
      <c r="BB759" s="168">
        <f t="shared" si="1041"/>
        <v>18.014015226418827</v>
      </c>
      <c r="BC759" s="168">
        <f t="shared" si="1042"/>
        <v>10.808409135851296</v>
      </c>
      <c r="BD759" s="168">
        <f t="shared" si="1043"/>
        <v>9.0070076132094137</v>
      </c>
      <c r="BE759" s="168">
        <f t="shared" si="1044"/>
        <v>7.2056060905675317</v>
      </c>
    </row>
    <row r="760" spans="1:57" s="129" customFormat="1" hidden="1">
      <c r="A760" s="88" t="s">
        <v>1156</v>
      </c>
      <c r="B760" s="88" t="s">
        <v>1317</v>
      </c>
      <c r="C760" s="88" t="s">
        <v>1317</v>
      </c>
      <c r="D760" s="88" t="s">
        <v>1303</v>
      </c>
      <c r="E760" s="91" t="s">
        <v>1157</v>
      </c>
      <c r="F760" s="90" t="s">
        <v>447</v>
      </c>
      <c r="G760" s="131" t="s">
        <v>253</v>
      </c>
      <c r="H760" s="92">
        <v>26</v>
      </c>
      <c r="I760" s="132" t="s">
        <v>1177</v>
      </c>
      <c r="J760" s="132" t="str">
        <f>_xlfn.XLOOKUP(I760,[1]Sheet1!$A:$A,[1]Sheet1!$B:$B,"")</f>
        <v>Z0101004</v>
      </c>
      <c r="K760" s="91" t="s">
        <v>1178</v>
      </c>
      <c r="L760" s="89"/>
      <c r="M760" s="92"/>
      <c r="N760" s="91" t="s">
        <v>1295</v>
      </c>
      <c r="O760" s="131"/>
      <c r="P760" s="88" t="s">
        <v>1160</v>
      </c>
      <c r="Q760" s="584"/>
      <c r="R760" s="92">
        <v>480</v>
      </c>
      <c r="S760" s="92"/>
      <c r="T760" s="92" t="s">
        <v>403</v>
      </c>
      <c r="U760" s="155">
        <v>0</v>
      </c>
      <c r="V760" s="200">
        <v>60</v>
      </c>
      <c r="W760" s="92">
        <v>55</v>
      </c>
      <c r="X760" s="92">
        <v>55</v>
      </c>
      <c r="Y760" s="207" t="s">
        <v>64</v>
      </c>
      <c r="Z760" s="133">
        <f t="shared" si="1035"/>
        <v>7.6575150772710137</v>
      </c>
      <c r="AA760" s="133"/>
      <c r="AB760" s="161">
        <f t="shared" si="1036"/>
        <v>6.6109437727368325</v>
      </c>
      <c r="AC760" s="161"/>
      <c r="AD760" s="214">
        <f t="shared" si="1037"/>
        <v>0.1</v>
      </c>
      <c r="AE760" s="214">
        <v>0.1</v>
      </c>
      <c r="AF760" s="217">
        <v>0.222</v>
      </c>
      <c r="AG760" s="218" t="s">
        <v>1162</v>
      </c>
      <c r="AH760" s="123">
        <f t="shared" si="1029"/>
        <v>5.9498493954631497</v>
      </c>
      <c r="AI760" s="206">
        <f t="shared" si="1038"/>
        <v>0.13555555555555565</v>
      </c>
      <c r="AJ760" s="444"/>
      <c r="AK760" s="201">
        <f t="shared" si="1039"/>
        <v>6.4493293650793646</v>
      </c>
      <c r="AL760" s="202">
        <f t="shared" si="1040"/>
        <v>5.7147936168769506</v>
      </c>
      <c r="AM760" s="208">
        <f t="shared" si="1030"/>
        <v>0.15777777777777779</v>
      </c>
      <c r="AN760" s="208">
        <f t="shared" si="1031"/>
        <v>0.13555555555555554</v>
      </c>
      <c r="AP760" s="19" t="s">
        <v>1163</v>
      </c>
      <c r="AQ760" s="434">
        <f>0.077*6.85</f>
        <v>0.52744999999999997</v>
      </c>
      <c r="AR760" s="434">
        <f>4.738*6.85-AQ760/2</f>
        <v>32.191575</v>
      </c>
      <c r="AS760" s="128"/>
      <c r="AT760" s="162"/>
      <c r="AU760" s="180">
        <f t="shared" si="1032"/>
        <v>40.630775</v>
      </c>
      <c r="AV760" s="173"/>
      <c r="AW760" s="433">
        <f t="shared" si="1033"/>
        <v>5.8043964285714287</v>
      </c>
      <c r="AX760" s="126">
        <f t="shared" si="1034"/>
        <v>5.1433142551892557</v>
      </c>
      <c r="AY760" s="163"/>
      <c r="AZ760" s="19"/>
      <c r="BB760" s="168">
        <f t="shared" si="1041"/>
        <v>22.03647924245611</v>
      </c>
      <c r="BC760" s="168">
        <f t="shared" si="1042"/>
        <v>13.221887545473665</v>
      </c>
      <c r="BD760" s="168">
        <f t="shared" si="1043"/>
        <v>11.018239621228055</v>
      </c>
      <c r="BE760" s="168">
        <f t="shared" si="1044"/>
        <v>8.8145916969824452</v>
      </c>
    </row>
    <row r="761" spans="1:57" s="129" customFormat="1" hidden="1">
      <c r="A761" s="88" t="s">
        <v>1156</v>
      </c>
      <c r="B761" s="88" t="s">
        <v>1317</v>
      </c>
      <c r="C761" s="88" t="s">
        <v>1317</v>
      </c>
      <c r="D761" s="88" t="s">
        <v>1303</v>
      </c>
      <c r="E761" s="91" t="s">
        <v>1157</v>
      </c>
      <c r="F761" s="90" t="s">
        <v>447</v>
      </c>
      <c r="G761" s="131" t="s">
        <v>253</v>
      </c>
      <c r="H761" s="92">
        <v>26</v>
      </c>
      <c r="I761" s="132" t="s">
        <v>1179</v>
      </c>
      <c r="J761" s="132" t="str">
        <f>_xlfn.XLOOKUP(I761,[1]Sheet1!$A:$A,[1]Sheet1!$B:$B,"")</f>
        <v>Z0101002</v>
      </c>
      <c r="K761" s="91" t="s">
        <v>1180</v>
      </c>
      <c r="L761" s="89"/>
      <c r="M761" s="92"/>
      <c r="N761" s="91" t="s">
        <v>1295</v>
      </c>
      <c r="O761" s="131"/>
      <c r="P761" s="88" t="s">
        <v>1160</v>
      </c>
      <c r="Q761" s="584"/>
      <c r="R761" s="92">
        <v>320</v>
      </c>
      <c r="S761" s="92"/>
      <c r="T761" s="92" t="s">
        <v>403</v>
      </c>
      <c r="U761" s="155">
        <v>0</v>
      </c>
      <c r="V761" s="200">
        <v>60</v>
      </c>
      <c r="W761" s="92">
        <v>55</v>
      </c>
      <c r="X761" s="92">
        <v>55</v>
      </c>
      <c r="Y761" s="207" t="s">
        <v>64</v>
      </c>
      <c r="Z761" s="133">
        <f t="shared" si="1035"/>
        <v>9.1040708631737655</v>
      </c>
      <c r="AA761" s="133"/>
      <c r="AB761" s="161">
        <f t="shared" si="1036"/>
        <v>7.9326869128443676</v>
      </c>
      <c r="AC761" s="161"/>
      <c r="AD761" s="214">
        <f t="shared" si="1037"/>
        <v>0.1</v>
      </c>
      <c r="AE761" s="214">
        <v>0.1</v>
      </c>
      <c r="AF761" s="217">
        <v>0.222</v>
      </c>
      <c r="AG761" s="218" t="s">
        <v>1162</v>
      </c>
      <c r="AH761" s="123">
        <f t="shared" si="1029"/>
        <v>7.1394182215599313</v>
      </c>
      <c r="AI761" s="206">
        <f t="shared" si="1038"/>
        <v>0.13555555555555565</v>
      </c>
      <c r="AJ761" s="444"/>
      <c r="AK761" s="201">
        <f t="shared" si="1039"/>
        <v>7.6676507936507932</v>
      </c>
      <c r="AL761" s="202">
        <f t="shared" si="1040"/>
        <v>6.8573671313254643</v>
      </c>
      <c r="AM761" s="208">
        <f t="shared" si="1030"/>
        <v>0.15777777777777779</v>
      </c>
      <c r="AN761" s="208">
        <f t="shared" si="1031"/>
        <v>0.13555555555555554</v>
      </c>
      <c r="AP761" s="19" t="s">
        <v>1163</v>
      </c>
      <c r="AQ761" s="434">
        <f>0.092*6.85</f>
        <v>0.63019999999999998</v>
      </c>
      <c r="AR761" s="434">
        <f>5.626*6.85-AQ761/2</f>
        <v>38.222999999999999</v>
      </c>
      <c r="AS761" s="128"/>
      <c r="AT761" s="162"/>
      <c r="AU761" s="180">
        <f t="shared" si="1032"/>
        <v>48.306199999999997</v>
      </c>
      <c r="AV761" s="173"/>
      <c r="AW761" s="433">
        <f t="shared" si="1033"/>
        <v>6.9008857142857138</v>
      </c>
      <c r="AX761" s="126">
        <f t="shared" si="1034"/>
        <v>6.171630418192918</v>
      </c>
      <c r="AY761" s="163"/>
      <c r="AZ761" s="19"/>
      <c r="BB761" s="168">
        <f t="shared" si="1041"/>
        <v>26.442289709481226</v>
      </c>
      <c r="BC761" s="168">
        <f t="shared" si="1042"/>
        <v>15.865373825688735</v>
      </c>
      <c r="BD761" s="168">
        <f t="shared" si="1043"/>
        <v>13.221144854740613</v>
      </c>
      <c r="BE761" s="168">
        <f t="shared" si="1044"/>
        <v>10.576915883792491</v>
      </c>
    </row>
    <row r="762" spans="1:57" s="129" customFormat="1" hidden="1">
      <c r="A762" s="88" t="s">
        <v>1156</v>
      </c>
      <c r="B762" s="88" t="s">
        <v>1317</v>
      </c>
      <c r="C762" s="88" t="s">
        <v>1317</v>
      </c>
      <c r="D762" s="88" t="s">
        <v>1303</v>
      </c>
      <c r="E762" s="91" t="s">
        <v>1157</v>
      </c>
      <c r="F762" s="90" t="s">
        <v>447</v>
      </c>
      <c r="G762" s="131" t="s">
        <v>253</v>
      </c>
      <c r="H762" s="92">
        <v>26</v>
      </c>
      <c r="I762" s="132" t="s">
        <v>1181</v>
      </c>
      <c r="J762" s="132" t="str">
        <f>_xlfn.XLOOKUP(I762,[1]Sheet1!$A:$A,[1]Sheet1!$B:$B,"")</f>
        <v/>
      </c>
      <c r="K762" s="91" t="s">
        <v>1290</v>
      </c>
      <c r="L762" s="89"/>
      <c r="M762" s="92"/>
      <c r="N762" s="91" t="s">
        <v>1295</v>
      </c>
      <c r="O762" s="131"/>
      <c r="P762" s="88" t="s">
        <v>1160</v>
      </c>
      <c r="Q762" s="584"/>
      <c r="R762" s="92">
        <v>256</v>
      </c>
      <c r="S762" s="92"/>
      <c r="T762" s="92" t="s">
        <v>403</v>
      </c>
      <c r="U762" s="155">
        <v>0</v>
      </c>
      <c r="V762" s="200">
        <v>60</v>
      </c>
      <c r="W762" s="92">
        <v>55</v>
      </c>
      <c r="X762" s="92">
        <v>55</v>
      </c>
      <c r="Y762" s="207" t="s">
        <v>64</v>
      </c>
      <c r="Z762" s="133">
        <f t="shared" si="1035"/>
        <v>14.849627779871842</v>
      </c>
      <c r="AA762" s="133"/>
      <c r="AB762" s="161">
        <f t="shared" si="1036"/>
        <v>12.805044933198049</v>
      </c>
      <c r="AC762" s="161"/>
      <c r="AD762" s="214">
        <f t="shared" si="1037"/>
        <v>0.1</v>
      </c>
      <c r="AE762" s="214">
        <v>0.1</v>
      </c>
      <c r="AF762" s="217">
        <v>0.222</v>
      </c>
      <c r="AG762" s="218" t="s">
        <v>1162</v>
      </c>
      <c r="AH762" s="123">
        <f t="shared" si="1029"/>
        <v>11.524540439878244</v>
      </c>
      <c r="AI762" s="206">
        <f t="shared" si="1038"/>
        <v>0.13555555555555554</v>
      </c>
      <c r="AJ762" s="444"/>
      <c r="AK762" s="201">
        <f t="shared" si="1039"/>
        <v>12.506686507936507</v>
      </c>
      <c r="AL762" s="202">
        <f t="shared" si="1040"/>
        <v>11.069249953364535</v>
      </c>
      <c r="AM762" s="208">
        <f t="shared" si="1030"/>
        <v>0.15777777777777768</v>
      </c>
      <c r="AN762" s="208">
        <f t="shared" si="1031"/>
        <v>0.13555555555555565</v>
      </c>
      <c r="AP762" s="19" t="s">
        <v>1163</v>
      </c>
      <c r="AQ762" s="434">
        <f>0.153*6.85</f>
        <v>1.0480499999999999</v>
      </c>
      <c r="AR762" s="434">
        <f>9.131*6.85-AQ762/2</f>
        <v>62.023325</v>
      </c>
      <c r="AS762" s="128"/>
      <c r="AT762" s="162"/>
      <c r="AU762" s="180">
        <f t="shared" si="1032"/>
        <v>78.792124999999999</v>
      </c>
      <c r="AV762" s="173"/>
      <c r="AW762" s="433">
        <f t="shared" si="1033"/>
        <v>11.256017857142856</v>
      </c>
      <c r="AX762" s="126">
        <f t="shared" si="1034"/>
        <v>9.9623249580280824</v>
      </c>
      <c r="AY762" s="163"/>
      <c r="AZ762" s="19"/>
      <c r="BB762" s="168">
        <f t="shared" si="1041"/>
        <v>42.683483110660163</v>
      </c>
      <c r="BC762" s="168">
        <f t="shared" si="1042"/>
        <v>25.610089866396098</v>
      </c>
      <c r="BD762" s="168">
        <f t="shared" si="1043"/>
        <v>21.341741555330081</v>
      </c>
      <c r="BE762" s="168">
        <f t="shared" si="1044"/>
        <v>17.073393244264064</v>
      </c>
    </row>
    <row r="763" spans="1:57" s="129" customFormat="1" hidden="1">
      <c r="A763" s="88" t="s">
        <v>1156</v>
      </c>
      <c r="B763" s="88" t="s">
        <v>1317</v>
      </c>
      <c r="C763" s="88" t="s">
        <v>1317</v>
      </c>
      <c r="D763" s="88" t="s">
        <v>1303</v>
      </c>
      <c r="E763" s="91" t="s">
        <v>1157</v>
      </c>
      <c r="F763" s="90" t="s">
        <v>536</v>
      </c>
      <c r="G763" s="92" t="s">
        <v>253</v>
      </c>
      <c r="H763" s="92">
        <v>26</v>
      </c>
      <c r="I763" s="132" t="s">
        <v>1182</v>
      </c>
      <c r="J763" s="132" t="str">
        <f>_xlfn.XLOOKUP(I763,[1]Sheet1!$A:$A,[1]Sheet1!$B:$B,"")</f>
        <v>Z0102017</v>
      </c>
      <c r="K763" s="91" t="s">
        <v>1183</v>
      </c>
      <c r="L763" s="89"/>
      <c r="M763" s="92"/>
      <c r="N763" s="91" t="s">
        <v>1295</v>
      </c>
      <c r="O763" s="131"/>
      <c r="P763" s="88" t="s">
        <v>1160</v>
      </c>
      <c r="Q763" s="579" t="s">
        <v>1161</v>
      </c>
      <c r="R763" s="92">
        <v>14400</v>
      </c>
      <c r="S763" s="92"/>
      <c r="T763" s="92" t="s">
        <v>403</v>
      </c>
      <c r="U763" s="155">
        <v>0</v>
      </c>
      <c r="V763" s="200">
        <v>60</v>
      </c>
      <c r="W763" s="92">
        <v>55</v>
      </c>
      <c r="X763" s="92">
        <v>55</v>
      </c>
      <c r="Y763" s="207" t="s">
        <v>64</v>
      </c>
      <c r="Z763" s="133">
        <f t="shared" si="1035"/>
        <v>0.42005985086342218</v>
      </c>
      <c r="AA763" s="133"/>
      <c r="AB763" s="161">
        <f t="shared" si="1036"/>
        <v>0.35754941545382718</v>
      </c>
      <c r="AC763" s="161"/>
      <c r="AD763" s="214">
        <f t="shared" si="1037"/>
        <v>0.1</v>
      </c>
      <c r="AE763" s="214">
        <v>0.1</v>
      </c>
      <c r="AF763" s="215">
        <v>0.252</v>
      </c>
      <c r="AG763" s="218" t="s">
        <v>1162</v>
      </c>
      <c r="AH763" s="123">
        <f t="shared" si="1029"/>
        <v>0.32179447390844446</v>
      </c>
      <c r="AI763" s="206">
        <f t="shared" si="1038"/>
        <v>0.16888888888888887</v>
      </c>
      <c r="AJ763" s="444"/>
      <c r="AK763" s="201">
        <f t="shared" si="1039"/>
        <v>0.33978174603174593</v>
      </c>
      <c r="AL763" s="202">
        <f t="shared" si="1040"/>
        <v>0.29716329195495855</v>
      </c>
      <c r="AM763" s="208">
        <f t="shared" si="1030"/>
        <v>0.19111111111111112</v>
      </c>
      <c r="AN763" s="208">
        <f t="shared" si="1031"/>
        <v>0.16888888888888898</v>
      </c>
      <c r="AP763" s="19" t="s">
        <v>1163</v>
      </c>
      <c r="AQ763" s="434">
        <f>0.001*6.85</f>
        <v>6.8500000000000002E-3</v>
      </c>
      <c r="AR763" s="434">
        <f>0.297*6.85-AQ763/2</f>
        <v>2.0310249999999996</v>
      </c>
      <c r="AS763" s="128"/>
      <c r="AT763" s="162"/>
      <c r="AU763" s="180">
        <f t="shared" si="1032"/>
        <v>2.1406249999999996</v>
      </c>
      <c r="AV763" s="173"/>
      <c r="AW763" s="433">
        <f t="shared" si="1033"/>
        <v>0.30580357142857134</v>
      </c>
      <c r="AX763" s="126">
        <f t="shared" si="1034"/>
        <v>0.26744696275946273</v>
      </c>
      <c r="AY763" s="163"/>
      <c r="AZ763" s="19"/>
      <c r="BB763" s="168">
        <f t="shared" si="1041"/>
        <v>1.1918313848460906</v>
      </c>
      <c r="BC763" s="168">
        <f t="shared" si="1042"/>
        <v>0.71509883090765436</v>
      </c>
      <c r="BD763" s="168">
        <f t="shared" si="1043"/>
        <v>0.59591569242304532</v>
      </c>
      <c r="BE763" s="168">
        <f t="shared" si="1044"/>
        <v>0.47673255393843628</v>
      </c>
    </row>
    <row r="764" spans="1:57" s="129" customFormat="1" hidden="1">
      <c r="A764" s="88" t="s">
        <v>1156</v>
      </c>
      <c r="B764" s="88" t="s">
        <v>1317</v>
      </c>
      <c r="C764" s="88" t="s">
        <v>1317</v>
      </c>
      <c r="D764" s="88" t="s">
        <v>1303</v>
      </c>
      <c r="E764" s="91" t="s">
        <v>1157</v>
      </c>
      <c r="F764" s="90" t="s">
        <v>536</v>
      </c>
      <c r="G764" s="92" t="s">
        <v>253</v>
      </c>
      <c r="H764" s="92">
        <v>26</v>
      </c>
      <c r="I764" s="132" t="s">
        <v>1184</v>
      </c>
      <c r="J764" s="132" t="str">
        <f>_xlfn.XLOOKUP(I764,[1]Sheet1!$A:$A,[1]Sheet1!$B:$B,"")</f>
        <v>Z0102016</v>
      </c>
      <c r="K764" s="91" t="s">
        <v>538</v>
      </c>
      <c r="L764" s="89"/>
      <c r="M764" s="92"/>
      <c r="N764" s="91" t="s">
        <v>1295</v>
      </c>
      <c r="O764" s="131"/>
      <c r="P764" s="88" t="s">
        <v>1160</v>
      </c>
      <c r="Q764" s="579"/>
      <c r="R764" s="92">
        <v>12800</v>
      </c>
      <c r="S764" s="92"/>
      <c r="T764" s="92" t="s">
        <v>403</v>
      </c>
      <c r="U764" s="155">
        <v>0</v>
      </c>
      <c r="V764" s="200">
        <v>60</v>
      </c>
      <c r="W764" s="92">
        <v>55</v>
      </c>
      <c r="X764" s="92">
        <v>55</v>
      </c>
      <c r="Y764" s="207" t="s">
        <v>64</v>
      </c>
      <c r="Z764" s="133">
        <f t="shared" si="1035"/>
        <v>0.46710655416012559</v>
      </c>
      <c r="AA764" s="133"/>
      <c r="AB764" s="161">
        <f t="shared" si="1036"/>
        <v>0.39770055567390122</v>
      </c>
      <c r="AC764" s="161"/>
      <c r="AD764" s="214">
        <f t="shared" si="1037"/>
        <v>0.1</v>
      </c>
      <c r="AE764" s="214">
        <v>0.1</v>
      </c>
      <c r="AF764" s="215">
        <v>0.252</v>
      </c>
      <c r="AG764" s="218" t="s">
        <v>1162</v>
      </c>
      <c r="AH764" s="123">
        <f t="shared" si="1029"/>
        <v>0.35793050010651112</v>
      </c>
      <c r="AI764" s="206">
        <f t="shared" si="1038"/>
        <v>0.16888888888888898</v>
      </c>
      <c r="AJ764" s="444"/>
      <c r="AK764" s="201">
        <f t="shared" si="1039"/>
        <v>0.37783730158730156</v>
      </c>
      <c r="AL764" s="202">
        <f t="shared" si="1040"/>
        <v>0.33053335071564233</v>
      </c>
      <c r="AM764" s="208">
        <f t="shared" si="1030"/>
        <v>0.19111111111111123</v>
      </c>
      <c r="AN764" s="208">
        <f t="shared" si="1031"/>
        <v>0.16888888888888898</v>
      </c>
      <c r="AP764" s="19" t="s">
        <v>1163</v>
      </c>
      <c r="AQ764" s="434">
        <f>0.001*6.85</f>
        <v>6.8500000000000002E-3</v>
      </c>
      <c r="AR764" s="434">
        <f>0.332*6.85-AQ764/2</f>
        <v>2.270775</v>
      </c>
      <c r="AS764" s="128"/>
      <c r="AT764" s="162"/>
      <c r="AU764" s="180">
        <f t="shared" si="1032"/>
        <v>2.3803749999999999</v>
      </c>
      <c r="AV764" s="173"/>
      <c r="AW764" s="433">
        <f t="shared" si="1033"/>
        <v>0.3400535714285714</v>
      </c>
      <c r="AX764" s="126">
        <f t="shared" si="1034"/>
        <v>0.29748001564407811</v>
      </c>
      <c r="AY764" s="163"/>
      <c r="AZ764" s="19"/>
      <c r="BB764" s="168">
        <f t="shared" si="1041"/>
        <v>1.3256685189130042</v>
      </c>
      <c r="BC764" s="168">
        <f t="shared" si="1042"/>
        <v>0.79540111134780245</v>
      </c>
      <c r="BD764" s="168">
        <f t="shared" si="1043"/>
        <v>0.6628342594565021</v>
      </c>
      <c r="BE764" s="168">
        <f t="shared" si="1044"/>
        <v>0.53026740756520174</v>
      </c>
    </row>
    <row r="765" spans="1:57" s="129" customFormat="1" hidden="1">
      <c r="A765" s="88" t="s">
        <v>1156</v>
      </c>
      <c r="B765" s="88" t="s">
        <v>1317</v>
      </c>
      <c r="C765" s="88" t="s">
        <v>1317</v>
      </c>
      <c r="D765" s="88" t="s">
        <v>1303</v>
      </c>
      <c r="E765" s="91" t="s">
        <v>1157</v>
      </c>
      <c r="F765" s="90" t="s">
        <v>536</v>
      </c>
      <c r="G765" s="92" t="s">
        <v>253</v>
      </c>
      <c r="H765" s="92">
        <v>26</v>
      </c>
      <c r="I765" s="132" t="s">
        <v>3957</v>
      </c>
      <c r="J765" s="132" t="str">
        <f>_xlfn.XLOOKUP(I765,[1]Sheet1!$A:$A,[1]Sheet1!$B:$B,"")</f>
        <v>Z0102015</v>
      </c>
      <c r="K765" s="91" t="s">
        <v>543</v>
      </c>
      <c r="L765" s="89"/>
      <c r="M765" s="92"/>
      <c r="N765" s="91" t="s">
        <v>1295</v>
      </c>
      <c r="O765" s="131"/>
      <c r="P765" s="88" t="s">
        <v>1160</v>
      </c>
      <c r="Q765" s="579"/>
      <c r="R765" s="92">
        <v>8000</v>
      </c>
      <c r="S765" s="92"/>
      <c r="T765" s="92" t="s">
        <v>403</v>
      </c>
      <c r="U765" s="155">
        <v>0</v>
      </c>
      <c r="V765" s="200">
        <v>60</v>
      </c>
      <c r="W765" s="92">
        <v>55</v>
      </c>
      <c r="X765" s="92">
        <v>55</v>
      </c>
      <c r="Y765" s="207" t="s">
        <v>64</v>
      </c>
      <c r="Z765" s="133">
        <f t="shared" si="1035"/>
        <v>0.55918367346938769</v>
      </c>
      <c r="AA765" s="133"/>
      <c r="AB765" s="161">
        <f t="shared" si="1036"/>
        <v>0.47977808547661477</v>
      </c>
      <c r="AC765" s="161"/>
      <c r="AD765" s="214">
        <f t="shared" si="1037"/>
        <v>0.1</v>
      </c>
      <c r="AE765" s="214">
        <v>0.1</v>
      </c>
      <c r="AF765" s="215">
        <v>0.252</v>
      </c>
      <c r="AG765" s="218" t="s">
        <v>1162</v>
      </c>
      <c r="AH765" s="123">
        <f t="shared" si="1029"/>
        <v>0.43180027692895329</v>
      </c>
      <c r="AI765" s="206">
        <f t="shared" si="1038"/>
        <v>0.16888888888888887</v>
      </c>
      <c r="AJ765" s="444"/>
      <c r="AK765" s="201">
        <f t="shared" si="1039"/>
        <v>0.45231746031746023</v>
      </c>
      <c r="AL765" s="202">
        <f t="shared" si="1040"/>
        <v>0.39874889770723093</v>
      </c>
      <c r="AM765" s="208">
        <f t="shared" si="1030"/>
        <v>0.19111111111111112</v>
      </c>
      <c r="AN765" s="208">
        <f t="shared" si="1031"/>
        <v>0.16888888888888887</v>
      </c>
      <c r="AP765" s="19" t="s">
        <v>1163</v>
      </c>
      <c r="AQ765" s="434">
        <f>0.002*6.85</f>
        <v>1.37E-2</v>
      </c>
      <c r="AR765" s="434">
        <f>0.385*6.85-AQ765/2</f>
        <v>2.6303999999999998</v>
      </c>
      <c r="AS765" s="128"/>
      <c r="AT765" s="162"/>
      <c r="AU765" s="180">
        <f t="shared" si="1032"/>
        <v>2.8495999999999997</v>
      </c>
      <c r="AV765" s="173"/>
      <c r="AW765" s="433">
        <f t="shared" si="1033"/>
        <v>0.40708571428571422</v>
      </c>
      <c r="AX765" s="126">
        <f t="shared" si="1034"/>
        <v>0.35887400793650787</v>
      </c>
      <c r="AY765" s="163"/>
      <c r="AZ765" s="19"/>
      <c r="BB765" s="168">
        <f t="shared" si="1041"/>
        <v>1.5992602849220492</v>
      </c>
      <c r="BC765" s="168">
        <f t="shared" si="1042"/>
        <v>0.95955617095322943</v>
      </c>
      <c r="BD765" s="168">
        <f t="shared" si="1043"/>
        <v>0.7996301424610246</v>
      </c>
      <c r="BE765" s="168">
        <f t="shared" si="1044"/>
        <v>0.63970411396881977</v>
      </c>
    </row>
    <row r="766" spans="1:57" s="129" customFormat="1" hidden="1">
      <c r="A766" s="88" t="s">
        <v>1156</v>
      </c>
      <c r="B766" s="88" t="s">
        <v>1317</v>
      </c>
      <c r="C766" s="88" t="s">
        <v>1317</v>
      </c>
      <c r="D766" s="88" t="s">
        <v>1303</v>
      </c>
      <c r="E766" s="91" t="s">
        <v>1157</v>
      </c>
      <c r="F766" s="90" t="s">
        <v>536</v>
      </c>
      <c r="G766" s="92" t="s">
        <v>253</v>
      </c>
      <c r="H766" s="92">
        <v>26</v>
      </c>
      <c r="I766" s="132" t="s">
        <v>1185</v>
      </c>
      <c r="J766" s="132" t="str">
        <f>_xlfn.XLOOKUP(I766,[1]Sheet1!$A:$A,[1]Sheet1!$B:$B,"")</f>
        <v>Z0102014</v>
      </c>
      <c r="K766" s="91" t="s">
        <v>547</v>
      </c>
      <c r="L766" s="89"/>
      <c r="M766" s="92"/>
      <c r="N766" s="91" t="s">
        <v>1295</v>
      </c>
      <c r="O766" s="131"/>
      <c r="P766" s="88" t="s">
        <v>1160</v>
      </c>
      <c r="Q766" s="579"/>
      <c r="R766" s="92">
        <v>4480</v>
      </c>
      <c r="S766" s="92"/>
      <c r="T766" s="92" t="s">
        <v>403</v>
      </c>
      <c r="U766" s="155">
        <v>0</v>
      </c>
      <c r="V766" s="200">
        <v>60</v>
      </c>
      <c r="W766" s="92">
        <v>55</v>
      </c>
      <c r="X766" s="92">
        <v>55</v>
      </c>
      <c r="Y766" s="207" t="s">
        <v>64</v>
      </c>
      <c r="Z766" s="133">
        <f t="shared" si="1035"/>
        <v>0.73863324175824174</v>
      </c>
      <c r="AA766" s="133"/>
      <c r="AB766" s="161">
        <f t="shared" si="1036"/>
        <v>0.64054180092783042</v>
      </c>
      <c r="AC766" s="161"/>
      <c r="AD766" s="214">
        <f t="shared" si="1037"/>
        <v>0.1</v>
      </c>
      <c r="AE766" s="214">
        <v>0.1</v>
      </c>
      <c r="AF766" s="215">
        <v>0.252</v>
      </c>
      <c r="AG766" s="218" t="s">
        <v>1162</v>
      </c>
      <c r="AH766" s="123">
        <f t="shared" si="1029"/>
        <v>0.57648762083504734</v>
      </c>
      <c r="AI766" s="206">
        <f t="shared" si="1038"/>
        <v>0.16888888888888887</v>
      </c>
      <c r="AJ766" s="444"/>
      <c r="AK766" s="201">
        <f t="shared" si="1039"/>
        <v>0.59747222222222218</v>
      </c>
      <c r="AL766" s="202">
        <f t="shared" si="1040"/>
        <v>0.53236140788224129</v>
      </c>
      <c r="AM766" s="208">
        <f t="shared" si="1030"/>
        <v>0.19111111111111112</v>
      </c>
      <c r="AN766" s="208">
        <f t="shared" si="1031"/>
        <v>0.16888888888888887</v>
      </c>
      <c r="AP766" s="19" t="s">
        <v>1163</v>
      </c>
      <c r="AQ766" s="434">
        <f>0.003*6.85</f>
        <v>2.0549999999999999E-2</v>
      </c>
      <c r="AR766" s="434">
        <f>0.503*6.85-AQ766/2</f>
        <v>3.4352749999999999</v>
      </c>
      <c r="AS766" s="128"/>
      <c r="AT766" s="162"/>
      <c r="AU766" s="180">
        <f t="shared" si="1032"/>
        <v>3.7640750000000001</v>
      </c>
      <c r="AV766" s="173"/>
      <c r="AW766" s="433">
        <f t="shared" si="1033"/>
        <v>0.53772500000000001</v>
      </c>
      <c r="AX766" s="126">
        <f t="shared" si="1034"/>
        <v>0.47912526709401715</v>
      </c>
      <c r="AY766" s="163"/>
      <c r="AZ766" s="19"/>
      <c r="BB766" s="168">
        <f t="shared" si="1041"/>
        <v>2.1351393364261013</v>
      </c>
      <c r="BC766" s="168">
        <f t="shared" si="1042"/>
        <v>1.2810836018556608</v>
      </c>
      <c r="BD766" s="168">
        <f t="shared" si="1043"/>
        <v>1.0675696682130507</v>
      </c>
      <c r="BE766" s="168">
        <f t="shared" si="1044"/>
        <v>0.85405573457044059</v>
      </c>
    </row>
    <row r="767" spans="1:57" s="129" customFormat="1" hidden="1">
      <c r="A767" s="88" t="s">
        <v>1156</v>
      </c>
      <c r="B767" s="88" t="s">
        <v>1317</v>
      </c>
      <c r="C767" s="88" t="s">
        <v>1317</v>
      </c>
      <c r="D767" s="88" t="s">
        <v>1303</v>
      </c>
      <c r="E767" s="91" t="s">
        <v>1157</v>
      </c>
      <c r="F767" s="90" t="s">
        <v>536</v>
      </c>
      <c r="G767" s="92" t="s">
        <v>253</v>
      </c>
      <c r="H767" s="92">
        <v>26</v>
      </c>
      <c r="I767" s="132" t="s">
        <v>1186</v>
      </c>
      <c r="J767" s="132" t="str">
        <f>_xlfn.XLOOKUP(I767,[1]Sheet1!$A:$A,[1]Sheet1!$B:$B,"")</f>
        <v>Z0102011</v>
      </c>
      <c r="K767" s="91" t="s">
        <v>551</v>
      </c>
      <c r="L767" s="89"/>
      <c r="M767" s="92"/>
      <c r="N767" s="91" t="s">
        <v>1295</v>
      </c>
      <c r="O767" s="131"/>
      <c r="P767" s="88" t="s">
        <v>1160</v>
      </c>
      <c r="Q767" s="579"/>
      <c r="R767" s="92">
        <v>3200</v>
      </c>
      <c r="S767" s="92"/>
      <c r="T767" s="92" t="s">
        <v>403</v>
      </c>
      <c r="U767" s="155">
        <v>0</v>
      </c>
      <c r="V767" s="200">
        <v>60</v>
      </c>
      <c r="W767" s="92">
        <v>55</v>
      </c>
      <c r="X767" s="92">
        <v>55</v>
      </c>
      <c r="Y767" s="207" t="s">
        <v>64</v>
      </c>
      <c r="Z767" s="133">
        <f t="shared" si="1035"/>
        <v>1.1197115384615384</v>
      </c>
      <c r="AA767" s="133"/>
      <c r="AB767" s="161">
        <f t="shared" si="1036"/>
        <v>0.96798549693770275</v>
      </c>
      <c r="AC767" s="161"/>
      <c r="AD767" s="214">
        <f t="shared" si="1037"/>
        <v>0.1</v>
      </c>
      <c r="AE767" s="214">
        <v>0.1</v>
      </c>
      <c r="AF767" s="215">
        <v>0.252</v>
      </c>
      <c r="AG767" s="218" t="s">
        <v>1162</v>
      </c>
      <c r="AH767" s="123">
        <f t="shared" si="1029"/>
        <v>0.87118694724393253</v>
      </c>
      <c r="AI767" s="206">
        <f t="shared" si="1038"/>
        <v>0.16888888888888898</v>
      </c>
      <c r="AJ767" s="444"/>
      <c r="AK767" s="201">
        <f t="shared" si="1039"/>
        <v>0.9057222222222221</v>
      </c>
      <c r="AL767" s="202">
        <f t="shared" si="1040"/>
        <v>0.80450350189933517</v>
      </c>
      <c r="AM767" s="208">
        <f t="shared" si="1030"/>
        <v>0.19111111111111112</v>
      </c>
      <c r="AN767" s="208">
        <f t="shared" si="1031"/>
        <v>0.16888888888888887</v>
      </c>
      <c r="AP767" s="19" t="s">
        <v>1163</v>
      </c>
      <c r="AQ767" s="434">
        <f>0.006*6.85</f>
        <v>4.1099999999999998E-2</v>
      </c>
      <c r="AR767" s="434">
        <f>0.74*6.85-AQ767/2</f>
        <v>5.0484499999999999</v>
      </c>
      <c r="AS767" s="128"/>
      <c r="AT767" s="162"/>
      <c r="AU767" s="180">
        <f t="shared" si="1032"/>
        <v>5.7060499999999994</v>
      </c>
      <c r="AV767" s="173"/>
      <c r="AW767" s="433">
        <f t="shared" si="1033"/>
        <v>0.81514999999999993</v>
      </c>
      <c r="AX767" s="126">
        <f t="shared" si="1034"/>
        <v>0.72405315170940165</v>
      </c>
      <c r="AY767" s="163"/>
      <c r="AZ767" s="19"/>
      <c r="BB767" s="168">
        <f t="shared" si="1041"/>
        <v>3.2266183231256758</v>
      </c>
      <c r="BC767" s="168">
        <f t="shared" si="1042"/>
        <v>1.9359709938754053</v>
      </c>
      <c r="BD767" s="168">
        <f t="shared" si="1043"/>
        <v>1.6133091615628379</v>
      </c>
      <c r="BE767" s="168">
        <f t="shared" si="1044"/>
        <v>1.2906473292502705</v>
      </c>
    </row>
    <row r="768" spans="1:57" s="129" customFormat="1" hidden="1">
      <c r="A768" s="88" t="s">
        <v>1156</v>
      </c>
      <c r="B768" s="88" t="s">
        <v>1317</v>
      </c>
      <c r="C768" s="88" t="s">
        <v>1317</v>
      </c>
      <c r="D768" s="88" t="s">
        <v>1303</v>
      </c>
      <c r="E768" s="91" t="s">
        <v>1157</v>
      </c>
      <c r="F768" s="90" t="s">
        <v>536</v>
      </c>
      <c r="G768" s="92" t="s">
        <v>253</v>
      </c>
      <c r="H768" s="92">
        <v>26</v>
      </c>
      <c r="I768" s="132" t="s">
        <v>1187</v>
      </c>
      <c r="J768" s="132" t="str">
        <f>_xlfn.XLOOKUP(I768,[1]Sheet1!$A:$A,[1]Sheet1!$B:$B,"")</f>
        <v>Z0102008</v>
      </c>
      <c r="K768" s="91" t="s">
        <v>555</v>
      </c>
      <c r="L768" s="89"/>
      <c r="M768" s="92"/>
      <c r="N768" s="91" t="s">
        <v>1295</v>
      </c>
      <c r="O768" s="131"/>
      <c r="P768" s="88" t="s">
        <v>1160</v>
      </c>
      <c r="Q768" s="579"/>
      <c r="R768" s="92">
        <v>2560</v>
      </c>
      <c r="S768" s="92"/>
      <c r="T768" s="92" t="s">
        <v>403</v>
      </c>
      <c r="U768" s="155">
        <v>0</v>
      </c>
      <c r="V768" s="200">
        <v>60</v>
      </c>
      <c r="W768" s="92">
        <v>55</v>
      </c>
      <c r="X768" s="92">
        <v>55</v>
      </c>
      <c r="Y768" s="207" t="s">
        <v>64</v>
      </c>
      <c r="Z768" s="133">
        <f t="shared" si="1035"/>
        <v>1.5155759419152275</v>
      </c>
      <c r="AA768" s="133"/>
      <c r="AB768" s="161">
        <f t="shared" si="1036"/>
        <v>1.3064234198195595</v>
      </c>
      <c r="AC768" s="161"/>
      <c r="AD768" s="214">
        <f t="shared" si="1037"/>
        <v>0.1</v>
      </c>
      <c r="AE768" s="214">
        <v>0.1</v>
      </c>
      <c r="AF768" s="215">
        <v>0.252</v>
      </c>
      <c r="AG768" s="218" t="s">
        <v>1162</v>
      </c>
      <c r="AH768" s="123">
        <f t="shared" si="1029"/>
        <v>1.1757810778376034</v>
      </c>
      <c r="AI768" s="206">
        <f t="shared" si="1038"/>
        <v>0.16888888888888887</v>
      </c>
      <c r="AJ768" s="444"/>
      <c r="AK768" s="201">
        <f t="shared" si="1039"/>
        <v>1.2259325396825396</v>
      </c>
      <c r="AL768" s="202">
        <f t="shared" si="1040"/>
        <v>1.0857830200278116</v>
      </c>
      <c r="AM768" s="208">
        <f t="shared" si="1030"/>
        <v>0.19111111111111112</v>
      </c>
      <c r="AN768" s="208">
        <f t="shared" si="1031"/>
        <v>0.16888888888888898</v>
      </c>
      <c r="AP768" s="19" t="s">
        <v>1163</v>
      </c>
      <c r="AQ768" s="434">
        <f>0.009*6.85</f>
        <v>6.164999999999999E-2</v>
      </c>
      <c r="AR768" s="434">
        <f>0.988*6.85-AQ768/2</f>
        <v>6.7369749999999993</v>
      </c>
      <c r="AS768" s="128"/>
      <c r="AT768" s="162"/>
      <c r="AU768" s="180">
        <f t="shared" si="1032"/>
        <v>7.723374999999999</v>
      </c>
      <c r="AV768" s="173"/>
      <c r="AW768" s="433">
        <f t="shared" si="1033"/>
        <v>1.1033392857142856</v>
      </c>
      <c r="AX768" s="126">
        <f t="shared" si="1034"/>
        <v>0.97720471802503051</v>
      </c>
      <c r="AY768" s="163"/>
      <c r="AZ768" s="19"/>
      <c r="BB768" s="168">
        <f t="shared" si="1041"/>
        <v>4.3547447327318647</v>
      </c>
      <c r="BC768" s="168">
        <f t="shared" si="1042"/>
        <v>2.6128468396391189</v>
      </c>
      <c r="BD768" s="168">
        <f t="shared" si="1043"/>
        <v>2.1773723663659323</v>
      </c>
      <c r="BE768" s="168">
        <f t="shared" si="1044"/>
        <v>1.741897893092746</v>
      </c>
    </row>
    <row r="769" spans="1:57" s="129" customFormat="1" hidden="1">
      <c r="A769" s="88" t="s">
        <v>1156</v>
      </c>
      <c r="B769" s="88" t="s">
        <v>1317</v>
      </c>
      <c r="C769" s="88" t="s">
        <v>1317</v>
      </c>
      <c r="D769" s="88" t="s">
        <v>1303</v>
      </c>
      <c r="E769" s="91" t="s">
        <v>1157</v>
      </c>
      <c r="F769" s="90" t="s">
        <v>536</v>
      </c>
      <c r="G769" s="92" t="s">
        <v>253</v>
      </c>
      <c r="H769" s="92">
        <v>26</v>
      </c>
      <c r="I769" s="132" t="s">
        <v>1188</v>
      </c>
      <c r="J769" s="132" t="str">
        <f>_xlfn.XLOOKUP(I769,[1]Sheet1!$A:$A,[1]Sheet1!$B:$B,"")</f>
        <v>Z0102006</v>
      </c>
      <c r="K769" s="91" t="s">
        <v>1189</v>
      </c>
      <c r="L769" s="89"/>
      <c r="M769" s="92"/>
      <c r="N769" s="91" t="s">
        <v>1295</v>
      </c>
      <c r="O769" s="131"/>
      <c r="P769" s="88" t="s">
        <v>1160</v>
      </c>
      <c r="Q769" s="579"/>
      <c r="R769" s="92">
        <v>1920</v>
      </c>
      <c r="S769" s="92"/>
      <c r="T769" s="92" t="s">
        <v>403</v>
      </c>
      <c r="U769" s="155">
        <v>0</v>
      </c>
      <c r="V769" s="200">
        <v>60</v>
      </c>
      <c r="W769" s="92">
        <v>55</v>
      </c>
      <c r="X769" s="92">
        <v>55</v>
      </c>
      <c r="Y769" s="207" t="s">
        <v>64</v>
      </c>
      <c r="Z769" s="133">
        <f t="shared" si="1035"/>
        <v>1.9188333987441126</v>
      </c>
      <c r="AA769" s="133"/>
      <c r="AB769" s="161">
        <f t="shared" si="1036"/>
        <v>1.6571038744751978</v>
      </c>
      <c r="AC769" s="161"/>
      <c r="AD769" s="214">
        <f t="shared" si="1037"/>
        <v>0.1</v>
      </c>
      <c r="AE769" s="214">
        <v>0.1</v>
      </c>
      <c r="AF769" s="215">
        <v>0.252</v>
      </c>
      <c r="AG769" s="218" t="s">
        <v>1162</v>
      </c>
      <c r="AH769" s="123">
        <f t="shared" si="1029"/>
        <v>1.4913934870276782</v>
      </c>
      <c r="AI769" s="206">
        <f t="shared" si="1038"/>
        <v>0.16888888888888898</v>
      </c>
      <c r="AJ769" s="444"/>
      <c r="AK769" s="201">
        <f t="shared" si="1039"/>
        <v>1.5521230158730155</v>
      </c>
      <c r="AL769" s="202">
        <f t="shared" si="1040"/>
        <v>1.3772374423416087</v>
      </c>
      <c r="AM769" s="208">
        <f t="shared" si="1030"/>
        <v>0.19111111111111112</v>
      </c>
      <c r="AN769" s="208">
        <f t="shared" si="1031"/>
        <v>0.16888888888888898</v>
      </c>
      <c r="AP769" s="19" t="s">
        <v>1163</v>
      </c>
      <c r="AQ769" s="434">
        <f>0.011*6.85</f>
        <v>7.5349999999999986E-2</v>
      </c>
      <c r="AR769" s="434">
        <f>1.257*6.85-AQ769/2</f>
        <v>8.5727749999999983</v>
      </c>
      <c r="AS769" s="128"/>
      <c r="AT769" s="162"/>
      <c r="AU769" s="180">
        <f t="shared" si="1032"/>
        <v>9.7783749999999987</v>
      </c>
      <c r="AV769" s="173"/>
      <c r="AW769" s="433">
        <f t="shared" si="1033"/>
        <v>1.396910714285714</v>
      </c>
      <c r="AX769" s="126">
        <f t="shared" si="1034"/>
        <v>1.2395136981074479</v>
      </c>
      <c r="AY769" s="163"/>
      <c r="AZ769" s="19"/>
      <c r="BB769" s="168">
        <f t="shared" si="1041"/>
        <v>5.523679581583993</v>
      </c>
      <c r="BC769" s="168">
        <f t="shared" si="1042"/>
        <v>3.3142077489503956</v>
      </c>
      <c r="BD769" s="168">
        <f t="shared" si="1043"/>
        <v>2.7618397907919965</v>
      </c>
      <c r="BE769" s="168">
        <f t="shared" si="1044"/>
        <v>2.2094718326335974</v>
      </c>
    </row>
    <row r="770" spans="1:57" s="129" customFormat="1" hidden="1">
      <c r="A770" s="88" t="s">
        <v>1156</v>
      </c>
      <c r="B770" s="88" t="s">
        <v>1317</v>
      </c>
      <c r="C770" s="88" t="s">
        <v>1317</v>
      </c>
      <c r="D770" s="88" t="s">
        <v>1303</v>
      </c>
      <c r="E770" s="91" t="s">
        <v>1157</v>
      </c>
      <c r="F770" s="90" t="s">
        <v>536</v>
      </c>
      <c r="G770" s="92" t="s">
        <v>253</v>
      </c>
      <c r="H770" s="92">
        <v>26</v>
      </c>
      <c r="I770" s="132" t="s">
        <v>1190</v>
      </c>
      <c r="J770" s="132" t="str">
        <f>_xlfn.XLOOKUP(I770,[1]Sheet1!$A:$A,[1]Sheet1!$B:$B,"")</f>
        <v>Z0102005</v>
      </c>
      <c r="K770" s="91" t="s">
        <v>1191</v>
      </c>
      <c r="L770" s="89"/>
      <c r="M770" s="92"/>
      <c r="N770" s="91" t="s">
        <v>1295</v>
      </c>
      <c r="O770" s="131"/>
      <c r="P770" s="88" t="s">
        <v>1160</v>
      </c>
      <c r="Q770" s="579"/>
      <c r="R770" s="92">
        <v>1600</v>
      </c>
      <c r="S770" s="92"/>
      <c r="T770" s="92" t="s">
        <v>403</v>
      </c>
      <c r="U770" s="155">
        <v>0</v>
      </c>
      <c r="V770" s="200">
        <v>60</v>
      </c>
      <c r="W770" s="92">
        <v>55</v>
      </c>
      <c r="X770" s="92">
        <v>55</v>
      </c>
      <c r="Y770" s="207" t="s">
        <v>64</v>
      </c>
      <c r="Z770" s="133">
        <f t="shared" si="1035"/>
        <v>2.2965512166405024</v>
      </c>
      <c r="AA770" s="133"/>
      <c r="AB770" s="161">
        <f t="shared" si="1036"/>
        <v>1.9834929163973285</v>
      </c>
      <c r="AC770" s="161"/>
      <c r="AD770" s="214">
        <f t="shared" si="1037"/>
        <v>0.1</v>
      </c>
      <c r="AE770" s="214">
        <v>0.1</v>
      </c>
      <c r="AF770" s="215">
        <v>0.252</v>
      </c>
      <c r="AG770" s="218" t="s">
        <v>1162</v>
      </c>
      <c r="AH770" s="123">
        <f t="shared" si="1029"/>
        <v>1.7851436247575956</v>
      </c>
      <c r="AI770" s="206">
        <f t="shared" si="1038"/>
        <v>0.16888888888888887</v>
      </c>
      <c r="AJ770" s="444"/>
      <c r="AK770" s="201">
        <f t="shared" si="1039"/>
        <v>1.8576547619047619</v>
      </c>
      <c r="AL770" s="202">
        <f t="shared" si="1040"/>
        <v>1.6485030016280018</v>
      </c>
      <c r="AM770" s="208">
        <f t="shared" si="1030"/>
        <v>0.19111111111111112</v>
      </c>
      <c r="AN770" s="208">
        <f t="shared" si="1031"/>
        <v>0.16888888888888898</v>
      </c>
      <c r="AP770" s="19" t="s">
        <v>1163</v>
      </c>
      <c r="AQ770" s="434">
        <f>0.015*6.85</f>
        <v>0.10274999999999999</v>
      </c>
      <c r="AR770" s="434">
        <f>1.476*6.85-AQ770/2</f>
        <v>10.059225</v>
      </c>
      <c r="AS770" s="128"/>
      <c r="AT770" s="162"/>
      <c r="AU770" s="180">
        <f t="shared" si="1032"/>
        <v>11.703225</v>
      </c>
      <c r="AV770" s="173"/>
      <c r="AW770" s="433">
        <f t="shared" si="1033"/>
        <v>1.6718892857142857</v>
      </c>
      <c r="AX770" s="126">
        <f t="shared" si="1034"/>
        <v>1.4836527014652017</v>
      </c>
      <c r="AY770" s="163"/>
      <c r="AZ770" s="19"/>
      <c r="BB770" s="168">
        <f t="shared" si="1041"/>
        <v>6.6116430546577618</v>
      </c>
      <c r="BC770" s="168">
        <f t="shared" si="1042"/>
        <v>3.966985832794657</v>
      </c>
      <c r="BD770" s="168">
        <f t="shared" si="1043"/>
        <v>3.3058215273288809</v>
      </c>
      <c r="BE770" s="168">
        <f t="shared" si="1044"/>
        <v>2.6446572218631048</v>
      </c>
    </row>
    <row r="771" spans="1:57" s="129" customFormat="1" hidden="1">
      <c r="A771" s="88" t="s">
        <v>1156</v>
      </c>
      <c r="B771" s="88" t="s">
        <v>1317</v>
      </c>
      <c r="C771" s="88" t="s">
        <v>1317</v>
      </c>
      <c r="D771" s="88" t="s">
        <v>1303</v>
      </c>
      <c r="E771" s="91" t="s">
        <v>1157</v>
      </c>
      <c r="F771" s="90" t="s">
        <v>536</v>
      </c>
      <c r="G771" s="92" t="s">
        <v>253</v>
      </c>
      <c r="H771" s="92">
        <v>26</v>
      </c>
      <c r="I771" s="132" t="s">
        <v>1192</v>
      </c>
      <c r="J771" s="132" t="str">
        <f>_xlfn.XLOOKUP(I771,[1]Sheet1!$A:$A,[1]Sheet1!$B:$B,"")</f>
        <v>Z0102003</v>
      </c>
      <c r="K771" s="91" t="s">
        <v>1193</v>
      </c>
      <c r="L771" s="89"/>
      <c r="M771" s="92"/>
      <c r="N771" s="91" t="s">
        <v>1295</v>
      </c>
      <c r="O771" s="131"/>
      <c r="P771" s="88" t="s">
        <v>1160</v>
      </c>
      <c r="Q771" s="579"/>
      <c r="R771" s="92">
        <v>1280</v>
      </c>
      <c r="S771" s="92"/>
      <c r="T771" s="92" t="s">
        <v>403</v>
      </c>
      <c r="U771" s="155">
        <v>0</v>
      </c>
      <c r="V771" s="200">
        <v>60</v>
      </c>
      <c r="W771" s="92">
        <v>55</v>
      </c>
      <c r="X771" s="92">
        <v>55</v>
      </c>
      <c r="Y771" s="207" t="s">
        <v>64</v>
      </c>
      <c r="Z771" s="133">
        <f t="shared" si="1035"/>
        <v>2.6063873626373626</v>
      </c>
      <c r="AA771" s="133"/>
      <c r="AB771" s="161">
        <f t="shared" si="1036"/>
        <v>2.2595073686525895</v>
      </c>
      <c r="AC771" s="161"/>
      <c r="AD771" s="214">
        <f t="shared" si="1037"/>
        <v>0.1</v>
      </c>
      <c r="AE771" s="214">
        <v>0.1</v>
      </c>
      <c r="AF771" s="215">
        <v>0.252</v>
      </c>
      <c r="AG771" s="218" t="s">
        <v>1162</v>
      </c>
      <c r="AH771" s="123">
        <f t="shared" si="1029"/>
        <v>2.0335566317873308</v>
      </c>
      <c r="AI771" s="206">
        <f t="shared" si="1038"/>
        <v>0.16888888888888909</v>
      </c>
      <c r="AJ771" s="444"/>
      <c r="AK771" s="201">
        <f t="shared" si="1039"/>
        <v>2.1082777777777775</v>
      </c>
      <c r="AL771" s="202">
        <f t="shared" si="1040"/>
        <v>1.8779016797245964</v>
      </c>
      <c r="AM771" s="208">
        <f t="shared" si="1030"/>
        <v>0.19111111111111123</v>
      </c>
      <c r="AN771" s="208">
        <f t="shared" si="1031"/>
        <v>0.16888888888888898</v>
      </c>
      <c r="AP771" s="19" t="s">
        <v>1163</v>
      </c>
      <c r="AQ771" s="434">
        <f>0.016*6.85</f>
        <v>0.1096</v>
      </c>
      <c r="AR771" s="434">
        <f>1.691*6.85-AQ771/2</f>
        <v>11.528549999999999</v>
      </c>
      <c r="AS771" s="128"/>
      <c r="AT771" s="162"/>
      <c r="AU771" s="180">
        <f t="shared" si="1032"/>
        <v>13.28215</v>
      </c>
      <c r="AV771" s="173"/>
      <c r="AW771" s="433">
        <f t="shared" si="1033"/>
        <v>1.8974499999999999</v>
      </c>
      <c r="AX771" s="126">
        <f t="shared" si="1034"/>
        <v>1.6901115117521368</v>
      </c>
      <c r="AY771" s="163"/>
      <c r="AZ771" s="19"/>
      <c r="BB771" s="168">
        <f t="shared" si="1041"/>
        <v>7.5316912288419653</v>
      </c>
      <c r="BC771" s="168">
        <f t="shared" si="1042"/>
        <v>4.519014737305179</v>
      </c>
      <c r="BD771" s="168">
        <f t="shared" si="1043"/>
        <v>3.7658456144209826</v>
      </c>
      <c r="BE771" s="168">
        <f t="shared" si="1044"/>
        <v>3.0126764915367863</v>
      </c>
    </row>
    <row r="772" spans="1:57" s="129" customFormat="1" hidden="1">
      <c r="A772" s="88" t="s">
        <v>1156</v>
      </c>
      <c r="B772" s="88" t="s">
        <v>1317</v>
      </c>
      <c r="C772" s="88" t="s">
        <v>1317</v>
      </c>
      <c r="D772" s="88" t="s">
        <v>1303</v>
      </c>
      <c r="E772" s="91" t="s">
        <v>1157</v>
      </c>
      <c r="F772" s="90" t="s">
        <v>536</v>
      </c>
      <c r="G772" s="92" t="s">
        <v>253</v>
      </c>
      <c r="H772" s="92">
        <v>26</v>
      </c>
      <c r="I772" s="132" t="s">
        <v>1194</v>
      </c>
      <c r="J772" s="132" t="str">
        <f>_xlfn.XLOOKUP(I772,[1]Sheet1!$A:$A,[1]Sheet1!$B:$B,"")</f>
        <v/>
      </c>
      <c r="K772" s="91" t="s">
        <v>1195</v>
      </c>
      <c r="L772" s="89"/>
      <c r="M772" s="92"/>
      <c r="N772" s="91" t="s">
        <v>1295</v>
      </c>
      <c r="O772" s="131"/>
      <c r="P772" s="88" t="s">
        <v>1160</v>
      </c>
      <c r="Q772" s="579"/>
      <c r="R772" s="92">
        <v>1120</v>
      </c>
      <c r="S772" s="92"/>
      <c r="T772" s="92" t="s">
        <v>403</v>
      </c>
      <c r="U772" s="155">
        <v>0</v>
      </c>
      <c r="V772" s="200">
        <v>60</v>
      </c>
      <c r="W772" s="92">
        <v>55</v>
      </c>
      <c r="X772" s="92">
        <v>55</v>
      </c>
      <c r="Y772" s="207" t="s">
        <v>64</v>
      </c>
      <c r="Z772" s="133">
        <f t="shared" si="1035"/>
        <v>2.9525166797488223</v>
      </c>
      <c r="AA772" s="133"/>
      <c r="AB772" s="161">
        <f t="shared" si="1036"/>
        <v>2.5604899593870183</v>
      </c>
      <c r="AC772" s="161"/>
      <c r="AD772" s="214">
        <f t="shared" si="1037"/>
        <v>0.1</v>
      </c>
      <c r="AE772" s="214">
        <v>0.1</v>
      </c>
      <c r="AF772" s="215">
        <v>0.252</v>
      </c>
      <c r="AG772" s="218" t="s">
        <v>1162</v>
      </c>
      <c r="AH772" s="123">
        <f t="shared" si="1029"/>
        <v>2.3044409634483167</v>
      </c>
      <c r="AI772" s="206">
        <f t="shared" si="1038"/>
        <v>0.16888888888888898</v>
      </c>
      <c r="AJ772" s="444"/>
      <c r="AK772" s="201">
        <f t="shared" si="1039"/>
        <v>2.3882579365079359</v>
      </c>
      <c r="AL772" s="202">
        <f t="shared" si="1040"/>
        <v>2.1280516551349882</v>
      </c>
      <c r="AM772" s="208">
        <f t="shared" si="1030"/>
        <v>0.19111111111111123</v>
      </c>
      <c r="AN772" s="208">
        <f t="shared" si="1031"/>
        <v>0.16888888888888898</v>
      </c>
      <c r="AP772" s="19" t="s">
        <v>1163</v>
      </c>
      <c r="AQ772" s="434">
        <f>0.019*6.85</f>
        <v>0.13014999999999999</v>
      </c>
      <c r="AR772" s="434">
        <f>1.902*6.85-AQ772/2</f>
        <v>12.963624999999999</v>
      </c>
      <c r="AS772" s="128"/>
      <c r="AT772" s="162"/>
      <c r="AU772" s="180">
        <f t="shared" si="1032"/>
        <v>15.046024999999998</v>
      </c>
      <c r="AV772" s="173"/>
      <c r="AW772" s="433">
        <f t="shared" si="1033"/>
        <v>2.1494321428571426</v>
      </c>
      <c r="AX772" s="126">
        <f t="shared" si="1034"/>
        <v>1.9152464896214896</v>
      </c>
      <c r="AY772" s="163"/>
      <c r="AZ772" s="19"/>
      <c r="BB772" s="168">
        <f t="shared" si="1041"/>
        <v>8.5349665312900616</v>
      </c>
      <c r="BC772" s="168">
        <f t="shared" si="1042"/>
        <v>5.1209799187740366</v>
      </c>
      <c r="BD772" s="168">
        <f t="shared" si="1043"/>
        <v>4.2674832656450308</v>
      </c>
      <c r="BE772" s="168">
        <f t="shared" si="1044"/>
        <v>3.413986612516025</v>
      </c>
    </row>
    <row r="773" spans="1:57" s="129" customFormat="1" hidden="1">
      <c r="A773" s="88" t="s">
        <v>1156</v>
      </c>
      <c r="B773" s="88" t="s">
        <v>1317</v>
      </c>
      <c r="C773" s="88" t="s">
        <v>1317</v>
      </c>
      <c r="D773" s="88" t="s">
        <v>1303</v>
      </c>
      <c r="E773" s="91" t="s">
        <v>1157</v>
      </c>
      <c r="F773" s="90" t="s">
        <v>536</v>
      </c>
      <c r="G773" s="92" t="s">
        <v>253</v>
      </c>
      <c r="H773" s="92">
        <v>26</v>
      </c>
      <c r="I773" s="132" t="s">
        <v>1196</v>
      </c>
      <c r="J773" s="132" t="str">
        <f>_xlfn.XLOOKUP(I773,[1]Sheet1!$A:$A,[1]Sheet1!$B:$B,"")</f>
        <v>Z0102002</v>
      </c>
      <c r="K773" s="91" t="s">
        <v>1197</v>
      </c>
      <c r="L773" s="89"/>
      <c r="M773" s="92"/>
      <c r="N773" s="91" t="s">
        <v>1295</v>
      </c>
      <c r="O773" s="131"/>
      <c r="P773" s="88" t="s">
        <v>1160</v>
      </c>
      <c r="Q773" s="579"/>
      <c r="R773" s="92">
        <v>1120</v>
      </c>
      <c r="S773" s="92"/>
      <c r="T773" s="92" t="s">
        <v>403</v>
      </c>
      <c r="U773" s="155">
        <v>0</v>
      </c>
      <c r="V773" s="200">
        <v>60</v>
      </c>
      <c r="W773" s="92">
        <v>55</v>
      </c>
      <c r="X773" s="92">
        <v>55</v>
      </c>
      <c r="Y773" s="207" t="s">
        <v>64</v>
      </c>
      <c r="Z773" s="133">
        <f t="shared" si="1035"/>
        <v>3.2778110282574566</v>
      </c>
      <c r="AA773" s="133"/>
      <c r="AB773" s="161">
        <f t="shared" si="1036"/>
        <v>2.831085377041259</v>
      </c>
      <c r="AC773" s="161"/>
      <c r="AD773" s="214">
        <f t="shared" si="1037"/>
        <v>0.1</v>
      </c>
      <c r="AE773" s="214">
        <v>0.1</v>
      </c>
      <c r="AF773" s="215">
        <v>0.252</v>
      </c>
      <c r="AG773" s="218" t="s">
        <v>1162</v>
      </c>
      <c r="AH773" s="123">
        <f t="shared" si="1029"/>
        <v>2.5479768393371329</v>
      </c>
      <c r="AI773" s="206">
        <f t="shared" si="1038"/>
        <v>0.16888888888888876</v>
      </c>
      <c r="AJ773" s="444"/>
      <c r="AK773" s="201">
        <f t="shared" si="1039"/>
        <v>2.6513849206349205</v>
      </c>
      <c r="AL773" s="202">
        <f t="shared" si="1040"/>
        <v>2.3529465133631797</v>
      </c>
      <c r="AM773" s="208">
        <f t="shared" si="1030"/>
        <v>0.19111111111111112</v>
      </c>
      <c r="AN773" s="208">
        <f t="shared" si="1031"/>
        <v>0.16888888888888887</v>
      </c>
      <c r="AP773" s="19" t="s">
        <v>1163</v>
      </c>
      <c r="AQ773" s="434">
        <f>0.021*6.85</f>
        <v>0.14385000000000001</v>
      </c>
      <c r="AR773" s="434">
        <f>2.113*6.85-AQ773/2</f>
        <v>14.402124999999998</v>
      </c>
      <c r="AS773" s="128"/>
      <c r="AT773" s="162"/>
      <c r="AU773" s="180">
        <f t="shared" si="1032"/>
        <v>16.703724999999999</v>
      </c>
      <c r="AV773" s="173"/>
      <c r="AW773" s="433">
        <f t="shared" si="1033"/>
        <v>2.3862464285714284</v>
      </c>
      <c r="AX773" s="126">
        <f t="shared" si="1034"/>
        <v>2.1176518620268618</v>
      </c>
      <c r="AY773" s="163"/>
      <c r="AZ773" s="19"/>
      <c r="BB773" s="168">
        <f t="shared" si="1041"/>
        <v>9.4369512568041962</v>
      </c>
      <c r="BC773" s="168">
        <f t="shared" si="1042"/>
        <v>5.6621707540825179</v>
      </c>
      <c r="BD773" s="168">
        <f t="shared" si="1043"/>
        <v>4.7184756284020981</v>
      </c>
      <c r="BE773" s="168">
        <f t="shared" si="1044"/>
        <v>3.7747805027216788</v>
      </c>
    </row>
    <row r="774" spans="1:57" s="129" customFormat="1" hidden="1">
      <c r="A774" s="88" t="s">
        <v>1156</v>
      </c>
      <c r="B774" s="88" t="s">
        <v>1317</v>
      </c>
      <c r="C774" s="88" t="s">
        <v>1317</v>
      </c>
      <c r="D774" s="88" t="s">
        <v>1303</v>
      </c>
      <c r="E774" s="91" t="s">
        <v>1157</v>
      </c>
      <c r="F774" s="90" t="s">
        <v>536</v>
      </c>
      <c r="G774" s="92" t="s">
        <v>253</v>
      </c>
      <c r="H774" s="92">
        <v>26</v>
      </c>
      <c r="I774" s="132" t="s">
        <v>1198</v>
      </c>
      <c r="J774" s="132" t="str">
        <f>_xlfn.XLOOKUP(I774,[1]Sheet1!$A:$A,[1]Sheet1!$B:$B,"")</f>
        <v>Z0102013</v>
      </c>
      <c r="K774" s="91" t="s">
        <v>1199</v>
      </c>
      <c r="L774" s="89"/>
      <c r="M774" s="92"/>
      <c r="N774" s="91" t="s">
        <v>1295</v>
      </c>
      <c r="O774" s="131"/>
      <c r="P774" s="88" t="s">
        <v>1200</v>
      </c>
      <c r="Q774" s="579"/>
      <c r="R774" s="92">
        <v>960</v>
      </c>
      <c r="S774" s="92"/>
      <c r="T774" s="92" t="s">
        <v>403</v>
      </c>
      <c r="U774" s="155">
        <v>0</v>
      </c>
      <c r="V774" s="200">
        <v>60</v>
      </c>
      <c r="W774" s="92">
        <v>55</v>
      </c>
      <c r="X774" s="92">
        <v>55</v>
      </c>
      <c r="Y774" s="207" t="s">
        <v>64</v>
      </c>
      <c r="Z774" s="133">
        <f t="shared" si="1035"/>
        <v>4.1004562401883833</v>
      </c>
      <c r="AA774" s="133"/>
      <c r="AB774" s="161">
        <f t="shared" si="1036"/>
        <v>3.5328085925512398</v>
      </c>
      <c r="AC774" s="161"/>
      <c r="AD774" s="214">
        <f t="shared" si="1037"/>
        <v>0.1</v>
      </c>
      <c r="AE774" s="214">
        <v>0.1</v>
      </c>
      <c r="AF774" s="215">
        <v>0.252</v>
      </c>
      <c r="AG774" s="218" t="s">
        <v>1162</v>
      </c>
      <c r="AH774" s="123">
        <f t="shared" si="1029"/>
        <v>3.179527733296116</v>
      </c>
      <c r="AI774" s="206">
        <f t="shared" si="1038"/>
        <v>0.16888888888888887</v>
      </c>
      <c r="AJ774" s="444"/>
      <c r="AK774" s="201">
        <f t="shared" si="1039"/>
        <v>3.316813492063492</v>
      </c>
      <c r="AL774" s="202">
        <f t="shared" si="1040"/>
        <v>2.9361564746981417</v>
      </c>
      <c r="AM774" s="208">
        <f t="shared" si="1030"/>
        <v>0.19111111111111123</v>
      </c>
      <c r="AN774" s="208">
        <f t="shared" si="1031"/>
        <v>0.16888888888888887</v>
      </c>
      <c r="AP774" s="19" t="s">
        <v>1163</v>
      </c>
      <c r="AQ774" s="434">
        <f>0.029*6.85</f>
        <v>0.19864999999999999</v>
      </c>
      <c r="AR774" s="434">
        <f>2.601*6.85-AQ774/2</f>
        <v>17.717524999999998</v>
      </c>
      <c r="AS774" s="128"/>
      <c r="AT774" s="162"/>
      <c r="AU774" s="180">
        <f t="shared" si="1032"/>
        <v>20.895924999999998</v>
      </c>
      <c r="AV774" s="173"/>
      <c r="AW774" s="433">
        <f t="shared" si="1033"/>
        <v>2.9851321428571427</v>
      </c>
      <c r="AX774" s="126">
        <f t="shared" si="1034"/>
        <v>2.6425408272283275</v>
      </c>
      <c r="AY774" s="163"/>
      <c r="AZ774" s="19"/>
      <c r="BB774" s="168">
        <f t="shared" si="1041"/>
        <v>11.776028641837467</v>
      </c>
      <c r="BC774" s="168">
        <f t="shared" si="1042"/>
        <v>7.0656171851024796</v>
      </c>
      <c r="BD774" s="168">
        <f t="shared" si="1043"/>
        <v>5.8880143209187334</v>
      </c>
      <c r="BE774" s="168">
        <f t="shared" si="1044"/>
        <v>4.7104114567349873</v>
      </c>
    </row>
    <row r="775" spans="1:57" s="129" customFormat="1" hidden="1">
      <c r="A775" s="88" t="s">
        <v>1156</v>
      </c>
      <c r="B775" s="88" t="s">
        <v>1317</v>
      </c>
      <c r="C775" s="88" t="s">
        <v>1317</v>
      </c>
      <c r="D775" s="88" t="s">
        <v>1303</v>
      </c>
      <c r="E775" s="91" t="s">
        <v>1157</v>
      </c>
      <c r="F775" s="90" t="s">
        <v>536</v>
      </c>
      <c r="G775" s="92" t="s">
        <v>253</v>
      </c>
      <c r="H775" s="92">
        <v>26</v>
      </c>
      <c r="I775" s="132" t="s">
        <v>1201</v>
      </c>
      <c r="J775" s="132" t="str">
        <f>_xlfn.XLOOKUP(I775,[1]Sheet1!$A:$A,[1]Sheet1!$B:$B,"")</f>
        <v>Z0102012</v>
      </c>
      <c r="K775" s="91" t="s">
        <v>1202</v>
      </c>
      <c r="L775" s="89"/>
      <c r="M775" s="92"/>
      <c r="N775" s="91" t="s">
        <v>1295</v>
      </c>
      <c r="O775" s="131"/>
      <c r="P775" s="88" t="s">
        <v>1200</v>
      </c>
      <c r="Q775" s="579"/>
      <c r="R775" s="92">
        <v>640</v>
      </c>
      <c r="S775" s="92"/>
      <c r="T775" s="92" t="s">
        <v>403</v>
      </c>
      <c r="U775" s="155">
        <v>0</v>
      </c>
      <c r="V775" s="200">
        <v>60</v>
      </c>
      <c r="W775" s="92">
        <v>55</v>
      </c>
      <c r="X775" s="92">
        <v>55</v>
      </c>
      <c r="Y775" s="207" t="s">
        <v>64</v>
      </c>
      <c r="Z775" s="133">
        <f t="shared" si="1035"/>
        <v>5.9527521585557297</v>
      </c>
      <c r="AA775" s="133"/>
      <c r="AB775" s="161">
        <f t="shared" si="1036"/>
        <v>5.1345634043244335</v>
      </c>
      <c r="AC775" s="161"/>
      <c r="AD775" s="214">
        <f t="shared" si="1037"/>
        <v>0.1</v>
      </c>
      <c r="AE775" s="214">
        <v>0.1</v>
      </c>
      <c r="AF775" s="215">
        <v>0.252</v>
      </c>
      <c r="AG775" s="218" t="s">
        <v>1162</v>
      </c>
      <c r="AH775" s="123">
        <f t="shared" si="1029"/>
        <v>4.6211070638919907</v>
      </c>
      <c r="AI775" s="206">
        <f t="shared" si="1038"/>
        <v>0.16888888888888887</v>
      </c>
      <c r="AJ775" s="444"/>
      <c r="AK775" s="201">
        <f t="shared" si="1039"/>
        <v>4.8151150793650794</v>
      </c>
      <c r="AL775" s="202">
        <f t="shared" si="1040"/>
        <v>4.2673926960385291</v>
      </c>
      <c r="AM775" s="208">
        <f t="shared" si="1030"/>
        <v>0.19111111111111101</v>
      </c>
      <c r="AN775" s="208">
        <f t="shared" si="1031"/>
        <v>0.16888888888888887</v>
      </c>
      <c r="AP775" s="19" t="s">
        <v>1163</v>
      </c>
      <c r="AQ775" s="434">
        <f>0.043*6.85</f>
        <v>0.29454999999999998</v>
      </c>
      <c r="AR775" s="434">
        <f>3.762*6.85-AQ775/2</f>
        <v>25.622425</v>
      </c>
      <c r="AS775" s="128"/>
      <c r="AT775" s="162"/>
      <c r="AU775" s="180">
        <f t="shared" si="1032"/>
        <v>30.335225000000001</v>
      </c>
      <c r="AV775" s="173"/>
      <c r="AW775" s="433">
        <f t="shared" si="1033"/>
        <v>4.3336035714285712</v>
      </c>
      <c r="AX775" s="126">
        <f t="shared" si="1034"/>
        <v>3.8406534264346766</v>
      </c>
      <c r="AY775" s="163"/>
      <c r="AZ775" s="19"/>
      <c r="BB775" s="168">
        <f t="shared" si="1041"/>
        <v>17.115211347748112</v>
      </c>
      <c r="BC775" s="168">
        <f t="shared" si="1042"/>
        <v>10.269126808648867</v>
      </c>
      <c r="BD775" s="168">
        <f t="shared" si="1043"/>
        <v>8.5576056738740558</v>
      </c>
      <c r="BE775" s="168">
        <f t="shared" si="1044"/>
        <v>6.8460845390992446</v>
      </c>
    </row>
    <row r="776" spans="1:57" s="129" customFormat="1" hidden="1">
      <c r="A776" s="88" t="s">
        <v>1156</v>
      </c>
      <c r="B776" s="88" t="s">
        <v>1317</v>
      </c>
      <c r="C776" s="88" t="s">
        <v>1317</v>
      </c>
      <c r="D776" s="88" t="s">
        <v>1303</v>
      </c>
      <c r="E776" s="91" t="s">
        <v>1157</v>
      </c>
      <c r="F776" s="90" t="s">
        <v>536</v>
      </c>
      <c r="G776" s="92" t="s">
        <v>253</v>
      </c>
      <c r="H776" s="92">
        <v>26</v>
      </c>
      <c r="I776" s="132" t="s">
        <v>1203</v>
      </c>
      <c r="J776" s="132" t="str">
        <f>_xlfn.XLOOKUP(I776,[1]Sheet1!$A:$A,[1]Sheet1!$B:$B,"")</f>
        <v>Z0102010</v>
      </c>
      <c r="K776" s="91" t="s">
        <v>1204</v>
      </c>
      <c r="L776" s="89"/>
      <c r="M776" s="92"/>
      <c r="N776" s="91" t="s">
        <v>1295</v>
      </c>
      <c r="O776" s="131"/>
      <c r="P776" s="88" t="s">
        <v>1200</v>
      </c>
      <c r="Q776" s="579"/>
      <c r="R776" s="92">
        <v>480</v>
      </c>
      <c r="S776" s="92"/>
      <c r="T776" s="92" t="s">
        <v>403</v>
      </c>
      <c r="U776" s="155">
        <v>0</v>
      </c>
      <c r="V776" s="200">
        <v>60</v>
      </c>
      <c r="W776" s="92">
        <v>55</v>
      </c>
      <c r="X776" s="92">
        <v>55</v>
      </c>
      <c r="Y776" s="207" t="s">
        <v>64</v>
      </c>
      <c r="Z776" s="133">
        <f t="shared" si="1035"/>
        <v>7.848062205651491</v>
      </c>
      <c r="AA776" s="133"/>
      <c r="AB776" s="161">
        <f t="shared" si="1036"/>
        <v>6.7720994283494296</v>
      </c>
      <c r="AC776" s="161"/>
      <c r="AD776" s="214">
        <f t="shared" si="1037"/>
        <v>0.1</v>
      </c>
      <c r="AE776" s="214">
        <v>0.1</v>
      </c>
      <c r="AF776" s="215">
        <v>0.252</v>
      </c>
      <c r="AG776" s="218" t="s">
        <v>1162</v>
      </c>
      <c r="AH776" s="123">
        <f t="shared" si="1029"/>
        <v>6.0948894855144866</v>
      </c>
      <c r="AI776" s="206">
        <f t="shared" si="1038"/>
        <v>0.16888888888888898</v>
      </c>
      <c r="AJ776" s="444"/>
      <c r="AK776" s="201">
        <f t="shared" si="1039"/>
        <v>6.3482103174603166</v>
      </c>
      <c r="AL776" s="202">
        <f t="shared" si="1040"/>
        <v>5.6283670804504142</v>
      </c>
      <c r="AM776" s="208">
        <f t="shared" si="1030"/>
        <v>0.19111111111111123</v>
      </c>
      <c r="AN776" s="208">
        <f t="shared" si="1031"/>
        <v>0.16888888888888898</v>
      </c>
      <c r="AP776" s="19" t="s">
        <v>1163</v>
      </c>
      <c r="AQ776" s="434">
        <f>0.057*6.85</f>
        <v>0.39045000000000002</v>
      </c>
      <c r="AR776" s="434">
        <f>4.955*6.85-AQ776/2</f>
        <v>33.746524999999998</v>
      </c>
      <c r="AS776" s="128"/>
      <c r="AT776" s="162"/>
      <c r="AU776" s="180">
        <f t="shared" si="1032"/>
        <v>39.993724999999998</v>
      </c>
      <c r="AV776" s="173"/>
      <c r="AW776" s="433">
        <f t="shared" si="1033"/>
        <v>5.7133892857142854</v>
      </c>
      <c r="AX776" s="126">
        <f t="shared" si="1034"/>
        <v>5.0655303724053731</v>
      </c>
      <c r="AY776" s="163"/>
      <c r="AZ776" s="19"/>
      <c r="BB776" s="168">
        <f t="shared" si="1041"/>
        <v>22.573664761164768</v>
      </c>
      <c r="BC776" s="168">
        <f t="shared" si="1042"/>
        <v>13.544198856698861</v>
      </c>
      <c r="BD776" s="168">
        <f t="shared" si="1043"/>
        <v>11.286832380582384</v>
      </c>
      <c r="BE776" s="168">
        <f t="shared" si="1044"/>
        <v>9.0294659044659067</v>
      </c>
    </row>
    <row r="777" spans="1:57" s="129" customFormat="1" hidden="1">
      <c r="A777" s="88" t="s">
        <v>1156</v>
      </c>
      <c r="B777" s="88" t="s">
        <v>1317</v>
      </c>
      <c r="C777" s="88" t="s">
        <v>1317</v>
      </c>
      <c r="D777" s="88" t="s">
        <v>1303</v>
      </c>
      <c r="E777" s="91" t="s">
        <v>1157</v>
      </c>
      <c r="F777" s="90" t="s">
        <v>536</v>
      </c>
      <c r="G777" s="92" t="s">
        <v>253</v>
      </c>
      <c r="H777" s="92">
        <v>26</v>
      </c>
      <c r="I777" s="132" t="s">
        <v>1205</v>
      </c>
      <c r="J777" s="132" t="str">
        <f>_xlfn.XLOOKUP(I777,[1]Sheet1!$A:$A,[1]Sheet1!$B:$B,"")</f>
        <v>Z0102009</v>
      </c>
      <c r="K777" s="91" t="s">
        <v>1206</v>
      </c>
      <c r="L777" s="89"/>
      <c r="M777" s="92"/>
      <c r="N777" s="91" t="s">
        <v>1295</v>
      </c>
      <c r="O777" s="131"/>
      <c r="P777" s="88" t="s">
        <v>1200</v>
      </c>
      <c r="Q777" s="579"/>
      <c r="R777" s="92">
        <v>480</v>
      </c>
      <c r="S777" s="92"/>
      <c r="T777" s="92" t="s">
        <v>403</v>
      </c>
      <c r="U777" s="155">
        <v>0</v>
      </c>
      <c r="V777" s="200">
        <v>60</v>
      </c>
      <c r="W777" s="92">
        <v>55</v>
      </c>
      <c r="X777" s="92">
        <v>55</v>
      </c>
      <c r="Y777" s="207" t="s">
        <v>64</v>
      </c>
      <c r="Z777" s="133">
        <f t="shared" si="1035"/>
        <v>9.6909487833594969</v>
      </c>
      <c r="AA777" s="133"/>
      <c r="AB777" s="161">
        <f t="shared" si="1036"/>
        <v>8.305100740762505</v>
      </c>
      <c r="AC777" s="161"/>
      <c r="AD777" s="214">
        <f t="shared" si="1037"/>
        <v>0.1</v>
      </c>
      <c r="AE777" s="214">
        <v>0.1</v>
      </c>
      <c r="AF777" s="215">
        <v>0.252</v>
      </c>
      <c r="AG777" s="218" t="s">
        <v>1162</v>
      </c>
      <c r="AH777" s="123">
        <f t="shared" si="1029"/>
        <v>7.4745906666862547</v>
      </c>
      <c r="AI777" s="206">
        <f t="shared" si="1038"/>
        <v>0.16888888888888887</v>
      </c>
      <c r="AJ777" s="444"/>
      <c r="AK777" s="201">
        <f t="shared" si="1039"/>
        <v>7.8389007936507928</v>
      </c>
      <c r="AL777" s="202">
        <f t="shared" si="1040"/>
        <v>6.9024615045448376</v>
      </c>
      <c r="AM777" s="208">
        <f t="shared" si="1030"/>
        <v>0.19111111111111112</v>
      </c>
      <c r="AN777" s="208">
        <f t="shared" si="1031"/>
        <v>0.16888888888888887</v>
      </c>
      <c r="AP777" s="19" t="s">
        <v>1163</v>
      </c>
      <c r="AQ777" s="434">
        <f>0.071*6.85</f>
        <v>0.48634999999999995</v>
      </c>
      <c r="AR777" s="434">
        <f>6.109*6.85-AQ777/2</f>
        <v>41.603474999999996</v>
      </c>
      <c r="AS777" s="128"/>
      <c r="AT777" s="162"/>
      <c r="AU777" s="180">
        <f t="shared" si="1032"/>
        <v>49.385074999999993</v>
      </c>
      <c r="AV777" s="173"/>
      <c r="AW777" s="433">
        <f t="shared" si="1033"/>
        <v>7.0550107142857135</v>
      </c>
      <c r="AX777" s="126">
        <f t="shared" si="1034"/>
        <v>6.212215354090354</v>
      </c>
      <c r="AY777" s="163"/>
      <c r="AZ777" s="19"/>
      <c r="BB777" s="168">
        <f t="shared" si="1041"/>
        <v>27.683669135875018</v>
      </c>
      <c r="BC777" s="168">
        <f t="shared" si="1042"/>
        <v>16.61020148152501</v>
      </c>
      <c r="BD777" s="168">
        <f t="shared" si="1043"/>
        <v>13.841834567937509</v>
      </c>
      <c r="BE777" s="168">
        <f t="shared" si="1044"/>
        <v>11.073467654350008</v>
      </c>
    </row>
    <row r="778" spans="1:57" s="129" customFormat="1" hidden="1">
      <c r="A778" s="88" t="s">
        <v>1156</v>
      </c>
      <c r="B778" s="88" t="s">
        <v>1317</v>
      </c>
      <c r="C778" s="88" t="s">
        <v>1317</v>
      </c>
      <c r="D778" s="88" t="s">
        <v>1303</v>
      </c>
      <c r="E778" s="91" t="s">
        <v>1157</v>
      </c>
      <c r="F778" s="90" t="s">
        <v>536</v>
      </c>
      <c r="G778" s="92" t="s">
        <v>253</v>
      </c>
      <c r="H778" s="92">
        <v>26</v>
      </c>
      <c r="I778" s="132" t="s">
        <v>1207</v>
      </c>
      <c r="J778" s="132" t="str">
        <f>_xlfn.XLOOKUP(I778,[1]Sheet1!$A:$A,[1]Sheet1!$B:$B,"")</f>
        <v>Z0102007</v>
      </c>
      <c r="K778" s="91" t="s">
        <v>1208</v>
      </c>
      <c r="L778" s="89"/>
      <c r="M778" s="92"/>
      <c r="N778" s="91" t="s">
        <v>1295</v>
      </c>
      <c r="O778" s="131"/>
      <c r="P778" s="88" t="s">
        <v>1200</v>
      </c>
      <c r="Q778" s="579"/>
      <c r="R778" s="92">
        <v>320</v>
      </c>
      <c r="S778" s="92"/>
      <c r="T778" s="92" t="s">
        <v>403</v>
      </c>
      <c r="U778" s="155">
        <v>0</v>
      </c>
      <c r="V778" s="200">
        <v>60</v>
      </c>
      <c r="W778" s="92">
        <v>55</v>
      </c>
      <c r="X778" s="92">
        <v>55</v>
      </c>
      <c r="Y778" s="207" t="s">
        <v>64</v>
      </c>
      <c r="Z778" s="133">
        <f t="shared" si="1035"/>
        <v>11.524426020408164</v>
      </c>
      <c r="AA778" s="133"/>
      <c r="AB778" s="161">
        <f t="shared" si="1036"/>
        <v>9.9521276313555731</v>
      </c>
      <c r="AC778" s="161"/>
      <c r="AD778" s="214">
        <f t="shared" si="1037"/>
        <v>0.1</v>
      </c>
      <c r="AE778" s="214">
        <v>0.1</v>
      </c>
      <c r="AF778" s="215">
        <v>0.252</v>
      </c>
      <c r="AG778" s="218" t="s">
        <v>1162</v>
      </c>
      <c r="AH778" s="123">
        <f t="shared" si="1029"/>
        <v>8.9569148682200161</v>
      </c>
      <c r="AI778" s="206">
        <f t="shared" si="1038"/>
        <v>0.16888888888888887</v>
      </c>
      <c r="AJ778" s="444"/>
      <c r="AK778" s="201">
        <f t="shared" si="1039"/>
        <v>9.3219801587301596</v>
      </c>
      <c r="AL778" s="202">
        <f t="shared" si="1040"/>
        <v>8.2713238536155202</v>
      </c>
      <c r="AM778" s="208">
        <f t="shared" si="1030"/>
        <v>0.19111111111111112</v>
      </c>
      <c r="AN778" s="208">
        <f t="shared" si="1031"/>
        <v>0.16888888888888898</v>
      </c>
      <c r="AP778" s="19" t="s">
        <v>1163</v>
      </c>
      <c r="AQ778" s="434">
        <f>0.085*6.85</f>
        <v>0.58225000000000005</v>
      </c>
      <c r="AR778" s="434">
        <f>7.256*6.85-AQ778/2</f>
        <v>49.412475000000001</v>
      </c>
      <c r="AS778" s="128"/>
      <c r="AT778" s="162"/>
      <c r="AU778" s="180">
        <f t="shared" si="1032"/>
        <v>58.728475000000003</v>
      </c>
      <c r="AV778" s="173"/>
      <c r="AW778" s="433">
        <f t="shared" si="1033"/>
        <v>8.3897821428571433</v>
      </c>
      <c r="AX778" s="126">
        <f t="shared" si="1034"/>
        <v>7.4441914682539689</v>
      </c>
      <c r="AY778" s="163"/>
      <c r="AZ778" s="19"/>
      <c r="BB778" s="168">
        <f t="shared" si="1041"/>
        <v>33.173758771185248</v>
      </c>
      <c r="BC778" s="168">
        <f t="shared" si="1042"/>
        <v>19.90425526271115</v>
      </c>
      <c r="BD778" s="168">
        <f t="shared" si="1043"/>
        <v>16.586879385592624</v>
      </c>
      <c r="BE778" s="168">
        <f t="shared" si="1044"/>
        <v>13.2695035084741</v>
      </c>
    </row>
    <row r="779" spans="1:57" s="129" customFormat="1" hidden="1">
      <c r="A779" s="88" t="s">
        <v>1156</v>
      </c>
      <c r="B779" s="88" t="s">
        <v>1317</v>
      </c>
      <c r="C779" s="88" t="s">
        <v>1317</v>
      </c>
      <c r="D779" s="88" t="s">
        <v>1303</v>
      </c>
      <c r="E779" s="91" t="s">
        <v>1157</v>
      </c>
      <c r="F779" s="90" t="s">
        <v>536</v>
      </c>
      <c r="G779" s="92" t="s">
        <v>253</v>
      </c>
      <c r="H779" s="92">
        <v>26</v>
      </c>
      <c r="I779" s="132" t="s">
        <v>1209</v>
      </c>
      <c r="J779" s="132" t="str">
        <f>_xlfn.XLOOKUP(I779,[1]Sheet1!$A:$A,[1]Sheet1!$B:$B,"")</f>
        <v>Z0102004</v>
      </c>
      <c r="K779" s="91" t="s">
        <v>1294</v>
      </c>
      <c r="L779" s="89"/>
      <c r="M779" s="92"/>
      <c r="N779" s="91" t="s">
        <v>1295</v>
      </c>
      <c r="O779" s="131"/>
      <c r="P779" s="88" t="s">
        <v>1160</v>
      </c>
      <c r="Q779" s="579"/>
      <c r="R779" s="92">
        <v>256</v>
      </c>
      <c r="S779" s="92"/>
      <c r="T779" s="92" t="s">
        <v>403</v>
      </c>
      <c r="U779" s="155">
        <v>0</v>
      </c>
      <c r="V779" s="200">
        <v>60</v>
      </c>
      <c r="W779" s="92">
        <v>55</v>
      </c>
      <c r="X779" s="92">
        <v>55</v>
      </c>
      <c r="Y779" s="207" t="s">
        <v>64</v>
      </c>
      <c r="Z779" s="133">
        <f t="shared" si="1035"/>
        <v>18.558580259026691</v>
      </c>
      <c r="AA779" s="133"/>
      <c r="AB779" s="161">
        <f t="shared" si="1036"/>
        <v>15.894863536177878</v>
      </c>
      <c r="AC779" s="161"/>
      <c r="AD779" s="214">
        <f t="shared" si="1037"/>
        <v>0.1</v>
      </c>
      <c r="AE779" s="214">
        <v>0.1</v>
      </c>
      <c r="AF779" s="215">
        <v>0.252</v>
      </c>
      <c r="AG779" s="218" t="s">
        <v>1162</v>
      </c>
      <c r="AH779" s="123">
        <f t="shared" si="1029"/>
        <v>14.30537718256009</v>
      </c>
      <c r="AI779" s="206">
        <f t="shared" si="1038"/>
        <v>0.16888888888888887</v>
      </c>
      <c r="AJ779" s="444"/>
      <c r="AK779" s="201">
        <f t="shared" si="1039"/>
        <v>15.011829365079366</v>
      </c>
      <c r="AL779" s="202">
        <f t="shared" si="1040"/>
        <v>13.210397694512279</v>
      </c>
      <c r="AM779" s="208">
        <f t="shared" si="1030"/>
        <v>0.19111111111111123</v>
      </c>
      <c r="AN779" s="208">
        <f t="shared" si="1031"/>
        <v>0.16888888888888898</v>
      </c>
      <c r="AP779" s="19" t="s">
        <v>404</v>
      </c>
      <c r="AQ779" s="434">
        <f>0.131*6.85</f>
        <v>0.89734999999999998</v>
      </c>
      <c r="AR779" s="434">
        <f>11.776*6.85-AQ779/2</f>
        <v>80.216925000000003</v>
      </c>
      <c r="AS779" s="128"/>
      <c r="AT779" s="162"/>
      <c r="AU779" s="180">
        <f t="shared" si="1032"/>
        <v>94.574525000000008</v>
      </c>
      <c r="AV779" s="173"/>
      <c r="AW779" s="433">
        <f t="shared" si="1033"/>
        <v>13.51064642857143</v>
      </c>
      <c r="AX779" s="126">
        <f t="shared" si="1034"/>
        <v>11.889357925061052</v>
      </c>
      <c r="AY779" s="163"/>
      <c r="AZ779" s="19"/>
      <c r="BB779" s="168">
        <f t="shared" si="1041"/>
        <v>52.982878453926261</v>
      </c>
      <c r="BC779" s="168">
        <f t="shared" si="1042"/>
        <v>31.789727072355756</v>
      </c>
      <c r="BD779" s="168">
        <f t="shared" si="1043"/>
        <v>26.491439226963131</v>
      </c>
      <c r="BE779" s="168">
        <f t="shared" si="1044"/>
        <v>21.193151381570505</v>
      </c>
    </row>
    <row r="780" spans="1:57" s="129" customFormat="1" hidden="1">
      <c r="A780" s="88" t="s">
        <v>1246</v>
      </c>
      <c r="B780" s="88" t="s">
        <v>1317</v>
      </c>
      <c r="C780" s="88" t="s">
        <v>1317</v>
      </c>
      <c r="D780" s="88" t="s">
        <v>1102</v>
      </c>
      <c r="E780" s="91" t="s">
        <v>1247</v>
      </c>
      <c r="F780" s="90" t="s">
        <v>1228</v>
      </c>
      <c r="G780" s="92"/>
      <c r="H780" s="92"/>
      <c r="I780" s="205" t="s">
        <v>3881</v>
      </c>
      <c r="J780" s="205" t="str">
        <f>_xlfn.XLOOKUP(I780,[1]Sheet1!$A:$A,[1]Sheet1!$B:$B,"")</f>
        <v>Z0201012</v>
      </c>
      <c r="K780" s="91" t="s">
        <v>1229</v>
      </c>
      <c r="L780" s="89"/>
      <c r="M780" s="92"/>
      <c r="N780" s="91" t="s">
        <v>1295</v>
      </c>
      <c r="O780" s="131"/>
      <c r="P780" s="90" t="s">
        <v>1243</v>
      </c>
      <c r="Q780" s="579" t="s">
        <v>1244</v>
      </c>
      <c r="R780" s="579" t="s">
        <v>1245</v>
      </c>
      <c r="S780" s="92"/>
      <c r="T780" s="131">
        <v>9403208000</v>
      </c>
      <c r="U780" s="155">
        <v>0</v>
      </c>
      <c r="V780" s="131">
        <v>45</v>
      </c>
      <c r="W780" s="131">
        <v>45</v>
      </c>
      <c r="X780" s="207"/>
      <c r="Y780" s="207" t="s">
        <v>1224</v>
      </c>
      <c r="Z780" s="133">
        <f>AW780/(1-(AF780+2%))</f>
        <v>49.32</v>
      </c>
      <c r="AA780" s="133"/>
      <c r="AB780" s="161">
        <f>AX780/(1-AF780)</f>
        <v>51.881451881451888</v>
      </c>
      <c r="AC780" s="161"/>
      <c r="AD780" s="214">
        <f t="shared" si="1037"/>
        <v>0.1</v>
      </c>
      <c r="AE780" s="214">
        <v>0.1</v>
      </c>
      <c r="AF780" s="217">
        <v>0.23</v>
      </c>
      <c r="AG780" s="218" t="s">
        <v>1162</v>
      </c>
      <c r="AH780" s="123">
        <f t="shared" si="1029"/>
        <v>46.693306693306702</v>
      </c>
      <c r="AI780" s="206">
        <f t="shared" si="1038"/>
        <v>0.14444444444444449</v>
      </c>
      <c r="AJ780" s="444"/>
      <c r="AK780" s="201">
        <f>AW780/(1-AD780)</f>
        <v>41.1</v>
      </c>
      <c r="AL780" s="202">
        <f>AX780/(1-AE780)</f>
        <v>44.387464387464398</v>
      </c>
      <c r="AM780" s="208">
        <f t="shared" si="1030"/>
        <v>0.16666666666666663</v>
      </c>
      <c r="AN780" s="208">
        <f t="shared" si="1031"/>
        <v>0.14444444444444438</v>
      </c>
      <c r="AP780" s="19" t="s">
        <v>1248</v>
      </c>
      <c r="AQ780" s="209"/>
      <c r="AR780" s="209"/>
      <c r="AS780" s="128"/>
      <c r="AT780" s="162"/>
      <c r="AU780" s="162"/>
      <c r="AV780" s="173"/>
      <c r="AW780" s="203">
        <v>36.99</v>
      </c>
      <c r="AX780" s="126">
        <f>(AW780/$F$6)+($F$8/300)+AW780*U780</f>
        <v>39.948717948717956</v>
      </c>
      <c r="AY780" s="205">
        <v>66060</v>
      </c>
      <c r="AZ780" s="19"/>
      <c r="BB780" s="168">
        <f t="shared" si="1041"/>
        <v>172.93817293817295</v>
      </c>
      <c r="BC780" s="168">
        <f t="shared" si="1042"/>
        <v>103.76290376290378</v>
      </c>
      <c r="BD780" s="168">
        <f t="shared" si="1043"/>
        <v>86.469086469086477</v>
      </c>
      <c r="BE780" s="168">
        <f t="shared" si="1044"/>
        <v>69.175269175269179</v>
      </c>
    </row>
    <row r="781" spans="1:57" s="129" customFormat="1" hidden="1">
      <c r="A781" s="88" t="s">
        <v>1246</v>
      </c>
      <c r="B781" s="88" t="s">
        <v>1317</v>
      </c>
      <c r="C781" s="88" t="s">
        <v>1317</v>
      </c>
      <c r="D781" s="88" t="s">
        <v>1102</v>
      </c>
      <c r="E781" s="91" t="s">
        <v>1247</v>
      </c>
      <c r="F781" s="90" t="s">
        <v>1228</v>
      </c>
      <c r="G781" s="92"/>
      <c r="H781" s="92"/>
      <c r="I781" s="205" t="s">
        <v>3882</v>
      </c>
      <c r="J781" s="205" t="str">
        <f>_xlfn.XLOOKUP(I781,[1]Sheet1!$A:$A,[1]Sheet1!$B:$B,"")</f>
        <v>Z0201014</v>
      </c>
      <c r="K781" s="91" t="s">
        <v>1230</v>
      </c>
      <c r="L781" s="89"/>
      <c r="M781" s="92"/>
      <c r="N781" s="91" t="s">
        <v>1295</v>
      </c>
      <c r="O781" s="131"/>
      <c r="P781" s="90" t="s">
        <v>1243</v>
      </c>
      <c r="Q781" s="579"/>
      <c r="R781" s="579"/>
      <c r="S781" s="92"/>
      <c r="T781" s="131">
        <v>9403208000</v>
      </c>
      <c r="U781" s="155">
        <v>0</v>
      </c>
      <c r="V781" s="131">
        <v>45</v>
      </c>
      <c r="W781" s="131">
        <v>45</v>
      </c>
      <c r="X781" s="207"/>
      <c r="Y781" s="207" t="s">
        <v>1224</v>
      </c>
      <c r="Z781" s="133">
        <f t="shared" ref="Z781:Z793" si="1045">AW781/(1-(AF781+2%))</f>
        <v>57</v>
      </c>
      <c r="AA781" s="133"/>
      <c r="AB781" s="161">
        <f t="shared" si="1036"/>
        <v>58.275058275058278</v>
      </c>
      <c r="AC781" s="161"/>
      <c r="AD781" s="214">
        <f t="shared" si="1037"/>
        <v>0.1</v>
      </c>
      <c r="AE781" s="214">
        <v>0.1</v>
      </c>
      <c r="AF781" s="217">
        <v>0.23</v>
      </c>
      <c r="AG781" s="218" t="s">
        <v>1162</v>
      </c>
      <c r="AH781" s="123">
        <f t="shared" si="1029"/>
        <v>52.447552447552454</v>
      </c>
      <c r="AI781" s="206">
        <f t="shared" si="1038"/>
        <v>0.14444444444444449</v>
      </c>
      <c r="AJ781" s="444"/>
      <c r="AK781" s="201">
        <f t="shared" si="1039"/>
        <v>47.5</v>
      </c>
      <c r="AL781" s="202">
        <f t="shared" si="1040"/>
        <v>49.857549857549863</v>
      </c>
      <c r="AM781" s="208">
        <f t="shared" si="1030"/>
        <v>0.16666666666666663</v>
      </c>
      <c r="AN781" s="208">
        <f t="shared" si="1031"/>
        <v>0.14444444444444438</v>
      </c>
      <c r="AP781" s="19" t="s">
        <v>1248</v>
      </c>
      <c r="AQ781" s="209"/>
      <c r="AR781" s="209"/>
      <c r="AS781" s="128"/>
      <c r="AT781" s="162"/>
      <c r="AU781" s="162"/>
      <c r="AV781" s="173"/>
      <c r="AW781" s="203">
        <v>42.75</v>
      </c>
      <c r="AX781" s="126">
        <f t="shared" ref="AX781:AX793" si="1046">(AW781/$F$6)+($F$8/300)+AW781*U781</f>
        <v>44.871794871794876</v>
      </c>
      <c r="AY781" s="205">
        <v>96060</v>
      </c>
      <c r="AZ781" s="19"/>
      <c r="BB781" s="168">
        <f t="shared" si="1041"/>
        <v>194.25019425019426</v>
      </c>
      <c r="BC781" s="168">
        <f t="shared" si="1042"/>
        <v>116.55011655011654</v>
      </c>
      <c r="BD781" s="168">
        <f t="shared" si="1043"/>
        <v>97.125097125097128</v>
      </c>
      <c r="BE781" s="168">
        <f t="shared" si="1044"/>
        <v>77.700077700077713</v>
      </c>
    </row>
    <row r="782" spans="1:57" s="129" customFormat="1" hidden="1">
      <c r="A782" s="88" t="s">
        <v>1246</v>
      </c>
      <c r="B782" s="88" t="s">
        <v>1317</v>
      </c>
      <c r="C782" s="88" t="s">
        <v>1317</v>
      </c>
      <c r="D782" s="88" t="s">
        <v>1102</v>
      </c>
      <c r="E782" s="91" t="s">
        <v>1247</v>
      </c>
      <c r="F782" s="90" t="s">
        <v>1228</v>
      </c>
      <c r="G782" s="92"/>
      <c r="H782" s="92"/>
      <c r="I782" s="205" t="s">
        <v>3883</v>
      </c>
      <c r="J782" s="205" t="str">
        <f>_xlfn.XLOOKUP(I782,[1]Sheet1!$A:$A,[1]Sheet1!$B:$B,"")</f>
        <v>Z0201002</v>
      </c>
      <c r="K782" s="91" t="s">
        <v>1231</v>
      </c>
      <c r="L782" s="89"/>
      <c r="M782" s="92"/>
      <c r="N782" s="91" t="s">
        <v>1295</v>
      </c>
      <c r="O782" s="131"/>
      <c r="P782" s="90" t="s">
        <v>1243</v>
      </c>
      <c r="Q782" s="579"/>
      <c r="R782" s="579"/>
      <c r="S782" s="92"/>
      <c r="T782" s="131">
        <v>9403208000</v>
      </c>
      <c r="U782" s="155">
        <v>0</v>
      </c>
      <c r="V782" s="131">
        <v>45</v>
      </c>
      <c r="W782" s="131">
        <v>45</v>
      </c>
      <c r="X782" s="207"/>
      <c r="Y782" s="207" t="s">
        <v>1224</v>
      </c>
      <c r="Z782" s="133">
        <f t="shared" si="1045"/>
        <v>64.466666666666669</v>
      </c>
      <c r="AA782" s="133"/>
      <c r="AB782" s="161">
        <f t="shared" si="1036"/>
        <v>64.491064491064506</v>
      </c>
      <c r="AC782" s="161"/>
      <c r="AD782" s="214">
        <f t="shared" si="1037"/>
        <v>0.1</v>
      </c>
      <c r="AE782" s="214">
        <v>0.1</v>
      </c>
      <c r="AF782" s="217">
        <v>0.23</v>
      </c>
      <c r="AG782" s="218" t="s">
        <v>1162</v>
      </c>
      <c r="AH782" s="123">
        <f t="shared" si="1029"/>
        <v>58.041958041958054</v>
      </c>
      <c r="AI782" s="206">
        <f t="shared" si="1038"/>
        <v>0.14444444444444449</v>
      </c>
      <c r="AJ782" s="444"/>
      <c r="AK782" s="201">
        <f t="shared" si="1039"/>
        <v>53.722222222222221</v>
      </c>
      <c r="AL782" s="202">
        <f t="shared" si="1040"/>
        <v>55.175688509021853</v>
      </c>
      <c r="AM782" s="208">
        <f t="shared" si="1030"/>
        <v>0.16666666666666674</v>
      </c>
      <c r="AN782" s="208">
        <f t="shared" si="1031"/>
        <v>0.14444444444444449</v>
      </c>
      <c r="AP782" s="19" t="s">
        <v>1248</v>
      </c>
      <c r="AQ782" s="209"/>
      <c r="AR782" s="209"/>
      <c r="AS782" s="128"/>
      <c r="AT782" s="162"/>
      <c r="AU782" s="162"/>
      <c r="AV782" s="173"/>
      <c r="AW782" s="203">
        <v>48.35</v>
      </c>
      <c r="AX782" s="126">
        <f t="shared" si="1046"/>
        <v>49.658119658119666</v>
      </c>
      <c r="AY782" s="205">
        <v>126060</v>
      </c>
      <c r="AZ782" s="19"/>
      <c r="BB782" s="168">
        <f t="shared" si="1041"/>
        <v>214.97021497021504</v>
      </c>
      <c r="BC782" s="168">
        <f t="shared" si="1042"/>
        <v>128.98212898212901</v>
      </c>
      <c r="BD782" s="168">
        <f t="shared" si="1043"/>
        <v>107.48510748510752</v>
      </c>
      <c r="BE782" s="168">
        <f t="shared" si="1044"/>
        <v>85.988085988086027</v>
      </c>
    </row>
    <row r="783" spans="1:57" s="129" customFormat="1" hidden="1">
      <c r="A783" s="88" t="s">
        <v>1246</v>
      </c>
      <c r="B783" s="88" t="s">
        <v>1317</v>
      </c>
      <c r="C783" s="88" t="s">
        <v>1317</v>
      </c>
      <c r="D783" s="88" t="s">
        <v>1102</v>
      </c>
      <c r="E783" s="91" t="s">
        <v>1247</v>
      </c>
      <c r="F783" s="90" t="s">
        <v>1228</v>
      </c>
      <c r="G783" s="92"/>
      <c r="H783" s="92"/>
      <c r="I783" s="205" t="s">
        <v>3884</v>
      </c>
      <c r="J783" s="205" t="str">
        <f>_xlfn.XLOOKUP(I783,[1]Sheet1!$A:$A,[1]Sheet1!$B:$B,"")</f>
        <v>Z0201004</v>
      </c>
      <c r="K783" s="91" t="s">
        <v>1232</v>
      </c>
      <c r="L783" s="89"/>
      <c r="M783" s="92"/>
      <c r="N783" s="91" t="s">
        <v>1295</v>
      </c>
      <c r="O783" s="131"/>
      <c r="P783" s="90" t="s">
        <v>1243</v>
      </c>
      <c r="Q783" s="579"/>
      <c r="R783" s="579"/>
      <c r="S783" s="92"/>
      <c r="T783" s="131">
        <v>9403208000</v>
      </c>
      <c r="U783" s="155">
        <v>0</v>
      </c>
      <c r="V783" s="131">
        <v>45</v>
      </c>
      <c r="W783" s="131">
        <v>45</v>
      </c>
      <c r="X783" s="207"/>
      <c r="Y783" s="207" t="s">
        <v>1224</v>
      </c>
      <c r="Z783" s="133">
        <f t="shared" si="1045"/>
        <v>74.586666666666659</v>
      </c>
      <c r="AA783" s="133"/>
      <c r="AB783" s="161">
        <f t="shared" si="1036"/>
        <v>72.915972915972915</v>
      </c>
      <c r="AC783" s="161"/>
      <c r="AD783" s="214">
        <f t="shared" si="1037"/>
        <v>0.1</v>
      </c>
      <c r="AE783" s="214">
        <v>0.1</v>
      </c>
      <c r="AF783" s="217">
        <v>0.23</v>
      </c>
      <c r="AG783" s="218" t="s">
        <v>1162</v>
      </c>
      <c r="AH783" s="123">
        <f t="shared" si="1029"/>
        <v>65.624375624375631</v>
      </c>
      <c r="AI783" s="206">
        <f t="shared" si="1038"/>
        <v>0.14444444444444449</v>
      </c>
      <c r="AJ783" s="444"/>
      <c r="AK783" s="201">
        <f t="shared" si="1039"/>
        <v>62.155555555555551</v>
      </c>
      <c r="AL783" s="202">
        <f t="shared" si="1040"/>
        <v>62.383665716999054</v>
      </c>
      <c r="AM783" s="208">
        <f t="shared" si="1030"/>
        <v>0.16666666666666663</v>
      </c>
      <c r="AN783" s="208">
        <f t="shared" si="1031"/>
        <v>0.14444444444444438</v>
      </c>
      <c r="AP783" s="19" t="s">
        <v>1248</v>
      </c>
      <c r="AQ783" s="209"/>
      <c r="AR783" s="209"/>
      <c r="AS783" s="128"/>
      <c r="AT783" s="162"/>
      <c r="AU783" s="162"/>
      <c r="AV783" s="173"/>
      <c r="AW783" s="203">
        <v>55.94</v>
      </c>
      <c r="AX783" s="126">
        <f t="shared" si="1046"/>
        <v>56.145299145299148</v>
      </c>
      <c r="AY783" s="205">
        <v>156060</v>
      </c>
      <c r="AZ783" s="19"/>
      <c r="BB783" s="168">
        <f t="shared" si="1041"/>
        <v>243.05324305324305</v>
      </c>
      <c r="BC783" s="168">
        <f t="shared" si="1042"/>
        <v>145.83194583194583</v>
      </c>
      <c r="BD783" s="168">
        <f t="shared" si="1043"/>
        <v>121.52662152662153</v>
      </c>
      <c r="BE783" s="168">
        <f t="shared" si="1044"/>
        <v>97.22129722129722</v>
      </c>
    </row>
    <row r="784" spans="1:57" s="129" customFormat="1" hidden="1">
      <c r="A784" s="88" t="s">
        <v>1246</v>
      </c>
      <c r="B784" s="88" t="s">
        <v>1317</v>
      </c>
      <c r="C784" s="88" t="s">
        <v>1317</v>
      </c>
      <c r="D784" s="88" t="s">
        <v>1102</v>
      </c>
      <c r="E784" s="91" t="s">
        <v>1247</v>
      </c>
      <c r="F784" s="90" t="s">
        <v>1228</v>
      </c>
      <c r="G784" s="92"/>
      <c r="H784" s="92"/>
      <c r="I784" s="205" t="s">
        <v>3885</v>
      </c>
      <c r="J784" s="205" t="str">
        <f>_xlfn.XLOOKUP(I784,[1]Sheet1!$A:$A,[1]Sheet1!$B:$B,"")</f>
        <v>Z0201006</v>
      </c>
      <c r="K784" s="91" t="s">
        <v>1233</v>
      </c>
      <c r="L784" s="89"/>
      <c r="M784" s="92"/>
      <c r="N784" s="91" t="s">
        <v>1295</v>
      </c>
      <c r="O784" s="131"/>
      <c r="P784" s="90" t="s">
        <v>1243</v>
      </c>
      <c r="Q784" s="579"/>
      <c r="R784" s="579"/>
      <c r="S784" s="92"/>
      <c r="T784" s="131">
        <v>9403208000</v>
      </c>
      <c r="U784" s="155">
        <v>0</v>
      </c>
      <c r="V784" s="131">
        <v>45</v>
      </c>
      <c r="W784" s="131">
        <v>45</v>
      </c>
      <c r="X784" s="207"/>
      <c r="Y784" s="207" t="s">
        <v>1224</v>
      </c>
      <c r="Z784" s="133">
        <f t="shared" si="1045"/>
        <v>82.25333333333333</v>
      </c>
      <c r="AA784" s="133"/>
      <c r="AB784" s="161">
        <f t="shared" si="1036"/>
        <v>79.298479298479307</v>
      </c>
      <c r="AC784" s="161"/>
      <c r="AD784" s="214">
        <f t="shared" si="1037"/>
        <v>0.1</v>
      </c>
      <c r="AE784" s="214">
        <v>0.1</v>
      </c>
      <c r="AF784" s="217">
        <v>0.23</v>
      </c>
      <c r="AG784" s="218" t="s">
        <v>1162</v>
      </c>
      <c r="AH784" s="123">
        <f t="shared" si="1029"/>
        <v>71.368631368631384</v>
      </c>
      <c r="AI784" s="206">
        <f t="shared" si="1038"/>
        <v>0.1444444444444446</v>
      </c>
      <c r="AJ784" s="444"/>
      <c r="AK784" s="201">
        <f t="shared" si="1039"/>
        <v>68.544444444444437</v>
      </c>
      <c r="AL784" s="202">
        <f t="shared" si="1040"/>
        <v>67.844254510921175</v>
      </c>
      <c r="AM784" s="208">
        <f t="shared" si="1030"/>
        <v>0.16666666666666674</v>
      </c>
      <c r="AN784" s="208">
        <f t="shared" si="1031"/>
        <v>0.1444444444444446</v>
      </c>
      <c r="AP784" s="19" t="s">
        <v>1248</v>
      </c>
      <c r="AQ784" s="209"/>
      <c r="AR784" s="209"/>
      <c r="AS784" s="128"/>
      <c r="AT784" s="162"/>
      <c r="AU784" s="162"/>
      <c r="AV784" s="173"/>
      <c r="AW784" s="203">
        <v>61.69</v>
      </c>
      <c r="AX784" s="126">
        <f t="shared" si="1046"/>
        <v>61.059829059829063</v>
      </c>
      <c r="AY784" s="205">
        <v>186060</v>
      </c>
      <c r="AZ784" s="19"/>
      <c r="BB784" s="168">
        <f t="shared" si="1041"/>
        <v>264.32826432826437</v>
      </c>
      <c r="BC784" s="168">
        <f t="shared" si="1042"/>
        <v>158.59695859695861</v>
      </c>
      <c r="BD784" s="168">
        <f t="shared" si="1043"/>
        <v>132.16413216413218</v>
      </c>
      <c r="BE784" s="168">
        <f t="shared" si="1044"/>
        <v>105.73130573130575</v>
      </c>
    </row>
    <row r="785" spans="1:57" s="129" customFormat="1" hidden="1">
      <c r="A785" s="88" t="s">
        <v>1246</v>
      </c>
      <c r="B785" s="88" t="s">
        <v>1317</v>
      </c>
      <c r="C785" s="88" t="s">
        <v>1317</v>
      </c>
      <c r="D785" s="88" t="s">
        <v>1102</v>
      </c>
      <c r="E785" s="91" t="s">
        <v>1247</v>
      </c>
      <c r="F785" s="90" t="s">
        <v>1228</v>
      </c>
      <c r="G785" s="92"/>
      <c r="H785" s="92"/>
      <c r="I785" s="205" t="s">
        <v>3886</v>
      </c>
      <c r="J785" s="205" t="str">
        <f>_xlfn.XLOOKUP(I785,[1]Sheet1!$A:$A,[1]Sheet1!$B:$B,"")</f>
        <v>Z0201008</v>
      </c>
      <c r="K785" s="91" t="s">
        <v>1234</v>
      </c>
      <c r="L785" s="89"/>
      <c r="M785" s="92"/>
      <c r="N785" s="91" t="s">
        <v>1295</v>
      </c>
      <c r="O785" s="131"/>
      <c r="P785" s="90" t="s">
        <v>1243</v>
      </c>
      <c r="Q785" s="579"/>
      <c r="R785" s="579"/>
      <c r="S785" s="92"/>
      <c r="T785" s="131">
        <v>9403208000</v>
      </c>
      <c r="U785" s="155">
        <v>0</v>
      </c>
      <c r="V785" s="131">
        <v>45</v>
      </c>
      <c r="W785" s="131">
        <v>45</v>
      </c>
      <c r="X785" s="207"/>
      <c r="Y785" s="207" t="s">
        <v>1224</v>
      </c>
      <c r="Z785" s="133">
        <f t="shared" si="1045"/>
        <v>92.36</v>
      </c>
      <c r="AA785" s="133"/>
      <c r="AB785" s="161">
        <f t="shared" si="1036"/>
        <v>87.712287712287704</v>
      </c>
      <c r="AC785" s="161"/>
      <c r="AD785" s="214">
        <f t="shared" si="1037"/>
        <v>0.1</v>
      </c>
      <c r="AE785" s="214">
        <v>0.1</v>
      </c>
      <c r="AF785" s="217">
        <v>0.23</v>
      </c>
      <c r="AG785" s="218" t="s">
        <v>1162</v>
      </c>
      <c r="AH785" s="123">
        <f t="shared" si="1029"/>
        <v>78.941058941058941</v>
      </c>
      <c r="AI785" s="206">
        <f t="shared" si="1038"/>
        <v>0.14444444444444449</v>
      </c>
      <c r="AJ785" s="444"/>
      <c r="AK785" s="201">
        <f t="shared" si="1039"/>
        <v>76.966666666666654</v>
      </c>
      <c r="AL785" s="202">
        <f t="shared" si="1040"/>
        <v>75.042735042735032</v>
      </c>
      <c r="AM785" s="208">
        <f t="shared" si="1030"/>
        <v>0.16666666666666674</v>
      </c>
      <c r="AN785" s="208">
        <f t="shared" si="1031"/>
        <v>0.14444444444444449</v>
      </c>
      <c r="AP785" s="19" t="s">
        <v>1248</v>
      </c>
      <c r="AQ785" s="209"/>
      <c r="AR785" s="209"/>
      <c r="AS785" s="128"/>
      <c r="AT785" s="162"/>
      <c r="AU785" s="162"/>
      <c r="AV785" s="173"/>
      <c r="AW785" s="203">
        <v>69.27</v>
      </c>
      <c r="AX785" s="126">
        <f t="shared" si="1046"/>
        <v>67.538461538461533</v>
      </c>
      <c r="AY785" s="205">
        <v>226060</v>
      </c>
      <c r="AZ785" s="19"/>
      <c r="BB785" s="168">
        <f t="shared" si="1041"/>
        <v>292.37429237429234</v>
      </c>
      <c r="BC785" s="168">
        <f t="shared" si="1042"/>
        <v>175.42457542457541</v>
      </c>
      <c r="BD785" s="168">
        <f t="shared" si="1043"/>
        <v>146.18714618714617</v>
      </c>
      <c r="BE785" s="168">
        <f t="shared" si="1044"/>
        <v>116.94971694971694</v>
      </c>
    </row>
    <row r="786" spans="1:57" s="129" customFormat="1" hidden="1">
      <c r="A786" s="88" t="s">
        <v>1246</v>
      </c>
      <c r="B786" s="88" t="s">
        <v>1317</v>
      </c>
      <c r="C786" s="88" t="s">
        <v>1317</v>
      </c>
      <c r="D786" s="88" t="s">
        <v>1102</v>
      </c>
      <c r="E786" s="91" t="s">
        <v>1247</v>
      </c>
      <c r="F786" s="90" t="s">
        <v>1228</v>
      </c>
      <c r="G786" s="92"/>
      <c r="H786" s="92"/>
      <c r="I786" s="205" t="s">
        <v>3887</v>
      </c>
      <c r="J786" s="205" t="str">
        <f>_xlfn.XLOOKUP(I786,[1]Sheet1!$A:$A,[1]Sheet1!$B:$B,"")</f>
        <v>Z0201010</v>
      </c>
      <c r="K786" s="91" t="s">
        <v>1235</v>
      </c>
      <c r="L786" s="89"/>
      <c r="M786" s="92"/>
      <c r="N786" s="91" t="s">
        <v>1295</v>
      </c>
      <c r="O786" s="131"/>
      <c r="P786" s="90" t="s">
        <v>1243</v>
      </c>
      <c r="Q786" s="579"/>
      <c r="R786" s="579"/>
      <c r="S786" s="92"/>
      <c r="T786" s="131">
        <v>9403208000</v>
      </c>
      <c r="U786" s="155">
        <v>0</v>
      </c>
      <c r="V786" s="131">
        <v>45</v>
      </c>
      <c r="W786" s="131">
        <v>45</v>
      </c>
      <c r="X786" s="207"/>
      <c r="Y786" s="207" t="s">
        <v>1224</v>
      </c>
      <c r="Z786" s="133">
        <f t="shared" si="1045"/>
        <v>105.29333333333334</v>
      </c>
      <c r="AA786" s="133"/>
      <c r="AB786" s="161">
        <f t="shared" si="1036"/>
        <v>98.479298479298478</v>
      </c>
      <c r="AC786" s="161"/>
      <c r="AD786" s="214">
        <f t="shared" si="1037"/>
        <v>0.1</v>
      </c>
      <c r="AE786" s="214">
        <v>0.1</v>
      </c>
      <c r="AF786" s="217">
        <v>0.23</v>
      </c>
      <c r="AG786" s="218" t="s">
        <v>1162</v>
      </c>
      <c r="AH786" s="123">
        <f t="shared" si="1029"/>
        <v>88.63136863136863</v>
      </c>
      <c r="AI786" s="206">
        <f t="shared" si="1038"/>
        <v>0.14444444444444438</v>
      </c>
      <c r="AJ786" s="444"/>
      <c r="AK786" s="201">
        <f t="shared" si="1039"/>
        <v>87.74444444444444</v>
      </c>
      <c r="AL786" s="202">
        <f t="shared" si="1040"/>
        <v>84.254510921177584</v>
      </c>
      <c r="AM786" s="208">
        <f t="shared" si="1030"/>
        <v>0.16666666666666674</v>
      </c>
      <c r="AN786" s="208">
        <f t="shared" si="1031"/>
        <v>0.14444444444444449</v>
      </c>
      <c r="AP786" s="19" t="s">
        <v>1248</v>
      </c>
      <c r="AQ786" s="209"/>
      <c r="AR786" s="209"/>
      <c r="AS786" s="128"/>
      <c r="AT786" s="162"/>
      <c r="AU786" s="162"/>
      <c r="AV786" s="173"/>
      <c r="AW786" s="203">
        <v>78.97</v>
      </c>
      <c r="AX786" s="126">
        <f t="shared" si="1046"/>
        <v>75.82905982905983</v>
      </c>
      <c r="AY786" s="205">
        <v>276060</v>
      </c>
      <c r="AZ786" s="19"/>
      <c r="BB786" s="168">
        <f t="shared" si="1041"/>
        <v>328.2643282643283</v>
      </c>
      <c r="BC786" s="168">
        <f t="shared" si="1042"/>
        <v>196.95859695859698</v>
      </c>
      <c r="BD786" s="168">
        <f t="shared" si="1043"/>
        <v>164.13216413216415</v>
      </c>
      <c r="BE786" s="168">
        <f t="shared" si="1044"/>
        <v>131.30573130573131</v>
      </c>
    </row>
    <row r="787" spans="1:57" s="129" customFormat="1" hidden="1">
      <c r="A787" s="88" t="s">
        <v>1246</v>
      </c>
      <c r="B787" s="88" t="s">
        <v>1317</v>
      </c>
      <c r="C787" s="88" t="s">
        <v>1317</v>
      </c>
      <c r="D787" s="88" t="s">
        <v>1102</v>
      </c>
      <c r="E787" s="91" t="s">
        <v>1247</v>
      </c>
      <c r="F787" s="90" t="s">
        <v>1228</v>
      </c>
      <c r="G787" s="92"/>
      <c r="H787" s="92"/>
      <c r="I787" s="205" t="s">
        <v>3888</v>
      </c>
      <c r="J787" s="205" t="str">
        <f>_xlfn.XLOOKUP(I787,[1]Sheet1!$A:$A,[1]Sheet1!$B:$B,"")</f>
        <v>Z0201011</v>
      </c>
      <c r="K787" s="91" t="s">
        <v>1236</v>
      </c>
      <c r="L787" s="89"/>
      <c r="M787" s="92"/>
      <c r="N787" s="91" t="s">
        <v>1295</v>
      </c>
      <c r="O787" s="131"/>
      <c r="P787" s="90" t="s">
        <v>1243</v>
      </c>
      <c r="Q787" s="579"/>
      <c r="R787" s="579"/>
      <c r="S787" s="92"/>
      <c r="T787" s="131">
        <v>9403208000</v>
      </c>
      <c r="U787" s="155">
        <v>0</v>
      </c>
      <c r="V787" s="131">
        <v>45</v>
      </c>
      <c r="W787" s="131">
        <v>45</v>
      </c>
      <c r="X787" s="207"/>
      <c r="Y787" s="207" t="s">
        <v>1224</v>
      </c>
      <c r="Z787" s="133">
        <f t="shared" si="1045"/>
        <v>39.213333333333331</v>
      </c>
      <c r="AA787" s="133"/>
      <c r="AB787" s="161">
        <f t="shared" si="1036"/>
        <v>43.46764346764347</v>
      </c>
      <c r="AC787" s="161"/>
      <c r="AD787" s="214">
        <f t="shared" si="1037"/>
        <v>0.1</v>
      </c>
      <c r="AE787" s="214">
        <v>0.1</v>
      </c>
      <c r="AF787" s="217">
        <v>0.23</v>
      </c>
      <c r="AG787" s="218" t="s">
        <v>1162</v>
      </c>
      <c r="AH787" s="123">
        <f t="shared" si="1029"/>
        <v>39.120879120879124</v>
      </c>
      <c r="AI787" s="206">
        <f t="shared" si="1038"/>
        <v>0.14444444444444449</v>
      </c>
      <c r="AJ787" s="444"/>
      <c r="AK787" s="201">
        <f t="shared" si="1039"/>
        <v>32.677777777777777</v>
      </c>
      <c r="AL787" s="202">
        <f t="shared" si="1040"/>
        <v>37.188983855650527</v>
      </c>
      <c r="AM787" s="208">
        <f t="shared" si="1030"/>
        <v>0.16666666666666663</v>
      </c>
      <c r="AN787" s="208">
        <f t="shared" si="1031"/>
        <v>0.14444444444444438</v>
      </c>
      <c r="AP787" s="19" t="s">
        <v>1248</v>
      </c>
      <c r="AQ787" s="209"/>
      <c r="AR787" s="209"/>
      <c r="AS787" s="128"/>
      <c r="AT787" s="162"/>
      <c r="AU787" s="162"/>
      <c r="AV787" s="173"/>
      <c r="AW787" s="203">
        <v>29.41</v>
      </c>
      <c r="AX787" s="126">
        <f t="shared" si="1046"/>
        <v>33.470085470085472</v>
      </c>
      <c r="AY787" s="205">
        <v>66045</v>
      </c>
      <c r="AZ787" s="19"/>
      <c r="BB787" s="168">
        <f t="shared" si="1041"/>
        <v>144.8921448921449</v>
      </c>
      <c r="BC787" s="168">
        <f t="shared" si="1042"/>
        <v>86.935286935286939</v>
      </c>
      <c r="BD787" s="168">
        <f t="shared" si="1043"/>
        <v>72.446072446072449</v>
      </c>
      <c r="BE787" s="168">
        <f t="shared" si="1044"/>
        <v>57.956857956857959</v>
      </c>
    </row>
    <row r="788" spans="1:57" s="129" customFormat="1" hidden="1">
      <c r="A788" s="88" t="s">
        <v>1246</v>
      </c>
      <c r="B788" s="88" t="s">
        <v>1317</v>
      </c>
      <c r="C788" s="88" t="s">
        <v>1317</v>
      </c>
      <c r="D788" s="88" t="s">
        <v>1102</v>
      </c>
      <c r="E788" s="91" t="s">
        <v>1247</v>
      </c>
      <c r="F788" s="90" t="s">
        <v>1228</v>
      </c>
      <c r="G788" s="92"/>
      <c r="H788" s="92"/>
      <c r="I788" s="205" t="s">
        <v>3889</v>
      </c>
      <c r="J788" s="205" t="str">
        <f>_xlfn.XLOOKUP(I788,[1]Sheet1!$A:$A,[1]Sheet1!$B:$B,"")</f>
        <v>Z0201013</v>
      </c>
      <c r="K788" s="91" t="s">
        <v>1237</v>
      </c>
      <c r="L788" s="89"/>
      <c r="M788" s="92"/>
      <c r="N788" s="91" t="s">
        <v>1295</v>
      </c>
      <c r="O788" s="131"/>
      <c r="P788" s="90" t="s">
        <v>1243</v>
      </c>
      <c r="Q788" s="579"/>
      <c r="R788" s="579"/>
      <c r="S788" s="92"/>
      <c r="T788" s="131">
        <v>9403208000</v>
      </c>
      <c r="U788" s="155">
        <v>0</v>
      </c>
      <c r="V788" s="131">
        <v>45</v>
      </c>
      <c r="W788" s="131">
        <v>45</v>
      </c>
      <c r="X788" s="207"/>
      <c r="Y788" s="207" t="s">
        <v>1224</v>
      </c>
      <c r="Z788" s="133">
        <f t="shared" si="1045"/>
        <v>45.48</v>
      </c>
      <c r="AA788" s="133"/>
      <c r="AB788" s="161">
        <f t="shared" si="1036"/>
        <v>48.684648684648685</v>
      </c>
      <c r="AC788" s="161"/>
      <c r="AD788" s="214">
        <f t="shared" si="1037"/>
        <v>0.1</v>
      </c>
      <c r="AE788" s="214">
        <v>0.1</v>
      </c>
      <c r="AF788" s="217">
        <v>0.23</v>
      </c>
      <c r="AG788" s="218" t="s">
        <v>1162</v>
      </c>
      <c r="AH788" s="123">
        <f t="shared" si="1029"/>
        <v>43.816183816183816</v>
      </c>
      <c r="AI788" s="206">
        <f t="shared" si="1038"/>
        <v>0.14444444444444438</v>
      </c>
      <c r="AJ788" s="444"/>
      <c r="AK788" s="201">
        <f t="shared" si="1039"/>
        <v>37.9</v>
      </c>
      <c r="AL788" s="202">
        <f t="shared" si="1040"/>
        <v>41.652421652421651</v>
      </c>
      <c r="AM788" s="208">
        <f t="shared" si="1030"/>
        <v>0.16666666666666663</v>
      </c>
      <c r="AN788" s="208">
        <f t="shared" si="1031"/>
        <v>0.14444444444444449</v>
      </c>
      <c r="AP788" s="19" t="s">
        <v>1248</v>
      </c>
      <c r="AQ788" s="209"/>
      <c r="AR788" s="209"/>
      <c r="AS788" s="128"/>
      <c r="AT788" s="162"/>
      <c r="AU788" s="162"/>
      <c r="AV788" s="173"/>
      <c r="AW788" s="203">
        <v>34.11</v>
      </c>
      <c r="AX788" s="126">
        <f t="shared" si="1046"/>
        <v>37.487179487179489</v>
      </c>
      <c r="AY788" s="205">
        <v>96045</v>
      </c>
      <c r="AZ788" s="19"/>
      <c r="BB788" s="168">
        <f t="shared" si="1041"/>
        <v>162.28216228216229</v>
      </c>
      <c r="BC788" s="168">
        <f t="shared" si="1042"/>
        <v>97.369297369297371</v>
      </c>
      <c r="BD788" s="168">
        <f t="shared" si="1043"/>
        <v>81.141081141081145</v>
      </c>
      <c r="BE788" s="168">
        <f t="shared" si="1044"/>
        <v>64.912864912864919</v>
      </c>
    </row>
    <row r="789" spans="1:57" s="129" customFormat="1" hidden="1">
      <c r="A789" s="88" t="s">
        <v>1246</v>
      </c>
      <c r="B789" s="88" t="s">
        <v>1317</v>
      </c>
      <c r="C789" s="88" t="s">
        <v>1317</v>
      </c>
      <c r="D789" s="88" t="s">
        <v>1102</v>
      </c>
      <c r="E789" s="91" t="s">
        <v>1247</v>
      </c>
      <c r="F789" s="90" t="s">
        <v>1228</v>
      </c>
      <c r="G789" s="92"/>
      <c r="H789" s="92"/>
      <c r="I789" s="205" t="s">
        <v>3890</v>
      </c>
      <c r="J789" s="205" t="str">
        <f>_xlfn.XLOOKUP(I789,[1]Sheet1!$A:$A,[1]Sheet1!$B:$B,"")</f>
        <v>Z0201001</v>
      </c>
      <c r="K789" s="91" t="s">
        <v>1238</v>
      </c>
      <c r="L789" s="89"/>
      <c r="M789" s="92"/>
      <c r="N789" s="91" t="s">
        <v>1295</v>
      </c>
      <c r="O789" s="131"/>
      <c r="P789" s="90" t="s">
        <v>1243</v>
      </c>
      <c r="Q789" s="579"/>
      <c r="R789" s="579"/>
      <c r="S789" s="92"/>
      <c r="T789" s="131">
        <v>9403208000</v>
      </c>
      <c r="U789" s="155">
        <v>0</v>
      </c>
      <c r="V789" s="131">
        <v>45</v>
      </c>
      <c r="W789" s="131">
        <v>45</v>
      </c>
      <c r="X789" s="207"/>
      <c r="Y789" s="207" t="s">
        <v>1224</v>
      </c>
      <c r="Z789" s="133">
        <f t="shared" si="1045"/>
        <v>51.74666666666667</v>
      </c>
      <c r="AA789" s="133"/>
      <c r="AB789" s="161">
        <f t="shared" si="1036"/>
        <v>53.901653901653908</v>
      </c>
      <c r="AC789" s="161"/>
      <c r="AD789" s="214">
        <f t="shared" si="1037"/>
        <v>0.1</v>
      </c>
      <c r="AE789" s="214">
        <v>0.1</v>
      </c>
      <c r="AF789" s="217">
        <v>0.23</v>
      </c>
      <c r="AG789" s="218" t="s">
        <v>1162</v>
      </c>
      <c r="AH789" s="123">
        <f t="shared" si="1029"/>
        <v>48.511488511488515</v>
      </c>
      <c r="AI789" s="206">
        <f t="shared" si="1038"/>
        <v>0.14444444444444438</v>
      </c>
      <c r="AJ789" s="444"/>
      <c r="AK789" s="201">
        <f t="shared" si="1039"/>
        <v>43.122222222222227</v>
      </c>
      <c r="AL789" s="202">
        <f t="shared" si="1040"/>
        <v>46.11585944919279</v>
      </c>
      <c r="AM789" s="208">
        <f t="shared" si="1030"/>
        <v>0.16666666666666663</v>
      </c>
      <c r="AN789" s="208">
        <f t="shared" si="1031"/>
        <v>0.14444444444444438</v>
      </c>
      <c r="AP789" s="19" t="s">
        <v>1248</v>
      </c>
      <c r="AQ789" s="209"/>
      <c r="AR789" s="209"/>
      <c r="AS789" s="128"/>
      <c r="AT789" s="162"/>
      <c r="AU789" s="162"/>
      <c r="AV789" s="173"/>
      <c r="AW789" s="203">
        <v>38.81</v>
      </c>
      <c r="AX789" s="126">
        <f t="shared" si="1046"/>
        <v>41.504273504273513</v>
      </c>
      <c r="AY789" s="205">
        <v>126045</v>
      </c>
      <c r="AZ789" s="19"/>
      <c r="BB789" s="168">
        <f t="shared" si="1041"/>
        <v>179.67217967217971</v>
      </c>
      <c r="BC789" s="168">
        <f t="shared" si="1042"/>
        <v>107.80330780330782</v>
      </c>
      <c r="BD789" s="168">
        <f t="shared" si="1043"/>
        <v>89.836089836089855</v>
      </c>
      <c r="BE789" s="168">
        <f t="shared" si="1044"/>
        <v>71.868871868871892</v>
      </c>
    </row>
    <row r="790" spans="1:57" s="129" customFormat="1" hidden="1">
      <c r="A790" s="88" t="s">
        <v>1246</v>
      </c>
      <c r="B790" s="88" t="s">
        <v>1317</v>
      </c>
      <c r="C790" s="88" t="s">
        <v>1317</v>
      </c>
      <c r="D790" s="88" t="s">
        <v>1102</v>
      </c>
      <c r="E790" s="91" t="s">
        <v>1247</v>
      </c>
      <c r="F790" s="90" t="s">
        <v>1228</v>
      </c>
      <c r="G790" s="92"/>
      <c r="H790" s="92"/>
      <c r="I790" s="205" t="s">
        <v>3891</v>
      </c>
      <c r="J790" s="205" t="str">
        <f>_xlfn.XLOOKUP(I790,[1]Sheet1!$A:$A,[1]Sheet1!$B:$B,"")</f>
        <v>Z0201003</v>
      </c>
      <c r="K790" s="91" t="s">
        <v>1239</v>
      </c>
      <c r="L790" s="89"/>
      <c r="M790" s="92"/>
      <c r="N790" s="91" t="s">
        <v>1295</v>
      </c>
      <c r="O790" s="131"/>
      <c r="P790" s="90" t="s">
        <v>1243</v>
      </c>
      <c r="Q790" s="579"/>
      <c r="R790" s="579"/>
      <c r="S790" s="92"/>
      <c r="T790" s="131">
        <v>9403208000</v>
      </c>
      <c r="U790" s="155">
        <v>0</v>
      </c>
      <c r="V790" s="131">
        <v>45</v>
      </c>
      <c r="W790" s="131">
        <v>45</v>
      </c>
      <c r="X790" s="207"/>
      <c r="Y790" s="207" t="s">
        <v>1224</v>
      </c>
      <c r="Z790" s="133">
        <f t="shared" si="1045"/>
        <v>60.026666666666671</v>
      </c>
      <c r="AA790" s="133"/>
      <c r="AB790" s="161">
        <f t="shared" si="1036"/>
        <v>60.794760794760805</v>
      </c>
      <c r="AC790" s="161"/>
      <c r="AD790" s="214">
        <f t="shared" si="1037"/>
        <v>0.1</v>
      </c>
      <c r="AE790" s="214">
        <v>0.1</v>
      </c>
      <c r="AF790" s="217">
        <v>0.23</v>
      </c>
      <c r="AG790" s="218" t="s">
        <v>1162</v>
      </c>
      <c r="AH790" s="123">
        <f t="shared" si="1029"/>
        <v>54.715284715284724</v>
      </c>
      <c r="AI790" s="206">
        <f t="shared" si="1038"/>
        <v>0.14444444444444449</v>
      </c>
      <c r="AJ790" s="444"/>
      <c r="AK790" s="201">
        <f t="shared" si="1039"/>
        <v>50.022222222222226</v>
      </c>
      <c r="AL790" s="202">
        <f t="shared" si="1040"/>
        <v>52.013295346628688</v>
      </c>
      <c r="AM790" s="208">
        <f t="shared" si="1030"/>
        <v>0.16666666666666663</v>
      </c>
      <c r="AN790" s="208">
        <f t="shared" si="1031"/>
        <v>0.14444444444444449</v>
      </c>
      <c r="AP790" s="19" t="s">
        <v>1248</v>
      </c>
      <c r="AQ790" s="209"/>
      <c r="AR790" s="209"/>
      <c r="AS790" s="128"/>
      <c r="AT790" s="162"/>
      <c r="AU790" s="162"/>
      <c r="AV790" s="173"/>
      <c r="AW790" s="203">
        <v>45.02</v>
      </c>
      <c r="AX790" s="126">
        <f t="shared" si="1046"/>
        <v>46.81196581196582</v>
      </c>
      <c r="AY790" s="205">
        <v>156045</v>
      </c>
      <c r="AZ790" s="19"/>
      <c r="BB790" s="168">
        <f t="shared" si="1041"/>
        <v>202.64920264920269</v>
      </c>
      <c r="BC790" s="168">
        <f t="shared" si="1042"/>
        <v>121.58952158952161</v>
      </c>
      <c r="BD790" s="168">
        <f t="shared" si="1043"/>
        <v>101.32460132460135</v>
      </c>
      <c r="BE790" s="168">
        <f t="shared" si="1044"/>
        <v>81.059681059681083</v>
      </c>
    </row>
    <row r="791" spans="1:57" s="129" customFormat="1" hidden="1">
      <c r="A791" s="88" t="s">
        <v>1246</v>
      </c>
      <c r="B791" s="88" t="s">
        <v>1317</v>
      </c>
      <c r="C791" s="88" t="s">
        <v>1317</v>
      </c>
      <c r="D791" s="88" t="s">
        <v>1102</v>
      </c>
      <c r="E791" s="91" t="s">
        <v>1247</v>
      </c>
      <c r="F791" s="90" t="s">
        <v>1228</v>
      </c>
      <c r="G791" s="92"/>
      <c r="H791" s="92"/>
      <c r="I791" s="205" t="s">
        <v>3892</v>
      </c>
      <c r="J791" s="205" t="str">
        <f>_xlfn.XLOOKUP(I791,[1]Sheet1!$A:$A,[1]Sheet1!$B:$B,"")</f>
        <v>Z0201005</v>
      </c>
      <c r="K791" s="91" t="s">
        <v>1240</v>
      </c>
      <c r="L791" s="89"/>
      <c r="M791" s="92"/>
      <c r="N791" s="91" t="s">
        <v>1295</v>
      </c>
      <c r="O791" s="131"/>
      <c r="P791" s="90" t="s">
        <v>1243</v>
      </c>
      <c r="Q791" s="579"/>
      <c r="R791" s="579"/>
      <c r="S791" s="92"/>
      <c r="T791" s="131">
        <v>9403208000</v>
      </c>
      <c r="U791" s="155">
        <v>0</v>
      </c>
      <c r="V791" s="131">
        <v>45</v>
      </c>
      <c r="W791" s="131">
        <v>45</v>
      </c>
      <c r="X791" s="207"/>
      <c r="Y791" s="207" t="s">
        <v>1224</v>
      </c>
      <c r="Z791" s="133">
        <f t="shared" si="1045"/>
        <v>66.293333333333337</v>
      </c>
      <c r="AA791" s="133"/>
      <c r="AB791" s="161">
        <f t="shared" si="1036"/>
        <v>66.011766011766014</v>
      </c>
      <c r="AC791" s="161"/>
      <c r="AD791" s="214">
        <f t="shared" si="1037"/>
        <v>0.1</v>
      </c>
      <c r="AE791" s="214">
        <v>0.1</v>
      </c>
      <c r="AF791" s="217">
        <v>0.23</v>
      </c>
      <c r="AG791" s="218" t="s">
        <v>1162</v>
      </c>
      <c r="AH791" s="123">
        <f t="shared" si="1029"/>
        <v>59.410589410589417</v>
      </c>
      <c r="AI791" s="206">
        <f t="shared" si="1038"/>
        <v>0.14444444444444449</v>
      </c>
      <c r="AJ791" s="444"/>
      <c r="AK791" s="201">
        <f t="shared" si="1039"/>
        <v>55.24444444444444</v>
      </c>
      <c r="AL791" s="202">
        <f t="shared" si="1040"/>
        <v>56.476733143399812</v>
      </c>
      <c r="AM791" s="208">
        <f t="shared" si="1030"/>
        <v>0.16666666666666674</v>
      </c>
      <c r="AN791" s="208">
        <f t="shared" si="1031"/>
        <v>0.14444444444444449</v>
      </c>
      <c r="AP791" s="19" t="s">
        <v>1248</v>
      </c>
      <c r="AQ791" s="209"/>
      <c r="AR791" s="209"/>
      <c r="AS791" s="128"/>
      <c r="AT791" s="162"/>
      <c r="AU791" s="162"/>
      <c r="AV791" s="173"/>
      <c r="AW791" s="203">
        <v>49.72</v>
      </c>
      <c r="AX791" s="126">
        <f t="shared" si="1046"/>
        <v>50.82905982905983</v>
      </c>
      <c r="AY791" s="205">
        <v>186045</v>
      </c>
      <c r="AZ791" s="19"/>
      <c r="BB791" s="168">
        <f t="shared" si="1041"/>
        <v>220.03922003922006</v>
      </c>
      <c r="BC791" s="168">
        <f t="shared" si="1042"/>
        <v>132.02353202353203</v>
      </c>
      <c r="BD791" s="168">
        <f t="shared" si="1043"/>
        <v>110.01961001961003</v>
      </c>
      <c r="BE791" s="168">
        <f t="shared" si="1044"/>
        <v>88.015688015688028</v>
      </c>
    </row>
    <row r="792" spans="1:57" s="129" customFormat="1" hidden="1">
      <c r="A792" s="88" t="s">
        <v>1246</v>
      </c>
      <c r="B792" s="88" t="s">
        <v>1317</v>
      </c>
      <c r="C792" s="88" t="s">
        <v>1317</v>
      </c>
      <c r="D792" s="88" t="s">
        <v>1102</v>
      </c>
      <c r="E792" s="91" t="s">
        <v>1247</v>
      </c>
      <c r="F792" s="90" t="s">
        <v>1228</v>
      </c>
      <c r="G792" s="92"/>
      <c r="H792" s="92"/>
      <c r="I792" s="205" t="s">
        <v>3893</v>
      </c>
      <c r="J792" s="205" t="str">
        <f>_xlfn.XLOOKUP(I792,[1]Sheet1!$A:$A,[1]Sheet1!$B:$B,"")</f>
        <v>Z0201007</v>
      </c>
      <c r="K792" s="91" t="s">
        <v>1241</v>
      </c>
      <c r="L792" s="89"/>
      <c r="M792" s="92"/>
      <c r="N792" s="91" t="s">
        <v>1295</v>
      </c>
      <c r="O792" s="131"/>
      <c r="P792" s="90" t="s">
        <v>1243</v>
      </c>
      <c r="Q792" s="579"/>
      <c r="R792" s="579"/>
      <c r="S792" s="92"/>
      <c r="T792" s="131">
        <v>9403208000</v>
      </c>
      <c r="U792" s="155">
        <v>0</v>
      </c>
      <c r="V792" s="131">
        <v>45</v>
      </c>
      <c r="W792" s="131">
        <v>45</v>
      </c>
      <c r="X792" s="207"/>
      <c r="Y792" s="207" t="s">
        <v>1224</v>
      </c>
      <c r="Z792" s="133">
        <f t="shared" si="1045"/>
        <v>74.786666666666676</v>
      </c>
      <c r="AA792" s="133"/>
      <c r="AB792" s="161">
        <f t="shared" si="1036"/>
        <v>73.082473082473086</v>
      </c>
      <c r="AC792" s="161"/>
      <c r="AD792" s="214">
        <f t="shared" si="1037"/>
        <v>0.1</v>
      </c>
      <c r="AE792" s="214">
        <v>0.1</v>
      </c>
      <c r="AF792" s="217">
        <v>0.23</v>
      </c>
      <c r="AG792" s="218" t="s">
        <v>1162</v>
      </c>
      <c r="AH792" s="123">
        <f t="shared" si="1029"/>
        <v>65.774225774225783</v>
      </c>
      <c r="AI792" s="206">
        <f t="shared" si="1038"/>
        <v>0.14444444444444449</v>
      </c>
      <c r="AJ792" s="444"/>
      <c r="AK792" s="201">
        <f t="shared" si="1039"/>
        <v>62.322222222222223</v>
      </c>
      <c r="AL792" s="202">
        <f t="shared" si="1040"/>
        <v>62.526115859449199</v>
      </c>
      <c r="AM792" s="208">
        <f t="shared" si="1030"/>
        <v>0.16666666666666674</v>
      </c>
      <c r="AN792" s="208">
        <f t="shared" si="1031"/>
        <v>0.14444444444444438</v>
      </c>
      <c r="AP792" s="19" t="s">
        <v>1248</v>
      </c>
      <c r="AQ792" s="209"/>
      <c r="AR792" s="209"/>
      <c r="AS792" s="128"/>
      <c r="AT792" s="162"/>
      <c r="AU792" s="162"/>
      <c r="AV792" s="173"/>
      <c r="AW792" s="203">
        <v>56.09</v>
      </c>
      <c r="AX792" s="126">
        <f t="shared" si="1046"/>
        <v>56.27350427350428</v>
      </c>
      <c r="AY792" s="205">
        <v>226045</v>
      </c>
      <c r="AZ792" s="19"/>
      <c r="BB792" s="168">
        <f t="shared" si="1041"/>
        <v>243.60824360824364</v>
      </c>
      <c r="BC792" s="168">
        <f t="shared" si="1042"/>
        <v>146.16494616494617</v>
      </c>
      <c r="BD792" s="168">
        <f t="shared" si="1043"/>
        <v>121.80412180412182</v>
      </c>
      <c r="BE792" s="168">
        <f t="shared" si="1044"/>
        <v>97.443297443297467</v>
      </c>
    </row>
    <row r="793" spans="1:57" s="129" customFormat="1" hidden="1">
      <c r="A793" s="88" t="s">
        <v>1246</v>
      </c>
      <c r="B793" s="88" t="s">
        <v>1317</v>
      </c>
      <c r="C793" s="88" t="s">
        <v>1317</v>
      </c>
      <c r="D793" s="88" t="s">
        <v>1102</v>
      </c>
      <c r="E793" s="91" t="s">
        <v>1247</v>
      </c>
      <c r="F793" s="90" t="s">
        <v>1228</v>
      </c>
      <c r="G793" s="92"/>
      <c r="H793" s="92"/>
      <c r="I793" s="205" t="s">
        <v>3894</v>
      </c>
      <c r="J793" s="205" t="str">
        <f>_xlfn.XLOOKUP(I793,[1]Sheet1!$A:$A,[1]Sheet1!$B:$B,"")</f>
        <v>Z0201009</v>
      </c>
      <c r="K793" s="91" t="s">
        <v>1242</v>
      </c>
      <c r="L793" s="89"/>
      <c r="M793" s="92"/>
      <c r="N793" s="91" t="s">
        <v>1295</v>
      </c>
      <c r="O793" s="131"/>
      <c r="P793" s="90" t="s">
        <v>1243</v>
      </c>
      <c r="Q793" s="579"/>
      <c r="R793" s="579"/>
      <c r="S793" s="92"/>
      <c r="T793" s="131">
        <v>9403208000</v>
      </c>
      <c r="U793" s="155">
        <v>0</v>
      </c>
      <c r="V793" s="131">
        <v>45</v>
      </c>
      <c r="W793" s="131">
        <v>45</v>
      </c>
      <c r="X793" s="207"/>
      <c r="Y793" s="207" t="s">
        <v>1224</v>
      </c>
      <c r="Z793" s="133">
        <f t="shared" si="1045"/>
        <v>85.493333333333339</v>
      </c>
      <c r="AA793" s="133"/>
      <c r="AB793" s="161">
        <f t="shared" si="1036"/>
        <v>81.995781995781996</v>
      </c>
      <c r="AC793" s="161"/>
      <c r="AD793" s="214">
        <f t="shared" si="1037"/>
        <v>0.1</v>
      </c>
      <c r="AE793" s="214">
        <v>0.1</v>
      </c>
      <c r="AF793" s="217">
        <v>0.23</v>
      </c>
      <c r="AG793" s="218" t="s">
        <v>1162</v>
      </c>
      <c r="AH793" s="123">
        <f t="shared" si="1029"/>
        <v>73.796203796203798</v>
      </c>
      <c r="AI793" s="206">
        <f t="shared" si="1038"/>
        <v>0.14444444444444438</v>
      </c>
      <c r="AJ793" s="444"/>
      <c r="AK793" s="201">
        <f t="shared" si="1039"/>
        <v>71.244444444444454</v>
      </c>
      <c r="AL793" s="202">
        <f t="shared" si="1040"/>
        <v>70.151946818613496</v>
      </c>
      <c r="AM793" s="208">
        <f t="shared" si="1030"/>
        <v>0.16666666666666663</v>
      </c>
      <c r="AN793" s="208">
        <f t="shared" si="1031"/>
        <v>0.14444444444444438</v>
      </c>
      <c r="AP793" s="19" t="s">
        <v>1248</v>
      </c>
      <c r="AQ793" s="209"/>
      <c r="AR793" s="209"/>
      <c r="AS793" s="128"/>
      <c r="AT793" s="162"/>
      <c r="AU793" s="162"/>
      <c r="AV793" s="173"/>
      <c r="AW793" s="203">
        <v>64.12</v>
      </c>
      <c r="AX793" s="126">
        <f t="shared" si="1046"/>
        <v>63.136752136752143</v>
      </c>
      <c r="AY793" s="205">
        <v>276045</v>
      </c>
      <c r="AZ793" s="19"/>
      <c r="BB793" s="168">
        <f t="shared" si="1041"/>
        <v>273.31927331927335</v>
      </c>
      <c r="BC793" s="168">
        <f t="shared" si="1042"/>
        <v>163.99156399156399</v>
      </c>
      <c r="BD793" s="168">
        <f t="shared" si="1043"/>
        <v>136.65963665963667</v>
      </c>
      <c r="BE793" s="168">
        <f t="shared" si="1044"/>
        <v>109.32770932770934</v>
      </c>
    </row>
    <row r="794" spans="1:57" s="129" customFormat="1" ht="15" hidden="1" customHeight="1">
      <c r="A794" s="88" t="s">
        <v>1249</v>
      </c>
      <c r="B794" s="88" t="s">
        <v>1317</v>
      </c>
      <c r="C794" s="88" t="s">
        <v>1317</v>
      </c>
      <c r="D794" s="88" t="s">
        <v>1303</v>
      </c>
      <c r="E794" s="91" t="s">
        <v>1257</v>
      </c>
      <c r="F794" s="90" t="s">
        <v>1258</v>
      </c>
      <c r="G794" s="92"/>
      <c r="H794" s="92"/>
      <c r="I794" s="205" t="s">
        <v>3958</v>
      </c>
      <c r="J794" s="231" t="str">
        <f>_xlfn.XLOOKUP(AY794,[1]Sheet1!$A:$A,[1]Sheet1!$B:$B,"")</f>
        <v/>
      </c>
      <c r="K794" s="230" t="s">
        <v>2570</v>
      </c>
      <c r="L794" s="89" t="s">
        <v>1260</v>
      </c>
      <c r="M794" s="92"/>
      <c r="N794" s="91" t="s">
        <v>1295</v>
      </c>
      <c r="O794" s="232"/>
      <c r="P794" s="91" t="s">
        <v>1160</v>
      </c>
      <c r="Q794" s="131"/>
      <c r="R794" s="131">
        <v>5000</v>
      </c>
      <c r="S794" s="92"/>
      <c r="T794" s="131"/>
      <c r="U794" s="155">
        <v>0</v>
      </c>
      <c r="V794" s="131">
        <v>45</v>
      </c>
      <c r="W794" s="131">
        <v>45</v>
      </c>
      <c r="X794" s="207"/>
      <c r="Y794" s="207" t="s">
        <v>1224</v>
      </c>
      <c r="Z794" s="133">
        <f t="shared" ref="Z794" si="1047">AW794/(1-(AF794+2%))</f>
        <v>3.0222222222222226</v>
      </c>
      <c r="AA794" s="133"/>
      <c r="AB794" s="161">
        <f t="shared" si="1036"/>
        <v>2.5104109838152397</v>
      </c>
      <c r="AC794" s="161"/>
      <c r="AD794" s="214">
        <f t="shared" si="1037"/>
        <v>0.1</v>
      </c>
      <c r="AE794" s="214">
        <v>0.1</v>
      </c>
      <c r="AF794" s="217">
        <v>0.53</v>
      </c>
      <c r="AG794" s="218" t="s">
        <v>1162</v>
      </c>
      <c r="AH794" s="123">
        <f t="shared" si="1029"/>
        <v>2.2593698854337156</v>
      </c>
      <c r="AI794" s="206">
        <f t="shared" si="1038"/>
        <v>0.47777777777777786</v>
      </c>
      <c r="AJ794" s="444"/>
      <c r="AK794" s="201">
        <f t="shared" si="1039"/>
        <v>1.5111111111111111</v>
      </c>
      <c r="AL794" s="202">
        <f t="shared" si="1040"/>
        <v>1.3109924026590696</v>
      </c>
      <c r="AM794" s="208">
        <f t="shared" si="1030"/>
        <v>0.5</v>
      </c>
      <c r="AN794" s="208">
        <f t="shared" si="1031"/>
        <v>0.47777777777777786</v>
      </c>
      <c r="AP794" s="170" t="s">
        <v>1268</v>
      </c>
      <c r="AQ794" s="204"/>
      <c r="AR794" s="204"/>
      <c r="AS794" s="197"/>
      <c r="AT794" s="162"/>
      <c r="AU794" s="162"/>
      <c r="AV794" s="173"/>
      <c r="AW794" s="203">
        <v>1.36</v>
      </c>
      <c r="AX794" s="126">
        <f>(AW794/$F$6)+(($F$9+$G$9)/40/R794)+AW794*U794</f>
        <v>1.1798931623931626</v>
      </c>
      <c r="AY794" s="231" t="s">
        <v>1259</v>
      </c>
      <c r="AZ794" s="19"/>
      <c r="BB794" s="168">
        <f t="shared" si="1041"/>
        <v>8.3680366127174661</v>
      </c>
      <c r="BC794" s="168">
        <f t="shared" si="1042"/>
        <v>5.0208219676304795</v>
      </c>
      <c r="BD794" s="168">
        <f t="shared" si="1043"/>
        <v>4.1840183063587331</v>
      </c>
      <c r="BE794" s="168">
        <f t="shared" si="1044"/>
        <v>3.3472146450869866</v>
      </c>
    </row>
    <row r="795" spans="1:57" s="129" customFormat="1" hidden="1">
      <c r="A795" s="88" t="s">
        <v>1249</v>
      </c>
      <c r="B795" s="88" t="s">
        <v>1317</v>
      </c>
      <c r="C795" s="88" t="s">
        <v>1317</v>
      </c>
      <c r="D795" s="88" t="s">
        <v>656</v>
      </c>
      <c r="E795" s="88" t="s">
        <v>1056</v>
      </c>
      <c r="F795" s="89" t="s">
        <v>1056</v>
      </c>
      <c r="G795" s="92"/>
      <c r="H795" s="92"/>
      <c r="I795" s="167" t="s">
        <v>2442</v>
      </c>
      <c r="J795" s="167" t="str">
        <f>_xlfn.XLOOKUP(I795,[1]Sheet1!$A:$A,[1]Sheet1!$B:$B,"")</f>
        <v/>
      </c>
      <c r="K795" s="88" t="s">
        <v>2437</v>
      </c>
      <c r="L795" s="88" t="s">
        <v>1061</v>
      </c>
      <c r="M795" s="92"/>
      <c r="N795" s="89" t="s">
        <v>60</v>
      </c>
      <c r="O795" s="165"/>
      <c r="P795" s="89" t="s">
        <v>2444</v>
      </c>
      <c r="Q795" s="92" t="s">
        <v>1059</v>
      </c>
      <c r="R795" s="92">
        <v>90</v>
      </c>
      <c r="S795" s="92"/>
      <c r="T795" s="92" t="s">
        <v>3863</v>
      </c>
      <c r="U795" s="155">
        <v>1.7000000000000001E-2</v>
      </c>
      <c r="V795" s="207">
        <v>30</v>
      </c>
      <c r="W795" s="92">
        <v>45</v>
      </c>
      <c r="X795" s="92">
        <v>55</v>
      </c>
      <c r="Y795" s="92" t="s">
        <v>64</v>
      </c>
      <c r="Z795" s="133">
        <f>AK795/(1-(AF795+2%))</f>
        <v>15.232974910394265</v>
      </c>
      <c r="AA795" s="133"/>
      <c r="AB795" s="161">
        <f>AX795/(1-AF795)</f>
        <v>13.09637419871795</v>
      </c>
      <c r="AC795" s="161"/>
      <c r="AD795" s="213">
        <f>AE795</f>
        <v>0.1</v>
      </c>
      <c r="AE795" s="213">
        <v>0.1</v>
      </c>
      <c r="AF795" s="215">
        <v>0.36</v>
      </c>
      <c r="AG795" s="215" t="s">
        <v>5</v>
      </c>
      <c r="AH795" s="123">
        <f t="shared" si="1029"/>
        <v>11.786736778846155</v>
      </c>
      <c r="AI795" s="122">
        <f>1-(AX795/AH795)</f>
        <v>0.28888888888888886</v>
      </c>
      <c r="AJ795" s="444"/>
      <c r="AK795" s="150">
        <f>AW795/(1-AD795)</f>
        <v>9.4444444444444446</v>
      </c>
      <c r="AL795" s="153">
        <f>AX795/(1-AE795)</f>
        <v>9.3129772079772088</v>
      </c>
      <c r="AM795" s="125">
        <f t="shared" si="1030"/>
        <v>0.38</v>
      </c>
      <c r="AN795" s="125">
        <f t="shared" si="1031"/>
        <v>0.28888888888888886</v>
      </c>
      <c r="AO795" s="140"/>
      <c r="AP795" s="17" t="s">
        <v>664</v>
      </c>
      <c r="AQ795" s="141"/>
      <c r="AR795" s="191"/>
      <c r="AS795" s="191"/>
      <c r="AT795" s="141"/>
      <c r="AU795" s="141">
        <v>59.5</v>
      </c>
      <c r="AV795" s="141">
        <f t="shared" ref="AV795:AV796" si="1048">AT795+AU795</f>
        <v>59.5</v>
      </c>
      <c r="AW795" s="142">
        <f t="shared" ref="AW795:AW796" si="1049">(AT795+AU795)/$F$5</f>
        <v>8.5</v>
      </c>
      <c r="AX795" s="126">
        <f t="shared" ref="AX795:AX796" si="1050">(AW795/$F$6)+(($F$9+$G$9)/40/R795)+AW795*U795</f>
        <v>8.381679487179488</v>
      </c>
      <c r="AY795" s="192" t="s">
        <v>2439</v>
      </c>
      <c r="AZ795" s="128">
        <v>8517622990</v>
      </c>
      <c r="BB795" s="168">
        <f t="shared" si="1041"/>
        <v>43.654580662393165</v>
      </c>
      <c r="BC795" s="168">
        <f t="shared" si="1042"/>
        <v>26.192748397435899</v>
      </c>
      <c r="BD795" s="168">
        <f t="shared" si="1043"/>
        <v>21.827290331196583</v>
      </c>
      <c r="BE795" s="168">
        <f t="shared" si="1044"/>
        <v>17.461832264957266</v>
      </c>
    </row>
    <row r="796" spans="1:57" s="129" customFormat="1" hidden="1">
      <c r="A796" s="88" t="s">
        <v>1156</v>
      </c>
      <c r="B796" s="88" t="s">
        <v>2440</v>
      </c>
      <c r="C796" s="88" t="s">
        <v>1317</v>
      </c>
      <c r="D796" s="88" t="s">
        <v>656</v>
      </c>
      <c r="E796" s="88" t="s">
        <v>1056</v>
      </c>
      <c r="F796" s="89" t="s">
        <v>1056</v>
      </c>
      <c r="G796" s="92" t="s">
        <v>1071</v>
      </c>
      <c r="H796" s="92"/>
      <c r="I796" s="167" t="s">
        <v>2443</v>
      </c>
      <c r="J796" s="167" t="str">
        <f>_xlfn.XLOOKUP(I796,[1]Sheet1!$A:$A,[1]Sheet1!$B:$B,"")</f>
        <v/>
      </c>
      <c r="K796" s="88" t="s">
        <v>1073</v>
      </c>
      <c r="L796" s="88" t="s">
        <v>1074</v>
      </c>
      <c r="M796" s="92"/>
      <c r="N796" s="89" t="s">
        <v>60</v>
      </c>
      <c r="O796" s="165"/>
      <c r="P796" s="89" t="s">
        <v>2444</v>
      </c>
      <c r="Q796" s="92" t="s">
        <v>635</v>
      </c>
      <c r="R796" s="92">
        <v>540</v>
      </c>
      <c r="S796" s="92"/>
      <c r="T796" s="92" t="s">
        <v>3863</v>
      </c>
      <c r="U796" s="155">
        <v>1.7000000000000001E-2</v>
      </c>
      <c r="V796" s="207">
        <v>30</v>
      </c>
      <c r="W796" s="92">
        <v>45</v>
      </c>
      <c r="X796" s="92">
        <v>55</v>
      </c>
      <c r="Y796" s="92" t="s">
        <v>64</v>
      </c>
      <c r="Z796" s="133">
        <f t="shared" ref="Z796" si="1051">AK796/(1-(AF796+2%))</f>
        <v>1.8074383037886688</v>
      </c>
      <c r="AA796" s="133"/>
      <c r="AB796" s="161">
        <f t="shared" ref="AB796" si="1052">AX796/(1-AF796)</f>
        <v>1.6076040376749596</v>
      </c>
      <c r="AC796" s="161"/>
      <c r="AD796" s="213">
        <f t="shared" ref="AD796" si="1053">AE796</f>
        <v>0.1</v>
      </c>
      <c r="AE796" s="213">
        <v>0.1</v>
      </c>
      <c r="AF796" s="215">
        <v>0.29499999999999998</v>
      </c>
      <c r="AG796" s="215" t="s">
        <v>5</v>
      </c>
      <c r="AH796" s="123">
        <f t="shared" si="1029"/>
        <v>1.4468436339074637</v>
      </c>
      <c r="AI796" s="122">
        <f t="shared" ref="AI796" si="1054">1-(AX796/AH796)</f>
        <v>0.21666666666666656</v>
      </c>
      <c r="AJ796" s="444"/>
      <c r="AK796" s="150">
        <f t="shared" ref="AK796" si="1055">AW796/(1-AD796)</f>
        <v>1.2380952380952381</v>
      </c>
      <c r="AL796" s="153">
        <f t="shared" ref="AL796:AL812" si="1056">AX796/(1-AE796)</f>
        <v>1.2592898295120518</v>
      </c>
      <c r="AM796" s="125">
        <f t="shared" ref="AM796" si="1057">1-(AK796/Z796)</f>
        <v>0.31499999999999995</v>
      </c>
      <c r="AN796" s="125">
        <f t="shared" ref="AN796" si="1058">1-(AL796/AB796)</f>
        <v>0.21666666666666656</v>
      </c>
      <c r="AO796" s="140"/>
      <c r="AP796" s="17" t="s">
        <v>664</v>
      </c>
      <c r="AQ796" s="141"/>
      <c r="AR796" s="191"/>
      <c r="AS796" s="191"/>
      <c r="AT796" s="141"/>
      <c r="AU796" s="141">
        <v>7.8</v>
      </c>
      <c r="AV796" s="141">
        <f t="shared" si="1048"/>
        <v>7.8</v>
      </c>
      <c r="AW796" s="142">
        <f t="shared" si="1049"/>
        <v>1.1142857142857143</v>
      </c>
      <c r="AX796" s="126">
        <f t="shared" si="1050"/>
        <v>1.1333608465608467</v>
      </c>
      <c r="AY796" s="192" t="s">
        <v>2441</v>
      </c>
      <c r="AZ796" s="128">
        <v>8517799000</v>
      </c>
      <c r="BB796" s="168">
        <f t="shared" si="1041"/>
        <v>5.3586801255831986</v>
      </c>
      <c r="BC796" s="168">
        <f t="shared" si="1042"/>
        <v>3.2152080753499193</v>
      </c>
      <c r="BD796" s="168">
        <f t="shared" si="1043"/>
        <v>2.6793400627915993</v>
      </c>
      <c r="BE796" s="168">
        <f t="shared" si="1044"/>
        <v>2.1434720502332794</v>
      </c>
    </row>
    <row r="797" spans="1:57" s="129" customFormat="1" hidden="1">
      <c r="A797" s="88" t="s">
        <v>1276</v>
      </c>
      <c r="B797" s="88" t="s">
        <v>1317</v>
      </c>
      <c r="C797" s="88" t="s">
        <v>1317</v>
      </c>
      <c r="D797" s="88" t="s">
        <v>1303</v>
      </c>
      <c r="E797" s="91" t="s">
        <v>1250</v>
      </c>
      <c r="F797" s="90" t="s">
        <v>1251</v>
      </c>
      <c r="G797" s="92"/>
      <c r="H797" s="92"/>
      <c r="I797" s="274" t="s">
        <v>1460</v>
      </c>
      <c r="J797" s="205" t="str">
        <f>_xlfn.XLOOKUP(I797,[1]Sheet1!$A:$A,[1]Sheet1!$B:$B,"")</f>
        <v>Z0403006</v>
      </c>
      <c r="K797" s="91" t="s">
        <v>1252</v>
      </c>
      <c r="L797" s="91" t="s">
        <v>2585</v>
      </c>
      <c r="M797" s="92" t="s">
        <v>1584</v>
      </c>
      <c r="N797" s="91" t="s">
        <v>1223</v>
      </c>
      <c r="O797" s="131">
        <v>45</v>
      </c>
      <c r="P797" s="91"/>
      <c r="Q797" s="131"/>
      <c r="R797" s="131">
        <v>1</v>
      </c>
      <c r="S797" s="92"/>
      <c r="T797" s="131" t="s">
        <v>3869</v>
      </c>
      <c r="U797" s="155">
        <v>0</v>
      </c>
      <c r="V797" s="131">
        <v>45</v>
      </c>
      <c r="W797" s="131">
        <v>45</v>
      </c>
      <c r="X797" s="207">
        <v>14</v>
      </c>
      <c r="Y797" s="207" t="s">
        <v>1224</v>
      </c>
      <c r="Z797" s="133">
        <f t="shared" ref="Z797:Z811" si="1059">(AW797/(1-(AF797+2%)))*$F$6</f>
        <v>2445.034090909091</v>
      </c>
      <c r="AA797" s="133"/>
      <c r="AB797" s="161">
        <f t="shared" si="1036"/>
        <v>2543.0147058823532</v>
      </c>
      <c r="AC797" s="161"/>
      <c r="AD797" s="213">
        <f t="shared" si="1037"/>
        <v>7.0000000000000007E-2</v>
      </c>
      <c r="AE797" s="213">
        <v>7.0000000000000007E-2</v>
      </c>
      <c r="AF797" s="219">
        <v>0.32</v>
      </c>
      <c r="AG797" s="220" t="s">
        <v>1300</v>
      </c>
      <c r="AH797" s="123">
        <f t="shared" ref="AH797:AH812" si="1060">AB797*(1-$AH$6)</f>
        <v>2466.7242647058824</v>
      </c>
      <c r="AI797" s="206">
        <f>1-(AX797/AH797)</f>
        <v>0.2989690721649485</v>
      </c>
      <c r="AJ797" s="444"/>
      <c r="AK797" s="150">
        <f t="shared" ref="AK797:AK812" si="1061">AW797/(1-AD797)*$F$6</f>
        <v>1735.1854838709678</v>
      </c>
      <c r="AL797" s="148">
        <f t="shared" si="1056"/>
        <v>1859.4086021505377</v>
      </c>
      <c r="AM797" s="208">
        <f t="shared" ref="AM797:AM802" si="1062">1-(AK797/Z797)</f>
        <v>0.29032258064516125</v>
      </c>
      <c r="AN797" s="208">
        <f t="shared" ref="AN797:AN802" si="1063">1-(AL797/AB797)</f>
        <v>0.26881720430107525</v>
      </c>
      <c r="AP797" s="17" t="s">
        <v>1220</v>
      </c>
      <c r="AQ797" s="204"/>
      <c r="AR797" s="204"/>
      <c r="AS797" s="226">
        <v>945</v>
      </c>
      <c r="AT797" s="162"/>
      <c r="AU797" s="162"/>
      <c r="AV797" s="173"/>
      <c r="AW797" s="154">
        <f>AS797+($F$4-1500)/1000*O797</f>
        <v>1379.25</v>
      </c>
      <c r="AX797" s="126">
        <f t="shared" ref="AX797:AX812" si="1064">AW797+($F$11/R797)+AW797*U797</f>
        <v>1729.25</v>
      </c>
      <c r="AY797" s="163"/>
      <c r="AZ797" s="19"/>
      <c r="BB797" s="168">
        <f t="shared" si="1041"/>
        <v>8476.7156862745105</v>
      </c>
      <c r="BC797" s="168">
        <f t="shared" si="1042"/>
        <v>5086.0294117647063</v>
      </c>
      <c r="BD797" s="168">
        <f t="shared" si="1043"/>
        <v>4238.3578431372553</v>
      </c>
      <c r="BE797" s="168">
        <f t="shared" si="1044"/>
        <v>3390.6862745098042</v>
      </c>
    </row>
    <row r="798" spans="1:57" s="129" customFormat="1" hidden="1">
      <c r="A798" s="88" t="s">
        <v>1276</v>
      </c>
      <c r="B798" s="88" t="s">
        <v>1317</v>
      </c>
      <c r="C798" s="88" t="s">
        <v>1317</v>
      </c>
      <c r="D798" s="88" t="s">
        <v>1303</v>
      </c>
      <c r="E798" s="91" t="s">
        <v>1250</v>
      </c>
      <c r="F798" s="90" t="s">
        <v>1251</v>
      </c>
      <c r="G798" s="92"/>
      <c r="H798" s="92"/>
      <c r="I798" s="274" t="s">
        <v>1461</v>
      </c>
      <c r="J798" s="205" t="str">
        <f>_xlfn.XLOOKUP(I798,[1]Sheet1!$A:$A,[1]Sheet1!$B:$B,"")</f>
        <v>Z0403007</v>
      </c>
      <c r="K798" s="91" t="s">
        <v>1253</v>
      </c>
      <c r="L798" s="91" t="s">
        <v>2586</v>
      </c>
      <c r="M798" s="92" t="s">
        <v>1584</v>
      </c>
      <c r="N798" s="91" t="s">
        <v>1223</v>
      </c>
      <c r="O798" s="131">
        <v>78</v>
      </c>
      <c r="P798" s="91"/>
      <c r="Q798" s="131"/>
      <c r="R798" s="131">
        <v>1</v>
      </c>
      <c r="S798" s="92"/>
      <c r="T798" s="131" t="s">
        <v>3869</v>
      </c>
      <c r="U798" s="155">
        <v>0</v>
      </c>
      <c r="V798" s="131">
        <v>45</v>
      </c>
      <c r="W798" s="131">
        <v>45</v>
      </c>
      <c r="X798" s="207">
        <v>14</v>
      </c>
      <c r="Y798" s="207" t="s">
        <v>1224</v>
      </c>
      <c r="Z798" s="133">
        <f t="shared" si="1059"/>
        <v>3873.4428571428566</v>
      </c>
      <c r="AA798" s="133"/>
      <c r="AB798" s="161">
        <f t="shared" si="1036"/>
        <v>3747.2307692307686</v>
      </c>
      <c r="AC798" s="161"/>
      <c r="AD798" s="213">
        <f t="shared" si="1037"/>
        <v>7.0000000000000007E-2</v>
      </c>
      <c r="AE798" s="213">
        <v>7.0000000000000007E-2</v>
      </c>
      <c r="AF798" s="219">
        <v>0.35</v>
      </c>
      <c r="AG798" s="220" t="s">
        <v>1300</v>
      </c>
      <c r="AH798" s="123">
        <f t="shared" si="1060"/>
        <v>3634.8138461538456</v>
      </c>
      <c r="AI798" s="206">
        <f t="shared" si="1038"/>
        <v>0.32989690721649478</v>
      </c>
      <c r="AJ798" s="444"/>
      <c r="AK798" s="150">
        <f t="shared" si="1061"/>
        <v>2623.9451612903222</v>
      </c>
      <c r="AL798" s="148">
        <f t="shared" si="1056"/>
        <v>2619.0322580645161</v>
      </c>
      <c r="AM798" s="208">
        <f t="shared" si="1062"/>
        <v>0.32258064516129037</v>
      </c>
      <c r="AN798" s="208">
        <f t="shared" si="1063"/>
        <v>0.30107526881720414</v>
      </c>
      <c r="AP798" s="17" t="s">
        <v>1220</v>
      </c>
      <c r="AQ798" s="204"/>
      <c r="AR798" s="204"/>
      <c r="AS798" s="226">
        <v>1333</v>
      </c>
      <c r="AT798" s="162"/>
      <c r="AU798" s="162"/>
      <c r="AV798" s="173"/>
      <c r="AW798" s="154">
        <f t="shared" ref="AW798:AW812" si="1065">AS798+($F$4-1500)/1000*O798</f>
        <v>2085.6999999999998</v>
      </c>
      <c r="AX798" s="126">
        <f t="shared" si="1064"/>
        <v>2435.6999999999998</v>
      </c>
      <c r="AY798" s="163"/>
      <c r="AZ798" s="19"/>
      <c r="BB798" s="168">
        <f t="shared" si="1041"/>
        <v>12490.769230769229</v>
      </c>
      <c r="BC798" s="168">
        <f t="shared" si="1042"/>
        <v>7494.4615384615372</v>
      </c>
      <c r="BD798" s="168">
        <f t="shared" si="1043"/>
        <v>6245.3846153846143</v>
      </c>
      <c r="BE798" s="168">
        <f t="shared" si="1044"/>
        <v>4996.3076923076915</v>
      </c>
    </row>
    <row r="799" spans="1:57" s="129" customFormat="1" hidden="1">
      <c r="A799" s="88" t="s">
        <v>1276</v>
      </c>
      <c r="B799" s="88" t="s">
        <v>1317</v>
      </c>
      <c r="C799" s="88" t="s">
        <v>1317</v>
      </c>
      <c r="D799" s="88" t="s">
        <v>1303</v>
      </c>
      <c r="E799" s="91" t="s">
        <v>1250</v>
      </c>
      <c r="F799" s="90" t="s">
        <v>1251</v>
      </c>
      <c r="G799" s="92"/>
      <c r="H799" s="92"/>
      <c r="I799" s="274" t="s">
        <v>1462</v>
      </c>
      <c r="J799" s="205" t="str">
        <f>_xlfn.XLOOKUP(I799,[1]Sheet1!$A:$A,[1]Sheet1!$B:$B,"")</f>
        <v>Z0403008</v>
      </c>
      <c r="K799" s="91" t="s">
        <v>1296</v>
      </c>
      <c r="L799" s="91" t="s">
        <v>2587</v>
      </c>
      <c r="M799" s="92" t="s">
        <v>1584</v>
      </c>
      <c r="N799" s="91" t="s">
        <v>1223</v>
      </c>
      <c r="O799" s="131">
        <v>128</v>
      </c>
      <c r="P799" s="91"/>
      <c r="Q799" s="131"/>
      <c r="R799" s="131">
        <v>1</v>
      </c>
      <c r="S799" s="92"/>
      <c r="T799" s="131" t="s">
        <v>3869</v>
      </c>
      <c r="U799" s="155">
        <v>0</v>
      </c>
      <c r="V799" s="131">
        <v>45</v>
      </c>
      <c r="W799" s="131">
        <v>45</v>
      </c>
      <c r="X799" s="207">
        <v>14</v>
      </c>
      <c r="Y799" s="207" t="s">
        <v>1224</v>
      </c>
      <c r="Z799" s="133">
        <f t="shared" si="1059"/>
        <v>5668.1587786259533</v>
      </c>
      <c r="AA799" s="133"/>
      <c r="AB799" s="161">
        <f t="shared" si="1036"/>
        <v>5219.5555555555547</v>
      </c>
      <c r="AC799" s="161"/>
      <c r="AD799" s="213">
        <f t="shared" si="1037"/>
        <v>7.0000000000000007E-2</v>
      </c>
      <c r="AE799" s="213">
        <v>7.0000000000000007E-2</v>
      </c>
      <c r="AF799" s="219">
        <v>0.32500000000000001</v>
      </c>
      <c r="AG799" s="220" t="s">
        <v>1300</v>
      </c>
      <c r="AH799" s="123">
        <f t="shared" si="1060"/>
        <v>5062.9688888888877</v>
      </c>
      <c r="AI799" s="206">
        <f t="shared" si="1038"/>
        <v>0.3041237113402061</v>
      </c>
      <c r="AJ799" s="444"/>
      <c r="AK799" s="150">
        <f t="shared" si="1061"/>
        <v>3992.0903225806451</v>
      </c>
      <c r="AL799" s="148">
        <f t="shared" si="1056"/>
        <v>3788.3870967741937</v>
      </c>
      <c r="AM799" s="208">
        <f t="shared" si="1062"/>
        <v>0.29569892473118276</v>
      </c>
      <c r="AN799" s="208">
        <f t="shared" si="1063"/>
        <v>0.27419354838709664</v>
      </c>
      <c r="AP799" s="17" t="s">
        <v>1220</v>
      </c>
      <c r="AQ799" s="204"/>
      <c r="AR799" s="204"/>
      <c r="AS799" s="226">
        <v>1938</v>
      </c>
      <c r="AT799" s="162"/>
      <c r="AU799" s="162"/>
      <c r="AV799" s="173"/>
      <c r="AW799" s="154">
        <f t="shared" si="1065"/>
        <v>3173.2</v>
      </c>
      <c r="AX799" s="126">
        <f t="shared" si="1064"/>
        <v>3523.2</v>
      </c>
      <c r="AY799" s="163"/>
      <c r="AZ799" s="19"/>
      <c r="BB799" s="168">
        <f t="shared" si="1041"/>
        <v>17398.518518518518</v>
      </c>
      <c r="BC799" s="168">
        <f t="shared" si="1042"/>
        <v>10439.111111111111</v>
      </c>
      <c r="BD799" s="168">
        <f t="shared" si="1043"/>
        <v>8699.2592592592591</v>
      </c>
      <c r="BE799" s="168">
        <f t="shared" si="1044"/>
        <v>6959.4074074074078</v>
      </c>
    </row>
    <row r="800" spans="1:57" s="129" customFormat="1" hidden="1">
      <c r="A800" s="88" t="s">
        <v>1276</v>
      </c>
      <c r="B800" s="88" t="s">
        <v>1317</v>
      </c>
      <c r="C800" s="88" t="s">
        <v>1317</v>
      </c>
      <c r="D800" s="88" t="s">
        <v>1303</v>
      </c>
      <c r="E800" s="91" t="s">
        <v>1250</v>
      </c>
      <c r="F800" s="90" t="s">
        <v>1251</v>
      </c>
      <c r="G800" s="92"/>
      <c r="H800" s="92"/>
      <c r="I800" s="205" t="s">
        <v>1463</v>
      </c>
      <c r="J800" s="205" t="str">
        <f>_xlfn.XLOOKUP(I800,[1]Sheet1!$A:$A,[1]Sheet1!$B:$B,"")</f>
        <v/>
      </c>
      <c r="K800" s="91" t="s">
        <v>1297</v>
      </c>
      <c r="L800" s="91" t="s">
        <v>2588</v>
      </c>
      <c r="M800" s="92" t="s">
        <v>1584</v>
      </c>
      <c r="N800" s="91" t="s">
        <v>1223</v>
      </c>
      <c r="O800" s="131">
        <v>152</v>
      </c>
      <c r="P800" s="91"/>
      <c r="Q800" s="131"/>
      <c r="R800" s="131">
        <v>1</v>
      </c>
      <c r="S800" s="92"/>
      <c r="T800" s="131" t="s">
        <v>3869</v>
      </c>
      <c r="U800" s="155">
        <v>0</v>
      </c>
      <c r="V800" s="131">
        <v>45</v>
      </c>
      <c r="W800" s="131">
        <v>45</v>
      </c>
      <c r="X800" s="207">
        <v>14</v>
      </c>
      <c r="Y800" s="207" t="s">
        <v>1224</v>
      </c>
      <c r="Z800" s="133">
        <f t="shared" si="1059"/>
        <v>6567.141176470589</v>
      </c>
      <c r="AA800" s="133"/>
      <c r="AB800" s="161">
        <f t="shared" si="1036"/>
        <v>5952.5714285714294</v>
      </c>
      <c r="AC800" s="161"/>
      <c r="AD800" s="213">
        <f t="shared" si="1037"/>
        <v>7.0000000000000007E-2</v>
      </c>
      <c r="AE800" s="213">
        <v>7.0000000000000007E-2</v>
      </c>
      <c r="AF800" s="219">
        <v>0.3</v>
      </c>
      <c r="AG800" s="220" t="s">
        <v>1300</v>
      </c>
      <c r="AH800" s="123">
        <f t="shared" si="1060"/>
        <v>5773.994285714286</v>
      </c>
      <c r="AI800" s="206">
        <f t="shared" si="1038"/>
        <v>0.27835051546391754</v>
      </c>
      <c r="AJ800" s="444"/>
      <c r="AK800" s="150">
        <f t="shared" si="1061"/>
        <v>4801.7806451612914</v>
      </c>
      <c r="AL800" s="148">
        <f t="shared" si="1056"/>
        <v>4480.4301075268822</v>
      </c>
      <c r="AM800" s="208">
        <f t="shared" si="1062"/>
        <v>0.26881720430107514</v>
      </c>
      <c r="AN800" s="208">
        <f t="shared" si="1063"/>
        <v>0.24731182795698925</v>
      </c>
      <c r="AP800" s="17" t="s">
        <v>1220</v>
      </c>
      <c r="AQ800" s="204"/>
      <c r="AR800" s="204"/>
      <c r="AS800" s="328">
        <v>2350</v>
      </c>
      <c r="AT800" s="162"/>
      <c r="AU800" s="162"/>
      <c r="AV800" s="173"/>
      <c r="AW800" s="154">
        <f t="shared" si="1065"/>
        <v>3816.8</v>
      </c>
      <c r="AX800" s="126">
        <f t="shared" si="1064"/>
        <v>4166.8</v>
      </c>
      <c r="AY800" s="163"/>
      <c r="AZ800" s="19"/>
      <c r="BB800" s="168">
        <f t="shared" si="1041"/>
        <v>19841.904761904767</v>
      </c>
      <c r="BC800" s="168">
        <f t="shared" si="1042"/>
        <v>11905.142857142861</v>
      </c>
      <c r="BD800" s="168">
        <f t="shared" si="1043"/>
        <v>9920.9523809523835</v>
      </c>
      <c r="BE800" s="168">
        <f t="shared" si="1044"/>
        <v>7936.7619047619073</v>
      </c>
    </row>
    <row r="801" spans="1:57" s="129" customFormat="1" hidden="1">
      <c r="A801" s="88" t="s">
        <v>1276</v>
      </c>
      <c r="B801" s="88" t="s">
        <v>1317</v>
      </c>
      <c r="C801" s="88" t="s">
        <v>1317</v>
      </c>
      <c r="D801" s="88" t="s">
        <v>1303</v>
      </c>
      <c r="E801" s="91" t="s">
        <v>1250</v>
      </c>
      <c r="F801" s="90" t="s">
        <v>1251</v>
      </c>
      <c r="G801" s="92"/>
      <c r="H801" s="92"/>
      <c r="I801" s="274" t="s">
        <v>1464</v>
      </c>
      <c r="J801" s="205" t="str">
        <f>_xlfn.XLOOKUP(I801,[1]Sheet1!$A:$A,[1]Sheet1!$B:$B,"")</f>
        <v>Z0403009</v>
      </c>
      <c r="K801" s="91" t="s">
        <v>1298</v>
      </c>
      <c r="L801" s="91" t="s">
        <v>2589</v>
      </c>
      <c r="M801" s="92" t="s">
        <v>1584</v>
      </c>
      <c r="N801" s="91" t="s">
        <v>1223</v>
      </c>
      <c r="O801" s="131">
        <v>218</v>
      </c>
      <c r="P801" s="91"/>
      <c r="Q801" s="131"/>
      <c r="R801" s="131">
        <v>1</v>
      </c>
      <c r="S801" s="92"/>
      <c r="T801" s="131" t="s">
        <v>3869</v>
      </c>
      <c r="U801" s="155">
        <v>0</v>
      </c>
      <c r="V801" s="131">
        <v>45</v>
      </c>
      <c r="W801" s="131">
        <v>45</v>
      </c>
      <c r="X801" s="207">
        <v>14</v>
      </c>
      <c r="Y801" s="207" t="s">
        <v>1224</v>
      </c>
      <c r="Z801" s="133">
        <f t="shared" si="1059"/>
        <v>9801.0145161290347</v>
      </c>
      <c r="AA801" s="133"/>
      <c r="AB801" s="161">
        <f t="shared" si="1036"/>
        <v>8662.0312500000018</v>
      </c>
      <c r="AC801" s="161"/>
      <c r="AD801" s="213">
        <f t="shared" si="1037"/>
        <v>7.0000000000000007E-2</v>
      </c>
      <c r="AE801" s="213">
        <v>7.0000000000000007E-2</v>
      </c>
      <c r="AF801" s="219">
        <v>0.36</v>
      </c>
      <c r="AG801" s="220" t="s">
        <v>1300</v>
      </c>
      <c r="AH801" s="123">
        <f t="shared" si="1060"/>
        <v>8402.1703125000022</v>
      </c>
      <c r="AI801" s="206">
        <f t="shared" si="1038"/>
        <v>0.34020618556701043</v>
      </c>
      <c r="AJ801" s="444"/>
      <c r="AK801" s="150">
        <f t="shared" si="1061"/>
        <v>6534.0096774193562</v>
      </c>
      <c r="AL801" s="148">
        <f t="shared" si="1056"/>
        <v>5960.9677419354848</v>
      </c>
      <c r="AM801" s="208">
        <f t="shared" si="1062"/>
        <v>0.33333333333333337</v>
      </c>
      <c r="AN801" s="208">
        <f t="shared" si="1063"/>
        <v>0.31182795698924737</v>
      </c>
      <c r="AP801" s="17" t="s">
        <v>1220</v>
      </c>
      <c r="AQ801" s="204"/>
      <c r="AR801" s="204"/>
      <c r="AS801" s="226">
        <v>3090</v>
      </c>
      <c r="AT801" s="162"/>
      <c r="AU801" s="162"/>
      <c r="AV801" s="173"/>
      <c r="AW801" s="154">
        <f t="shared" si="1065"/>
        <v>5193.7000000000007</v>
      </c>
      <c r="AX801" s="126">
        <f t="shared" si="1064"/>
        <v>5543.7000000000007</v>
      </c>
      <c r="AY801" s="163"/>
      <c r="AZ801" s="19"/>
      <c r="BB801" s="168">
        <f t="shared" si="1041"/>
        <v>28873.437500000007</v>
      </c>
      <c r="BC801" s="168">
        <f t="shared" si="1042"/>
        <v>17324.062500000004</v>
      </c>
      <c r="BD801" s="168">
        <f t="shared" si="1043"/>
        <v>14436.718750000004</v>
      </c>
      <c r="BE801" s="168">
        <f t="shared" si="1044"/>
        <v>11549.375000000004</v>
      </c>
    </row>
    <row r="802" spans="1:57" s="129" customFormat="1" hidden="1">
      <c r="A802" s="88" t="s">
        <v>1276</v>
      </c>
      <c r="B802" s="88" t="s">
        <v>1317</v>
      </c>
      <c r="C802" s="88" t="s">
        <v>1317</v>
      </c>
      <c r="D802" s="88" t="s">
        <v>1303</v>
      </c>
      <c r="E802" s="91" t="s">
        <v>1250</v>
      </c>
      <c r="F802" s="90" t="s">
        <v>1251</v>
      </c>
      <c r="G802" s="92"/>
      <c r="H802" s="92"/>
      <c r="I802" s="274" t="s">
        <v>1465</v>
      </c>
      <c r="J802" s="205" t="str">
        <f>_xlfn.XLOOKUP(I802,[1]Sheet1!$A:$A,[1]Sheet1!$B:$B,"")</f>
        <v>Z0403010</v>
      </c>
      <c r="K802" s="91" t="s">
        <v>2557</v>
      </c>
      <c r="L802" s="91" t="s">
        <v>2590</v>
      </c>
      <c r="M802" s="92" t="s">
        <v>1584</v>
      </c>
      <c r="N802" s="91" t="s">
        <v>1223</v>
      </c>
      <c r="O802" s="131">
        <v>430</v>
      </c>
      <c r="P802" s="91"/>
      <c r="Q802" s="131"/>
      <c r="R802" s="131">
        <v>1</v>
      </c>
      <c r="S802" s="92"/>
      <c r="T802" s="131" t="s">
        <v>3869</v>
      </c>
      <c r="U802" s="155">
        <v>0</v>
      </c>
      <c r="V802" s="131">
        <v>45</v>
      </c>
      <c r="W802" s="131">
        <v>45</v>
      </c>
      <c r="X802" s="207">
        <v>14</v>
      </c>
      <c r="Y802" s="207" t="s">
        <v>1224</v>
      </c>
      <c r="Z802" s="133">
        <f t="shared" si="1059"/>
        <v>18562.427419354837</v>
      </c>
      <c r="AA802" s="133"/>
      <c r="AB802" s="161">
        <f t="shared" si="1036"/>
        <v>15916.40625</v>
      </c>
      <c r="AC802" s="161"/>
      <c r="AD802" s="213">
        <f t="shared" si="1037"/>
        <v>7.0000000000000007E-2</v>
      </c>
      <c r="AE802" s="213">
        <v>7.0000000000000007E-2</v>
      </c>
      <c r="AF802" s="219">
        <v>0.36</v>
      </c>
      <c r="AG802" s="220" t="s">
        <v>1300</v>
      </c>
      <c r="AH802" s="123">
        <f t="shared" si="1060"/>
        <v>15438.9140625</v>
      </c>
      <c r="AI802" s="206">
        <f t="shared" si="1038"/>
        <v>0.34020618556701032</v>
      </c>
      <c r="AJ802" s="444"/>
      <c r="AK802" s="150">
        <f t="shared" si="1061"/>
        <v>12374.951612903225</v>
      </c>
      <c r="AL802" s="148">
        <f t="shared" si="1056"/>
        <v>10953.225806451614</v>
      </c>
      <c r="AM802" s="208">
        <f t="shared" si="1062"/>
        <v>0.33333333333333326</v>
      </c>
      <c r="AN802" s="208">
        <f t="shared" si="1063"/>
        <v>0.31182795698924726</v>
      </c>
      <c r="AP802" s="17" t="s">
        <v>1220</v>
      </c>
      <c r="AQ802" s="204"/>
      <c r="AR802" s="204"/>
      <c r="AS802" s="226">
        <v>5687</v>
      </c>
      <c r="AT802" s="162"/>
      <c r="AU802" s="162"/>
      <c r="AV802" s="173"/>
      <c r="AW802" s="154">
        <f t="shared" si="1065"/>
        <v>9836.5</v>
      </c>
      <c r="AX802" s="126">
        <f t="shared" si="1064"/>
        <v>10186.5</v>
      </c>
      <c r="AY802" s="163"/>
      <c r="AZ802" s="19"/>
      <c r="BB802" s="168">
        <f t="shared" si="1041"/>
        <v>53054.6875</v>
      </c>
      <c r="BC802" s="168">
        <f t="shared" si="1042"/>
        <v>31832.8125</v>
      </c>
      <c r="BD802" s="168">
        <f t="shared" si="1043"/>
        <v>26527.34375</v>
      </c>
      <c r="BE802" s="168">
        <f t="shared" si="1044"/>
        <v>21221.875</v>
      </c>
    </row>
    <row r="803" spans="1:57" s="129" customFormat="1" hidden="1">
      <c r="A803" s="88" t="s">
        <v>1276</v>
      </c>
      <c r="B803" s="88" t="s">
        <v>1317</v>
      </c>
      <c r="C803" s="88" t="s">
        <v>1317</v>
      </c>
      <c r="D803" s="88" t="s">
        <v>1303</v>
      </c>
      <c r="E803" s="91" t="s">
        <v>1250</v>
      </c>
      <c r="F803" s="90" t="s">
        <v>1251</v>
      </c>
      <c r="G803" s="92"/>
      <c r="H803" s="92"/>
      <c r="I803" s="274" t="s">
        <v>3457</v>
      </c>
      <c r="J803" s="205" t="str">
        <f>_xlfn.XLOOKUP(I803,[1]Sheet1!$A:$A,[1]Sheet1!$B:$B,"")</f>
        <v>Z0403001</v>
      </c>
      <c r="K803" s="91" t="s">
        <v>3462</v>
      </c>
      <c r="L803" s="91" t="s">
        <v>3471</v>
      </c>
      <c r="M803" s="92" t="s">
        <v>1584</v>
      </c>
      <c r="N803" s="91" t="s">
        <v>1223</v>
      </c>
      <c r="O803" s="131">
        <v>45</v>
      </c>
      <c r="P803" s="91"/>
      <c r="Q803" s="131"/>
      <c r="R803" s="131">
        <v>1</v>
      </c>
      <c r="S803" s="92"/>
      <c r="T803" s="131" t="s">
        <v>3869</v>
      </c>
      <c r="U803" s="155">
        <v>0</v>
      </c>
      <c r="V803" s="131">
        <v>45</v>
      </c>
      <c r="W803" s="131">
        <v>45</v>
      </c>
      <c r="X803" s="207">
        <v>14</v>
      </c>
      <c r="Y803" s="207" t="s">
        <v>1224</v>
      </c>
      <c r="Z803" s="133">
        <f t="shared" ref="Z803:Z807" si="1066">(AW803/(1-(AF803+2%)))*$F$6</f>
        <v>1819.261363636364</v>
      </c>
      <c r="AA803" s="133"/>
      <c r="AB803" s="161">
        <f t="shared" ref="AB803:AB807" si="1067">AX803/(1-AF803)</f>
        <v>2023.8970588235295</v>
      </c>
      <c r="AC803" s="161"/>
      <c r="AD803" s="213">
        <f t="shared" ref="AD803:AD807" si="1068">AE803</f>
        <v>7.0000000000000007E-2</v>
      </c>
      <c r="AE803" s="213">
        <v>7.0000000000000007E-2</v>
      </c>
      <c r="AF803" s="219">
        <v>0.32</v>
      </c>
      <c r="AG803" s="220" t="s">
        <v>1300</v>
      </c>
      <c r="AH803" s="123">
        <f t="shared" ref="AH803:AH807" si="1069">AB803*(1-$AH$6)</f>
        <v>1963.1801470588236</v>
      </c>
      <c r="AI803" s="206">
        <f>1-(AX803/AH803)</f>
        <v>0.2989690721649485</v>
      </c>
      <c r="AJ803" s="444"/>
      <c r="AK803" s="150">
        <f t="shared" ref="AK803:AK807" si="1070">AW803/(1-AD803)*$F$6</f>
        <v>1291.0887096774193</v>
      </c>
      <c r="AL803" s="148">
        <f t="shared" ref="AL803:AL807" si="1071">AX803/(1-AE803)</f>
        <v>1479.8387096774195</v>
      </c>
      <c r="AM803" s="208">
        <f t="shared" ref="AM803:AM807" si="1072">1-(AK803/Z803)</f>
        <v>0.29032258064516148</v>
      </c>
      <c r="AN803" s="208">
        <f t="shared" ref="AN803:AN807" si="1073">1-(AL803/AB803)</f>
        <v>0.26881720430107525</v>
      </c>
      <c r="AP803" s="17" t="s">
        <v>1220</v>
      </c>
      <c r="AQ803" s="204"/>
      <c r="AR803" s="204"/>
      <c r="AS803" s="226">
        <v>592</v>
      </c>
      <c r="AT803" s="162"/>
      <c r="AU803" s="162"/>
      <c r="AV803" s="173"/>
      <c r="AW803" s="154">
        <f>AS803+($F$4-1500)/1000*O803</f>
        <v>1026.25</v>
      </c>
      <c r="AX803" s="126">
        <f t="shared" ref="AX803:AX807" si="1074">AW803+($F$11/R803)+AW803*U803</f>
        <v>1376.25</v>
      </c>
      <c r="AY803" s="163"/>
      <c r="AZ803" s="19"/>
      <c r="BB803" s="168"/>
      <c r="BC803" s="168"/>
      <c r="BD803" s="168"/>
      <c r="BE803" s="168"/>
    </row>
    <row r="804" spans="1:57" s="129" customFormat="1" hidden="1">
      <c r="A804" s="88" t="s">
        <v>1276</v>
      </c>
      <c r="B804" s="88" t="s">
        <v>1317</v>
      </c>
      <c r="C804" s="88" t="s">
        <v>1317</v>
      </c>
      <c r="D804" s="88" t="s">
        <v>1303</v>
      </c>
      <c r="E804" s="91" t="s">
        <v>1250</v>
      </c>
      <c r="F804" s="90" t="s">
        <v>1251</v>
      </c>
      <c r="G804" s="92"/>
      <c r="H804" s="92"/>
      <c r="I804" s="274" t="s">
        <v>3458</v>
      </c>
      <c r="J804" s="205" t="str">
        <f>_xlfn.XLOOKUP(I804,[1]Sheet1!$A:$A,[1]Sheet1!$B:$B,"")</f>
        <v>Z0403002</v>
      </c>
      <c r="K804" s="91" t="s">
        <v>3658</v>
      </c>
      <c r="L804" s="91" t="s">
        <v>3467</v>
      </c>
      <c r="M804" s="92" t="s">
        <v>1584</v>
      </c>
      <c r="N804" s="91" t="s">
        <v>1223</v>
      </c>
      <c r="O804" s="131">
        <v>78</v>
      </c>
      <c r="P804" s="91"/>
      <c r="Q804" s="131"/>
      <c r="R804" s="131">
        <v>1</v>
      </c>
      <c r="S804" s="92"/>
      <c r="T804" s="131" t="s">
        <v>3869</v>
      </c>
      <c r="U804" s="155">
        <v>0</v>
      </c>
      <c r="V804" s="131">
        <v>45</v>
      </c>
      <c r="W804" s="131">
        <v>45</v>
      </c>
      <c r="X804" s="207">
        <v>14</v>
      </c>
      <c r="Y804" s="207" t="s">
        <v>1224</v>
      </c>
      <c r="Z804" s="133">
        <f t="shared" si="1066"/>
        <v>3113.8714285714286</v>
      </c>
      <c r="AA804" s="133"/>
      <c r="AB804" s="161">
        <f t="shared" si="1067"/>
        <v>3118</v>
      </c>
      <c r="AC804" s="161"/>
      <c r="AD804" s="213">
        <f t="shared" si="1068"/>
        <v>7.0000000000000007E-2</v>
      </c>
      <c r="AE804" s="213">
        <v>7.0000000000000007E-2</v>
      </c>
      <c r="AF804" s="219">
        <v>0.35</v>
      </c>
      <c r="AG804" s="220" t="s">
        <v>1300</v>
      </c>
      <c r="AH804" s="123">
        <f t="shared" si="1069"/>
        <v>3024.46</v>
      </c>
      <c r="AI804" s="206">
        <f t="shared" ref="AI804:AI807" si="1075">1-(AX804/AH804)</f>
        <v>0.32989690721649478</v>
      </c>
      <c r="AJ804" s="444"/>
      <c r="AK804" s="150">
        <f t="shared" si="1070"/>
        <v>2109.3967741935485</v>
      </c>
      <c r="AL804" s="148">
        <f t="shared" si="1071"/>
        <v>2179.2473118279572</v>
      </c>
      <c r="AM804" s="208">
        <f t="shared" si="1072"/>
        <v>0.32258064516129026</v>
      </c>
      <c r="AN804" s="208">
        <f t="shared" si="1073"/>
        <v>0.30107526881720426</v>
      </c>
      <c r="AP804" s="17" t="s">
        <v>1220</v>
      </c>
      <c r="AQ804" s="204"/>
      <c r="AR804" s="204"/>
      <c r="AS804" s="226">
        <v>924</v>
      </c>
      <c r="AT804" s="162"/>
      <c r="AU804" s="162"/>
      <c r="AV804" s="173"/>
      <c r="AW804" s="154">
        <f t="shared" ref="AW804:AW807" si="1076">AS804+($F$4-1500)/1000*O804</f>
        <v>1676.7</v>
      </c>
      <c r="AX804" s="126">
        <f t="shared" si="1074"/>
        <v>2026.7</v>
      </c>
      <c r="AY804" s="163"/>
      <c r="AZ804" s="19"/>
      <c r="BB804" s="168"/>
      <c r="BC804" s="168"/>
      <c r="BD804" s="168"/>
      <c r="BE804" s="168"/>
    </row>
    <row r="805" spans="1:57" s="129" customFormat="1" hidden="1">
      <c r="A805" s="88" t="s">
        <v>1276</v>
      </c>
      <c r="B805" s="88" t="s">
        <v>1317</v>
      </c>
      <c r="C805" s="88" t="s">
        <v>1317</v>
      </c>
      <c r="D805" s="88" t="s">
        <v>1303</v>
      </c>
      <c r="E805" s="91" t="s">
        <v>1250</v>
      </c>
      <c r="F805" s="90" t="s">
        <v>1251</v>
      </c>
      <c r="G805" s="92"/>
      <c r="H805" s="92"/>
      <c r="I805" s="274" t="s">
        <v>3459</v>
      </c>
      <c r="J805" s="205" t="str">
        <f>_xlfn.XLOOKUP(I805,[1]Sheet1!$A:$A,[1]Sheet1!$B:$B,"")</f>
        <v>Z0403003</v>
      </c>
      <c r="K805" s="91" t="s">
        <v>3463</v>
      </c>
      <c r="L805" s="91" t="s">
        <v>3468</v>
      </c>
      <c r="M805" s="92" t="s">
        <v>1584</v>
      </c>
      <c r="N805" s="91" t="s">
        <v>1223</v>
      </c>
      <c r="O805" s="131">
        <v>128</v>
      </c>
      <c r="P805" s="91"/>
      <c r="Q805" s="131"/>
      <c r="R805" s="131">
        <v>1</v>
      </c>
      <c r="S805" s="92"/>
      <c r="T805" s="131" t="s">
        <v>3869</v>
      </c>
      <c r="U805" s="155">
        <v>0</v>
      </c>
      <c r="V805" s="131">
        <v>45</v>
      </c>
      <c r="W805" s="131">
        <v>45</v>
      </c>
      <c r="X805" s="207">
        <v>14</v>
      </c>
      <c r="Y805" s="207" t="s">
        <v>1224</v>
      </c>
      <c r="Z805" s="133">
        <f t="shared" si="1066"/>
        <v>4782.1740458015256</v>
      </c>
      <c r="AA805" s="133"/>
      <c r="AB805" s="161">
        <f t="shared" si="1067"/>
        <v>4484.74074074074</v>
      </c>
      <c r="AC805" s="161"/>
      <c r="AD805" s="213">
        <f t="shared" si="1068"/>
        <v>7.0000000000000007E-2</v>
      </c>
      <c r="AE805" s="213">
        <v>7.0000000000000007E-2</v>
      </c>
      <c r="AF805" s="219">
        <v>0.32500000000000001</v>
      </c>
      <c r="AG805" s="220" t="s">
        <v>1300</v>
      </c>
      <c r="AH805" s="123">
        <f t="shared" si="1069"/>
        <v>4350.1985185185176</v>
      </c>
      <c r="AI805" s="206">
        <f t="shared" si="1075"/>
        <v>0.3041237113402061</v>
      </c>
      <c r="AJ805" s="444"/>
      <c r="AK805" s="150">
        <f t="shared" si="1070"/>
        <v>3368.0903225806446</v>
      </c>
      <c r="AL805" s="148">
        <f t="shared" si="1071"/>
        <v>3255.0537634408602</v>
      </c>
      <c r="AM805" s="208">
        <f t="shared" si="1072"/>
        <v>0.29569892473118276</v>
      </c>
      <c r="AN805" s="208">
        <f t="shared" si="1073"/>
        <v>0.27419354838709664</v>
      </c>
      <c r="AP805" s="17" t="s">
        <v>1220</v>
      </c>
      <c r="AQ805" s="204"/>
      <c r="AR805" s="204"/>
      <c r="AS805" s="226">
        <v>1442</v>
      </c>
      <c r="AT805" s="162"/>
      <c r="AU805" s="162"/>
      <c r="AV805" s="173"/>
      <c r="AW805" s="154">
        <f t="shared" si="1076"/>
        <v>2677.2</v>
      </c>
      <c r="AX805" s="126">
        <f t="shared" si="1074"/>
        <v>3027.2</v>
      </c>
      <c r="AY805" s="163"/>
      <c r="AZ805" s="19"/>
      <c r="BB805" s="168"/>
      <c r="BC805" s="168"/>
      <c r="BD805" s="168"/>
      <c r="BE805" s="168"/>
    </row>
    <row r="806" spans="1:57" s="129" customFormat="1" hidden="1">
      <c r="A806" s="88" t="s">
        <v>1276</v>
      </c>
      <c r="B806" s="88" t="s">
        <v>1317</v>
      </c>
      <c r="C806" s="88" t="s">
        <v>1317</v>
      </c>
      <c r="D806" s="88" t="s">
        <v>1303</v>
      </c>
      <c r="E806" s="91" t="s">
        <v>1250</v>
      </c>
      <c r="F806" s="90" t="s">
        <v>1251</v>
      </c>
      <c r="G806" s="92"/>
      <c r="H806" s="92"/>
      <c r="I806" s="274" t="s">
        <v>3460</v>
      </c>
      <c r="J806" s="205" t="str">
        <f>_xlfn.XLOOKUP(I806,[1]Sheet1!$A:$A,[1]Sheet1!$B:$B,"")</f>
        <v>Z0403004</v>
      </c>
      <c r="K806" s="91" t="s">
        <v>3464</v>
      </c>
      <c r="L806" s="91" t="s">
        <v>3469</v>
      </c>
      <c r="M806" s="92" t="s">
        <v>1584</v>
      </c>
      <c r="N806" s="91" t="s">
        <v>1223</v>
      </c>
      <c r="O806" s="131">
        <v>218</v>
      </c>
      <c r="P806" s="91"/>
      <c r="Q806" s="131"/>
      <c r="R806" s="131">
        <v>1</v>
      </c>
      <c r="S806" s="92"/>
      <c r="T806" s="131" t="s">
        <v>3869</v>
      </c>
      <c r="U806" s="155">
        <v>0</v>
      </c>
      <c r="V806" s="131">
        <v>45</v>
      </c>
      <c r="W806" s="131">
        <v>45</v>
      </c>
      <c r="X806" s="207">
        <v>14</v>
      </c>
      <c r="Y806" s="207" t="s">
        <v>1224</v>
      </c>
      <c r="Z806" s="133">
        <f t="shared" si="1066"/>
        <v>8500.8048387096787</v>
      </c>
      <c r="AA806" s="133"/>
      <c r="AB806" s="161">
        <f t="shared" si="1067"/>
        <v>7585.4687500000009</v>
      </c>
      <c r="AC806" s="161"/>
      <c r="AD806" s="213">
        <f t="shared" si="1068"/>
        <v>7.0000000000000007E-2</v>
      </c>
      <c r="AE806" s="213">
        <v>7.0000000000000007E-2</v>
      </c>
      <c r="AF806" s="219">
        <v>0.36</v>
      </c>
      <c r="AG806" s="220" t="s">
        <v>1300</v>
      </c>
      <c r="AH806" s="123">
        <f t="shared" si="1069"/>
        <v>7357.9046875000004</v>
      </c>
      <c r="AI806" s="206">
        <f t="shared" si="1075"/>
        <v>0.34020618556701021</v>
      </c>
      <c r="AJ806" s="444"/>
      <c r="AK806" s="150">
        <f t="shared" si="1070"/>
        <v>5667.2032258064528</v>
      </c>
      <c r="AL806" s="148">
        <f t="shared" si="1071"/>
        <v>5220.1075268817212</v>
      </c>
      <c r="AM806" s="208">
        <f t="shared" si="1072"/>
        <v>0.33333333333333326</v>
      </c>
      <c r="AN806" s="208">
        <f t="shared" si="1073"/>
        <v>0.31182795698924726</v>
      </c>
      <c r="AP806" s="17" t="s">
        <v>1220</v>
      </c>
      <c r="AQ806" s="204"/>
      <c r="AR806" s="204"/>
      <c r="AS806" s="226">
        <v>2401</v>
      </c>
      <c r="AT806" s="162"/>
      <c r="AU806" s="162"/>
      <c r="AV806" s="173"/>
      <c r="AW806" s="154">
        <f t="shared" si="1076"/>
        <v>4504.7000000000007</v>
      </c>
      <c r="AX806" s="126">
        <f t="shared" si="1074"/>
        <v>4854.7000000000007</v>
      </c>
      <c r="AY806" s="163"/>
      <c r="AZ806" s="19"/>
      <c r="BB806" s="168"/>
      <c r="BC806" s="168"/>
      <c r="BD806" s="168"/>
      <c r="BE806" s="168"/>
    </row>
    <row r="807" spans="1:57" s="129" customFormat="1" hidden="1">
      <c r="A807" s="88" t="s">
        <v>1276</v>
      </c>
      <c r="B807" s="88" t="s">
        <v>1317</v>
      </c>
      <c r="C807" s="88" t="s">
        <v>1317</v>
      </c>
      <c r="D807" s="88" t="s">
        <v>1303</v>
      </c>
      <c r="E807" s="91" t="s">
        <v>1250</v>
      </c>
      <c r="F807" s="90" t="s">
        <v>1251</v>
      </c>
      <c r="G807" s="92"/>
      <c r="H807" s="92"/>
      <c r="I807" s="274" t="s">
        <v>3461</v>
      </c>
      <c r="J807" s="205" t="str">
        <f>_xlfn.XLOOKUP(I807,[1]Sheet1!$A:$A,[1]Sheet1!$B:$B,"")</f>
        <v>Z0403005</v>
      </c>
      <c r="K807" s="91" t="s">
        <v>3465</v>
      </c>
      <c r="L807" s="91" t="s">
        <v>3470</v>
      </c>
      <c r="M807" s="92" t="s">
        <v>1584</v>
      </c>
      <c r="N807" s="91" t="s">
        <v>1223</v>
      </c>
      <c r="O807" s="131">
        <v>430</v>
      </c>
      <c r="P807" s="91"/>
      <c r="Q807" s="131"/>
      <c r="R807" s="131">
        <v>1</v>
      </c>
      <c r="S807" s="92"/>
      <c r="T807" s="131" t="s">
        <v>3869</v>
      </c>
      <c r="U807" s="155">
        <v>0</v>
      </c>
      <c r="V807" s="131">
        <v>45</v>
      </c>
      <c r="W807" s="131">
        <v>45</v>
      </c>
      <c r="X807" s="207">
        <v>14</v>
      </c>
      <c r="Y807" s="207" t="s">
        <v>1224</v>
      </c>
      <c r="Z807" s="133">
        <f t="shared" si="1066"/>
        <v>16552.669354838708</v>
      </c>
      <c r="AA807" s="133"/>
      <c r="AB807" s="161">
        <f t="shared" si="1067"/>
        <v>14252.34375</v>
      </c>
      <c r="AC807" s="161"/>
      <c r="AD807" s="213">
        <f t="shared" si="1068"/>
        <v>7.0000000000000007E-2</v>
      </c>
      <c r="AE807" s="213">
        <v>7.0000000000000007E-2</v>
      </c>
      <c r="AF807" s="219">
        <v>0.36</v>
      </c>
      <c r="AG807" s="220" t="s">
        <v>1300</v>
      </c>
      <c r="AH807" s="123">
        <f t="shared" si="1069"/>
        <v>13824.7734375</v>
      </c>
      <c r="AI807" s="206">
        <f t="shared" si="1075"/>
        <v>0.34020618556701032</v>
      </c>
      <c r="AJ807" s="444"/>
      <c r="AK807" s="150">
        <f t="shared" si="1070"/>
        <v>11035.112903225807</v>
      </c>
      <c r="AL807" s="148">
        <f t="shared" si="1071"/>
        <v>9808.0645161290322</v>
      </c>
      <c r="AM807" s="208">
        <f t="shared" si="1072"/>
        <v>0.33333333333333326</v>
      </c>
      <c r="AN807" s="208">
        <f t="shared" si="1073"/>
        <v>0.31182795698924737</v>
      </c>
      <c r="AP807" s="17" t="s">
        <v>1220</v>
      </c>
      <c r="AQ807" s="204"/>
      <c r="AR807" s="204"/>
      <c r="AS807" s="226">
        <v>4622</v>
      </c>
      <c r="AT807" s="162"/>
      <c r="AU807" s="162"/>
      <c r="AV807" s="173"/>
      <c r="AW807" s="154">
        <f t="shared" si="1076"/>
        <v>8771.5</v>
      </c>
      <c r="AX807" s="126">
        <f t="shared" si="1074"/>
        <v>9121.5</v>
      </c>
      <c r="AY807" s="163"/>
      <c r="AZ807" s="19"/>
      <c r="BB807" s="168"/>
      <c r="BC807" s="168"/>
      <c r="BD807" s="168"/>
      <c r="BE807" s="168"/>
    </row>
    <row r="808" spans="1:57" s="129" customFormat="1" hidden="1">
      <c r="A808" s="88" t="s">
        <v>1276</v>
      </c>
      <c r="B808" s="88" t="s">
        <v>1317</v>
      </c>
      <c r="C808" s="88" t="s">
        <v>1317</v>
      </c>
      <c r="D808" s="88" t="s">
        <v>1303</v>
      </c>
      <c r="E808" s="91" t="s">
        <v>1250</v>
      </c>
      <c r="F808" s="90" t="s">
        <v>1251</v>
      </c>
      <c r="G808" s="92"/>
      <c r="H808" s="92"/>
      <c r="I808" s="205" t="s">
        <v>1466</v>
      </c>
      <c r="J808" s="205" t="str">
        <f>_xlfn.XLOOKUP(I808,[1]Sheet1!$A:$A,[1]Sheet1!$B:$B,"")</f>
        <v/>
      </c>
      <c r="K808" s="91" t="s">
        <v>1299</v>
      </c>
      <c r="L808" s="91" t="s">
        <v>2591</v>
      </c>
      <c r="M808" s="92" t="s">
        <v>1584</v>
      </c>
      <c r="N808" s="91" t="s">
        <v>1223</v>
      </c>
      <c r="O808" s="131">
        <v>118</v>
      </c>
      <c r="P808" s="91"/>
      <c r="Q808" s="131"/>
      <c r="R808" s="131">
        <v>1</v>
      </c>
      <c r="S808" s="92"/>
      <c r="T808" s="131" t="s">
        <v>3869</v>
      </c>
      <c r="U808" s="155">
        <v>0</v>
      </c>
      <c r="V808" s="131">
        <v>45</v>
      </c>
      <c r="W808" s="131">
        <v>45</v>
      </c>
      <c r="X808" s="207">
        <v>14</v>
      </c>
      <c r="Y808" s="207" t="s">
        <v>1224</v>
      </c>
      <c r="Z808" s="133">
        <f t="shared" si="1059"/>
        <v>5088.1816901408447</v>
      </c>
      <c r="AA808" s="133"/>
      <c r="AB808" s="161">
        <f t="shared" si="1036"/>
        <v>4709.178082191781</v>
      </c>
      <c r="AC808" s="161"/>
      <c r="AD808" s="213">
        <f t="shared" si="1037"/>
        <v>7.0000000000000007E-2</v>
      </c>
      <c r="AE808" s="213">
        <v>7.0000000000000007E-2</v>
      </c>
      <c r="AF808" s="219">
        <v>0.27</v>
      </c>
      <c r="AG808" s="220" t="s">
        <v>1300</v>
      </c>
      <c r="AH808" s="123">
        <f t="shared" si="1060"/>
        <v>4567.902739726027</v>
      </c>
      <c r="AI808" s="206">
        <f t="shared" si="1038"/>
        <v>0.24742268041237114</v>
      </c>
      <c r="AJ808" s="444"/>
      <c r="AK808" s="150">
        <f t="shared" si="1061"/>
        <v>3884.5258064516124</v>
      </c>
      <c r="AL808" s="148">
        <f t="shared" si="1056"/>
        <v>3696.4516129032259</v>
      </c>
      <c r="AM808" s="208">
        <f t="shared" ref="AM808:AM815" si="1077">1-(AK808/Z808)</f>
        <v>0.23655913978494625</v>
      </c>
      <c r="AN808" s="208">
        <f t="shared" ref="AN808:AN815" si="1078">1-(AL808/AB808)</f>
        <v>0.21505376344086025</v>
      </c>
      <c r="AP808" s="17" t="s">
        <v>1220</v>
      </c>
      <c r="AQ808" s="204"/>
      <c r="AR808" s="204"/>
      <c r="AS808" s="328">
        <v>1949</v>
      </c>
      <c r="AT808" s="162"/>
      <c r="AU808" s="162"/>
      <c r="AV808" s="173"/>
      <c r="AW808" s="154">
        <f t="shared" si="1065"/>
        <v>3087.7</v>
      </c>
      <c r="AX808" s="126">
        <f t="shared" si="1064"/>
        <v>3437.7</v>
      </c>
      <c r="AY808" s="163"/>
      <c r="AZ808" s="19"/>
      <c r="BB808" s="168">
        <f t="shared" si="1041"/>
        <v>15697.260273972604</v>
      </c>
      <c r="BC808" s="168">
        <f t="shared" si="1042"/>
        <v>9418.3561643835619</v>
      </c>
      <c r="BD808" s="168">
        <f t="shared" si="1043"/>
        <v>7848.6301369863022</v>
      </c>
      <c r="BE808" s="168">
        <f t="shared" si="1044"/>
        <v>6278.9041095890425</v>
      </c>
    </row>
    <row r="809" spans="1:57" s="129" customFormat="1" hidden="1">
      <c r="A809" s="88" t="s">
        <v>1276</v>
      </c>
      <c r="B809" s="88" t="s">
        <v>1317</v>
      </c>
      <c r="C809" s="88" t="s">
        <v>1317</v>
      </c>
      <c r="D809" s="88" t="s">
        <v>1303</v>
      </c>
      <c r="E809" s="91" t="s">
        <v>1250</v>
      </c>
      <c r="F809" s="90" t="s">
        <v>1251</v>
      </c>
      <c r="G809" s="92"/>
      <c r="H809" s="92"/>
      <c r="I809" s="205" t="s">
        <v>1467</v>
      </c>
      <c r="J809" s="205" t="str">
        <f>_xlfn.XLOOKUP(I809,[1]Sheet1!$A:$A,[1]Sheet1!$B:$B,"")</f>
        <v/>
      </c>
      <c r="K809" s="91" t="s">
        <v>1255</v>
      </c>
      <c r="L809" s="91" t="s">
        <v>2592</v>
      </c>
      <c r="M809" s="92" t="s">
        <v>1584</v>
      </c>
      <c r="N809" s="91" t="s">
        <v>1223</v>
      </c>
      <c r="O809" s="131">
        <v>194</v>
      </c>
      <c r="P809" s="91"/>
      <c r="Q809" s="131"/>
      <c r="R809" s="131">
        <v>1</v>
      </c>
      <c r="S809" s="92"/>
      <c r="T809" s="131" t="s">
        <v>3869</v>
      </c>
      <c r="U809" s="155">
        <v>0</v>
      </c>
      <c r="V809" s="131">
        <v>45</v>
      </c>
      <c r="W809" s="131">
        <v>45</v>
      </c>
      <c r="X809" s="207">
        <v>14</v>
      </c>
      <c r="Y809" s="207" t="s">
        <v>1224</v>
      </c>
      <c r="Z809" s="133">
        <f t="shared" si="1059"/>
        <v>7408.0232876712334</v>
      </c>
      <c r="AA809" s="133"/>
      <c r="AB809" s="161">
        <f t="shared" si="1036"/>
        <v>6629.4666666666672</v>
      </c>
      <c r="AC809" s="161"/>
      <c r="AD809" s="213">
        <f t="shared" si="1037"/>
        <v>7.0000000000000007E-2</v>
      </c>
      <c r="AE809" s="213">
        <v>7.0000000000000007E-2</v>
      </c>
      <c r="AF809" s="219">
        <v>0.25</v>
      </c>
      <c r="AG809" s="220" t="s">
        <v>1300</v>
      </c>
      <c r="AH809" s="123">
        <f t="shared" si="1060"/>
        <v>6430.5826666666671</v>
      </c>
      <c r="AI809" s="206">
        <f t="shared" si="1038"/>
        <v>0.22680412371134018</v>
      </c>
      <c r="AJ809" s="444"/>
      <c r="AK809" s="150">
        <f t="shared" si="1061"/>
        <v>5814.9000000000005</v>
      </c>
      <c r="AL809" s="148">
        <f t="shared" si="1056"/>
        <v>5346.344086021506</v>
      </c>
      <c r="AM809" s="208">
        <f t="shared" si="1077"/>
        <v>0.21505376344086025</v>
      </c>
      <c r="AN809" s="208">
        <f t="shared" si="1078"/>
        <v>0.19354838709677413</v>
      </c>
      <c r="AP809" s="17" t="s">
        <v>1220</v>
      </c>
      <c r="AQ809" s="204"/>
      <c r="AR809" s="204"/>
      <c r="AS809" s="328">
        <v>2750</v>
      </c>
      <c r="AT809" s="162"/>
      <c r="AU809" s="162"/>
      <c r="AV809" s="173"/>
      <c r="AW809" s="154">
        <f t="shared" si="1065"/>
        <v>4622.1000000000004</v>
      </c>
      <c r="AX809" s="126">
        <f t="shared" si="1064"/>
        <v>4972.1000000000004</v>
      </c>
      <c r="AY809" s="163"/>
      <c r="AZ809" s="19"/>
      <c r="BB809" s="168">
        <f t="shared" si="1041"/>
        <v>22098.222222222226</v>
      </c>
      <c r="BC809" s="168">
        <f t="shared" si="1042"/>
        <v>13258.933333333336</v>
      </c>
      <c r="BD809" s="168">
        <f t="shared" si="1043"/>
        <v>11049.111111111113</v>
      </c>
      <c r="BE809" s="168">
        <f t="shared" si="1044"/>
        <v>8839.2888888888901</v>
      </c>
    </row>
    <row r="810" spans="1:57" s="129" customFormat="1" hidden="1">
      <c r="A810" s="88" t="s">
        <v>1276</v>
      </c>
      <c r="B810" s="88" t="s">
        <v>1317</v>
      </c>
      <c r="C810" s="88" t="s">
        <v>1317</v>
      </c>
      <c r="D810" s="88" t="s">
        <v>1303</v>
      </c>
      <c r="E810" s="91" t="s">
        <v>1250</v>
      </c>
      <c r="F810" s="90" t="s">
        <v>1251</v>
      </c>
      <c r="G810" s="92"/>
      <c r="H810" s="92"/>
      <c r="I810" s="205" t="s">
        <v>1468</v>
      </c>
      <c r="J810" s="205" t="str">
        <f>_xlfn.XLOOKUP(I810,[1]Sheet1!$A:$A,[1]Sheet1!$B:$B,"")</f>
        <v/>
      </c>
      <c r="K810" s="91" t="s">
        <v>1256</v>
      </c>
      <c r="L810" s="91" t="s">
        <v>2593</v>
      </c>
      <c r="M810" s="92" t="s">
        <v>1584</v>
      </c>
      <c r="N810" s="91" t="s">
        <v>1223</v>
      </c>
      <c r="O810" s="131">
        <v>348</v>
      </c>
      <c r="P810" s="91"/>
      <c r="Q810" s="131"/>
      <c r="R810" s="131">
        <v>1</v>
      </c>
      <c r="S810" s="92"/>
      <c r="T810" s="131" t="s">
        <v>3869</v>
      </c>
      <c r="U810" s="155">
        <v>0</v>
      </c>
      <c r="V810" s="131">
        <v>45</v>
      </c>
      <c r="W810" s="131">
        <v>45</v>
      </c>
      <c r="X810" s="207">
        <v>14</v>
      </c>
      <c r="Y810" s="207" t="s">
        <v>1224</v>
      </c>
      <c r="Z810" s="133">
        <f t="shared" si="1059"/>
        <v>12110.621917808219</v>
      </c>
      <c r="AA810" s="133"/>
      <c r="AB810" s="161">
        <f t="shared" si="1036"/>
        <v>10541.6</v>
      </c>
      <c r="AC810" s="161"/>
      <c r="AD810" s="213">
        <f t="shared" si="1037"/>
        <v>7.0000000000000007E-2</v>
      </c>
      <c r="AE810" s="213">
        <v>7.0000000000000007E-2</v>
      </c>
      <c r="AF810" s="219">
        <v>0.25</v>
      </c>
      <c r="AG810" s="220" t="s">
        <v>1300</v>
      </c>
      <c r="AH810" s="123">
        <f t="shared" si="1060"/>
        <v>10225.352000000001</v>
      </c>
      <c r="AI810" s="206">
        <f t="shared" si="1038"/>
        <v>0.22680412371134018</v>
      </c>
      <c r="AJ810" s="444"/>
      <c r="AK810" s="150">
        <f t="shared" si="1061"/>
        <v>9506.1870967741943</v>
      </c>
      <c r="AL810" s="148">
        <f t="shared" si="1056"/>
        <v>8501.2903225806458</v>
      </c>
      <c r="AM810" s="208">
        <f t="shared" si="1077"/>
        <v>0.21505376344086014</v>
      </c>
      <c r="AN810" s="208">
        <f t="shared" si="1078"/>
        <v>0.19354838709677413</v>
      </c>
      <c r="AP810" s="17" t="s">
        <v>1220</v>
      </c>
      <c r="AQ810" s="204"/>
      <c r="AR810" s="204"/>
      <c r="AS810" s="328">
        <v>4198</v>
      </c>
      <c r="AT810" s="162"/>
      <c r="AU810" s="162"/>
      <c r="AV810" s="173"/>
      <c r="AW810" s="154">
        <f t="shared" si="1065"/>
        <v>7556.2000000000007</v>
      </c>
      <c r="AX810" s="126">
        <f t="shared" si="1064"/>
        <v>7906.2000000000007</v>
      </c>
      <c r="AY810" s="163"/>
      <c r="AZ810" s="19"/>
      <c r="BB810" s="168">
        <f t="shared" si="1041"/>
        <v>35138.666666666672</v>
      </c>
      <c r="BC810" s="168">
        <f t="shared" si="1042"/>
        <v>21083.200000000001</v>
      </c>
      <c r="BD810" s="168">
        <f t="shared" si="1043"/>
        <v>17569.333333333336</v>
      </c>
      <c r="BE810" s="168">
        <f t="shared" si="1044"/>
        <v>14055.466666666669</v>
      </c>
    </row>
    <row r="811" spans="1:57" s="129" customFormat="1" hidden="1">
      <c r="A811" s="88" t="s">
        <v>1276</v>
      </c>
      <c r="B811" s="88" t="s">
        <v>1317</v>
      </c>
      <c r="C811" s="88" t="s">
        <v>1317</v>
      </c>
      <c r="D811" s="88" t="s">
        <v>1303</v>
      </c>
      <c r="E811" s="91" t="s">
        <v>1250</v>
      </c>
      <c r="F811" s="90" t="s">
        <v>1251</v>
      </c>
      <c r="G811" s="92"/>
      <c r="H811" s="92"/>
      <c r="I811" s="205" t="s">
        <v>1469</v>
      </c>
      <c r="J811" s="205" t="str">
        <f>_xlfn.XLOOKUP(I811,[1]Sheet1!$A:$A,[1]Sheet1!$B:$B,"")</f>
        <v/>
      </c>
      <c r="K811" s="91" t="s">
        <v>1254</v>
      </c>
      <c r="L811" s="91" t="s">
        <v>2594</v>
      </c>
      <c r="M811" s="92" t="s">
        <v>1584</v>
      </c>
      <c r="N811" s="91" t="s">
        <v>1223</v>
      </c>
      <c r="O811" s="131">
        <v>268</v>
      </c>
      <c r="P811" s="91"/>
      <c r="Q811" s="131"/>
      <c r="R811" s="131">
        <v>1</v>
      </c>
      <c r="S811" s="92"/>
      <c r="T811" s="131" t="s">
        <v>3869</v>
      </c>
      <c r="U811" s="155">
        <v>0</v>
      </c>
      <c r="V811" s="131">
        <v>45</v>
      </c>
      <c r="W811" s="131">
        <v>45</v>
      </c>
      <c r="X811" s="207">
        <v>14</v>
      </c>
      <c r="Y811" s="207" t="s">
        <v>1224</v>
      </c>
      <c r="Z811" s="133">
        <f t="shared" si="1059"/>
        <v>9099.0739726027405</v>
      </c>
      <c r="AA811" s="133"/>
      <c r="AB811" s="161">
        <f t="shared" si="1036"/>
        <v>8036.2666666666673</v>
      </c>
      <c r="AC811" s="161"/>
      <c r="AD811" s="213">
        <f t="shared" si="1037"/>
        <v>7.0000000000000007E-2</v>
      </c>
      <c r="AE811" s="213">
        <v>7.0000000000000007E-2</v>
      </c>
      <c r="AF811" s="219">
        <v>0.25</v>
      </c>
      <c r="AG811" s="220" t="s">
        <v>1300</v>
      </c>
      <c r="AH811" s="123">
        <f t="shared" si="1060"/>
        <v>7795.1786666666667</v>
      </c>
      <c r="AI811" s="206">
        <f t="shared" si="1038"/>
        <v>0.22680412371134007</v>
      </c>
      <c r="AJ811" s="444"/>
      <c r="AK811" s="150">
        <f t="shared" si="1061"/>
        <v>7142.2838709677435</v>
      </c>
      <c r="AL811" s="148">
        <f t="shared" si="1056"/>
        <v>6480.8602150537645</v>
      </c>
      <c r="AM811" s="208">
        <f t="shared" si="1077"/>
        <v>0.21505376344086014</v>
      </c>
      <c r="AN811" s="208">
        <f t="shared" si="1078"/>
        <v>0.19354838709677413</v>
      </c>
      <c r="AP811" s="17" t="s">
        <v>1220</v>
      </c>
      <c r="AQ811" s="204"/>
      <c r="AR811" s="204"/>
      <c r="AS811" s="328">
        <v>3091</v>
      </c>
      <c r="AT811" s="162"/>
      <c r="AU811" s="162"/>
      <c r="AV811" s="173"/>
      <c r="AW811" s="154">
        <f t="shared" si="1065"/>
        <v>5677.2000000000007</v>
      </c>
      <c r="AX811" s="126">
        <f t="shared" si="1064"/>
        <v>6027.2000000000007</v>
      </c>
      <c r="AY811" s="163"/>
      <c r="AZ811" s="19"/>
      <c r="BB811" s="168">
        <f t="shared" si="1041"/>
        <v>26787.555555555558</v>
      </c>
      <c r="BC811" s="168">
        <f t="shared" si="1042"/>
        <v>16072.533333333335</v>
      </c>
      <c r="BD811" s="168">
        <f t="shared" si="1043"/>
        <v>13393.777777777779</v>
      </c>
      <c r="BE811" s="168">
        <f t="shared" si="1044"/>
        <v>10715.022222222224</v>
      </c>
    </row>
    <row r="812" spans="1:57" s="129" customFormat="1" hidden="1">
      <c r="A812" s="88" t="s">
        <v>1276</v>
      </c>
      <c r="B812" s="88" t="s">
        <v>1317</v>
      </c>
      <c r="C812" s="88" t="s">
        <v>1317</v>
      </c>
      <c r="D812" s="88" t="s">
        <v>1303</v>
      </c>
      <c r="E812" s="91" t="s">
        <v>1250</v>
      </c>
      <c r="F812" s="90" t="s">
        <v>1251</v>
      </c>
      <c r="G812" s="92"/>
      <c r="H812" s="92"/>
      <c r="I812" s="205" t="s">
        <v>1470</v>
      </c>
      <c r="J812" s="205" t="str">
        <f>_xlfn.XLOOKUP(I812,[1]Sheet1!$A:$A,[1]Sheet1!$B:$B,"")</f>
        <v/>
      </c>
      <c r="K812" s="91" t="s">
        <v>1293</v>
      </c>
      <c r="L812" s="91" t="s">
        <v>3466</v>
      </c>
      <c r="M812" s="92" t="s">
        <v>1584</v>
      </c>
      <c r="N812" s="91" t="s">
        <v>1223</v>
      </c>
      <c r="O812" s="131">
        <v>86.9</v>
      </c>
      <c r="P812" s="91"/>
      <c r="Q812" s="131"/>
      <c r="R812" s="131">
        <v>1</v>
      </c>
      <c r="S812" s="92"/>
      <c r="T812" s="131" t="s">
        <v>3869</v>
      </c>
      <c r="U812" s="155">
        <v>0</v>
      </c>
      <c r="V812" s="131">
        <v>45</v>
      </c>
      <c r="W812" s="131">
        <v>45</v>
      </c>
      <c r="X812" s="207">
        <v>14</v>
      </c>
      <c r="Y812" s="207" t="s">
        <v>1224</v>
      </c>
      <c r="Z812" s="133">
        <f>(AW812/(1-(AF812+2%)))*$F$6</f>
        <v>2944.3691095890413</v>
      </c>
      <c r="AA812" s="133"/>
      <c r="AB812" s="161">
        <f t="shared" si="1036"/>
        <v>2916.1133333333332</v>
      </c>
      <c r="AC812" s="161"/>
      <c r="AD812" s="213">
        <f t="shared" si="1037"/>
        <v>7.0000000000000007E-2</v>
      </c>
      <c r="AE812" s="213">
        <v>7.0000000000000007E-2</v>
      </c>
      <c r="AF812" s="219">
        <v>0.25</v>
      </c>
      <c r="AG812" s="220" t="s">
        <v>1300</v>
      </c>
      <c r="AH812" s="123">
        <f t="shared" si="1060"/>
        <v>2828.6299333333332</v>
      </c>
      <c r="AI812" s="206">
        <f t="shared" si="1038"/>
        <v>0.22680412371134018</v>
      </c>
      <c r="AJ812" s="444"/>
      <c r="AK812" s="150">
        <f t="shared" si="1061"/>
        <v>2311.1714516129032</v>
      </c>
      <c r="AL812" s="148">
        <f t="shared" si="1056"/>
        <v>2351.7043010752691</v>
      </c>
      <c r="AM812" s="208">
        <f t="shared" si="1077"/>
        <v>0.21505376344086025</v>
      </c>
      <c r="AN812" s="208">
        <f t="shared" si="1078"/>
        <v>0.19354838709677402</v>
      </c>
      <c r="AP812" s="17" t="s">
        <v>1220</v>
      </c>
      <c r="AQ812" s="204"/>
      <c r="AR812" s="204"/>
      <c r="AS812" s="328">
        <v>998.5</v>
      </c>
      <c r="AT812" s="162"/>
      <c r="AU812" s="162"/>
      <c r="AV812" s="173"/>
      <c r="AW812" s="154">
        <f t="shared" si="1065"/>
        <v>1837.085</v>
      </c>
      <c r="AX812" s="126">
        <f t="shared" si="1064"/>
        <v>2187.085</v>
      </c>
      <c r="AY812" s="163"/>
      <c r="AZ812" s="19"/>
      <c r="BB812" s="168">
        <f t="shared" si="1041"/>
        <v>9720.3777777777777</v>
      </c>
      <c r="BC812" s="168">
        <f t="shared" si="1042"/>
        <v>5832.2266666666665</v>
      </c>
      <c r="BD812" s="168">
        <f t="shared" si="1043"/>
        <v>4860.1888888888889</v>
      </c>
      <c r="BE812" s="168">
        <f t="shared" si="1044"/>
        <v>3888.1511111111113</v>
      </c>
    </row>
    <row r="813" spans="1:57" s="129" customFormat="1" hidden="1">
      <c r="A813" s="88" t="s">
        <v>1276</v>
      </c>
      <c r="B813" s="88" t="s">
        <v>1317</v>
      </c>
      <c r="C813" s="88" t="s">
        <v>1317</v>
      </c>
      <c r="D813" s="88" t="s">
        <v>1102</v>
      </c>
      <c r="E813" s="91" t="s">
        <v>1261</v>
      </c>
      <c r="F813" s="90" t="s">
        <v>1262</v>
      </c>
      <c r="G813" s="92"/>
      <c r="H813" s="92"/>
      <c r="I813" s="205" t="s">
        <v>3895</v>
      </c>
      <c r="J813" s="132" t="str">
        <f>_xlfn.XLOOKUP(I813,[1]Sheet1!$A:$A,[1]Sheet1!$B:$B,"")</f>
        <v>Z0501002</v>
      </c>
      <c r="K813" s="91" t="s">
        <v>1264</v>
      </c>
      <c r="L813" s="89"/>
      <c r="M813" s="92"/>
      <c r="N813" s="91" t="s">
        <v>1223</v>
      </c>
      <c r="O813" s="131"/>
      <c r="P813" s="90"/>
      <c r="Q813" s="131"/>
      <c r="R813" s="131">
        <v>25</v>
      </c>
      <c r="S813" s="92"/>
      <c r="T813" s="131"/>
      <c r="U813" s="155">
        <v>0</v>
      </c>
      <c r="V813" s="131">
        <v>30</v>
      </c>
      <c r="W813" s="131">
        <v>30</v>
      </c>
      <c r="X813" s="131"/>
      <c r="Y813" s="131" t="s">
        <v>1224</v>
      </c>
      <c r="Z813" s="133">
        <f t="shared" ref="Z813:Z814" si="1079">AK813/(1-(AF813+2%))</f>
        <v>53.026315789473678</v>
      </c>
      <c r="AA813" s="133"/>
      <c r="AB813" s="161">
        <f t="shared" si="1036"/>
        <v>57.692307692307693</v>
      </c>
      <c r="AC813" s="161"/>
      <c r="AD813" s="213">
        <f t="shared" si="1037"/>
        <v>0.1</v>
      </c>
      <c r="AE813" s="213">
        <v>0.1</v>
      </c>
      <c r="AF813" s="219">
        <v>0.22</v>
      </c>
      <c r="AG813" s="218" t="s">
        <v>1162</v>
      </c>
      <c r="AH813" s="123">
        <f t="shared" ref="AH813:AH814" si="1080">AB813*(1-$AH$3)</f>
        <v>51.923076923076927</v>
      </c>
      <c r="AI813" s="206">
        <f t="shared" si="1038"/>
        <v>0.13333333333333341</v>
      </c>
      <c r="AJ813" s="444"/>
      <c r="AK813" s="150">
        <f t="shared" ref="AK813:AK814" si="1081">AW813/(1-AD813)*$F$6</f>
        <v>40.299999999999997</v>
      </c>
      <c r="AL813" s="202">
        <f t="shared" si="1040"/>
        <v>50</v>
      </c>
      <c r="AM813" s="208">
        <f t="shared" si="1077"/>
        <v>0.24</v>
      </c>
      <c r="AN813" s="208">
        <f t="shared" si="1078"/>
        <v>0.1333333333333333</v>
      </c>
      <c r="AP813" s="170" t="s">
        <v>1267</v>
      </c>
      <c r="AQ813" s="204"/>
      <c r="AR813" s="204"/>
      <c r="AS813" s="197"/>
      <c r="AT813" s="162"/>
      <c r="AU813" s="162"/>
      <c r="AV813" s="173"/>
      <c r="AW813" s="203">
        <v>31</v>
      </c>
      <c r="AX813" s="126">
        <f t="shared" ref="AX813:AX814" si="1082">AW813+($F$11/R813)+AW813*U813</f>
        <v>45</v>
      </c>
      <c r="AY813" s="132" t="s">
        <v>1263</v>
      </c>
      <c r="AZ813" s="19"/>
      <c r="BB813" s="168">
        <f t="shared" si="1041"/>
        <v>192.30769230769232</v>
      </c>
      <c r="BC813" s="168">
        <f t="shared" si="1042"/>
        <v>115.38461538461539</v>
      </c>
      <c r="BD813" s="168">
        <f t="shared" si="1043"/>
        <v>96.15384615384616</v>
      </c>
      <c r="BE813" s="168">
        <f t="shared" si="1044"/>
        <v>76.923076923076934</v>
      </c>
    </row>
    <row r="814" spans="1:57" s="129" customFormat="1" hidden="1">
      <c r="A814" s="88" t="s">
        <v>1276</v>
      </c>
      <c r="B814" s="88" t="s">
        <v>1317</v>
      </c>
      <c r="C814" s="88" t="s">
        <v>1317</v>
      </c>
      <c r="D814" s="88" t="s">
        <v>1102</v>
      </c>
      <c r="E814" s="91" t="s">
        <v>1261</v>
      </c>
      <c r="F814" s="90" t="s">
        <v>1262</v>
      </c>
      <c r="G814" s="92"/>
      <c r="H814" s="92"/>
      <c r="I814" s="205" t="s">
        <v>3896</v>
      </c>
      <c r="J814" s="132" t="str">
        <f>_xlfn.XLOOKUP(I814,[1]Sheet1!$A:$A,[1]Sheet1!$B:$B,"")</f>
        <v>Z0501001</v>
      </c>
      <c r="K814" s="91" t="s">
        <v>1266</v>
      </c>
      <c r="L814" s="89"/>
      <c r="M814" s="92"/>
      <c r="N814" s="91" t="s">
        <v>1223</v>
      </c>
      <c r="O814" s="131"/>
      <c r="P814" s="90"/>
      <c r="Q814" s="131"/>
      <c r="R814" s="131">
        <v>25</v>
      </c>
      <c r="S814" s="92"/>
      <c r="T814" s="131"/>
      <c r="U814" s="155">
        <v>0</v>
      </c>
      <c r="V814" s="131">
        <v>30</v>
      </c>
      <c r="W814" s="131">
        <v>30</v>
      </c>
      <c r="X814" s="131"/>
      <c r="Y814" s="131" t="s">
        <v>1224</v>
      </c>
      <c r="Z814" s="133">
        <f t="shared" si="1079"/>
        <v>1.9117647058823533</v>
      </c>
      <c r="AA814" s="133"/>
      <c r="AB814" s="161">
        <f t="shared" si="1036"/>
        <v>21.428571428571431</v>
      </c>
      <c r="AC814" s="161"/>
      <c r="AD814" s="213">
        <f t="shared" si="1037"/>
        <v>0.1</v>
      </c>
      <c r="AE814" s="213">
        <v>0.1</v>
      </c>
      <c r="AF814" s="219">
        <v>0.3</v>
      </c>
      <c r="AG814" s="218" t="s">
        <v>1162</v>
      </c>
      <c r="AH814" s="123">
        <f t="shared" si="1080"/>
        <v>19.285714285714288</v>
      </c>
      <c r="AI814" s="206">
        <f t="shared" si="1038"/>
        <v>0.22222222222222232</v>
      </c>
      <c r="AJ814" s="444"/>
      <c r="AK814" s="150">
        <f t="shared" si="1081"/>
        <v>1.3</v>
      </c>
      <c r="AL814" s="202">
        <f t="shared" si="1040"/>
        <v>16.666666666666668</v>
      </c>
      <c r="AM814" s="208">
        <f t="shared" si="1077"/>
        <v>0.32000000000000006</v>
      </c>
      <c r="AN814" s="208">
        <f t="shared" si="1078"/>
        <v>0.22222222222222221</v>
      </c>
      <c r="AP814" s="170" t="s">
        <v>1267</v>
      </c>
      <c r="AQ814" s="204"/>
      <c r="AR814" s="204"/>
      <c r="AS814" s="197"/>
      <c r="AT814" s="162"/>
      <c r="AU814" s="162"/>
      <c r="AV814" s="173"/>
      <c r="AW814" s="203">
        <v>1</v>
      </c>
      <c r="AX814" s="126">
        <f t="shared" si="1082"/>
        <v>15</v>
      </c>
      <c r="AY814" s="132" t="s">
        <v>1265</v>
      </c>
      <c r="AZ814" s="19"/>
      <c r="BB814" s="168">
        <f t="shared" si="1041"/>
        <v>71.428571428571445</v>
      </c>
      <c r="BC814" s="168">
        <f t="shared" si="1042"/>
        <v>42.857142857142868</v>
      </c>
      <c r="BD814" s="168">
        <f t="shared" si="1043"/>
        <v>35.714285714285722</v>
      </c>
      <c r="BE814" s="168">
        <f t="shared" si="1044"/>
        <v>28.57142857142858</v>
      </c>
    </row>
    <row r="815" spans="1:57" s="129" customFormat="1" hidden="1">
      <c r="A815" s="88" t="s">
        <v>1276</v>
      </c>
      <c r="B815" s="88" t="s">
        <v>1318</v>
      </c>
      <c r="C815" s="88" t="s">
        <v>1318</v>
      </c>
      <c r="D815" s="88" t="s">
        <v>1102</v>
      </c>
      <c r="E815" s="91" t="s">
        <v>1247</v>
      </c>
      <c r="F815" s="90" t="s">
        <v>1845</v>
      </c>
      <c r="G815" s="92"/>
      <c r="H815" s="92"/>
      <c r="I815" s="205" t="s">
        <v>2255</v>
      </c>
      <c r="J815" s="205" t="str">
        <f>_xlfn.XLOOKUP(I815,[1]Sheet1!$A:$A,[1]Sheet1!$B:$B,"")</f>
        <v/>
      </c>
      <c r="K815" s="91" t="s">
        <v>2650</v>
      </c>
      <c r="L815" s="89" t="s">
        <v>2664</v>
      </c>
      <c r="M815" s="92"/>
      <c r="N815" s="91" t="s">
        <v>1295</v>
      </c>
      <c r="O815" s="131"/>
      <c r="P815" s="90" t="s">
        <v>1243</v>
      </c>
      <c r="Q815" s="579" t="s">
        <v>2252</v>
      </c>
      <c r="R815" s="579" t="s">
        <v>1245</v>
      </c>
      <c r="S815" s="92"/>
      <c r="T815" s="131">
        <v>9403208000</v>
      </c>
      <c r="U815" s="155">
        <v>0</v>
      </c>
      <c r="V815" s="131">
        <v>45</v>
      </c>
      <c r="W815" s="131">
        <v>45</v>
      </c>
      <c r="X815" s="207"/>
      <c r="Y815" s="207" t="s">
        <v>1224</v>
      </c>
      <c r="Z815" s="133">
        <f t="shared" ref="Z815:Z828" si="1083">AW815/(1-(AF815+2%))</f>
        <v>60.173913043478258</v>
      </c>
      <c r="AA815" s="133"/>
      <c r="AB815" s="161">
        <f t="shared" ref="AB815" si="1084">AX815/(1-AF815)</f>
        <v>61.719032141567361</v>
      </c>
      <c r="AC815" s="161"/>
      <c r="AD815" s="214">
        <f t="shared" ref="AD815" si="1085">AE815</f>
        <v>0.1</v>
      </c>
      <c r="AE815" s="214">
        <v>0.1</v>
      </c>
      <c r="AF815" s="217">
        <v>0.29000000000000004</v>
      </c>
      <c r="AG815" s="218" t="s">
        <v>9</v>
      </c>
      <c r="AH815" s="148">
        <f t="shared" ref="AH815:AH894" si="1086">AB815</f>
        <v>61.719032141567361</v>
      </c>
      <c r="AI815" s="206">
        <f t="shared" ref="AI815" si="1087">1-(AX815/AH815)</f>
        <v>0.29000000000000004</v>
      </c>
      <c r="AJ815" s="444"/>
      <c r="AK815" s="201">
        <f>AW815/(1-AD815)</f>
        <v>46.133333333333326</v>
      </c>
      <c r="AL815" s="202">
        <f t="shared" ref="AL815" si="1088">AX815/(1-AE815)</f>
        <v>48.689458689458689</v>
      </c>
      <c r="AM815" s="208">
        <f t="shared" si="1077"/>
        <v>0.23333333333333339</v>
      </c>
      <c r="AN815" s="208">
        <f t="shared" si="1078"/>
        <v>0.21111111111111125</v>
      </c>
      <c r="AP815" s="19" t="s">
        <v>1248</v>
      </c>
      <c r="AQ815" s="209"/>
      <c r="AR815" s="209"/>
      <c r="AS815" s="128"/>
      <c r="AT815" s="162"/>
      <c r="AU815" s="162"/>
      <c r="AV815" s="173"/>
      <c r="AW815" s="203">
        <v>41.519999999999996</v>
      </c>
      <c r="AX815" s="126">
        <f>(AW815/$F$6)+($F$8/300)+AW815*U815</f>
        <v>43.820512820512825</v>
      </c>
      <c r="AY815" s="210"/>
      <c r="AZ815" s="19"/>
      <c r="BB815" s="168">
        <f t="shared" si="1041"/>
        <v>205.73010713855788</v>
      </c>
      <c r="BC815" s="168">
        <f t="shared" si="1042"/>
        <v>123.43806428313472</v>
      </c>
      <c r="BD815" s="168">
        <f t="shared" si="1043"/>
        <v>102.86505356927894</v>
      </c>
      <c r="BE815" s="168">
        <f t="shared" si="1044"/>
        <v>82.292042855423162</v>
      </c>
    </row>
    <row r="816" spans="1:57" s="129" customFormat="1" hidden="1">
      <c r="A816" s="88" t="s">
        <v>1276</v>
      </c>
      <c r="B816" s="88" t="s">
        <v>1318</v>
      </c>
      <c r="C816" s="88" t="s">
        <v>1318</v>
      </c>
      <c r="D816" s="88" t="s">
        <v>1102</v>
      </c>
      <c r="E816" s="91" t="s">
        <v>1247</v>
      </c>
      <c r="F816" s="90" t="s">
        <v>1845</v>
      </c>
      <c r="G816" s="92"/>
      <c r="H816" s="92"/>
      <c r="I816" s="205" t="s">
        <v>2256</v>
      </c>
      <c r="J816" s="205" t="str">
        <f>_xlfn.XLOOKUP(I816,[1]Sheet1!$A:$A,[1]Sheet1!$B:$B,"")</f>
        <v/>
      </c>
      <c r="K816" s="91" t="s">
        <v>2651</v>
      </c>
      <c r="L816" s="89" t="s">
        <v>2665</v>
      </c>
      <c r="M816" s="92"/>
      <c r="N816" s="91" t="s">
        <v>1295</v>
      </c>
      <c r="O816" s="131"/>
      <c r="P816" s="90" t="s">
        <v>1243</v>
      </c>
      <c r="Q816" s="579"/>
      <c r="R816" s="579"/>
      <c r="S816" s="92"/>
      <c r="T816" s="131">
        <v>9403208000</v>
      </c>
      <c r="U816" s="155">
        <v>0</v>
      </c>
      <c r="V816" s="131">
        <v>45</v>
      </c>
      <c r="W816" s="131">
        <v>45</v>
      </c>
      <c r="X816" s="207"/>
      <c r="Y816" s="207" t="s">
        <v>1224</v>
      </c>
      <c r="Z816" s="133">
        <f t="shared" si="1083"/>
        <v>69.130434782608688</v>
      </c>
      <c r="AA816" s="133"/>
      <c r="AB816" s="161">
        <f t="shared" ref="AB816:AB828" si="1089">AX816/(1-AF816)</f>
        <v>69.158540989526912</v>
      </c>
      <c r="AC816" s="161"/>
      <c r="AD816" s="214">
        <f t="shared" ref="AD816:AD895" si="1090">AE816</f>
        <v>0.1</v>
      </c>
      <c r="AE816" s="214">
        <v>0.1</v>
      </c>
      <c r="AF816" s="217">
        <v>0.29000000000000004</v>
      </c>
      <c r="AG816" s="218" t="s">
        <v>9</v>
      </c>
      <c r="AH816" s="148">
        <f t="shared" si="1086"/>
        <v>69.158540989526912</v>
      </c>
      <c r="AI816" s="206">
        <f t="shared" ref="AI816:AI828" si="1091">1-(AX816/AH816)</f>
        <v>0.29000000000000004</v>
      </c>
      <c r="AJ816" s="444"/>
      <c r="AK816" s="201">
        <f t="shared" ref="AK816:AK828" si="1092">AW816/(1-AD816)</f>
        <v>52.999999999999993</v>
      </c>
      <c r="AL816" s="202">
        <f t="shared" ref="AL816:AL828" si="1093">AX816/(1-AE816)</f>
        <v>54.558404558404554</v>
      </c>
      <c r="AM816" s="208">
        <f t="shared" ref="AM816:AM828" si="1094">1-(AK816/Z816)</f>
        <v>0.23333333333333339</v>
      </c>
      <c r="AN816" s="208">
        <f t="shared" ref="AN816:AN828" si="1095">1-(AL816/AB816)</f>
        <v>0.21111111111111125</v>
      </c>
      <c r="AP816" s="19" t="s">
        <v>1248</v>
      </c>
      <c r="AQ816" s="209"/>
      <c r="AR816" s="209"/>
      <c r="AS816" s="128"/>
      <c r="AT816" s="162"/>
      <c r="AU816" s="162"/>
      <c r="AV816" s="173"/>
      <c r="AW816" s="203">
        <v>47.699999999999996</v>
      </c>
      <c r="AX816" s="126">
        <f t="shared" ref="AX816:AX828" si="1096">(AW816/$F$6)+($F$8/300)+AW816*U816</f>
        <v>49.102564102564102</v>
      </c>
      <c r="AY816" s="210"/>
      <c r="AZ816" s="19"/>
      <c r="BB816" s="168">
        <f t="shared" si="1041"/>
        <v>230.52846996508973</v>
      </c>
      <c r="BC816" s="168">
        <f t="shared" si="1042"/>
        <v>138.31708197905382</v>
      </c>
      <c r="BD816" s="168">
        <f t="shared" si="1043"/>
        <v>115.26423498254486</v>
      </c>
      <c r="BE816" s="168">
        <f t="shared" si="1044"/>
        <v>92.211387986035902</v>
      </c>
    </row>
    <row r="817" spans="1:57" s="129" customFormat="1" hidden="1">
      <c r="A817" s="88" t="s">
        <v>1276</v>
      </c>
      <c r="B817" s="88" t="s">
        <v>1318</v>
      </c>
      <c r="C817" s="88" t="s">
        <v>1318</v>
      </c>
      <c r="D817" s="88" t="s">
        <v>1102</v>
      </c>
      <c r="E817" s="91" t="s">
        <v>1247</v>
      </c>
      <c r="F817" s="90" t="s">
        <v>1845</v>
      </c>
      <c r="G817" s="92"/>
      <c r="H817" s="92"/>
      <c r="I817" s="205" t="s">
        <v>2257</v>
      </c>
      <c r="J817" s="205" t="str">
        <f>_xlfn.XLOOKUP(I817,[1]Sheet1!$A:$A,[1]Sheet1!$B:$B,"")</f>
        <v/>
      </c>
      <c r="K817" s="91" t="s">
        <v>2652</v>
      </c>
      <c r="L817" s="89" t="s">
        <v>2666</v>
      </c>
      <c r="M817" s="92"/>
      <c r="N817" s="91" t="s">
        <v>1295</v>
      </c>
      <c r="O817" s="131"/>
      <c r="P817" s="90" t="s">
        <v>1243</v>
      </c>
      <c r="Q817" s="579"/>
      <c r="R817" s="579"/>
      <c r="S817" s="92"/>
      <c r="T817" s="131">
        <v>9403208000</v>
      </c>
      <c r="U817" s="155">
        <v>0</v>
      </c>
      <c r="V817" s="131">
        <v>45</v>
      </c>
      <c r="W817" s="131">
        <v>45</v>
      </c>
      <c r="X817" s="207"/>
      <c r="Y817" s="207" t="s">
        <v>1224</v>
      </c>
      <c r="Z817" s="133">
        <f t="shared" si="1083"/>
        <v>78.057971014492765</v>
      </c>
      <c r="AA817" s="133"/>
      <c r="AB817" s="161">
        <f t="shared" si="1089"/>
        <v>76.573973757072352</v>
      </c>
      <c r="AC817" s="161"/>
      <c r="AD817" s="214">
        <f t="shared" si="1090"/>
        <v>0.1</v>
      </c>
      <c r="AE817" s="214">
        <v>0.1</v>
      </c>
      <c r="AF817" s="217">
        <v>0.29000000000000004</v>
      </c>
      <c r="AG817" s="218" t="s">
        <v>9</v>
      </c>
      <c r="AH817" s="148">
        <f t="shared" si="1086"/>
        <v>76.573973757072352</v>
      </c>
      <c r="AI817" s="206">
        <f t="shared" si="1091"/>
        <v>0.29000000000000004</v>
      </c>
      <c r="AJ817" s="444"/>
      <c r="AK817" s="201">
        <f t="shared" si="1092"/>
        <v>59.844444444444441</v>
      </c>
      <c r="AL817" s="202">
        <f t="shared" si="1093"/>
        <v>60.408357075023744</v>
      </c>
      <c r="AM817" s="208">
        <f t="shared" si="1094"/>
        <v>0.2333333333333335</v>
      </c>
      <c r="AN817" s="208">
        <f t="shared" si="1095"/>
        <v>0.21111111111111114</v>
      </c>
      <c r="AP817" s="19" t="s">
        <v>1248</v>
      </c>
      <c r="AQ817" s="209"/>
      <c r="AR817" s="209"/>
      <c r="AS817" s="128"/>
      <c r="AT817" s="162"/>
      <c r="AU817" s="162"/>
      <c r="AV817" s="173"/>
      <c r="AW817" s="203">
        <v>53.86</v>
      </c>
      <c r="AX817" s="126">
        <f t="shared" si="1096"/>
        <v>54.36752136752137</v>
      </c>
      <c r="AY817" s="210"/>
      <c r="AZ817" s="19"/>
      <c r="BB817" s="168">
        <f t="shared" si="1041"/>
        <v>255.24657919024119</v>
      </c>
      <c r="BC817" s="168">
        <f t="shared" si="1042"/>
        <v>153.1479475141447</v>
      </c>
      <c r="BD817" s="168">
        <f t="shared" si="1043"/>
        <v>127.6232895951206</v>
      </c>
      <c r="BE817" s="168">
        <f t="shared" si="1044"/>
        <v>102.09863167609649</v>
      </c>
    </row>
    <row r="818" spans="1:57" s="129" customFormat="1" hidden="1">
      <c r="A818" s="88" t="s">
        <v>1276</v>
      </c>
      <c r="B818" s="88" t="s">
        <v>1318</v>
      </c>
      <c r="C818" s="88" t="s">
        <v>1318</v>
      </c>
      <c r="D818" s="88" t="s">
        <v>1102</v>
      </c>
      <c r="E818" s="91" t="s">
        <v>1247</v>
      </c>
      <c r="F818" s="90" t="s">
        <v>1845</v>
      </c>
      <c r="G818" s="92"/>
      <c r="H818" s="92"/>
      <c r="I818" s="205" t="s">
        <v>2254</v>
      </c>
      <c r="J818" s="205" t="str">
        <f>_xlfn.XLOOKUP(I818,[1]Sheet1!$A:$A,[1]Sheet1!$B:$B,"")</f>
        <v/>
      </c>
      <c r="K818" s="91" t="s">
        <v>2653</v>
      </c>
      <c r="L818" s="89" t="s">
        <v>2667</v>
      </c>
      <c r="M818" s="92"/>
      <c r="N818" s="91" t="s">
        <v>1295</v>
      </c>
      <c r="O818" s="131"/>
      <c r="P818" s="90" t="s">
        <v>1243</v>
      </c>
      <c r="Q818" s="579"/>
      <c r="R818" s="579"/>
      <c r="S818" s="92"/>
      <c r="T818" s="131">
        <v>9403208000</v>
      </c>
      <c r="U818" s="155">
        <v>0</v>
      </c>
      <c r="V818" s="131">
        <v>45</v>
      </c>
      <c r="W818" s="131">
        <v>45</v>
      </c>
      <c r="X818" s="207"/>
      <c r="Y818" s="207" t="s">
        <v>1224</v>
      </c>
      <c r="Z818" s="133">
        <f t="shared" si="1083"/>
        <v>89.333333333333343</v>
      </c>
      <c r="AA818" s="133"/>
      <c r="AB818" s="161">
        <f t="shared" si="1089"/>
        <v>85.939569038160599</v>
      </c>
      <c r="AC818" s="161"/>
      <c r="AD818" s="214">
        <f t="shared" si="1090"/>
        <v>0.1</v>
      </c>
      <c r="AE818" s="214">
        <v>0.1</v>
      </c>
      <c r="AF818" s="217">
        <v>0.29000000000000004</v>
      </c>
      <c r="AG818" s="218" t="s">
        <v>9</v>
      </c>
      <c r="AH818" s="148">
        <f t="shared" si="1086"/>
        <v>85.939569038160599</v>
      </c>
      <c r="AI818" s="206">
        <f t="shared" si="1091"/>
        <v>0.29000000000000004</v>
      </c>
      <c r="AJ818" s="444"/>
      <c r="AK818" s="201">
        <f t="shared" si="1092"/>
        <v>68.488888888888894</v>
      </c>
      <c r="AL818" s="202">
        <f t="shared" si="1093"/>
        <v>67.796771130104474</v>
      </c>
      <c r="AM818" s="208">
        <f t="shared" si="1094"/>
        <v>0.23333333333333339</v>
      </c>
      <c r="AN818" s="208">
        <f t="shared" si="1095"/>
        <v>0.21111111111111114</v>
      </c>
      <c r="AP818" s="19" t="s">
        <v>1248</v>
      </c>
      <c r="AQ818" s="209"/>
      <c r="AR818" s="209"/>
      <c r="AS818" s="128"/>
      <c r="AT818" s="162"/>
      <c r="AU818" s="162"/>
      <c r="AV818" s="173"/>
      <c r="AW818" s="203">
        <v>61.64</v>
      </c>
      <c r="AX818" s="126">
        <f t="shared" si="1096"/>
        <v>61.017094017094024</v>
      </c>
      <c r="AY818" s="210"/>
      <c r="AZ818" s="19"/>
      <c r="BB818" s="168">
        <f t="shared" si="1041"/>
        <v>286.46523012720201</v>
      </c>
      <c r="BC818" s="168">
        <f t="shared" si="1042"/>
        <v>171.8791380763212</v>
      </c>
      <c r="BD818" s="168">
        <f t="shared" si="1043"/>
        <v>143.232615063601</v>
      </c>
      <c r="BE818" s="168">
        <f t="shared" si="1044"/>
        <v>114.58609205088081</v>
      </c>
    </row>
    <row r="819" spans="1:57" s="129" customFormat="1" hidden="1">
      <c r="A819" s="88" t="s">
        <v>1276</v>
      </c>
      <c r="B819" s="88" t="s">
        <v>1318</v>
      </c>
      <c r="C819" s="88" t="s">
        <v>1318</v>
      </c>
      <c r="D819" s="88" t="s">
        <v>1102</v>
      </c>
      <c r="E819" s="91" t="s">
        <v>1247</v>
      </c>
      <c r="F819" s="90" t="s">
        <v>1845</v>
      </c>
      <c r="G819" s="92"/>
      <c r="H819" s="92"/>
      <c r="I819" s="205" t="s">
        <v>2259</v>
      </c>
      <c r="J819" s="205" t="str">
        <f>_xlfn.XLOOKUP(I819,[1]Sheet1!$A:$A,[1]Sheet1!$B:$B,"")</f>
        <v/>
      </c>
      <c r="K819" s="91" t="s">
        <v>2654</v>
      </c>
      <c r="L819" s="89" t="s">
        <v>2668</v>
      </c>
      <c r="M819" s="92"/>
      <c r="N819" s="91" t="s">
        <v>1295</v>
      </c>
      <c r="O819" s="131"/>
      <c r="P819" s="90" t="s">
        <v>1243</v>
      </c>
      <c r="Q819" s="579"/>
      <c r="R819" s="579"/>
      <c r="S819" s="92"/>
      <c r="T819" s="131">
        <v>9403208000</v>
      </c>
      <c r="U819" s="155">
        <v>0</v>
      </c>
      <c r="V819" s="131">
        <v>45</v>
      </c>
      <c r="W819" s="131">
        <v>45</v>
      </c>
      <c r="X819" s="207"/>
      <c r="Y819" s="207" t="s">
        <v>1224</v>
      </c>
      <c r="Z819" s="133">
        <f t="shared" si="1083"/>
        <v>98.956521739130437</v>
      </c>
      <c r="AA819" s="133"/>
      <c r="AB819" s="161">
        <f t="shared" si="1089"/>
        <v>93.932827735644636</v>
      </c>
      <c r="AC819" s="161"/>
      <c r="AD819" s="214">
        <f t="shared" si="1090"/>
        <v>0.1</v>
      </c>
      <c r="AE819" s="214">
        <v>0.1</v>
      </c>
      <c r="AF819" s="217">
        <v>0.29000000000000004</v>
      </c>
      <c r="AG819" s="218" t="s">
        <v>9</v>
      </c>
      <c r="AH819" s="148">
        <f t="shared" si="1086"/>
        <v>93.932827735644636</v>
      </c>
      <c r="AI819" s="206">
        <f t="shared" si="1091"/>
        <v>0.29000000000000004</v>
      </c>
      <c r="AJ819" s="444"/>
      <c r="AK819" s="201">
        <f t="shared" si="1092"/>
        <v>75.86666666666666</v>
      </c>
      <c r="AL819" s="202">
        <f t="shared" si="1093"/>
        <v>74.102564102564102</v>
      </c>
      <c r="AM819" s="208">
        <f t="shared" si="1094"/>
        <v>0.23333333333333339</v>
      </c>
      <c r="AN819" s="208">
        <f t="shared" si="1095"/>
        <v>0.21111111111111114</v>
      </c>
      <c r="AP819" s="19" t="s">
        <v>1248</v>
      </c>
      <c r="AQ819" s="209"/>
      <c r="AR819" s="209"/>
      <c r="AS819" s="128"/>
      <c r="AT819" s="162"/>
      <c r="AU819" s="162"/>
      <c r="AV819" s="173"/>
      <c r="AW819" s="203">
        <v>68.28</v>
      </c>
      <c r="AX819" s="126">
        <f t="shared" si="1096"/>
        <v>66.692307692307693</v>
      </c>
      <c r="AY819" s="210"/>
      <c r="AZ819" s="19"/>
      <c r="BB819" s="168">
        <f t="shared" si="1041"/>
        <v>313.10942578548213</v>
      </c>
      <c r="BC819" s="168">
        <f t="shared" si="1042"/>
        <v>187.86565547128927</v>
      </c>
      <c r="BD819" s="168">
        <f t="shared" si="1043"/>
        <v>156.55471289274107</v>
      </c>
      <c r="BE819" s="168">
        <f t="shared" si="1044"/>
        <v>125.24377031419286</v>
      </c>
    </row>
    <row r="820" spans="1:57" s="129" customFormat="1" hidden="1">
      <c r="A820" s="88" t="s">
        <v>1276</v>
      </c>
      <c r="B820" s="88" t="s">
        <v>1318</v>
      </c>
      <c r="C820" s="88" t="s">
        <v>1318</v>
      </c>
      <c r="D820" s="88" t="s">
        <v>1102</v>
      </c>
      <c r="E820" s="91" t="s">
        <v>1247</v>
      </c>
      <c r="F820" s="90" t="s">
        <v>1845</v>
      </c>
      <c r="G820" s="92"/>
      <c r="H820" s="92"/>
      <c r="I820" s="205" t="s">
        <v>2258</v>
      </c>
      <c r="J820" s="205" t="str">
        <f>_xlfn.XLOOKUP(I820,[1]Sheet1!$A:$A,[1]Sheet1!$B:$B,"")</f>
        <v/>
      </c>
      <c r="K820" s="91" t="s">
        <v>2655</v>
      </c>
      <c r="L820" s="89" t="s">
        <v>2669</v>
      </c>
      <c r="M820" s="92"/>
      <c r="N820" s="91" t="s">
        <v>1295</v>
      </c>
      <c r="O820" s="131"/>
      <c r="P820" s="90" t="s">
        <v>1243</v>
      </c>
      <c r="Q820" s="579"/>
      <c r="R820" s="579"/>
      <c r="S820" s="92"/>
      <c r="T820" s="131">
        <v>9403208000</v>
      </c>
      <c r="U820" s="155">
        <v>0</v>
      </c>
      <c r="V820" s="131">
        <v>45</v>
      </c>
      <c r="W820" s="131">
        <v>45</v>
      </c>
      <c r="X820" s="207"/>
      <c r="Y820" s="207" t="s">
        <v>1224</v>
      </c>
      <c r="Z820" s="133">
        <f t="shared" si="1083"/>
        <v>110.71014492753625</v>
      </c>
      <c r="AA820" s="133"/>
      <c r="AB820" s="161">
        <f t="shared" si="1089"/>
        <v>103.69567834356567</v>
      </c>
      <c r="AC820" s="161"/>
      <c r="AD820" s="214">
        <f t="shared" si="1090"/>
        <v>0.1</v>
      </c>
      <c r="AE820" s="214">
        <v>0.1</v>
      </c>
      <c r="AF820" s="217">
        <v>0.29000000000000004</v>
      </c>
      <c r="AG820" s="218" t="s">
        <v>9</v>
      </c>
      <c r="AH820" s="148">
        <f t="shared" si="1086"/>
        <v>103.69567834356567</v>
      </c>
      <c r="AI820" s="206">
        <f t="shared" si="1091"/>
        <v>0.29000000000000004</v>
      </c>
      <c r="AJ820" s="444"/>
      <c r="AK820" s="201">
        <f t="shared" si="1092"/>
        <v>84.87777777777778</v>
      </c>
      <c r="AL820" s="202">
        <f t="shared" si="1093"/>
        <v>81.804368471035133</v>
      </c>
      <c r="AM820" s="208">
        <f t="shared" si="1094"/>
        <v>0.23333333333333339</v>
      </c>
      <c r="AN820" s="208">
        <f t="shared" si="1095"/>
        <v>0.21111111111111125</v>
      </c>
      <c r="AP820" s="19" t="s">
        <v>1248</v>
      </c>
      <c r="AQ820" s="209"/>
      <c r="AR820" s="209"/>
      <c r="AS820" s="128"/>
      <c r="AT820" s="162"/>
      <c r="AU820" s="162"/>
      <c r="AV820" s="173"/>
      <c r="AW820" s="203">
        <v>76.39</v>
      </c>
      <c r="AX820" s="126">
        <f t="shared" si="1096"/>
        <v>73.623931623931625</v>
      </c>
      <c r="AY820" s="210"/>
      <c r="AZ820" s="19"/>
      <c r="BB820" s="168">
        <f t="shared" si="1041"/>
        <v>345.65226114521892</v>
      </c>
      <c r="BC820" s="168">
        <f t="shared" si="1042"/>
        <v>207.39135668713135</v>
      </c>
      <c r="BD820" s="168">
        <f t="shared" si="1043"/>
        <v>172.82613057260946</v>
      </c>
      <c r="BE820" s="168">
        <f t="shared" si="1044"/>
        <v>138.26090445808757</v>
      </c>
    </row>
    <row r="821" spans="1:57" s="129" customFormat="1" hidden="1">
      <c r="A821" s="88" t="s">
        <v>1276</v>
      </c>
      <c r="B821" s="88" t="s">
        <v>1318</v>
      </c>
      <c r="C821" s="88" t="s">
        <v>1318</v>
      </c>
      <c r="D821" s="88" t="s">
        <v>1102</v>
      </c>
      <c r="E821" s="91" t="s">
        <v>1247</v>
      </c>
      <c r="F821" s="90" t="s">
        <v>1845</v>
      </c>
      <c r="G821" s="92"/>
      <c r="H821" s="92"/>
      <c r="I821" s="205" t="s">
        <v>2260</v>
      </c>
      <c r="J821" s="205" t="str">
        <f>_xlfn.XLOOKUP(I821,[1]Sheet1!$A:$A,[1]Sheet1!$B:$B,"")</f>
        <v/>
      </c>
      <c r="K821" s="91" t="s">
        <v>2656</v>
      </c>
      <c r="L821" s="89" t="s">
        <v>2670</v>
      </c>
      <c r="M821" s="92"/>
      <c r="N821" s="91" t="s">
        <v>1295</v>
      </c>
      <c r="O821" s="131"/>
      <c r="P821" s="90" t="s">
        <v>1243</v>
      </c>
      <c r="Q821" s="579"/>
      <c r="R821" s="579"/>
      <c r="S821" s="92"/>
      <c r="T821" s="131">
        <v>9403208000</v>
      </c>
      <c r="U821" s="155">
        <v>0</v>
      </c>
      <c r="V821" s="131">
        <v>45</v>
      </c>
      <c r="W821" s="131">
        <v>45</v>
      </c>
      <c r="X821" s="207"/>
      <c r="Y821" s="207" t="s">
        <v>1224</v>
      </c>
      <c r="Z821" s="133">
        <f t="shared" si="1083"/>
        <v>0</v>
      </c>
      <c r="AA821" s="133"/>
      <c r="AB821" s="161">
        <f t="shared" si="1089"/>
        <v>0</v>
      </c>
      <c r="AC821" s="161"/>
      <c r="AD821" s="214">
        <f t="shared" si="1090"/>
        <v>0.1</v>
      </c>
      <c r="AE821" s="214">
        <v>0.1</v>
      </c>
      <c r="AF821" s="217">
        <v>0.29000000000000004</v>
      </c>
      <c r="AG821" s="218" t="s">
        <v>9</v>
      </c>
      <c r="AH821" s="148">
        <f t="shared" si="1086"/>
        <v>0</v>
      </c>
      <c r="AI821" s="206" t="e">
        <f t="shared" si="1091"/>
        <v>#DIV/0!</v>
      </c>
      <c r="AJ821" s="444"/>
      <c r="AK821" s="201">
        <f t="shared" si="1092"/>
        <v>0</v>
      </c>
      <c r="AL821" s="202">
        <f t="shared" si="1093"/>
        <v>0</v>
      </c>
      <c r="AM821" s="211" t="e">
        <f>1-(AK821/Z821)</f>
        <v>#DIV/0!</v>
      </c>
      <c r="AN821" s="208" t="e">
        <f t="shared" si="1095"/>
        <v>#DIV/0!</v>
      </c>
      <c r="AP821" s="19" t="s">
        <v>1248</v>
      </c>
      <c r="AQ821" s="209"/>
      <c r="AR821" s="209"/>
      <c r="AS821" s="128"/>
      <c r="AT821" s="162"/>
      <c r="AU821" s="162"/>
      <c r="AV821" s="173"/>
      <c r="AW821" s="203"/>
      <c r="AX821" s="126"/>
      <c r="AY821" s="163"/>
      <c r="AZ821" s="19"/>
      <c r="BB821" s="168">
        <f t="shared" si="1041"/>
        <v>0</v>
      </c>
      <c r="BC821" s="168">
        <f t="shared" si="1042"/>
        <v>0</v>
      </c>
      <c r="BD821" s="168">
        <f t="shared" si="1043"/>
        <v>0</v>
      </c>
      <c r="BE821" s="168">
        <f t="shared" si="1044"/>
        <v>0</v>
      </c>
    </row>
    <row r="822" spans="1:57" s="129" customFormat="1" hidden="1">
      <c r="A822" s="88" t="s">
        <v>1276</v>
      </c>
      <c r="B822" s="88" t="s">
        <v>1318</v>
      </c>
      <c r="C822" s="88" t="s">
        <v>1318</v>
      </c>
      <c r="D822" s="88" t="s">
        <v>1102</v>
      </c>
      <c r="E822" s="91" t="s">
        <v>1247</v>
      </c>
      <c r="F822" s="90" t="s">
        <v>1845</v>
      </c>
      <c r="G822" s="92"/>
      <c r="H822" s="92"/>
      <c r="I822" s="205" t="s">
        <v>2253</v>
      </c>
      <c r="J822" s="205" t="str">
        <f>_xlfn.XLOOKUP(I822,[1]Sheet1!$A:$A,[1]Sheet1!$B:$B,"")</f>
        <v/>
      </c>
      <c r="K822" s="91" t="s">
        <v>2657</v>
      </c>
      <c r="L822" s="89" t="s">
        <v>2671</v>
      </c>
      <c r="M822" s="92"/>
      <c r="N822" s="91" t="s">
        <v>1295</v>
      </c>
      <c r="O822" s="131"/>
      <c r="P822" s="90" t="s">
        <v>1243</v>
      </c>
      <c r="Q822" s="579"/>
      <c r="R822" s="579"/>
      <c r="S822" s="92"/>
      <c r="T822" s="131">
        <v>9403208000</v>
      </c>
      <c r="U822" s="155">
        <v>0</v>
      </c>
      <c r="V822" s="131">
        <v>45</v>
      </c>
      <c r="W822" s="131">
        <v>45</v>
      </c>
      <c r="X822" s="207"/>
      <c r="Y822" s="207" t="s">
        <v>1224</v>
      </c>
      <c r="Z822" s="133">
        <f t="shared" si="1083"/>
        <v>48.913043478260875</v>
      </c>
      <c r="AA822" s="133"/>
      <c r="AB822" s="161">
        <f>AX822/(1-AF822)</f>
        <v>52.365474900686173</v>
      </c>
      <c r="AC822" s="161"/>
      <c r="AD822" s="214">
        <f t="shared" si="1090"/>
        <v>0.1</v>
      </c>
      <c r="AE822" s="214">
        <v>0.1</v>
      </c>
      <c r="AF822" s="217">
        <v>0.29000000000000004</v>
      </c>
      <c r="AG822" s="218" t="s">
        <v>9</v>
      </c>
      <c r="AH822" s="148">
        <f t="shared" si="1086"/>
        <v>52.365474900686173</v>
      </c>
      <c r="AI822" s="206">
        <f t="shared" si="1091"/>
        <v>0.29000000000000004</v>
      </c>
      <c r="AJ822" s="444"/>
      <c r="AK822" s="201">
        <f t="shared" si="1092"/>
        <v>37.5</v>
      </c>
      <c r="AL822" s="202">
        <f t="shared" si="1093"/>
        <v>41.310541310541311</v>
      </c>
      <c r="AM822" s="208">
        <f t="shared" si="1094"/>
        <v>0.23333333333333339</v>
      </c>
      <c r="AN822" s="208">
        <f t="shared" si="1095"/>
        <v>0.21111111111111114</v>
      </c>
      <c r="AP822" s="19" t="s">
        <v>1248</v>
      </c>
      <c r="AQ822" s="209"/>
      <c r="AR822" s="209"/>
      <c r="AS822" s="128"/>
      <c r="AT822" s="162"/>
      <c r="AU822" s="162"/>
      <c r="AV822" s="195"/>
      <c r="AW822" s="203">
        <v>33.75</v>
      </c>
      <c r="AX822" s="126">
        <f t="shared" si="1096"/>
        <v>37.179487179487182</v>
      </c>
      <c r="AY822" s="210"/>
      <c r="AZ822" s="19"/>
      <c r="BB822" s="168">
        <f t="shared" si="1041"/>
        <v>174.55158300228726</v>
      </c>
      <c r="BC822" s="168">
        <f t="shared" si="1042"/>
        <v>104.73094980137235</v>
      </c>
      <c r="BD822" s="168">
        <f t="shared" si="1043"/>
        <v>87.27579150114363</v>
      </c>
      <c r="BE822" s="168">
        <f t="shared" si="1044"/>
        <v>69.820633200914912</v>
      </c>
    </row>
    <row r="823" spans="1:57" s="129" customFormat="1" hidden="1">
      <c r="A823" s="88" t="s">
        <v>1276</v>
      </c>
      <c r="B823" s="88" t="s">
        <v>1318</v>
      </c>
      <c r="C823" s="88" t="s">
        <v>1318</v>
      </c>
      <c r="D823" s="88" t="s">
        <v>1102</v>
      </c>
      <c r="E823" s="91" t="s">
        <v>1247</v>
      </c>
      <c r="F823" s="90" t="s">
        <v>1845</v>
      </c>
      <c r="G823" s="92"/>
      <c r="H823" s="92"/>
      <c r="I823" s="205" t="s">
        <v>2261</v>
      </c>
      <c r="J823" s="205" t="str">
        <f>_xlfn.XLOOKUP(I823,[1]Sheet1!$A:$A,[1]Sheet1!$B:$B,"")</f>
        <v/>
      </c>
      <c r="K823" s="91" t="s">
        <v>2658</v>
      </c>
      <c r="L823" s="89" t="s">
        <v>2672</v>
      </c>
      <c r="M823" s="92"/>
      <c r="N823" s="91" t="s">
        <v>1295</v>
      </c>
      <c r="O823" s="131"/>
      <c r="P823" s="90" t="s">
        <v>1243</v>
      </c>
      <c r="Q823" s="579"/>
      <c r="R823" s="579"/>
      <c r="S823" s="92"/>
      <c r="T823" s="131">
        <v>9403208000</v>
      </c>
      <c r="U823" s="155">
        <v>0</v>
      </c>
      <c r="V823" s="131">
        <v>45</v>
      </c>
      <c r="W823" s="131">
        <v>45</v>
      </c>
      <c r="X823" s="207"/>
      <c r="Y823" s="207" t="s">
        <v>1224</v>
      </c>
      <c r="Z823" s="133">
        <f t="shared" si="1083"/>
        <v>56.463768115942031</v>
      </c>
      <c r="AA823" s="133"/>
      <c r="AB823" s="161">
        <f t="shared" si="1089"/>
        <v>58.637293848561463</v>
      </c>
      <c r="AC823" s="161"/>
      <c r="AD823" s="214">
        <f t="shared" si="1090"/>
        <v>0.1</v>
      </c>
      <c r="AE823" s="214">
        <v>0.1</v>
      </c>
      <c r="AF823" s="217">
        <v>0.29000000000000004</v>
      </c>
      <c r="AG823" s="218" t="s">
        <v>9</v>
      </c>
      <c r="AH823" s="148">
        <f t="shared" si="1086"/>
        <v>58.637293848561463</v>
      </c>
      <c r="AI823" s="206">
        <f t="shared" si="1091"/>
        <v>0.29000000000000004</v>
      </c>
      <c r="AJ823" s="444"/>
      <c r="AK823" s="201">
        <f t="shared" si="1092"/>
        <v>43.288888888888891</v>
      </c>
      <c r="AL823" s="202">
        <f t="shared" si="1093"/>
        <v>46.258309591642927</v>
      </c>
      <c r="AM823" s="208">
        <f t="shared" si="1094"/>
        <v>0.23333333333333328</v>
      </c>
      <c r="AN823" s="208">
        <f t="shared" si="1095"/>
        <v>0.21111111111111114</v>
      </c>
      <c r="AP823" s="19" t="s">
        <v>1248</v>
      </c>
      <c r="AQ823" s="209"/>
      <c r="AR823" s="209"/>
      <c r="AS823" s="128"/>
      <c r="AT823" s="162"/>
      <c r="AU823" s="162"/>
      <c r="AV823" s="195"/>
      <c r="AW823" s="203">
        <v>38.96</v>
      </c>
      <c r="AX823" s="126">
        <f t="shared" si="1096"/>
        <v>41.632478632478637</v>
      </c>
      <c r="AY823" s="210"/>
      <c r="AZ823" s="19"/>
      <c r="BB823" s="168">
        <f t="shared" si="1041"/>
        <v>195.45764616187154</v>
      </c>
      <c r="BC823" s="168">
        <f t="shared" si="1042"/>
        <v>117.27458769712291</v>
      </c>
      <c r="BD823" s="168">
        <f t="shared" si="1043"/>
        <v>97.728823080935769</v>
      </c>
      <c r="BE823" s="168">
        <f t="shared" si="1044"/>
        <v>78.183058464748626</v>
      </c>
    </row>
    <row r="824" spans="1:57" s="129" customFormat="1" hidden="1">
      <c r="A824" s="88" t="s">
        <v>1276</v>
      </c>
      <c r="B824" s="88" t="s">
        <v>1318</v>
      </c>
      <c r="C824" s="88" t="s">
        <v>1318</v>
      </c>
      <c r="D824" s="88" t="s">
        <v>1102</v>
      </c>
      <c r="E824" s="91" t="s">
        <v>1247</v>
      </c>
      <c r="F824" s="90" t="s">
        <v>1845</v>
      </c>
      <c r="G824" s="92"/>
      <c r="H824" s="92"/>
      <c r="I824" s="205" t="s">
        <v>2262</v>
      </c>
      <c r="J824" s="205" t="str">
        <f>_xlfn.XLOOKUP(I824,[1]Sheet1!$A:$A,[1]Sheet1!$B:$B,"")</f>
        <v/>
      </c>
      <c r="K824" s="91" t="s">
        <v>2659</v>
      </c>
      <c r="L824" s="89" t="s">
        <v>2673</v>
      </c>
      <c r="M824" s="92"/>
      <c r="N824" s="91" t="s">
        <v>1295</v>
      </c>
      <c r="O824" s="131"/>
      <c r="P824" s="90" t="s">
        <v>1243</v>
      </c>
      <c r="Q824" s="579"/>
      <c r="R824" s="579"/>
      <c r="S824" s="92"/>
      <c r="T824" s="131">
        <v>9403208000</v>
      </c>
      <c r="U824" s="155">
        <v>0</v>
      </c>
      <c r="V824" s="131">
        <v>45</v>
      </c>
      <c r="W824" s="131">
        <v>45</v>
      </c>
      <c r="X824" s="207"/>
      <c r="Y824" s="207" t="s">
        <v>1224</v>
      </c>
      <c r="Z824" s="133">
        <f t="shared" si="1083"/>
        <v>64.34782608695653</v>
      </c>
      <c r="AA824" s="133"/>
      <c r="AB824" s="161">
        <f t="shared" si="1089"/>
        <v>65.185987721198998</v>
      </c>
      <c r="AC824" s="161"/>
      <c r="AD824" s="214">
        <f t="shared" si="1090"/>
        <v>0.1</v>
      </c>
      <c r="AE824" s="214">
        <v>0.1</v>
      </c>
      <c r="AF824" s="217">
        <v>0.29000000000000004</v>
      </c>
      <c r="AG824" s="218" t="s">
        <v>9</v>
      </c>
      <c r="AH824" s="148">
        <f t="shared" si="1086"/>
        <v>65.185987721198998</v>
      </c>
      <c r="AI824" s="206">
        <f t="shared" si="1091"/>
        <v>0.29000000000000004</v>
      </c>
      <c r="AJ824" s="444"/>
      <c r="AK824" s="201">
        <f t="shared" si="1092"/>
        <v>49.333333333333329</v>
      </c>
      <c r="AL824" s="202">
        <f t="shared" si="1093"/>
        <v>51.424501424501429</v>
      </c>
      <c r="AM824" s="208">
        <f t="shared" si="1094"/>
        <v>0.2333333333333335</v>
      </c>
      <c r="AN824" s="208">
        <f t="shared" si="1095"/>
        <v>0.21111111111111114</v>
      </c>
      <c r="AP824" s="19" t="s">
        <v>1248</v>
      </c>
      <c r="AQ824" s="209"/>
      <c r="AR824" s="209"/>
      <c r="AS824" s="128"/>
      <c r="AT824" s="162"/>
      <c r="AU824" s="162"/>
      <c r="AV824" s="195"/>
      <c r="AW824" s="203">
        <v>44.4</v>
      </c>
      <c r="AX824" s="126">
        <f t="shared" si="1096"/>
        <v>46.282051282051285</v>
      </c>
      <c r="AY824" s="210"/>
      <c r="AZ824" s="19"/>
      <c r="BB824" s="168">
        <f t="shared" ref="BB824:BB903" si="1097">AB824/0.3</f>
        <v>217.28662573733001</v>
      </c>
      <c r="BC824" s="168">
        <f t="shared" ref="BC824:BC903" si="1098">BB824*0.6</f>
        <v>130.371975442398</v>
      </c>
      <c r="BD824" s="168">
        <f t="shared" ref="BD824:BD903" si="1099">BB824*0.5</f>
        <v>108.64331286866501</v>
      </c>
      <c r="BE824" s="168">
        <f t="shared" ref="BE824:BE903" si="1100">BB824*0.4</f>
        <v>86.914650294932017</v>
      </c>
    </row>
    <row r="825" spans="1:57" s="129" customFormat="1" hidden="1">
      <c r="A825" s="88" t="s">
        <v>1276</v>
      </c>
      <c r="B825" s="88" t="s">
        <v>1318</v>
      </c>
      <c r="C825" s="88" t="s">
        <v>1318</v>
      </c>
      <c r="D825" s="88" t="s">
        <v>1102</v>
      </c>
      <c r="E825" s="91" t="s">
        <v>1247</v>
      </c>
      <c r="F825" s="90" t="s">
        <v>1845</v>
      </c>
      <c r="G825" s="92"/>
      <c r="H825" s="92"/>
      <c r="I825" s="205" t="s">
        <v>2263</v>
      </c>
      <c r="J825" s="205" t="str">
        <f>_xlfn.XLOOKUP(I825,[1]Sheet1!$A:$A,[1]Sheet1!$B:$B,"")</f>
        <v/>
      </c>
      <c r="K825" s="91" t="s">
        <v>2660</v>
      </c>
      <c r="L825" s="89" t="s">
        <v>2674</v>
      </c>
      <c r="M825" s="92"/>
      <c r="N825" s="91" t="s">
        <v>1295</v>
      </c>
      <c r="O825" s="131"/>
      <c r="P825" s="90" t="s">
        <v>1243</v>
      </c>
      <c r="Q825" s="579"/>
      <c r="R825" s="579"/>
      <c r="S825" s="92"/>
      <c r="T825" s="131">
        <v>9403208000</v>
      </c>
      <c r="U825" s="155">
        <v>0</v>
      </c>
      <c r="V825" s="131">
        <v>45</v>
      </c>
      <c r="W825" s="131">
        <v>45</v>
      </c>
      <c r="X825" s="207"/>
      <c r="Y825" s="207" t="s">
        <v>1224</v>
      </c>
      <c r="Z825" s="133">
        <f t="shared" si="1083"/>
        <v>73.724637681159422</v>
      </c>
      <c r="AA825" s="133"/>
      <c r="AB825" s="161">
        <f t="shared" si="1089"/>
        <v>72.974599735163125</v>
      </c>
      <c r="AC825" s="161"/>
      <c r="AD825" s="214">
        <f t="shared" si="1090"/>
        <v>0.1</v>
      </c>
      <c r="AE825" s="214">
        <v>0.1</v>
      </c>
      <c r="AF825" s="217">
        <v>0.29000000000000004</v>
      </c>
      <c r="AG825" s="218" t="s">
        <v>9</v>
      </c>
      <c r="AH825" s="148">
        <f t="shared" si="1086"/>
        <v>72.974599735163125</v>
      </c>
      <c r="AI825" s="206">
        <f t="shared" si="1091"/>
        <v>0.29000000000000004</v>
      </c>
      <c r="AJ825" s="444"/>
      <c r="AK825" s="201">
        <f t="shared" si="1092"/>
        <v>56.522222222222219</v>
      </c>
      <c r="AL825" s="202">
        <f t="shared" si="1093"/>
        <v>57.568850902184238</v>
      </c>
      <c r="AM825" s="208">
        <f t="shared" si="1094"/>
        <v>0.23333333333333339</v>
      </c>
      <c r="AN825" s="208">
        <f t="shared" si="1095"/>
        <v>0.21111111111111114</v>
      </c>
      <c r="AP825" s="19" t="s">
        <v>1248</v>
      </c>
      <c r="AQ825" s="209"/>
      <c r="AR825" s="209"/>
      <c r="AS825" s="128"/>
      <c r="AT825" s="162"/>
      <c r="AU825" s="162"/>
      <c r="AV825" s="195"/>
      <c r="AW825" s="203">
        <v>50.87</v>
      </c>
      <c r="AX825" s="126">
        <f t="shared" si="1096"/>
        <v>51.811965811965813</v>
      </c>
      <c r="AY825" s="210"/>
      <c r="AZ825" s="19"/>
      <c r="BB825" s="168">
        <f t="shared" si="1097"/>
        <v>243.2486657838771</v>
      </c>
      <c r="BC825" s="168">
        <f t="shared" si="1098"/>
        <v>145.94919947032625</v>
      </c>
      <c r="BD825" s="168">
        <f t="shared" si="1099"/>
        <v>121.62433289193855</v>
      </c>
      <c r="BE825" s="168">
        <f t="shared" si="1100"/>
        <v>97.299466313550852</v>
      </c>
    </row>
    <row r="826" spans="1:57" s="129" customFormat="1" hidden="1">
      <c r="A826" s="88" t="s">
        <v>1276</v>
      </c>
      <c r="B826" s="88" t="s">
        <v>1318</v>
      </c>
      <c r="C826" s="88" t="s">
        <v>1318</v>
      </c>
      <c r="D826" s="88" t="s">
        <v>1102</v>
      </c>
      <c r="E826" s="91" t="s">
        <v>1247</v>
      </c>
      <c r="F826" s="90" t="s">
        <v>1845</v>
      </c>
      <c r="G826" s="92"/>
      <c r="H826" s="92"/>
      <c r="I826" s="205" t="s">
        <v>2264</v>
      </c>
      <c r="J826" s="205" t="str">
        <f>_xlfn.XLOOKUP(I826,[1]Sheet1!$A:$A,[1]Sheet1!$B:$B,"")</f>
        <v/>
      </c>
      <c r="K826" s="91" t="s">
        <v>2661</v>
      </c>
      <c r="L826" s="89" t="s">
        <v>2675</v>
      </c>
      <c r="M826" s="92"/>
      <c r="N826" s="91" t="s">
        <v>1295</v>
      </c>
      <c r="O826" s="131"/>
      <c r="P826" s="90" t="s">
        <v>1243</v>
      </c>
      <c r="Q826" s="579"/>
      <c r="R826" s="579"/>
      <c r="S826" s="92"/>
      <c r="T826" s="131">
        <v>9403208000</v>
      </c>
      <c r="U826" s="155">
        <v>0</v>
      </c>
      <c r="V826" s="131">
        <v>45</v>
      </c>
      <c r="W826" s="131">
        <v>45</v>
      </c>
      <c r="X826" s="207"/>
      <c r="Y826" s="207" t="s">
        <v>1224</v>
      </c>
      <c r="Z826" s="133">
        <f t="shared" si="1083"/>
        <v>81.695652173913047</v>
      </c>
      <c r="AA826" s="133"/>
      <c r="AB826" s="161">
        <f t="shared" si="1089"/>
        <v>79.595521849042981</v>
      </c>
      <c r="AC826" s="161"/>
      <c r="AD826" s="214">
        <f t="shared" si="1090"/>
        <v>0.1</v>
      </c>
      <c r="AE826" s="214">
        <v>0.1</v>
      </c>
      <c r="AF826" s="217">
        <v>0.29000000000000004</v>
      </c>
      <c r="AG826" s="218" t="s">
        <v>9</v>
      </c>
      <c r="AH826" s="148">
        <f t="shared" si="1086"/>
        <v>79.595521849042981</v>
      </c>
      <c r="AI826" s="206">
        <f t="shared" si="1091"/>
        <v>0.29000000000000004</v>
      </c>
      <c r="AJ826" s="444"/>
      <c r="AK826" s="201">
        <f t="shared" si="1092"/>
        <v>62.633333333333326</v>
      </c>
      <c r="AL826" s="202">
        <f t="shared" si="1093"/>
        <v>62.792022792022799</v>
      </c>
      <c r="AM826" s="208">
        <f t="shared" si="1094"/>
        <v>0.2333333333333335</v>
      </c>
      <c r="AN826" s="208">
        <f t="shared" si="1095"/>
        <v>0.21111111111111114</v>
      </c>
      <c r="AP826" s="19" t="s">
        <v>1248</v>
      </c>
      <c r="AQ826" s="209"/>
      <c r="AR826" s="209"/>
      <c r="AS826" s="128"/>
      <c r="AT826" s="162"/>
      <c r="AU826" s="162"/>
      <c r="AV826" s="195"/>
      <c r="AW826" s="203">
        <v>56.37</v>
      </c>
      <c r="AX826" s="126">
        <f t="shared" si="1096"/>
        <v>56.512820512820518</v>
      </c>
      <c r="AY826" s="210"/>
      <c r="AZ826" s="19"/>
      <c r="BB826" s="168">
        <f t="shared" si="1097"/>
        <v>265.3184061634766</v>
      </c>
      <c r="BC826" s="168">
        <f t="shared" si="1098"/>
        <v>159.19104369808596</v>
      </c>
      <c r="BD826" s="168">
        <f t="shared" si="1099"/>
        <v>132.6592030817383</v>
      </c>
      <c r="BE826" s="168">
        <f t="shared" si="1100"/>
        <v>106.12736246539065</v>
      </c>
    </row>
    <row r="827" spans="1:57" s="129" customFormat="1" hidden="1">
      <c r="A827" s="88" t="s">
        <v>1276</v>
      </c>
      <c r="B827" s="88" t="s">
        <v>1318</v>
      </c>
      <c r="C827" s="88" t="s">
        <v>1318</v>
      </c>
      <c r="D827" s="88" t="s">
        <v>1102</v>
      </c>
      <c r="E827" s="91" t="s">
        <v>1247</v>
      </c>
      <c r="F827" s="90" t="s">
        <v>1845</v>
      </c>
      <c r="G827" s="92"/>
      <c r="H827" s="92"/>
      <c r="I827" s="205" t="s">
        <v>2265</v>
      </c>
      <c r="J827" s="205" t="str">
        <f>_xlfn.XLOOKUP(I827,[1]Sheet1!$A:$A,[1]Sheet1!$B:$B,"")</f>
        <v/>
      </c>
      <c r="K827" s="91" t="s">
        <v>2662</v>
      </c>
      <c r="L827" s="89" t="s">
        <v>2676</v>
      </c>
      <c r="M827" s="92"/>
      <c r="N827" s="91" t="s">
        <v>1295</v>
      </c>
      <c r="O827" s="131"/>
      <c r="P827" s="90" t="s">
        <v>1243</v>
      </c>
      <c r="Q827" s="579"/>
      <c r="R827" s="579"/>
      <c r="S827" s="92"/>
      <c r="T827" s="131">
        <v>9403208000</v>
      </c>
      <c r="U827" s="155">
        <v>0</v>
      </c>
      <c r="V827" s="131">
        <v>45</v>
      </c>
      <c r="W827" s="131">
        <v>45</v>
      </c>
      <c r="X827" s="207"/>
      <c r="Y827" s="207" t="s">
        <v>1224</v>
      </c>
      <c r="Z827" s="133">
        <f t="shared" si="1083"/>
        <v>92.49275362318842</v>
      </c>
      <c r="AA827" s="133"/>
      <c r="AB827" s="161">
        <f t="shared" si="1089"/>
        <v>88.563861803298437</v>
      </c>
      <c r="AC827" s="161"/>
      <c r="AD827" s="214">
        <f t="shared" si="1090"/>
        <v>0.1</v>
      </c>
      <c r="AE827" s="214">
        <v>0.1</v>
      </c>
      <c r="AF827" s="217">
        <v>0.29000000000000004</v>
      </c>
      <c r="AG827" s="218" t="s">
        <v>9</v>
      </c>
      <c r="AH827" s="148">
        <f t="shared" si="1086"/>
        <v>88.563861803298437</v>
      </c>
      <c r="AI827" s="206">
        <f t="shared" si="1091"/>
        <v>0.29000000000000004</v>
      </c>
      <c r="AJ827" s="444"/>
      <c r="AK827" s="201">
        <f t="shared" si="1092"/>
        <v>70.911111111111111</v>
      </c>
      <c r="AL827" s="202">
        <f t="shared" si="1093"/>
        <v>69.867046533713207</v>
      </c>
      <c r="AM827" s="208">
        <f t="shared" si="1094"/>
        <v>0.2333333333333335</v>
      </c>
      <c r="AN827" s="208">
        <f t="shared" si="1095"/>
        <v>0.21111111111111114</v>
      </c>
      <c r="AP827" s="19" t="s">
        <v>1248</v>
      </c>
      <c r="AQ827" s="209"/>
      <c r="AR827" s="209"/>
      <c r="AS827" s="128"/>
      <c r="AT827" s="162"/>
      <c r="AU827" s="162"/>
      <c r="AV827" s="195"/>
      <c r="AW827" s="203">
        <v>63.82</v>
      </c>
      <c r="AX827" s="126">
        <f t="shared" si="1096"/>
        <v>62.880341880341888</v>
      </c>
      <c r="AY827" s="210"/>
      <c r="AZ827" s="19"/>
      <c r="BB827" s="168">
        <f t="shared" si="1097"/>
        <v>295.21287267766149</v>
      </c>
      <c r="BC827" s="168">
        <f t="shared" si="1098"/>
        <v>177.1277236065969</v>
      </c>
      <c r="BD827" s="168">
        <f t="shared" si="1099"/>
        <v>147.60643633883075</v>
      </c>
      <c r="BE827" s="168">
        <f t="shared" si="1100"/>
        <v>118.08514907106461</v>
      </c>
    </row>
    <row r="828" spans="1:57" s="129" customFormat="1" hidden="1">
      <c r="A828" s="88" t="s">
        <v>1276</v>
      </c>
      <c r="B828" s="88" t="s">
        <v>1318</v>
      </c>
      <c r="C828" s="88" t="s">
        <v>1318</v>
      </c>
      <c r="D828" s="88" t="s">
        <v>1102</v>
      </c>
      <c r="E828" s="91" t="s">
        <v>1247</v>
      </c>
      <c r="F828" s="90" t="s">
        <v>1845</v>
      </c>
      <c r="G828" s="92"/>
      <c r="H828" s="92"/>
      <c r="I828" s="205" t="s">
        <v>2266</v>
      </c>
      <c r="J828" s="205" t="str">
        <f>_xlfn.XLOOKUP(I828,[1]Sheet1!$A:$A,[1]Sheet1!$B:$B,"")</f>
        <v/>
      </c>
      <c r="K828" s="91" t="s">
        <v>2663</v>
      </c>
      <c r="L828" s="89" t="s">
        <v>2677</v>
      </c>
      <c r="M828" s="92"/>
      <c r="N828" s="91" t="s">
        <v>1295</v>
      </c>
      <c r="O828" s="131"/>
      <c r="P828" s="90" t="s">
        <v>1243</v>
      </c>
      <c r="Q828" s="579"/>
      <c r="R828" s="579"/>
      <c r="S828" s="92"/>
      <c r="T828" s="131">
        <v>9403208000</v>
      </c>
      <c r="U828" s="155">
        <v>0</v>
      </c>
      <c r="V828" s="131">
        <v>45</v>
      </c>
      <c r="W828" s="131">
        <v>45</v>
      </c>
      <c r="X828" s="207"/>
      <c r="Y828" s="207" t="s">
        <v>1224</v>
      </c>
      <c r="Z828" s="133">
        <f t="shared" si="1083"/>
        <v>0</v>
      </c>
      <c r="AA828" s="133"/>
      <c r="AB828" s="161">
        <f t="shared" si="1089"/>
        <v>11.737089201877936</v>
      </c>
      <c r="AC828" s="161"/>
      <c r="AD828" s="214">
        <f t="shared" si="1090"/>
        <v>0.1</v>
      </c>
      <c r="AE828" s="214">
        <v>0.1</v>
      </c>
      <c r="AF828" s="217">
        <v>0.29000000000000004</v>
      </c>
      <c r="AG828" s="218" t="s">
        <v>9</v>
      </c>
      <c r="AH828" s="148">
        <f t="shared" si="1086"/>
        <v>11.737089201877936</v>
      </c>
      <c r="AI828" s="206">
        <f t="shared" si="1091"/>
        <v>0.29000000000000004</v>
      </c>
      <c r="AJ828" s="444"/>
      <c r="AK828" s="201">
        <f t="shared" si="1092"/>
        <v>0</v>
      </c>
      <c r="AL828" s="202">
        <f t="shared" si="1093"/>
        <v>9.2592592592592595</v>
      </c>
      <c r="AM828" s="208" t="e">
        <f t="shared" si="1094"/>
        <v>#DIV/0!</v>
      </c>
      <c r="AN828" s="208">
        <f t="shared" si="1095"/>
        <v>0.21111111111111114</v>
      </c>
      <c r="AP828" s="19" t="s">
        <v>1248</v>
      </c>
      <c r="AQ828" s="209"/>
      <c r="AR828" s="209"/>
      <c r="AS828" s="128"/>
      <c r="AT828" s="162"/>
      <c r="AU828" s="162"/>
      <c r="AV828" s="173"/>
      <c r="AW828" s="203"/>
      <c r="AX828" s="126">
        <f t="shared" si="1096"/>
        <v>8.3333333333333339</v>
      </c>
      <c r="AY828" s="163"/>
      <c r="AZ828" s="19"/>
      <c r="BB828" s="168">
        <f t="shared" si="1097"/>
        <v>39.123630672926453</v>
      </c>
      <c r="BC828" s="168">
        <f t="shared" si="1098"/>
        <v>23.474178403755872</v>
      </c>
      <c r="BD828" s="168">
        <f t="shared" si="1099"/>
        <v>19.561815336463226</v>
      </c>
      <c r="BE828" s="168">
        <f t="shared" si="1100"/>
        <v>15.649452269170581</v>
      </c>
    </row>
    <row r="829" spans="1:57" s="129" customFormat="1" hidden="1">
      <c r="A829" s="88" t="s">
        <v>1276</v>
      </c>
      <c r="B829" s="88" t="s">
        <v>1846</v>
      </c>
      <c r="C829" s="88" t="s">
        <v>1318</v>
      </c>
      <c r="D829" s="88" t="s">
        <v>1102</v>
      </c>
      <c r="E829" s="91" t="s">
        <v>1844</v>
      </c>
      <c r="F829" s="90" t="s">
        <v>1845</v>
      </c>
      <c r="G829" s="92" t="s">
        <v>2636</v>
      </c>
      <c r="H829" s="92" t="s">
        <v>3254</v>
      </c>
      <c r="I829" s="132" t="s">
        <v>1847</v>
      </c>
      <c r="J829" s="132" t="str">
        <f>_xlfn.XLOOKUP(I829,[1]Sheet1!$A:$A,[1]Sheet1!$B:$B,"")</f>
        <v>U1402001</v>
      </c>
      <c r="K829" s="91" t="s">
        <v>1967</v>
      </c>
      <c r="L829" s="89" t="s">
        <v>2086</v>
      </c>
      <c r="M829" s="92" t="s">
        <v>3507</v>
      </c>
      <c r="N829" s="91" t="s">
        <v>1223</v>
      </c>
      <c r="O829" s="131"/>
      <c r="P829" s="90" t="s">
        <v>2206</v>
      </c>
      <c r="Q829" s="131"/>
      <c r="R829" s="131"/>
      <c r="S829" s="92"/>
      <c r="T829" s="131">
        <v>9403208000</v>
      </c>
      <c r="U829" s="155">
        <v>0</v>
      </c>
      <c r="V829" s="131">
        <v>45</v>
      </c>
      <c r="W829" s="131">
        <v>45</v>
      </c>
      <c r="X829" s="131"/>
      <c r="Y829" s="131" t="s">
        <v>2436</v>
      </c>
      <c r="Z829" s="133">
        <f t="shared" ref="Z829" si="1101">AK829/(1-(AF829+2%))</f>
        <v>251.51964418087476</v>
      </c>
      <c r="AA829" s="133"/>
      <c r="AB829" s="161">
        <f t="shared" ref="AB829" si="1102">AX829/(1-AF829)</f>
        <v>212.21168481442459</v>
      </c>
      <c r="AC829" s="161"/>
      <c r="AD829" s="213">
        <f t="shared" si="1090"/>
        <v>0.05</v>
      </c>
      <c r="AE829" s="213">
        <v>0.05</v>
      </c>
      <c r="AF829" s="219">
        <v>0.27</v>
      </c>
      <c r="AG829" s="218" t="s">
        <v>9</v>
      </c>
      <c r="AH829" s="148">
        <f t="shared" si="1086"/>
        <v>212.21168481442459</v>
      </c>
      <c r="AI829" s="206">
        <f>1-(AX829/AH829)</f>
        <v>0.27</v>
      </c>
      <c r="AJ829" s="444"/>
      <c r="AK829" s="150">
        <f t="shared" ref="AK829:AK908" si="1103">AW829/(1-AD829)*$F$6</f>
        <v>178.57894736842107</v>
      </c>
      <c r="AL829" s="202">
        <f t="shared" ref="AL829" si="1104">AX829/(1-AE829)</f>
        <v>163.067926225821</v>
      </c>
      <c r="AM829" s="208">
        <f t="shared" ref="AM829" si="1105">1-(AK829/Z829)</f>
        <v>0.29000000000000004</v>
      </c>
      <c r="AN829" s="208">
        <f t="shared" ref="AN829" si="1106">1-(AL829/AB829)</f>
        <v>0.23157894736842111</v>
      </c>
      <c r="AP829" s="170" t="s">
        <v>1267</v>
      </c>
      <c r="AQ829" s="204"/>
      <c r="AR829" s="204"/>
      <c r="AS829" s="197"/>
      <c r="AT829" s="162"/>
      <c r="AU829" s="162"/>
      <c r="AV829" s="173"/>
      <c r="AW829" s="203">
        <v>145</v>
      </c>
      <c r="AX829" s="126">
        <f>AW829/$F$6*1.25+AW829*U829</f>
        <v>154.91452991452994</v>
      </c>
      <c r="AY829" s="163"/>
      <c r="AZ829" s="19"/>
      <c r="BB829" s="168">
        <f t="shared" si="1097"/>
        <v>707.37228271474862</v>
      </c>
      <c r="BC829" s="168">
        <f t="shared" si="1098"/>
        <v>424.42336962884917</v>
      </c>
      <c r="BD829" s="168">
        <f t="shared" si="1099"/>
        <v>353.68614135737431</v>
      </c>
      <c r="BE829" s="168">
        <f t="shared" si="1100"/>
        <v>282.94891308589945</v>
      </c>
    </row>
    <row r="830" spans="1:57" s="129" customFormat="1" hidden="1">
      <c r="A830" s="88" t="s">
        <v>1276</v>
      </c>
      <c r="B830" s="88" t="s">
        <v>1846</v>
      </c>
      <c r="C830" s="88" t="s">
        <v>1318</v>
      </c>
      <c r="D830" s="88" t="s">
        <v>1102</v>
      </c>
      <c r="E830" s="91" t="s">
        <v>1844</v>
      </c>
      <c r="F830" s="90" t="s">
        <v>1845</v>
      </c>
      <c r="G830" s="92" t="s">
        <v>2637</v>
      </c>
      <c r="H830" s="92" t="s">
        <v>3254</v>
      </c>
      <c r="I830" s="132" t="s">
        <v>1848</v>
      </c>
      <c r="J830" s="132" t="str">
        <f>_xlfn.XLOOKUP(I830,[1]Sheet1!$A:$A,[1]Sheet1!$B:$B,"")</f>
        <v>U1402002</v>
      </c>
      <c r="K830" s="91" t="s">
        <v>1968</v>
      </c>
      <c r="L830" s="89" t="s">
        <v>2087</v>
      </c>
      <c r="M830" s="92"/>
      <c r="N830" s="91" t="s">
        <v>1223</v>
      </c>
      <c r="O830" s="131"/>
      <c r="P830" s="90" t="s">
        <v>2206</v>
      </c>
      <c r="Q830" s="131"/>
      <c r="R830" s="131"/>
      <c r="S830" s="92"/>
      <c r="T830" s="131">
        <v>9403208000</v>
      </c>
      <c r="U830" s="155">
        <v>0</v>
      </c>
      <c r="V830" s="131">
        <v>45</v>
      </c>
      <c r="W830" s="131">
        <v>45</v>
      </c>
      <c r="X830" s="131"/>
      <c r="Y830" s="131" t="s">
        <v>2436</v>
      </c>
      <c r="Z830" s="133">
        <f t="shared" ref="Z830:Z909" si="1107">AK830/(1-(AF830+2%))</f>
        <v>268.86582653817646</v>
      </c>
      <c r="AA830" s="133"/>
      <c r="AB830" s="161">
        <f t="shared" ref="AB830:AB909" si="1108">AX830/(1-AF830)</f>
        <v>226.84697342231587</v>
      </c>
      <c r="AC830" s="161"/>
      <c r="AD830" s="213">
        <f t="shared" si="1090"/>
        <v>0.05</v>
      </c>
      <c r="AE830" s="213">
        <v>0.05</v>
      </c>
      <c r="AF830" s="219">
        <v>0.27</v>
      </c>
      <c r="AG830" s="218" t="s">
        <v>9</v>
      </c>
      <c r="AH830" s="148">
        <f t="shared" si="1086"/>
        <v>226.84697342231587</v>
      </c>
      <c r="AI830" s="206">
        <f t="shared" ref="AI830:AI909" si="1109">1-(AX830/AH830)</f>
        <v>0.27</v>
      </c>
      <c r="AJ830" s="444"/>
      <c r="AK830" s="150">
        <f t="shared" si="1103"/>
        <v>190.89473684210526</v>
      </c>
      <c r="AL830" s="202">
        <f t="shared" ref="AL830:AL909" si="1110">AX830/(1-AE830)</f>
        <v>174.31399010346379</v>
      </c>
      <c r="AM830" s="208">
        <f t="shared" ref="AM830:AM909" si="1111">1-(AK830/Z830)</f>
        <v>0.29000000000000015</v>
      </c>
      <c r="AN830" s="208">
        <f t="shared" ref="AN830:AN909" si="1112">1-(AL830/AB830)</f>
        <v>0.231578947368421</v>
      </c>
      <c r="AP830" s="170" t="s">
        <v>1267</v>
      </c>
      <c r="AQ830" s="204"/>
      <c r="AR830" s="204"/>
      <c r="AS830" s="197"/>
      <c r="AT830" s="162"/>
      <c r="AU830" s="162"/>
      <c r="AV830" s="173"/>
      <c r="AW830" s="203">
        <v>155</v>
      </c>
      <c r="AX830" s="126">
        <f t="shared" ref="AX830:AX854" si="1113">AW830/$F$6*1.25+AW830*U830</f>
        <v>165.59829059829059</v>
      </c>
      <c r="AY830" s="163"/>
      <c r="AZ830" s="19"/>
      <c r="BB830" s="168">
        <f t="shared" si="1097"/>
        <v>756.15657807438629</v>
      </c>
      <c r="BC830" s="168">
        <f t="shared" si="1098"/>
        <v>453.69394684463174</v>
      </c>
      <c r="BD830" s="168">
        <f t="shared" si="1099"/>
        <v>378.07828903719314</v>
      </c>
      <c r="BE830" s="168">
        <f t="shared" si="1100"/>
        <v>302.46263122975455</v>
      </c>
    </row>
    <row r="831" spans="1:57" s="129" customFormat="1" hidden="1">
      <c r="A831" s="88" t="s">
        <v>1276</v>
      </c>
      <c r="B831" s="88" t="s">
        <v>1846</v>
      </c>
      <c r="C831" s="88" t="s">
        <v>1318</v>
      </c>
      <c r="D831" s="88" t="s">
        <v>1102</v>
      </c>
      <c r="E831" s="91" t="s">
        <v>1844</v>
      </c>
      <c r="F831" s="90" t="s">
        <v>1845</v>
      </c>
      <c r="G831" s="92" t="s">
        <v>2638</v>
      </c>
      <c r="H831" s="92" t="s">
        <v>3254</v>
      </c>
      <c r="I831" s="132" t="s">
        <v>1849</v>
      </c>
      <c r="J831" s="132" t="str">
        <f>_xlfn.XLOOKUP(I831,[1]Sheet1!$A:$A,[1]Sheet1!$B:$B,"")</f>
        <v>U1402003</v>
      </c>
      <c r="K831" s="91" t="s">
        <v>1969</v>
      </c>
      <c r="L831" s="89" t="s">
        <v>2088</v>
      </c>
      <c r="M831" s="92"/>
      <c r="N831" s="91" t="s">
        <v>1223</v>
      </c>
      <c r="O831" s="131"/>
      <c r="P831" s="90" t="s">
        <v>2206</v>
      </c>
      <c r="Q831" s="131"/>
      <c r="R831" s="131"/>
      <c r="S831" s="92"/>
      <c r="T831" s="131">
        <v>9403208000</v>
      </c>
      <c r="U831" s="155">
        <v>0</v>
      </c>
      <c r="V831" s="131">
        <v>45</v>
      </c>
      <c r="W831" s="131">
        <v>45</v>
      </c>
      <c r="X831" s="131"/>
      <c r="Y831" s="131" t="s">
        <v>2436</v>
      </c>
      <c r="Z831" s="133">
        <f t="shared" si="1107"/>
        <v>286.21200889547816</v>
      </c>
      <c r="AA831" s="133"/>
      <c r="AB831" s="161">
        <f t="shared" si="1108"/>
        <v>241.48226203020724</v>
      </c>
      <c r="AC831" s="161"/>
      <c r="AD831" s="213">
        <f t="shared" si="1090"/>
        <v>0.05</v>
      </c>
      <c r="AE831" s="213">
        <v>0.05</v>
      </c>
      <c r="AF831" s="219">
        <v>0.27</v>
      </c>
      <c r="AG831" s="218" t="s">
        <v>9</v>
      </c>
      <c r="AH831" s="148">
        <f t="shared" si="1086"/>
        <v>241.48226203020724</v>
      </c>
      <c r="AI831" s="206">
        <f t="shared" si="1109"/>
        <v>0.27</v>
      </c>
      <c r="AJ831" s="444"/>
      <c r="AK831" s="150">
        <f t="shared" si="1103"/>
        <v>203.21052631578948</v>
      </c>
      <c r="AL831" s="202">
        <f t="shared" si="1110"/>
        <v>185.56005398110662</v>
      </c>
      <c r="AM831" s="208">
        <f t="shared" si="1111"/>
        <v>0.29000000000000004</v>
      </c>
      <c r="AN831" s="208">
        <f t="shared" si="1112"/>
        <v>0.231578947368421</v>
      </c>
      <c r="AP831" s="170" t="s">
        <v>1267</v>
      </c>
      <c r="AQ831" s="204"/>
      <c r="AR831" s="204"/>
      <c r="AS831" s="197"/>
      <c r="AT831" s="162"/>
      <c r="AU831" s="162"/>
      <c r="AV831" s="173"/>
      <c r="AW831" s="203">
        <v>165</v>
      </c>
      <c r="AX831" s="126">
        <f t="shared" si="1113"/>
        <v>176.28205128205127</v>
      </c>
      <c r="AY831" s="163"/>
      <c r="AZ831" s="19"/>
      <c r="BB831" s="168">
        <f t="shared" si="1097"/>
        <v>804.94087343402418</v>
      </c>
      <c r="BC831" s="168">
        <f t="shared" si="1098"/>
        <v>482.96452406041448</v>
      </c>
      <c r="BD831" s="168">
        <f t="shared" si="1099"/>
        <v>402.47043671701209</v>
      </c>
      <c r="BE831" s="168">
        <f t="shared" si="1100"/>
        <v>321.97634937360971</v>
      </c>
    </row>
    <row r="832" spans="1:57" s="129" customFormat="1" hidden="1">
      <c r="A832" s="88" t="s">
        <v>1276</v>
      </c>
      <c r="B832" s="88" t="s">
        <v>1846</v>
      </c>
      <c r="C832" s="88" t="s">
        <v>1318</v>
      </c>
      <c r="D832" s="88" t="s">
        <v>1102</v>
      </c>
      <c r="E832" s="91" t="s">
        <v>1844</v>
      </c>
      <c r="F832" s="90" t="s">
        <v>1845</v>
      </c>
      <c r="G832" s="92" t="s">
        <v>2639</v>
      </c>
      <c r="H832" s="92" t="s">
        <v>3254</v>
      </c>
      <c r="I832" s="132" t="s">
        <v>1850</v>
      </c>
      <c r="J832" s="132" t="str">
        <f>_xlfn.XLOOKUP(I832,[1]Sheet1!$A:$A,[1]Sheet1!$B:$B,"")</f>
        <v>U1402004</v>
      </c>
      <c r="K832" s="91" t="s">
        <v>1970</v>
      </c>
      <c r="L832" s="89" t="s">
        <v>2089</v>
      </c>
      <c r="M832" s="92"/>
      <c r="N832" s="91" t="s">
        <v>1223</v>
      </c>
      <c r="O832" s="131"/>
      <c r="P832" s="90" t="s">
        <v>2206</v>
      </c>
      <c r="Q832" s="131"/>
      <c r="R832" s="131"/>
      <c r="S832" s="92"/>
      <c r="T832" s="131">
        <v>9403208000</v>
      </c>
      <c r="U832" s="155">
        <v>0</v>
      </c>
      <c r="V832" s="131">
        <v>45</v>
      </c>
      <c r="W832" s="131">
        <v>45</v>
      </c>
      <c r="X832" s="131"/>
      <c r="Y832" s="131" t="s">
        <v>2436</v>
      </c>
      <c r="Z832" s="133">
        <f t="shared" si="1107"/>
        <v>312.23128243143071</v>
      </c>
      <c r="AA832" s="133"/>
      <c r="AB832" s="161">
        <f t="shared" si="1108"/>
        <v>263.43519494204429</v>
      </c>
      <c r="AC832" s="161"/>
      <c r="AD832" s="213">
        <f t="shared" si="1090"/>
        <v>0.05</v>
      </c>
      <c r="AE832" s="213">
        <v>0.05</v>
      </c>
      <c r="AF832" s="219">
        <v>0.27</v>
      </c>
      <c r="AG832" s="218" t="s">
        <v>9</v>
      </c>
      <c r="AH832" s="148">
        <f t="shared" si="1086"/>
        <v>263.43519494204429</v>
      </c>
      <c r="AI832" s="206">
        <f t="shared" si="1109"/>
        <v>0.27</v>
      </c>
      <c r="AJ832" s="444"/>
      <c r="AK832" s="150">
        <f t="shared" si="1103"/>
        <v>221.68421052631578</v>
      </c>
      <c r="AL832" s="202">
        <f t="shared" si="1110"/>
        <v>202.42914979757089</v>
      </c>
      <c r="AM832" s="208">
        <f t="shared" si="1111"/>
        <v>0.29000000000000004</v>
      </c>
      <c r="AN832" s="208">
        <f t="shared" si="1112"/>
        <v>0.231578947368421</v>
      </c>
      <c r="AP832" s="170" t="s">
        <v>1267</v>
      </c>
      <c r="AQ832" s="204"/>
      <c r="AR832" s="204"/>
      <c r="AS832" s="197"/>
      <c r="AT832" s="162"/>
      <c r="AU832" s="162"/>
      <c r="AV832" s="173"/>
      <c r="AW832" s="203">
        <v>180</v>
      </c>
      <c r="AX832" s="126">
        <f t="shared" si="1113"/>
        <v>192.30769230769232</v>
      </c>
      <c r="AY832" s="163"/>
      <c r="AZ832" s="19"/>
      <c r="BB832" s="168">
        <f t="shared" si="1097"/>
        <v>878.11731647348097</v>
      </c>
      <c r="BC832" s="168">
        <f t="shared" si="1098"/>
        <v>526.87038988408858</v>
      </c>
      <c r="BD832" s="168">
        <f t="shared" si="1099"/>
        <v>439.05865823674048</v>
      </c>
      <c r="BE832" s="168">
        <f t="shared" si="1100"/>
        <v>351.24692658939239</v>
      </c>
    </row>
    <row r="833" spans="1:58" s="129" customFormat="1" hidden="1">
      <c r="A833" s="88" t="s">
        <v>1276</v>
      </c>
      <c r="B833" s="88" t="s">
        <v>1846</v>
      </c>
      <c r="C833" s="88" t="s">
        <v>1318</v>
      </c>
      <c r="D833" s="88" t="s">
        <v>1102</v>
      </c>
      <c r="E833" s="91" t="s">
        <v>1844</v>
      </c>
      <c r="F833" s="90" t="s">
        <v>1845</v>
      </c>
      <c r="G833" s="92" t="s">
        <v>2640</v>
      </c>
      <c r="H833" s="92" t="s">
        <v>3254</v>
      </c>
      <c r="I833" s="132" t="s">
        <v>1851</v>
      </c>
      <c r="J833" s="132" t="str">
        <f>_xlfn.XLOOKUP(I833,[1]Sheet1!$A:$A,[1]Sheet1!$B:$B,"")</f>
        <v>U1402005</v>
      </c>
      <c r="K833" s="91" t="s">
        <v>1971</v>
      </c>
      <c r="L833" s="89" t="s">
        <v>2090</v>
      </c>
      <c r="M833" s="92"/>
      <c r="N833" s="91" t="s">
        <v>1223</v>
      </c>
      <c r="O833" s="131"/>
      <c r="P833" s="90" t="s">
        <v>2206</v>
      </c>
      <c r="Q833" s="131"/>
      <c r="R833" s="131"/>
      <c r="S833" s="92"/>
      <c r="T833" s="131">
        <v>9403208000</v>
      </c>
      <c r="U833" s="155">
        <v>0</v>
      </c>
      <c r="V833" s="131">
        <v>45</v>
      </c>
      <c r="W833" s="131">
        <v>45</v>
      </c>
      <c r="X833" s="131"/>
      <c r="Y833" s="131" t="s">
        <v>2436</v>
      </c>
      <c r="Z833" s="133">
        <f t="shared" si="1107"/>
        <v>372.94292068198666</v>
      </c>
      <c r="AA833" s="133"/>
      <c r="AB833" s="161">
        <f t="shared" si="1108"/>
        <v>314.65870506966405</v>
      </c>
      <c r="AC833" s="161"/>
      <c r="AD833" s="213">
        <f t="shared" si="1090"/>
        <v>0.05</v>
      </c>
      <c r="AE833" s="213">
        <v>0.05</v>
      </c>
      <c r="AF833" s="219">
        <v>0.27</v>
      </c>
      <c r="AG833" s="218" t="s">
        <v>9</v>
      </c>
      <c r="AH833" s="148">
        <f t="shared" si="1086"/>
        <v>314.65870506966405</v>
      </c>
      <c r="AI833" s="206">
        <f t="shared" si="1109"/>
        <v>0.27000000000000013</v>
      </c>
      <c r="AJ833" s="444"/>
      <c r="AK833" s="150">
        <f t="shared" si="1103"/>
        <v>264.78947368421052</v>
      </c>
      <c r="AL833" s="202">
        <f t="shared" si="1110"/>
        <v>241.79037336932078</v>
      </c>
      <c r="AM833" s="208">
        <f t="shared" si="1111"/>
        <v>0.29000000000000004</v>
      </c>
      <c r="AN833" s="208">
        <f t="shared" si="1112"/>
        <v>0.23157894736842111</v>
      </c>
      <c r="AP833" s="170" t="s">
        <v>1267</v>
      </c>
      <c r="AQ833" s="204"/>
      <c r="AR833" s="204"/>
      <c r="AS833" s="197"/>
      <c r="AT833" s="162"/>
      <c r="AU833" s="162"/>
      <c r="AV833" s="173"/>
      <c r="AW833" s="203">
        <v>215</v>
      </c>
      <c r="AX833" s="126">
        <f t="shared" si="1113"/>
        <v>229.70085470085473</v>
      </c>
      <c r="AY833" s="163"/>
      <c r="AZ833" s="19"/>
      <c r="BB833" s="168">
        <f t="shared" si="1097"/>
        <v>1048.8623502322137</v>
      </c>
      <c r="BC833" s="168">
        <f t="shared" si="1098"/>
        <v>629.31741013932822</v>
      </c>
      <c r="BD833" s="168">
        <f t="shared" si="1099"/>
        <v>524.43117511610683</v>
      </c>
      <c r="BE833" s="168">
        <f t="shared" si="1100"/>
        <v>419.5449400928855</v>
      </c>
    </row>
    <row r="834" spans="1:58" s="129" customFormat="1" hidden="1">
      <c r="A834" s="88" t="s">
        <v>1276</v>
      </c>
      <c r="B834" s="88" t="s">
        <v>1846</v>
      </c>
      <c r="C834" s="88" t="s">
        <v>1318</v>
      </c>
      <c r="D834" s="88" t="s">
        <v>1102</v>
      </c>
      <c r="E834" s="91" t="s">
        <v>1844</v>
      </c>
      <c r="F834" s="90" t="s">
        <v>1845</v>
      </c>
      <c r="G834" s="92" t="s">
        <v>2640</v>
      </c>
      <c r="H834" s="92" t="s">
        <v>3254</v>
      </c>
      <c r="I834" s="132" t="s">
        <v>1852</v>
      </c>
      <c r="J834" s="132" t="str">
        <f>_xlfn.XLOOKUP(I834,[1]Sheet1!$A:$A,[1]Sheet1!$B:$B,"")</f>
        <v>U1402006</v>
      </c>
      <c r="K834" s="91" t="s">
        <v>1972</v>
      </c>
      <c r="L834" s="89" t="s">
        <v>2091</v>
      </c>
      <c r="M834" s="92"/>
      <c r="N834" s="91" t="s">
        <v>1223</v>
      </c>
      <c r="O834" s="131"/>
      <c r="P834" s="90" t="s">
        <v>2206</v>
      </c>
      <c r="Q834" s="131"/>
      <c r="R834" s="131"/>
      <c r="S834" s="92"/>
      <c r="T834" s="131">
        <v>9403208000</v>
      </c>
      <c r="U834" s="155">
        <v>0</v>
      </c>
      <c r="V834" s="131">
        <v>45</v>
      </c>
      <c r="W834" s="131">
        <v>45</v>
      </c>
      <c r="X834" s="131"/>
      <c r="Y834" s="131" t="s">
        <v>2436</v>
      </c>
      <c r="Z834" s="133">
        <f t="shared" si="1107"/>
        <v>293.15048183839878</v>
      </c>
      <c r="AA834" s="133"/>
      <c r="AB834" s="161">
        <f t="shared" si="1108"/>
        <v>247.3363774733638</v>
      </c>
      <c r="AC834" s="161"/>
      <c r="AD834" s="213">
        <f t="shared" si="1090"/>
        <v>0.05</v>
      </c>
      <c r="AE834" s="213">
        <v>0.05</v>
      </c>
      <c r="AF834" s="219">
        <v>0.27</v>
      </c>
      <c r="AG834" s="218" t="s">
        <v>9</v>
      </c>
      <c r="AH834" s="148">
        <f t="shared" si="1086"/>
        <v>247.3363774733638</v>
      </c>
      <c r="AI834" s="206">
        <f t="shared" si="1109"/>
        <v>0.27</v>
      </c>
      <c r="AJ834" s="444"/>
      <c r="AK834" s="150">
        <f t="shared" si="1103"/>
        <v>208.13684210526313</v>
      </c>
      <c r="AL834" s="202">
        <f t="shared" si="1110"/>
        <v>190.05847953216377</v>
      </c>
      <c r="AM834" s="208">
        <f t="shared" si="1111"/>
        <v>0.29000000000000004</v>
      </c>
      <c r="AN834" s="208">
        <f t="shared" si="1112"/>
        <v>0.231578947368421</v>
      </c>
      <c r="AP834" s="170" t="s">
        <v>1267</v>
      </c>
      <c r="AQ834" s="204"/>
      <c r="AR834" s="204"/>
      <c r="AS834" s="197"/>
      <c r="AT834" s="162"/>
      <c r="AU834" s="162"/>
      <c r="AV834" s="173"/>
      <c r="AW834" s="203">
        <v>169</v>
      </c>
      <c r="AX834" s="126">
        <f t="shared" si="1113"/>
        <v>180.55555555555557</v>
      </c>
      <c r="AY834" s="163"/>
      <c r="AZ834" s="19"/>
      <c r="BB834" s="168">
        <f t="shared" si="1097"/>
        <v>824.45459157787934</v>
      </c>
      <c r="BC834" s="168">
        <f t="shared" si="1098"/>
        <v>494.67275494672759</v>
      </c>
      <c r="BD834" s="168">
        <f t="shared" si="1099"/>
        <v>412.22729578893967</v>
      </c>
      <c r="BE834" s="168">
        <f t="shared" si="1100"/>
        <v>329.78183663115175</v>
      </c>
    </row>
    <row r="835" spans="1:58" s="129" customFormat="1" hidden="1">
      <c r="A835" s="88" t="s">
        <v>1276</v>
      </c>
      <c r="B835" s="88" t="s">
        <v>1846</v>
      </c>
      <c r="C835" s="88" t="s">
        <v>1318</v>
      </c>
      <c r="D835" s="88" t="s">
        <v>1102</v>
      </c>
      <c r="E835" s="91" t="s">
        <v>1844</v>
      </c>
      <c r="F835" s="90" t="s">
        <v>1845</v>
      </c>
      <c r="G835" s="92" t="s">
        <v>2636</v>
      </c>
      <c r="H835" s="92" t="s">
        <v>3255</v>
      </c>
      <c r="I835" s="132" t="s">
        <v>1853</v>
      </c>
      <c r="J835" s="132" t="str">
        <f>_xlfn.XLOOKUP(I835,[1]Sheet1!$A:$A,[1]Sheet1!$B:$B,"")</f>
        <v>U1402007</v>
      </c>
      <c r="K835" s="91" t="s">
        <v>1973</v>
      </c>
      <c r="L835" s="89" t="s">
        <v>2092</v>
      </c>
      <c r="M835" s="92"/>
      <c r="N835" s="91" t="s">
        <v>1223</v>
      </c>
      <c r="O835" s="131"/>
      <c r="P835" s="90" t="s">
        <v>2206</v>
      </c>
      <c r="Q835" s="131"/>
      <c r="R835" s="131"/>
      <c r="S835" s="92"/>
      <c r="T835" s="131">
        <v>9403208000</v>
      </c>
      <c r="U835" s="155">
        <v>0</v>
      </c>
      <c r="V835" s="131">
        <v>45</v>
      </c>
      <c r="W835" s="131">
        <v>45</v>
      </c>
      <c r="X835" s="131"/>
      <c r="Y835" s="131" t="s">
        <v>2436</v>
      </c>
      <c r="Z835" s="133">
        <f t="shared" si="1107"/>
        <v>294.88510007412896</v>
      </c>
      <c r="AA835" s="133"/>
      <c r="AB835" s="161">
        <f t="shared" si="1108"/>
        <v>248.79990633415289</v>
      </c>
      <c r="AC835" s="161"/>
      <c r="AD835" s="213">
        <f t="shared" si="1090"/>
        <v>0.05</v>
      </c>
      <c r="AE835" s="213">
        <v>0.05</v>
      </c>
      <c r="AF835" s="219">
        <v>0.27</v>
      </c>
      <c r="AG835" s="218" t="s">
        <v>9</v>
      </c>
      <c r="AH835" s="148">
        <f t="shared" si="1086"/>
        <v>248.79990633415289</v>
      </c>
      <c r="AI835" s="206">
        <f t="shared" si="1109"/>
        <v>0.27</v>
      </c>
      <c r="AJ835" s="444"/>
      <c r="AK835" s="150">
        <f t="shared" si="1103"/>
        <v>209.36842105263156</v>
      </c>
      <c r="AL835" s="202">
        <f t="shared" si="1110"/>
        <v>191.18308591992803</v>
      </c>
      <c r="AM835" s="208">
        <f t="shared" si="1111"/>
        <v>0.29000000000000004</v>
      </c>
      <c r="AN835" s="208">
        <f t="shared" si="1112"/>
        <v>0.231578947368421</v>
      </c>
      <c r="AP835" s="170" t="s">
        <v>1267</v>
      </c>
      <c r="AQ835" s="204"/>
      <c r="AR835" s="204"/>
      <c r="AS835" s="197"/>
      <c r="AT835" s="162"/>
      <c r="AU835" s="162"/>
      <c r="AV835" s="173"/>
      <c r="AW835" s="203">
        <v>170</v>
      </c>
      <c r="AX835" s="126">
        <f t="shared" si="1113"/>
        <v>181.62393162393161</v>
      </c>
      <c r="AY835" s="163"/>
      <c r="AZ835" s="19"/>
      <c r="BB835" s="168">
        <f t="shared" si="1097"/>
        <v>829.33302111384296</v>
      </c>
      <c r="BC835" s="168">
        <f t="shared" si="1098"/>
        <v>497.59981266830573</v>
      </c>
      <c r="BD835" s="168">
        <f t="shared" si="1099"/>
        <v>414.66651055692148</v>
      </c>
      <c r="BE835" s="168">
        <f t="shared" si="1100"/>
        <v>331.73320844553723</v>
      </c>
    </row>
    <row r="836" spans="1:58" s="129" customFormat="1" hidden="1">
      <c r="A836" s="88" t="s">
        <v>1276</v>
      </c>
      <c r="B836" s="88" t="s">
        <v>1846</v>
      </c>
      <c r="C836" s="88" t="s">
        <v>1318</v>
      </c>
      <c r="D836" s="88" t="s">
        <v>1102</v>
      </c>
      <c r="E836" s="91" t="s">
        <v>1844</v>
      </c>
      <c r="F836" s="90" t="s">
        <v>1845</v>
      </c>
      <c r="G836" s="92" t="s">
        <v>2637</v>
      </c>
      <c r="H836" s="92" t="s">
        <v>3255</v>
      </c>
      <c r="I836" s="132" t="s">
        <v>1854</v>
      </c>
      <c r="J836" s="132" t="str">
        <f>_xlfn.XLOOKUP(I836,[1]Sheet1!$A:$A,[1]Sheet1!$B:$B,"")</f>
        <v>U1402008</v>
      </c>
      <c r="K836" s="91" t="s">
        <v>1974</v>
      </c>
      <c r="L836" s="89" t="s">
        <v>2093</v>
      </c>
      <c r="M836" s="92"/>
      <c r="N836" s="91" t="s">
        <v>1223</v>
      </c>
      <c r="O836" s="131"/>
      <c r="P836" s="90" t="s">
        <v>2206</v>
      </c>
      <c r="Q836" s="131"/>
      <c r="R836" s="131"/>
      <c r="S836" s="92"/>
      <c r="T836" s="131">
        <v>9403208000</v>
      </c>
      <c r="U836" s="155">
        <v>0</v>
      </c>
      <c r="V836" s="131">
        <v>45</v>
      </c>
      <c r="W836" s="131">
        <v>45</v>
      </c>
      <c r="X836" s="131"/>
      <c r="Y836" s="131" t="s">
        <v>2436</v>
      </c>
      <c r="Z836" s="133">
        <f t="shared" si="1107"/>
        <v>312.23128243143071</v>
      </c>
      <c r="AA836" s="133"/>
      <c r="AB836" s="161">
        <f t="shared" si="1108"/>
        <v>263.43519494204429</v>
      </c>
      <c r="AC836" s="161"/>
      <c r="AD836" s="213">
        <f t="shared" si="1090"/>
        <v>0.05</v>
      </c>
      <c r="AE836" s="213">
        <v>0.05</v>
      </c>
      <c r="AF836" s="219">
        <v>0.27</v>
      </c>
      <c r="AG836" s="218" t="s">
        <v>9</v>
      </c>
      <c r="AH836" s="148">
        <f t="shared" si="1086"/>
        <v>263.43519494204429</v>
      </c>
      <c r="AI836" s="206">
        <f t="shared" si="1109"/>
        <v>0.27</v>
      </c>
      <c r="AJ836" s="444"/>
      <c r="AK836" s="150">
        <f t="shared" si="1103"/>
        <v>221.68421052631578</v>
      </c>
      <c r="AL836" s="202">
        <f t="shared" si="1110"/>
        <v>202.42914979757089</v>
      </c>
      <c r="AM836" s="208">
        <f t="shared" si="1111"/>
        <v>0.29000000000000004</v>
      </c>
      <c r="AN836" s="208">
        <f t="shared" si="1112"/>
        <v>0.231578947368421</v>
      </c>
      <c r="AP836" s="170" t="s">
        <v>1267</v>
      </c>
      <c r="AQ836" s="204"/>
      <c r="AR836" s="204"/>
      <c r="AS836" s="197"/>
      <c r="AT836" s="162"/>
      <c r="AU836" s="162"/>
      <c r="AV836" s="173"/>
      <c r="AW836" s="203">
        <v>180</v>
      </c>
      <c r="AX836" s="126">
        <f t="shared" si="1113"/>
        <v>192.30769230769232</v>
      </c>
      <c r="AY836" s="163"/>
      <c r="AZ836" s="19"/>
      <c r="BB836" s="168">
        <f t="shared" si="1097"/>
        <v>878.11731647348097</v>
      </c>
      <c r="BC836" s="168">
        <f t="shared" si="1098"/>
        <v>526.87038988408858</v>
      </c>
      <c r="BD836" s="168">
        <f t="shared" si="1099"/>
        <v>439.05865823674048</v>
      </c>
      <c r="BE836" s="168">
        <f t="shared" si="1100"/>
        <v>351.24692658939239</v>
      </c>
    </row>
    <row r="837" spans="1:58" s="129" customFormat="1" hidden="1">
      <c r="A837" s="88" t="s">
        <v>1276</v>
      </c>
      <c r="B837" s="88" t="s">
        <v>1846</v>
      </c>
      <c r="C837" s="88" t="s">
        <v>1318</v>
      </c>
      <c r="D837" s="88" t="s">
        <v>1102</v>
      </c>
      <c r="E837" s="91" t="s">
        <v>1844</v>
      </c>
      <c r="F837" s="90" t="s">
        <v>1845</v>
      </c>
      <c r="G837" s="92" t="s">
        <v>2638</v>
      </c>
      <c r="H837" s="92" t="s">
        <v>3255</v>
      </c>
      <c r="I837" s="132" t="s">
        <v>1855</v>
      </c>
      <c r="J837" s="132" t="str">
        <f>_xlfn.XLOOKUP(I837,[1]Sheet1!$A:$A,[1]Sheet1!$B:$B,"")</f>
        <v>U1402009</v>
      </c>
      <c r="K837" s="91" t="s">
        <v>1975</v>
      </c>
      <c r="L837" s="89" t="s">
        <v>2094</v>
      </c>
      <c r="M837" s="92"/>
      <c r="N837" s="91" t="s">
        <v>1223</v>
      </c>
      <c r="O837" s="131"/>
      <c r="P837" s="90" t="s">
        <v>2206</v>
      </c>
      <c r="Q837" s="131"/>
      <c r="R837" s="131"/>
      <c r="S837" s="92"/>
      <c r="T837" s="131">
        <v>9403208000</v>
      </c>
      <c r="U837" s="155">
        <v>0</v>
      </c>
      <c r="V837" s="131">
        <v>45</v>
      </c>
      <c r="W837" s="131">
        <v>45</v>
      </c>
      <c r="X837" s="131"/>
      <c r="Y837" s="131" t="s">
        <v>2436</v>
      </c>
      <c r="Z837" s="133">
        <f t="shared" si="1107"/>
        <v>324.37361008154187</v>
      </c>
      <c r="AA837" s="133"/>
      <c r="AB837" s="161">
        <f t="shared" si="1108"/>
        <v>273.6798969675682</v>
      </c>
      <c r="AC837" s="161"/>
      <c r="AD837" s="213">
        <f t="shared" si="1090"/>
        <v>0.05</v>
      </c>
      <c r="AE837" s="213">
        <v>0.05</v>
      </c>
      <c r="AF837" s="219">
        <v>0.27</v>
      </c>
      <c r="AG837" s="218" t="s">
        <v>9</v>
      </c>
      <c r="AH837" s="148">
        <f t="shared" si="1086"/>
        <v>273.6798969675682</v>
      </c>
      <c r="AI837" s="206">
        <f t="shared" si="1109"/>
        <v>0.26999999999999991</v>
      </c>
      <c r="AJ837" s="444"/>
      <c r="AK837" s="150">
        <f t="shared" si="1103"/>
        <v>230.30526315789473</v>
      </c>
      <c r="AL837" s="202">
        <f t="shared" si="1110"/>
        <v>210.30139451192085</v>
      </c>
      <c r="AM837" s="208">
        <f t="shared" si="1111"/>
        <v>0.29000000000000004</v>
      </c>
      <c r="AN837" s="208">
        <f t="shared" si="1112"/>
        <v>0.231578947368421</v>
      </c>
      <c r="AP837" s="170" t="s">
        <v>1267</v>
      </c>
      <c r="AQ837" s="204"/>
      <c r="AR837" s="204"/>
      <c r="AS837" s="197"/>
      <c r="AT837" s="162"/>
      <c r="AU837" s="162"/>
      <c r="AV837" s="173"/>
      <c r="AW837" s="203">
        <v>187</v>
      </c>
      <c r="AX837" s="126">
        <f t="shared" si="1113"/>
        <v>199.7863247863248</v>
      </c>
      <c r="AY837" s="163"/>
      <c r="AZ837" s="19"/>
      <c r="BB837" s="168">
        <f t="shared" si="1097"/>
        <v>912.26632322522732</v>
      </c>
      <c r="BC837" s="168">
        <f t="shared" si="1098"/>
        <v>547.35979393513639</v>
      </c>
      <c r="BD837" s="168">
        <f t="shared" si="1099"/>
        <v>456.13316161261366</v>
      </c>
      <c r="BE837" s="168">
        <f t="shared" si="1100"/>
        <v>364.90652929009093</v>
      </c>
    </row>
    <row r="838" spans="1:58" s="129" customFormat="1" hidden="1">
      <c r="A838" s="88" t="s">
        <v>1276</v>
      </c>
      <c r="B838" s="88" t="s">
        <v>1846</v>
      </c>
      <c r="C838" s="88" t="s">
        <v>1318</v>
      </c>
      <c r="D838" s="88" t="s">
        <v>1102</v>
      </c>
      <c r="E838" s="91" t="s">
        <v>1844</v>
      </c>
      <c r="F838" s="90" t="s">
        <v>1845</v>
      </c>
      <c r="G838" s="92" t="s">
        <v>2639</v>
      </c>
      <c r="H838" s="92" t="s">
        <v>3255</v>
      </c>
      <c r="I838" s="132" t="s">
        <v>1856</v>
      </c>
      <c r="J838" s="132" t="str">
        <f>_xlfn.XLOOKUP(I838,[1]Sheet1!$A:$A,[1]Sheet1!$B:$B,"")</f>
        <v>U1402010</v>
      </c>
      <c r="K838" s="91" t="s">
        <v>1976</v>
      </c>
      <c r="L838" s="89" t="s">
        <v>2095</v>
      </c>
      <c r="M838" s="92"/>
      <c r="N838" s="91" t="s">
        <v>1223</v>
      </c>
      <c r="O838" s="131"/>
      <c r="P838" s="90" t="s">
        <v>2206</v>
      </c>
      <c r="Q838" s="131"/>
      <c r="R838" s="131"/>
      <c r="S838" s="92"/>
      <c r="T838" s="131">
        <v>9403208000</v>
      </c>
      <c r="U838" s="155">
        <v>0</v>
      </c>
      <c r="V838" s="131">
        <v>45</v>
      </c>
      <c r="W838" s="131">
        <v>45</v>
      </c>
      <c r="X838" s="131"/>
      <c r="Y838" s="131" t="s">
        <v>2436</v>
      </c>
      <c r="Z838" s="133">
        <f t="shared" si="1107"/>
        <v>355.59673832468496</v>
      </c>
      <c r="AA838" s="133"/>
      <c r="AB838" s="161">
        <f t="shared" si="1108"/>
        <v>300.02341646177268</v>
      </c>
      <c r="AC838" s="161"/>
      <c r="AD838" s="213">
        <f t="shared" si="1090"/>
        <v>0.05</v>
      </c>
      <c r="AE838" s="213">
        <v>0.05</v>
      </c>
      <c r="AF838" s="219">
        <v>0.27</v>
      </c>
      <c r="AG838" s="218" t="s">
        <v>9</v>
      </c>
      <c r="AH838" s="148">
        <f t="shared" si="1086"/>
        <v>300.02341646177268</v>
      </c>
      <c r="AI838" s="206">
        <f t="shared" si="1109"/>
        <v>0.27</v>
      </c>
      <c r="AJ838" s="444"/>
      <c r="AK838" s="150">
        <f t="shared" si="1103"/>
        <v>252.47368421052633</v>
      </c>
      <c r="AL838" s="202">
        <f t="shared" si="1110"/>
        <v>230.54430949167795</v>
      </c>
      <c r="AM838" s="208">
        <f t="shared" si="1111"/>
        <v>0.29000000000000004</v>
      </c>
      <c r="AN838" s="208">
        <f t="shared" si="1112"/>
        <v>0.23157894736842111</v>
      </c>
      <c r="AP838" s="170" t="s">
        <v>1267</v>
      </c>
      <c r="AQ838" s="204"/>
      <c r="AR838" s="204"/>
      <c r="AS838" s="197"/>
      <c r="AT838" s="162"/>
      <c r="AU838" s="162"/>
      <c r="AV838" s="173"/>
      <c r="AW838" s="203">
        <v>205</v>
      </c>
      <c r="AX838" s="126">
        <f t="shared" si="1113"/>
        <v>219.01709401709405</v>
      </c>
      <c r="AY838" s="163"/>
      <c r="AZ838" s="19"/>
      <c r="BB838" s="168">
        <f t="shared" si="1097"/>
        <v>1000.0780548725756</v>
      </c>
      <c r="BC838" s="168">
        <f t="shared" si="1098"/>
        <v>600.04683292354537</v>
      </c>
      <c r="BD838" s="168">
        <f t="shared" si="1099"/>
        <v>500.03902743628782</v>
      </c>
      <c r="BE838" s="168">
        <f t="shared" si="1100"/>
        <v>400.03122194903028</v>
      </c>
    </row>
    <row r="839" spans="1:58" s="129" customFormat="1" hidden="1">
      <c r="A839" s="88" t="s">
        <v>1276</v>
      </c>
      <c r="B839" s="88" t="s">
        <v>1846</v>
      </c>
      <c r="C839" s="88" t="s">
        <v>1318</v>
      </c>
      <c r="D839" s="88" t="s">
        <v>1102</v>
      </c>
      <c r="E839" s="91" t="s">
        <v>1844</v>
      </c>
      <c r="F839" s="90" t="s">
        <v>1845</v>
      </c>
      <c r="G839" s="92" t="s">
        <v>2640</v>
      </c>
      <c r="H839" s="92" t="s">
        <v>3255</v>
      </c>
      <c r="I839" s="132" t="s">
        <v>1857</v>
      </c>
      <c r="J839" s="132" t="str">
        <f>_xlfn.XLOOKUP(I839,[1]Sheet1!$A:$A,[1]Sheet1!$B:$B,"")</f>
        <v>U1402011</v>
      </c>
      <c r="K839" s="91" t="s">
        <v>1977</v>
      </c>
      <c r="L839" s="89" t="s">
        <v>2096</v>
      </c>
      <c r="M839" s="92"/>
      <c r="N839" s="91" t="s">
        <v>1223</v>
      </c>
      <c r="O839" s="131"/>
      <c r="P839" s="90" t="s">
        <v>2206</v>
      </c>
      <c r="Q839" s="131"/>
      <c r="R839" s="131"/>
      <c r="S839" s="92"/>
      <c r="T839" s="131">
        <v>9403208000</v>
      </c>
      <c r="U839" s="155">
        <v>0</v>
      </c>
      <c r="V839" s="131">
        <v>45</v>
      </c>
      <c r="W839" s="131">
        <v>45</v>
      </c>
      <c r="X839" s="131"/>
      <c r="Y839" s="131" t="s">
        <v>2436</v>
      </c>
      <c r="Z839" s="133">
        <f t="shared" si="1107"/>
        <v>398.96219421793921</v>
      </c>
      <c r="AA839" s="133"/>
      <c r="AB839" s="161">
        <f t="shared" si="1108"/>
        <v>336.61163798150102</v>
      </c>
      <c r="AC839" s="161"/>
      <c r="AD839" s="213">
        <f t="shared" si="1090"/>
        <v>0.05</v>
      </c>
      <c r="AE839" s="213">
        <v>0.05</v>
      </c>
      <c r="AF839" s="219">
        <v>0.27</v>
      </c>
      <c r="AG839" s="218" t="s">
        <v>9</v>
      </c>
      <c r="AH839" s="148">
        <f t="shared" si="1086"/>
        <v>336.61163798150102</v>
      </c>
      <c r="AI839" s="206">
        <f t="shared" si="1109"/>
        <v>0.27</v>
      </c>
      <c r="AJ839" s="444"/>
      <c r="AK839" s="150">
        <f t="shared" si="1103"/>
        <v>283.26315789473682</v>
      </c>
      <c r="AL839" s="202">
        <f t="shared" si="1110"/>
        <v>258.65946918578499</v>
      </c>
      <c r="AM839" s="208">
        <f t="shared" si="1111"/>
        <v>0.29000000000000004</v>
      </c>
      <c r="AN839" s="208">
        <f t="shared" si="1112"/>
        <v>0.23157894736842111</v>
      </c>
      <c r="AP839" s="170" t="s">
        <v>1267</v>
      </c>
      <c r="AQ839" s="204"/>
      <c r="AR839" s="204"/>
      <c r="AS839" s="197"/>
      <c r="AT839" s="162"/>
      <c r="AU839" s="162"/>
      <c r="AV839" s="173"/>
      <c r="AW839" s="203">
        <v>230</v>
      </c>
      <c r="AX839" s="126">
        <f t="shared" si="1113"/>
        <v>245.72649572649573</v>
      </c>
      <c r="AY839" s="163"/>
      <c r="AZ839" s="19"/>
      <c r="BB839" s="168">
        <f t="shared" si="1097"/>
        <v>1122.0387932716701</v>
      </c>
      <c r="BC839" s="168">
        <f t="shared" si="1098"/>
        <v>673.22327596300204</v>
      </c>
      <c r="BD839" s="168">
        <f t="shared" si="1099"/>
        <v>561.01939663583505</v>
      </c>
      <c r="BE839" s="168">
        <f t="shared" si="1100"/>
        <v>448.81551730866806</v>
      </c>
    </row>
    <row r="840" spans="1:58" s="129" customFormat="1" hidden="1">
      <c r="A840" s="88" t="s">
        <v>1276</v>
      </c>
      <c r="B840" s="88" t="s">
        <v>1846</v>
      </c>
      <c r="C840" s="88" t="s">
        <v>1318</v>
      </c>
      <c r="D840" s="88" t="s">
        <v>1102</v>
      </c>
      <c r="E840" s="91" t="s">
        <v>1844</v>
      </c>
      <c r="F840" s="90" t="s">
        <v>1845</v>
      </c>
      <c r="G840" s="92" t="s">
        <v>2640</v>
      </c>
      <c r="H840" s="92" t="s">
        <v>3255</v>
      </c>
      <c r="I840" s="132" t="s">
        <v>1858</v>
      </c>
      <c r="J840" s="132" t="str">
        <f>_xlfn.XLOOKUP(I840,[1]Sheet1!$A:$A,[1]Sheet1!$B:$B,"")</f>
        <v>U1402012</v>
      </c>
      <c r="K840" s="91" t="s">
        <v>1978</v>
      </c>
      <c r="L840" s="89" t="s">
        <v>2097</v>
      </c>
      <c r="M840" s="92"/>
      <c r="N840" s="91" t="s">
        <v>1223</v>
      </c>
      <c r="O840" s="131"/>
      <c r="P840" s="90" t="s">
        <v>2206</v>
      </c>
      <c r="Q840" s="131"/>
      <c r="R840" s="131"/>
      <c r="S840" s="92"/>
      <c r="T840" s="131">
        <v>9403208000</v>
      </c>
      <c r="U840" s="155">
        <v>0</v>
      </c>
      <c r="V840" s="131">
        <v>45</v>
      </c>
      <c r="W840" s="131">
        <v>45</v>
      </c>
      <c r="X840" s="131"/>
      <c r="Y840" s="131" t="s">
        <v>2436</v>
      </c>
      <c r="Z840" s="133">
        <f t="shared" si="1107"/>
        <v>312.23128243143071</v>
      </c>
      <c r="AA840" s="133"/>
      <c r="AB840" s="161">
        <f t="shared" si="1108"/>
        <v>263.43519494204429</v>
      </c>
      <c r="AC840" s="161"/>
      <c r="AD840" s="213">
        <f t="shared" si="1090"/>
        <v>0.05</v>
      </c>
      <c r="AE840" s="213">
        <v>0.05</v>
      </c>
      <c r="AF840" s="219">
        <v>0.27</v>
      </c>
      <c r="AG840" s="218" t="s">
        <v>9</v>
      </c>
      <c r="AH840" s="148">
        <f t="shared" si="1086"/>
        <v>263.43519494204429</v>
      </c>
      <c r="AI840" s="206">
        <f t="shared" si="1109"/>
        <v>0.27</v>
      </c>
      <c r="AJ840" s="444"/>
      <c r="AK840" s="150">
        <f t="shared" si="1103"/>
        <v>221.68421052631578</v>
      </c>
      <c r="AL840" s="202">
        <f t="shared" si="1110"/>
        <v>202.42914979757089</v>
      </c>
      <c r="AM840" s="208">
        <f t="shared" si="1111"/>
        <v>0.29000000000000004</v>
      </c>
      <c r="AN840" s="208">
        <f t="shared" si="1112"/>
        <v>0.231578947368421</v>
      </c>
      <c r="AP840" s="170" t="s">
        <v>1267</v>
      </c>
      <c r="AQ840" s="204"/>
      <c r="AR840" s="204"/>
      <c r="AS840" s="197"/>
      <c r="AT840" s="162"/>
      <c r="AU840" s="162"/>
      <c r="AV840" s="173"/>
      <c r="AW840" s="203">
        <v>180</v>
      </c>
      <c r="AX840" s="126">
        <f t="shared" si="1113"/>
        <v>192.30769230769232</v>
      </c>
      <c r="AY840" s="163"/>
      <c r="AZ840" s="19"/>
      <c r="BB840" s="168">
        <f t="shared" si="1097"/>
        <v>878.11731647348097</v>
      </c>
      <c r="BC840" s="168">
        <f t="shared" si="1098"/>
        <v>526.87038988408858</v>
      </c>
      <c r="BD840" s="168">
        <f t="shared" si="1099"/>
        <v>439.05865823674048</v>
      </c>
      <c r="BE840" s="168">
        <f t="shared" si="1100"/>
        <v>351.24692658939239</v>
      </c>
    </row>
    <row r="841" spans="1:58" s="129" customFormat="1" hidden="1">
      <c r="A841" s="88" t="s">
        <v>1276</v>
      </c>
      <c r="B841" s="88" t="s">
        <v>1846</v>
      </c>
      <c r="C841" s="88" t="s">
        <v>1318</v>
      </c>
      <c r="D841" s="88" t="s">
        <v>1102</v>
      </c>
      <c r="E841" s="91" t="s">
        <v>1844</v>
      </c>
      <c r="F841" s="90" t="s">
        <v>1845</v>
      </c>
      <c r="G841" s="92" t="s">
        <v>2640</v>
      </c>
      <c r="H841" s="92" t="s">
        <v>3256</v>
      </c>
      <c r="I841" s="132" t="s">
        <v>1859</v>
      </c>
      <c r="J841" s="132" t="str">
        <f>_xlfn.XLOOKUP(I841,[1]Sheet1!$A:$A,[1]Sheet1!$B:$B,"")</f>
        <v>U1402013</v>
      </c>
      <c r="K841" s="91" t="s">
        <v>1979</v>
      </c>
      <c r="L841" s="89" t="s">
        <v>2098</v>
      </c>
      <c r="M841" s="92"/>
      <c r="N841" s="91" t="s">
        <v>1223</v>
      </c>
      <c r="O841" s="131"/>
      <c r="P841" s="90" t="s">
        <v>2206</v>
      </c>
      <c r="Q841" s="131"/>
      <c r="R841" s="131"/>
      <c r="S841" s="92"/>
      <c r="T841" s="131">
        <v>9403208000</v>
      </c>
      <c r="U841" s="155">
        <v>0</v>
      </c>
      <c r="V841" s="131">
        <v>45</v>
      </c>
      <c r="W841" s="131">
        <v>45</v>
      </c>
      <c r="X841" s="131"/>
      <c r="Y841" s="131" t="s">
        <v>2436</v>
      </c>
      <c r="Z841" s="133">
        <f t="shared" si="1107"/>
        <v>477.02001482579698</v>
      </c>
      <c r="AA841" s="133"/>
      <c r="AB841" s="161">
        <f t="shared" si="1108"/>
        <v>402.47043671701209</v>
      </c>
      <c r="AC841" s="161"/>
      <c r="AD841" s="213">
        <f t="shared" si="1090"/>
        <v>0.05</v>
      </c>
      <c r="AE841" s="213">
        <v>0.05</v>
      </c>
      <c r="AF841" s="219">
        <v>0.27</v>
      </c>
      <c r="AG841" s="218" t="s">
        <v>9</v>
      </c>
      <c r="AH841" s="148">
        <f t="shared" si="1086"/>
        <v>402.47043671701209</v>
      </c>
      <c r="AI841" s="206">
        <f t="shared" si="1109"/>
        <v>0.27</v>
      </c>
      <c r="AJ841" s="444"/>
      <c r="AK841" s="150">
        <f t="shared" si="1103"/>
        <v>338.68421052631584</v>
      </c>
      <c r="AL841" s="202">
        <f t="shared" si="1110"/>
        <v>309.26675663517773</v>
      </c>
      <c r="AM841" s="208">
        <f t="shared" si="1111"/>
        <v>0.29000000000000004</v>
      </c>
      <c r="AN841" s="208">
        <f t="shared" si="1112"/>
        <v>0.231578947368421</v>
      </c>
      <c r="AP841" s="170" t="s">
        <v>1267</v>
      </c>
      <c r="AQ841" s="204"/>
      <c r="AR841" s="204"/>
      <c r="AS841" s="197"/>
      <c r="AT841" s="162"/>
      <c r="AU841" s="162"/>
      <c r="AV841" s="173"/>
      <c r="AW841" s="203">
        <v>275</v>
      </c>
      <c r="AX841" s="126">
        <f t="shared" si="1113"/>
        <v>293.80341880341882</v>
      </c>
      <c r="AY841" s="163"/>
      <c r="AZ841" s="19"/>
      <c r="BB841" s="168">
        <f t="shared" si="1097"/>
        <v>1341.5681223900403</v>
      </c>
      <c r="BC841" s="168">
        <f t="shared" si="1098"/>
        <v>804.94087343402418</v>
      </c>
      <c r="BD841" s="168">
        <f t="shared" si="1099"/>
        <v>670.78406119502017</v>
      </c>
      <c r="BE841" s="168">
        <f t="shared" si="1100"/>
        <v>536.62724895601616</v>
      </c>
    </row>
    <row r="842" spans="1:58" s="347" customFormat="1" hidden="1">
      <c r="A842" s="333" t="s">
        <v>3500</v>
      </c>
      <c r="B842" s="333" t="s">
        <v>1846</v>
      </c>
      <c r="C842" s="333" t="s">
        <v>1318</v>
      </c>
      <c r="D842" s="333" t="s">
        <v>1102</v>
      </c>
      <c r="E842" s="348" t="s">
        <v>1844</v>
      </c>
      <c r="F842" s="349" t="s">
        <v>1845</v>
      </c>
      <c r="G842" s="335" t="s">
        <v>2640</v>
      </c>
      <c r="H842" s="335" t="s">
        <v>3257</v>
      </c>
      <c r="I842" s="350" t="s">
        <v>3501</v>
      </c>
      <c r="J842" s="350"/>
      <c r="K842" s="348" t="s">
        <v>3502</v>
      </c>
      <c r="L842" s="334" t="s">
        <v>3503</v>
      </c>
      <c r="M842" s="335"/>
      <c r="N842" s="348" t="s">
        <v>1223</v>
      </c>
      <c r="O842" s="351"/>
      <c r="P842" s="349" t="s">
        <v>2206</v>
      </c>
      <c r="Q842" s="351"/>
      <c r="R842" s="351"/>
      <c r="S842" s="335"/>
      <c r="T842" s="351">
        <v>9403208000</v>
      </c>
      <c r="U842" s="336">
        <v>0</v>
      </c>
      <c r="V842" s="351">
        <v>45</v>
      </c>
      <c r="W842" s="351">
        <v>45</v>
      </c>
      <c r="X842" s="351"/>
      <c r="Y842" s="351" t="s">
        <v>1706</v>
      </c>
      <c r="Z842" s="338">
        <f t="shared" ref="Z842" si="1114">AK842/(1-(AF842+2%))</f>
        <v>407.75248933143666</v>
      </c>
      <c r="AA842" s="338"/>
      <c r="AB842" s="339">
        <f t="shared" ref="AB842" si="1115">AX842/(1-AF842)</f>
        <v>344.41070625281156</v>
      </c>
      <c r="AC842" s="339"/>
      <c r="AD842" s="340">
        <f t="shared" ref="AD842" si="1116">AE842</f>
        <v>0.05</v>
      </c>
      <c r="AE842" s="340">
        <v>0.05</v>
      </c>
      <c r="AF842" s="352">
        <v>0.24</v>
      </c>
      <c r="AG842" s="337" t="s">
        <v>9</v>
      </c>
      <c r="AH842" s="353">
        <f t="shared" ref="AH842" si="1117">AB842</f>
        <v>344.41070625281156</v>
      </c>
      <c r="AI842" s="354">
        <f t="shared" ref="AI842" si="1118">1-(AX842/AH842)</f>
        <v>0.24</v>
      </c>
      <c r="AJ842" s="444"/>
      <c r="AK842" s="342">
        <f t="shared" ref="AK842" si="1119">AW842/(1-AD842)*$F$6</f>
        <v>301.73684210526312</v>
      </c>
      <c r="AL842" s="355">
        <f t="shared" ref="AL842" si="1120">AX842/(1-AE842)</f>
        <v>275.52856500224925</v>
      </c>
      <c r="AM842" s="356">
        <f t="shared" ref="AM842" si="1121">1-(AK842/Z842)</f>
        <v>0.26</v>
      </c>
      <c r="AN842" s="356">
        <f t="shared" ref="AN842" si="1122">1-(AL842/AB842)</f>
        <v>0.19999999999999996</v>
      </c>
      <c r="AP842" s="357" t="s">
        <v>1267</v>
      </c>
      <c r="AQ842" s="358"/>
      <c r="AR842" s="358"/>
      <c r="AS842" s="359"/>
      <c r="AT842" s="360"/>
      <c r="AU842" s="360"/>
      <c r="AV842" s="361"/>
      <c r="AW842" s="362">
        <f>AW843</f>
        <v>245</v>
      </c>
      <c r="AX842" s="346">
        <f t="shared" si="1113"/>
        <v>261.75213675213678</v>
      </c>
      <c r="AY842" s="363"/>
      <c r="AZ842" s="364"/>
      <c r="BB842" s="339"/>
      <c r="BC842" s="339"/>
      <c r="BD842" s="339"/>
      <c r="BE842" s="339"/>
      <c r="BF842" s="129"/>
    </row>
    <row r="843" spans="1:58" s="129" customFormat="1" hidden="1">
      <c r="A843" s="88" t="s">
        <v>1276</v>
      </c>
      <c r="B843" s="88" t="s">
        <v>1846</v>
      </c>
      <c r="C843" s="88" t="s">
        <v>1318</v>
      </c>
      <c r="D843" s="88" t="s">
        <v>1102</v>
      </c>
      <c r="E843" s="91" t="s">
        <v>1844</v>
      </c>
      <c r="F843" s="90" t="s">
        <v>1845</v>
      </c>
      <c r="G843" s="92" t="s">
        <v>2640</v>
      </c>
      <c r="H843" s="92" t="s">
        <v>3257</v>
      </c>
      <c r="I843" s="132" t="s">
        <v>1860</v>
      </c>
      <c r="J843" s="132" t="str">
        <f>_xlfn.XLOOKUP(I843,[1]Sheet1!$A:$A,[1]Sheet1!$B:$B,"")</f>
        <v>U1402014</v>
      </c>
      <c r="K843" s="91" t="s">
        <v>1980</v>
      </c>
      <c r="L843" s="89" t="s">
        <v>2099</v>
      </c>
      <c r="M843" s="92"/>
      <c r="N843" s="91" t="s">
        <v>1223</v>
      </c>
      <c r="O843" s="131"/>
      <c r="P843" s="90" t="s">
        <v>2206</v>
      </c>
      <c r="Q843" s="131"/>
      <c r="R843" s="131"/>
      <c r="S843" s="92"/>
      <c r="T843" s="131">
        <v>9403208000</v>
      </c>
      <c r="U843" s="155">
        <v>0</v>
      </c>
      <c r="V843" s="131">
        <v>45</v>
      </c>
      <c r="W843" s="131">
        <v>45</v>
      </c>
      <c r="X843" s="131"/>
      <c r="Y843" s="131" t="s">
        <v>1706</v>
      </c>
      <c r="Z843" s="133">
        <f t="shared" si="1107"/>
        <v>424.98146775389176</v>
      </c>
      <c r="AA843" s="133"/>
      <c r="AB843" s="161">
        <f t="shared" si="1108"/>
        <v>358.56457089333804</v>
      </c>
      <c r="AC843" s="161"/>
      <c r="AD843" s="213">
        <f t="shared" si="1090"/>
        <v>0.05</v>
      </c>
      <c r="AE843" s="213">
        <v>0.05</v>
      </c>
      <c r="AF843" s="219">
        <v>0.27</v>
      </c>
      <c r="AG843" s="218" t="s">
        <v>9</v>
      </c>
      <c r="AH843" s="148">
        <f t="shared" si="1086"/>
        <v>358.56457089333804</v>
      </c>
      <c r="AI843" s="206">
        <f t="shared" si="1109"/>
        <v>0.27</v>
      </c>
      <c r="AJ843" s="444"/>
      <c r="AK843" s="150">
        <f t="shared" si="1103"/>
        <v>301.73684210526312</v>
      </c>
      <c r="AL843" s="202">
        <f t="shared" si="1110"/>
        <v>275.52856500224925</v>
      </c>
      <c r="AM843" s="208">
        <f t="shared" si="1111"/>
        <v>0.29000000000000004</v>
      </c>
      <c r="AN843" s="208">
        <f t="shared" si="1112"/>
        <v>0.231578947368421</v>
      </c>
      <c r="AP843" s="170" t="s">
        <v>1267</v>
      </c>
      <c r="AQ843" s="204"/>
      <c r="AR843" s="204"/>
      <c r="AS843" s="197"/>
      <c r="AT843" s="162"/>
      <c r="AU843" s="162"/>
      <c r="AV843" s="173"/>
      <c r="AW843" s="203">
        <v>245</v>
      </c>
      <c r="AX843" s="126">
        <f t="shared" si="1113"/>
        <v>261.75213675213678</v>
      </c>
      <c r="AY843" s="163"/>
      <c r="AZ843" s="19"/>
      <c r="BB843" s="168">
        <f t="shared" si="1097"/>
        <v>1195.2152363111268</v>
      </c>
      <c r="BC843" s="168">
        <f t="shared" si="1098"/>
        <v>717.12914178667609</v>
      </c>
      <c r="BD843" s="168">
        <f t="shared" si="1099"/>
        <v>597.60761815556339</v>
      </c>
      <c r="BE843" s="168">
        <f t="shared" si="1100"/>
        <v>478.08609452445074</v>
      </c>
    </row>
    <row r="844" spans="1:58" s="129" customFormat="1" hidden="1">
      <c r="A844" s="88" t="s">
        <v>1276</v>
      </c>
      <c r="B844" s="88" t="s">
        <v>1846</v>
      </c>
      <c r="C844" s="88" t="s">
        <v>1318</v>
      </c>
      <c r="D844" s="88" t="s">
        <v>1102</v>
      </c>
      <c r="E844" s="91" t="s">
        <v>1844</v>
      </c>
      <c r="F844" s="90" t="s">
        <v>1845</v>
      </c>
      <c r="G844" s="92" t="s">
        <v>2640</v>
      </c>
      <c r="H844" s="92" t="s">
        <v>3257</v>
      </c>
      <c r="I844" s="132" t="s">
        <v>1861</v>
      </c>
      <c r="J844" s="132" t="str">
        <f>_xlfn.XLOOKUP(I844,[1]Sheet1!$A:$A,[1]Sheet1!$B:$B,"")</f>
        <v>U1402015</v>
      </c>
      <c r="K844" s="91" t="s">
        <v>1981</v>
      </c>
      <c r="L844" s="89" t="s">
        <v>2100</v>
      </c>
      <c r="M844" s="92"/>
      <c r="N844" s="91" t="s">
        <v>1223</v>
      </c>
      <c r="O844" s="131"/>
      <c r="P844" s="90" t="s">
        <v>2206</v>
      </c>
      <c r="Q844" s="131"/>
      <c r="R844" s="131"/>
      <c r="S844" s="92"/>
      <c r="T844" s="131">
        <v>9403208000</v>
      </c>
      <c r="U844" s="155">
        <v>0</v>
      </c>
      <c r="V844" s="131">
        <v>45</v>
      </c>
      <c r="W844" s="131">
        <v>45</v>
      </c>
      <c r="X844" s="131"/>
      <c r="Y844" s="131" t="s">
        <v>1706</v>
      </c>
      <c r="Z844" s="133">
        <f t="shared" ref="Z844:Z852" si="1123">AK844/(1-(AF844+2%))</f>
        <v>320.90437361008156</v>
      </c>
      <c r="AA844" s="133"/>
      <c r="AB844" s="161">
        <f t="shared" ref="AB844:AB852" si="1124">AX844/(1-AF844)</f>
        <v>270.75283924599</v>
      </c>
      <c r="AC844" s="161"/>
      <c r="AD844" s="213">
        <f t="shared" ref="AD844:AD852" si="1125">AE844</f>
        <v>0.05</v>
      </c>
      <c r="AE844" s="213">
        <v>0.05</v>
      </c>
      <c r="AF844" s="219">
        <v>0.27</v>
      </c>
      <c r="AG844" s="218" t="s">
        <v>9</v>
      </c>
      <c r="AH844" s="148">
        <f t="shared" ref="AH844:AH848" si="1126">AB844</f>
        <v>270.75283924599</v>
      </c>
      <c r="AI844" s="206">
        <f t="shared" ref="AI844:AI848" si="1127">1-(AX844/AH844)</f>
        <v>0.27</v>
      </c>
      <c r="AJ844" s="444"/>
      <c r="AK844" s="150">
        <f t="shared" ref="AK844:AK848" si="1128">AW844/(1-AD844)*$F$6</f>
        <v>227.84210526315792</v>
      </c>
      <c r="AL844" s="202">
        <f t="shared" ref="AL844:AL848" si="1129">AX844/(1-AE844)</f>
        <v>208.05218173639233</v>
      </c>
      <c r="AM844" s="208">
        <f t="shared" ref="AM844:AM848" si="1130">1-(AK844/Z844)</f>
        <v>0.28999999999999992</v>
      </c>
      <c r="AN844" s="208">
        <f t="shared" ref="AN844:AN848" si="1131">1-(AL844/AB844)</f>
        <v>0.231578947368421</v>
      </c>
      <c r="AP844" s="170" t="s">
        <v>1267</v>
      </c>
      <c r="AQ844" s="204"/>
      <c r="AR844" s="204"/>
      <c r="AS844" s="197"/>
      <c r="AT844" s="162"/>
      <c r="AU844" s="162"/>
      <c r="AV844" s="173"/>
      <c r="AW844" s="203">
        <v>185</v>
      </c>
      <c r="AX844" s="126">
        <f t="shared" si="1113"/>
        <v>197.64957264957269</v>
      </c>
      <c r="AY844" s="163"/>
      <c r="AZ844" s="19"/>
      <c r="BB844" s="168">
        <f t="shared" si="1097"/>
        <v>902.50946415330009</v>
      </c>
      <c r="BC844" s="168">
        <f t="shared" si="1098"/>
        <v>541.50567849198001</v>
      </c>
      <c r="BD844" s="168">
        <f t="shared" si="1099"/>
        <v>451.25473207665004</v>
      </c>
      <c r="BE844" s="168">
        <f t="shared" si="1100"/>
        <v>361.00378566132008</v>
      </c>
    </row>
    <row r="845" spans="1:58" s="129" customFormat="1" hidden="1">
      <c r="A845" s="88" t="s">
        <v>1276</v>
      </c>
      <c r="B845" s="88" t="s">
        <v>1846</v>
      </c>
      <c r="C845" s="88" t="s">
        <v>1318</v>
      </c>
      <c r="D845" s="88" t="s">
        <v>1102</v>
      </c>
      <c r="E845" s="91" t="s">
        <v>1844</v>
      </c>
      <c r="F845" s="90" t="s">
        <v>1845</v>
      </c>
      <c r="G845" s="92" t="s">
        <v>2640</v>
      </c>
      <c r="H845" s="92" t="s">
        <v>3257</v>
      </c>
      <c r="I845" s="132" t="s">
        <v>3968</v>
      </c>
      <c r="J845" s="132" t="str">
        <f>_xlfn.XLOOKUP(I845,[1]Sheet1!$A:$A,[1]Sheet1!$B:$B,"")</f>
        <v>U1402021</v>
      </c>
      <c r="K845" s="91" t="s">
        <v>3969</v>
      </c>
      <c r="L845" s="89" t="s">
        <v>3970</v>
      </c>
      <c r="M845" s="92"/>
      <c r="N845" s="91" t="s">
        <v>1223</v>
      </c>
      <c r="O845" s="131"/>
      <c r="P845" s="90" t="s">
        <v>2206</v>
      </c>
      <c r="Q845" s="131"/>
      <c r="R845" s="131"/>
      <c r="S845" s="92"/>
      <c r="T845" s="131">
        <v>9403208000</v>
      </c>
      <c r="U845" s="324">
        <v>0</v>
      </c>
      <c r="V845" s="131">
        <v>45</v>
      </c>
      <c r="W845" s="131">
        <v>45</v>
      </c>
      <c r="X845" s="131"/>
      <c r="Y845" s="131" t="s">
        <v>1706</v>
      </c>
      <c r="Z845" s="133">
        <f>AK845/(1-(AF845+2%))</f>
        <v>560.62861378799118</v>
      </c>
      <c r="AA845" s="133"/>
      <c r="AB845" s="161">
        <f>AX845/(1-AF845)</f>
        <v>473.01252780704834</v>
      </c>
      <c r="AC845" s="161"/>
      <c r="AD845" s="213">
        <f>AE845</f>
        <v>0.05</v>
      </c>
      <c r="AE845" s="213">
        <v>0.05</v>
      </c>
      <c r="AF845" s="219">
        <v>0.27</v>
      </c>
      <c r="AG845" s="218" t="s">
        <v>9</v>
      </c>
      <c r="AH845" s="148">
        <f>AB845</f>
        <v>473.01252780704834</v>
      </c>
      <c r="AI845" s="565">
        <f>1-(AX845/AH845)</f>
        <v>0.27</v>
      </c>
      <c r="AJ845" s="444"/>
      <c r="AK845" s="150">
        <f>AW845/(1-AD845)*$F$6</f>
        <v>398.04631578947368</v>
      </c>
      <c r="AL845" s="202">
        <f>AX845/(1-AE845)</f>
        <v>363.4727845254161</v>
      </c>
      <c r="AM845" s="566">
        <f>1-(AK845/Z845)</f>
        <v>0.29000000000000015</v>
      </c>
      <c r="AN845" s="566">
        <f>1-(AL845/AB845)</f>
        <v>0.231578947368421</v>
      </c>
      <c r="AP845" s="170" t="s">
        <v>1267</v>
      </c>
      <c r="AQ845" s="204"/>
      <c r="AR845" s="204"/>
      <c r="AS845" s="197"/>
      <c r="AT845" s="162"/>
      <c r="AU845" s="162"/>
      <c r="AV845" s="173"/>
      <c r="AW845" s="203">
        <v>323.2</v>
      </c>
      <c r="AX845" s="126">
        <f>AW845/$F$6*1.25+AW845*U845</f>
        <v>345.29914529914527</v>
      </c>
      <c r="AY845" s="163"/>
      <c r="AZ845" s="19"/>
      <c r="BB845" s="168">
        <f>AB845/0.3</f>
        <v>1576.7084260234944</v>
      </c>
      <c r="BC845" s="168">
        <f>BB845*0.6</f>
        <v>946.02505561409657</v>
      </c>
      <c r="BD845" s="168">
        <f>BB845*0.5</f>
        <v>788.35421301174722</v>
      </c>
      <c r="BE845" s="168">
        <f>BB845*0.4</f>
        <v>630.68337040939787</v>
      </c>
    </row>
    <row r="846" spans="1:58" s="347" customFormat="1" hidden="1">
      <c r="A846" s="333" t="s">
        <v>1276</v>
      </c>
      <c r="B846" s="333" t="s">
        <v>1846</v>
      </c>
      <c r="C846" s="333" t="s">
        <v>1318</v>
      </c>
      <c r="D846" s="333" t="s">
        <v>1102</v>
      </c>
      <c r="E846" s="348" t="s">
        <v>1844</v>
      </c>
      <c r="F846" s="349" t="s">
        <v>1845</v>
      </c>
      <c r="G846" s="335" t="s">
        <v>2638</v>
      </c>
      <c r="H846" s="335" t="s">
        <v>3258</v>
      </c>
      <c r="I846" s="350" t="s">
        <v>3504</v>
      </c>
      <c r="J846" s="350"/>
      <c r="K846" s="348" t="s">
        <v>3508</v>
      </c>
      <c r="L846" s="334" t="s">
        <v>3511</v>
      </c>
      <c r="M846" s="335"/>
      <c r="N846" s="348" t="s">
        <v>1223</v>
      </c>
      <c r="O846" s="351"/>
      <c r="P846" s="349" t="s">
        <v>2206</v>
      </c>
      <c r="Q846" s="351"/>
      <c r="R846" s="351"/>
      <c r="S846" s="335"/>
      <c r="T846" s="351">
        <v>9403208000</v>
      </c>
      <c r="U846" s="336">
        <v>0</v>
      </c>
      <c r="V846" s="351">
        <v>45</v>
      </c>
      <c r="W846" s="351">
        <v>45</v>
      </c>
      <c r="X846" s="351"/>
      <c r="Y846" s="351" t="s">
        <v>1706</v>
      </c>
      <c r="Z846" s="338">
        <f t="shared" si="1123"/>
        <v>376.13086770981505</v>
      </c>
      <c r="AA846" s="338"/>
      <c r="AB846" s="339">
        <f t="shared" si="1124"/>
        <v>317.70130454340983</v>
      </c>
      <c r="AC846" s="339"/>
      <c r="AD846" s="340">
        <f t="shared" si="1125"/>
        <v>0.05</v>
      </c>
      <c r="AE846" s="340">
        <v>0.05</v>
      </c>
      <c r="AF846" s="352">
        <v>0.24</v>
      </c>
      <c r="AG846" s="337" t="s">
        <v>9</v>
      </c>
      <c r="AH846" s="353">
        <f t="shared" si="1126"/>
        <v>317.70130454340983</v>
      </c>
      <c r="AI846" s="354">
        <f t="shared" si="1127"/>
        <v>0.24</v>
      </c>
      <c r="AJ846" s="444"/>
      <c r="AK846" s="342">
        <f t="shared" si="1128"/>
        <v>278.33684210526314</v>
      </c>
      <c r="AL846" s="355">
        <f t="shared" si="1129"/>
        <v>254.16104363472789</v>
      </c>
      <c r="AM846" s="356">
        <f t="shared" si="1130"/>
        <v>0.26</v>
      </c>
      <c r="AN846" s="356">
        <f t="shared" si="1131"/>
        <v>0.19999999999999996</v>
      </c>
      <c r="AP846" s="357" t="s">
        <v>1267</v>
      </c>
      <c r="AQ846" s="358"/>
      <c r="AR846" s="358"/>
      <c r="AS846" s="359"/>
      <c r="AT846" s="360"/>
      <c r="AU846" s="360"/>
      <c r="AV846" s="361"/>
      <c r="AW846" s="362">
        <f>AW847</f>
        <v>226</v>
      </c>
      <c r="AX846" s="346">
        <f t="shared" si="1113"/>
        <v>241.45299145299148</v>
      </c>
      <c r="AY846" s="363"/>
      <c r="AZ846" s="364"/>
      <c r="BB846" s="339"/>
      <c r="BC846" s="339"/>
      <c r="BD846" s="339"/>
      <c r="BE846" s="339"/>
      <c r="BF846" s="129"/>
    </row>
    <row r="847" spans="1:58" s="129" customFormat="1" hidden="1">
      <c r="A847" s="88" t="s">
        <v>1276</v>
      </c>
      <c r="B847" s="88" t="s">
        <v>1846</v>
      </c>
      <c r="C847" s="88" t="s">
        <v>1318</v>
      </c>
      <c r="D847" s="88" t="s">
        <v>1102</v>
      </c>
      <c r="E847" s="91" t="s">
        <v>1844</v>
      </c>
      <c r="F847" s="90" t="s">
        <v>1845</v>
      </c>
      <c r="G847" s="92" t="s">
        <v>2638</v>
      </c>
      <c r="H847" s="92" t="s">
        <v>3258</v>
      </c>
      <c r="I847" s="132" t="s">
        <v>1862</v>
      </c>
      <c r="J847" s="132" t="str">
        <f>_xlfn.XLOOKUP(I847,[1]Sheet1!$A:$A,[1]Sheet1!$B:$B,"")</f>
        <v>U1402016</v>
      </c>
      <c r="K847" s="91" t="s">
        <v>1982</v>
      </c>
      <c r="L847" s="89" t="s">
        <v>2101</v>
      </c>
      <c r="M847" s="92"/>
      <c r="N847" s="91" t="s">
        <v>1223</v>
      </c>
      <c r="O847" s="131"/>
      <c r="P847" s="90" t="s">
        <v>2206</v>
      </c>
      <c r="Q847" s="131"/>
      <c r="R847" s="131"/>
      <c r="S847" s="92"/>
      <c r="T847" s="131">
        <v>9403208000</v>
      </c>
      <c r="U847" s="155">
        <v>0</v>
      </c>
      <c r="V847" s="131">
        <v>45</v>
      </c>
      <c r="W847" s="131">
        <v>45</v>
      </c>
      <c r="X847" s="131"/>
      <c r="Y847" s="131" t="s">
        <v>1706</v>
      </c>
      <c r="Z847" s="133">
        <f t="shared" si="1123"/>
        <v>392.02372127501854</v>
      </c>
      <c r="AA847" s="133"/>
      <c r="AB847" s="161">
        <f t="shared" si="1124"/>
        <v>330.75752253834452</v>
      </c>
      <c r="AC847" s="161"/>
      <c r="AD847" s="213">
        <f t="shared" si="1125"/>
        <v>0.05</v>
      </c>
      <c r="AE847" s="213">
        <v>0.05</v>
      </c>
      <c r="AF847" s="219">
        <v>0.27</v>
      </c>
      <c r="AG847" s="218" t="s">
        <v>9</v>
      </c>
      <c r="AH847" s="148">
        <f t="shared" si="1126"/>
        <v>330.75752253834452</v>
      </c>
      <c r="AI847" s="206">
        <f t="shared" si="1127"/>
        <v>0.27</v>
      </c>
      <c r="AJ847" s="444"/>
      <c r="AK847" s="150">
        <f t="shared" si="1128"/>
        <v>278.33684210526314</v>
      </c>
      <c r="AL847" s="202">
        <f t="shared" si="1129"/>
        <v>254.16104363472789</v>
      </c>
      <c r="AM847" s="208">
        <f t="shared" si="1130"/>
        <v>0.29000000000000004</v>
      </c>
      <c r="AN847" s="208">
        <f t="shared" si="1131"/>
        <v>0.23157894736842111</v>
      </c>
      <c r="AP847" s="170" t="s">
        <v>1267</v>
      </c>
      <c r="AQ847" s="204"/>
      <c r="AR847" s="204"/>
      <c r="AS847" s="197"/>
      <c r="AT847" s="162"/>
      <c r="AU847" s="162"/>
      <c r="AV847" s="173"/>
      <c r="AW847" s="203">
        <v>226</v>
      </c>
      <c r="AX847" s="126">
        <f t="shared" si="1113"/>
        <v>241.45299145299148</v>
      </c>
      <c r="AY847" s="163"/>
      <c r="AZ847" s="19"/>
      <c r="BB847" s="168">
        <f t="shared" si="1097"/>
        <v>1102.5250751278152</v>
      </c>
      <c r="BC847" s="168">
        <f t="shared" si="1098"/>
        <v>661.51504507668903</v>
      </c>
      <c r="BD847" s="168">
        <f t="shared" si="1099"/>
        <v>551.26253756390759</v>
      </c>
      <c r="BE847" s="168">
        <f t="shared" si="1100"/>
        <v>441.01003005112608</v>
      </c>
    </row>
    <row r="848" spans="1:58" s="347" customFormat="1" hidden="1">
      <c r="A848" s="333" t="s">
        <v>1276</v>
      </c>
      <c r="B848" s="333" t="s">
        <v>1846</v>
      </c>
      <c r="C848" s="333" t="s">
        <v>1318</v>
      </c>
      <c r="D848" s="333" t="s">
        <v>1102</v>
      </c>
      <c r="E848" s="348" t="s">
        <v>1844</v>
      </c>
      <c r="F848" s="349" t="s">
        <v>1845</v>
      </c>
      <c r="G848" s="335" t="s">
        <v>2639</v>
      </c>
      <c r="H848" s="335" t="s">
        <v>3258</v>
      </c>
      <c r="I848" s="350" t="s">
        <v>3505</v>
      </c>
      <c r="J848" s="350"/>
      <c r="K848" s="348" t="s">
        <v>3509</v>
      </c>
      <c r="L848" s="334" t="s">
        <v>3512</v>
      </c>
      <c r="M848" s="335"/>
      <c r="N848" s="348" t="s">
        <v>1223</v>
      </c>
      <c r="O848" s="351"/>
      <c r="P848" s="349" t="s">
        <v>2206</v>
      </c>
      <c r="Q848" s="351"/>
      <c r="R848" s="351"/>
      <c r="S848" s="335"/>
      <c r="T848" s="351">
        <v>9403208000</v>
      </c>
      <c r="U848" s="336">
        <v>0</v>
      </c>
      <c r="V848" s="351">
        <v>45</v>
      </c>
      <c r="W848" s="351">
        <v>45</v>
      </c>
      <c r="X848" s="351"/>
      <c r="Y848" s="351" t="s">
        <v>1706</v>
      </c>
      <c r="Z848" s="338">
        <f t="shared" si="1123"/>
        <v>396.10241820768141</v>
      </c>
      <c r="AA848" s="338"/>
      <c r="AB848" s="339">
        <f t="shared" si="1124"/>
        <v>334.5704003598741</v>
      </c>
      <c r="AC848" s="339"/>
      <c r="AD848" s="340">
        <f t="shared" si="1125"/>
        <v>0.05</v>
      </c>
      <c r="AE848" s="340">
        <v>0.05</v>
      </c>
      <c r="AF848" s="352">
        <v>0.24</v>
      </c>
      <c r="AG848" s="337" t="s">
        <v>9</v>
      </c>
      <c r="AH848" s="353">
        <f t="shared" si="1126"/>
        <v>334.5704003598741</v>
      </c>
      <c r="AI848" s="354">
        <f t="shared" si="1127"/>
        <v>0.24</v>
      </c>
      <c r="AJ848" s="444"/>
      <c r="AK848" s="342">
        <f t="shared" si="1128"/>
        <v>293.11578947368423</v>
      </c>
      <c r="AL848" s="355">
        <f t="shared" si="1129"/>
        <v>267.65632028789929</v>
      </c>
      <c r="AM848" s="356">
        <f t="shared" si="1130"/>
        <v>0.26</v>
      </c>
      <c r="AN848" s="356">
        <f t="shared" si="1131"/>
        <v>0.19999999999999996</v>
      </c>
      <c r="AP848" s="357" t="s">
        <v>1267</v>
      </c>
      <c r="AQ848" s="358"/>
      <c r="AR848" s="358"/>
      <c r="AS848" s="359"/>
      <c r="AT848" s="360"/>
      <c r="AU848" s="360"/>
      <c r="AV848" s="361"/>
      <c r="AW848" s="362">
        <f>AW849</f>
        <v>238</v>
      </c>
      <c r="AX848" s="346">
        <f t="shared" si="1113"/>
        <v>254.2735042735043</v>
      </c>
      <c r="AY848" s="363"/>
      <c r="AZ848" s="364"/>
      <c r="BB848" s="339"/>
      <c r="BC848" s="339"/>
      <c r="BD848" s="339"/>
      <c r="BE848" s="339"/>
      <c r="BF848" s="129"/>
    </row>
    <row r="849" spans="1:58" s="129" customFormat="1" hidden="1">
      <c r="A849" s="88" t="s">
        <v>1276</v>
      </c>
      <c r="B849" s="88" t="s">
        <v>1846</v>
      </c>
      <c r="C849" s="88" t="s">
        <v>1318</v>
      </c>
      <c r="D849" s="88" t="s">
        <v>1102</v>
      </c>
      <c r="E849" s="91" t="s">
        <v>1844</v>
      </c>
      <c r="F849" s="90" t="s">
        <v>1845</v>
      </c>
      <c r="G849" s="92" t="s">
        <v>2639</v>
      </c>
      <c r="H849" s="92" t="s">
        <v>3258</v>
      </c>
      <c r="I849" s="132" t="s">
        <v>1863</v>
      </c>
      <c r="J849" s="132" t="str">
        <f>_xlfn.XLOOKUP(I849,[1]Sheet1!$A:$A,[1]Sheet1!$B:$B,"")</f>
        <v>U1402017</v>
      </c>
      <c r="K849" s="91" t="s">
        <v>1983</v>
      </c>
      <c r="L849" s="89" t="s">
        <v>2102</v>
      </c>
      <c r="M849" s="92"/>
      <c r="N849" s="91" t="s">
        <v>1223</v>
      </c>
      <c r="O849" s="131"/>
      <c r="P849" s="90" t="s">
        <v>2206</v>
      </c>
      <c r="Q849" s="131"/>
      <c r="R849" s="131"/>
      <c r="S849" s="92"/>
      <c r="T849" s="131">
        <v>9403208000</v>
      </c>
      <c r="U849" s="155">
        <v>0</v>
      </c>
      <c r="V849" s="131">
        <v>45</v>
      </c>
      <c r="W849" s="131">
        <v>45</v>
      </c>
      <c r="X849" s="131"/>
      <c r="Y849" s="131" t="s">
        <v>1706</v>
      </c>
      <c r="Z849" s="133">
        <f t="shared" si="1123"/>
        <v>412.83914010378061</v>
      </c>
      <c r="AA849" s="133"/>
      <c r="AB849" s="161">
        <f t="shared" si="1124"/>
        <v>348.31986886781414</v>
      </c>
      <c r="AC849" s="161"/>
      <c r="AD849" s="213">
        <f t="shared" si="1125"/>
        <v>0.05</v>
      </c>
      <c r="AE849" s="213">
        <v>0.05</v>
      </c>
      <c r="AF849" s="219">
        <v>0.27</v>
      </c>
      <c r="AG849" s="218" t="s">
        <v>9</v>
      </c>
      <c r="AH849" s="148">
        <f t="shared" si="1086"/>
        <v>348.31986886781414</v>
      </c>
      <c r="AI849" s="206">
        <f t="shared" si="1109"/>
        <v>0.27</v>
      </c>
      <c r="AJ849" s="444"/>
      <c r="AK849" s="150">
        <f t="shared" si="1103"/>
        <v>293.11578947368423</v>
      </c>
      <c r="AL849" s="202">
        <f t="shared" si="1110"/>
        <v>267.65632028789929</v>
      </c>
      <c r="AM849" s="208">
        <f t="shared" si="1111"/>
        <v>0.29000000000000004</v>
      </c>
      <c r="AN849" s="208">
        <f t="shared" si="1112"/>
        <v>0.231578947368421</v>
      </c>
      <c r="AP849" s="170" t="s">
        <v>1267</v>
      </c>
      <c r="AQ849" s="204"/>
      <c r="AR849" s="204"/>
      <c r="AS849" s="197"/>
      <c r="AT849" s="162"/>
      <c r="AU849" s="162"/>
      <c r="AV849" s="173"/>
      <c r="AW849" s="203">
        <v>238</v>
      </c>
      <c r="AX849" s="126">
        <f t="shared" si="1113"/>
        <v>254.2735042735043</v>
      </c>
      <c r="AY849" s="163"/>
      <c r="AZ849" s="19"/>
      <c r="BB849" s="168">
        <f t="shared" si="1097"/>
        <v>1161.0662295593804</v>
      </c>
      <c r="BC849" s="168">
        <f t="shared" si="1098"/>
        <v>696.63973773562827</v>
      </c>
      <c r="BD849" s="168">
        <f t="shared" si="1099"/>
        <v>580.53311477969021</v>
      </c>
      <c r="BE849" s="168">
        <f t="shared" si="1100"/>
        <v>464.4264918237522</v>
      </c>
    </row>
    <row r="850" spans="1:58" s="347" customFormat="1" hidden="1">
      <c r="A850" s="333" t="s">
        <v>1276</v>
      </c>
      <c r="B850" s="333" t="s">
        <v>1846</v>
      </c>
      <c r="C850" s="333" t="s">
        <v>1318</v>
      </c>
      <c r="D850" s="333" t="s">
        <v>1102</v>
      </c>
      <c r="E850" s="348" t="s">
        <v>1844</v>
      </c>
      <c r="F850" s="349" t="s">
        <v>1845</v>
      </c>
      <c r="G850" s="335" t="s">
        <v>2640</v>
      </c>
      <c r="H850" s="335" t="s">
        <v>3258</v>
      </c>
      <c r="I850" s="350" t="s">
        <v>3506</v>
      </c>
      <c r="J850" s="350"/>
      <c r="K850" s="348" t="s">
        <v>3510</v>
      </c>
      <c r="L850" s="334" t="s">
        <v>3513</v>
      </c>
      <c r="M850" s="335"/>
      <c r="N850" s="348" t="s">
        <v>1223</v>
      </c>
      <c r="O850" s="351"/>
      <c r="P850" s="349" t="s">
        <v>2206</v>
      </c>
      <c r="Q850" s="351"/>
      <c r="R850" s="351"/>
      <c r="S850" s="335"/>
      <c r="T850" s="351">
        <v>9403208000</v>
      </c>
      <c r="U850" s="336">
        <v>0</v>
      </c>
      <c r="V850" s="351">
        <v>45</v>
      </c>
      <c r="W850" s="351">
        <v>45</v>
      </c>
      <c r="X850" s="351"/>
      <c r="Y850" s="351" t="s">
        <v>1706</v>
      </c>
      <c r="Z850" s="338">
        <f t="shared" si="1123"/>
        <v>459.67383246849528</v>
      </c>
      <c r="AA850" s="338"/>
      <c r="AB850" s="339">
        <f t="shared" si="1124"/>
        <v>387.83514810912072</v>
      </c>
      <c r="AC850" s="339"/>
      <c r="AD850" s="340">
        <f t="shared" si="1125"/>
        <v>0.05</v>
      </c>
      <c r="AE850" s="340">
        <v>0.05</v>
      </c>
      <c r="AF850" s="352">
        <v>0.27</v>
      </c>
      <c r="AG850" s="337" t="s">
        <v>9</v>
      </c>
      <c r="AH850" s="353">
        <f t="shared" ref="AH850" si="1132">AB850</f>
        <v>387.83514810912072</v>
      </c>
      <c r="AI850" s="354">
        <f t="shared" ref="AI850" si="1133">1-(AX850/AH850)</f>
        <v>0.27</v>
      </c>
      <c r="AJ850" s="444"/>
      <c r="AK850" s="342">
        <f t="shared" ref="AK850" si="1134">AW850/(1-AD850)*$F$6</f>
        <v>326.36842105263162</v>
      </c>
      <c r="AL850" s="355">
        <f t="shared" ref="AL850" si="1135">AX850/(1-AE850)</f>
        <v>298.0206927575349</v>
      </c>
      <c r="AM850" s="356">
        <f t="shared" ref="AM850" si="1136">1-(AK850/Z850)</f>
        <v>0.29000000000000004</v>
      </c>
      <c r="AN850" s="356">
        <f t="shared" ref="AN850" si="1137">1-(AL850/AB850)</f>
        <v>0.231578947368421</v>
      </c>
      <c r="AP850" s="357" t="s">
        <v>1267</v>
      </c>
      <c r="AQ850" s="358"/>
      <c r="AR850" s="358"/>
      <c r="AS850" s="359"/>
      <c r="AT850" s="360"/>
      <c r="AU850" s="360"/>
      <c r="AV850" s="361"/>
      <c r="AW850" s="362">
        <f>AW851</f>
        <v>265</v>
      </c>
      <c r="AX850" s="346">
        <f t="shared" si="1113"/>
        <v>283.11965811965814</v>
      </c>
      <c r="AY850" s="363"/>
      <c r="AZ850" s="364"/>
      <c r="BB850" s="339"/>
      <c r="BC850" s="339"/>
      <c r="BD850" s="339"/>
      <c r="BE850" s="339"/>
      <c r="BF850" s="129"/>
    </row>
    <row r="851" spans="1:58" s="129" customFormat="1" hidden="1">
      <c r="A851" s="88" t="s">
        <v>1276</v>
      </c>
      <c r="B851" s="88" t="s">
        <v>1846</v>
      </c>
      <c r="C851" s="88" t="s">
        <v>1318</v>
      </c>
      <c r="D851" s="88" t="s">
        <v>1102</v>
      </c>
      <c r="E851" s="91" t="s">
        <v>1844</v>
      </c>
      <c r="F851" s="90" t="s">
        <v>1845</v>
      </c>
      <c r="G851" s="92" t="s">
        <v>2640</v>
      </c>
      <c r="H851" s="92" t="s">
        <v>3258</v>
      </c>
      <c r="I851" s="132" t="s">
        <v>1864</v>
      </c>
      <c r="J851" s="132" t="str">
        <f>_xlfn.XLOOKUP(I851,[1]Sheet1!$A:$A,[1]Sheet1!$B:$B,"")</f>
        <v>U1402018</v>
      </c>
      <c r="K851" s="91" t="s">
        <v>1984</v>
      </c>
      <c r="L851" s="89" t="s">
        <v>2103</v>
      </c>
      <c r="M851" s="92"/>
      <c r="N851" s="91" t="s">
        <v>1223</v>
      </c>
      <c r="O851" s="131"/>
      <c r="P851" s="90" t="s">
        <v>2206</v>
      </c>
      <c r="Q851" s="131"/>
      <c r="R851" s="131"/>
      <c r="S851" s="92"/>
      <c r="T851" s="131">
        <v>9403208000</v>
      </c>
      <c r="U851" s="155">
        <v>0</v>
      </c>
      <c r="V851" s="131">
        <v>45</v>
      </c>
      <c r="W851" s="131">
        <v>45</v>
      </c>
      <c r="X851" s="131"/>
      <c r="Y851" s="131" t="s">
        <v>1706</v>
      </c>
      <c r="Z851" s="133">
        <f t="shared" si="1123"/>
        <v>459.67383246849528</v>
      </c>
      <c r="AA851" s="133"/>
      <c r="AB851" s="161">
        <f t="shared" si="1124"/>
        <v>387.83514810912072</v>
      </c>
      <c r="AC851" s="161"/>
      <c r="AD851" s="213">
        <f t="shared" si="1125"/>
        <v>0.05</v>
      </c>
      <c r="AE851" s="213">
        <v>0.05</v>
      </c>
      <c r="AF851" s="219">
        <v>0.27</v>
      </c>
      <c r="AG851" s="218" t="s">
        <v>9</v>
      </c>
      <c r="AH851" s="148">
        <f t="shared" si="1086"/>
        <v>387.83514810912072</v>
      </c>
      <c r="AI851" s="206">
        <f t="shared" si="1109"/>
        <v>0.27</v>
      </c>
      <c r="AJ851" s="444"/>
      <c r="AK851" s="150">
        <f t="shared" si="1103"/>
        <v>326.36842105263162</v>
      </c>
      <c r="AL851" s="202">
        <f t="shared" si="1110"/>
        <v>298.0206927575349</v>
      </c>
      <c r="AM851" s="208">
        <f t="shared" si="1111"/>
        <v>0.29000000000000004</v>
      </c>
      <c r="AN851" s="208">
        <f t="shared" si="1112"/>
        <v>0.231578947368421</v>
      </c>
      <c r="AP851" s="170" t="s">
        <v>1267</v>
      </c>
      <c r="AQ851" s="204"/>
      <c r="AR851" s="204"/>
      <c r="AS851" s="197"/>
      <c r="AT851" s="162"/>
      <c r="AU851" s="162"/>
      <c r="AV851" s="173"/>
      <c r="AW851" s="203">
        <v>265</v>
      </c>
      <c r="AX851" s="126">
        <f t="shared" si="1113"/>
        <v>283.11965811965814</v>
      </c>
      <c r="AY851" s="163"/>
      <c r="AZ851" s="19"/>
      <c r="BB851" s="168">
        <f t="shared" si="1097"/>
        <v>1292.7838270304026</v>
      </c>
      <c r="BC851" s="168">
        <f t="shared" si="1098"/>
        <v>775.67029621824156</v>
      </c>
      <c r="BD851" s="168">
        <f t="shared" si="1099"/>
        <v>646.39191351520128</v>
      </c>
      <c r="BE851" s="168">
        <f t="shared" si="1100"/>
        <v>517.113530812161</v>
      </c>
    </row>
    <row r="852" spans="1:58" s="129" customFormat="1" hidden="1">
      <c r="A852" s="88" t="s">
        <v>1276</v>
      </c>
      <c r="B852" s="88" t="s">
        <v>1846</v>
      </c>
      <c r="C852" s="88" t="s">
        <v>1318</v>
      </c>
      <c r="D852" s="88" t="s">
        <v>1102</v>
      </c>
      <c r="E852" s="91" t="s">
        <v>1844</v>
      </c>
      <c r="F852" s="90" t="s">
        <v>1845</v>
      </c>
      <c r="G852" s="92" t="s">
        <v>2640</v>
      </c>
      <c r="H852" s="92" t="s">
        <v>3258</v>
      </c>
      <c r="I852" s="132" t="s">
        <v>1865</v>
      </c>
      <c r="J852" s="132" t="str">
        <f>_xlfn.XLOOKUP(I852,[1]Sheet1!$A:$A,[1]Sheet1!$B:$B,"")</f>
        <v>U1402019</v>
      </c>
      <c r="K852" s="91" t="s">
        <v>1985</v>
      </c>
      <c r="L852" s="89" t="s">
        <v>2104</v>
      </c>
      <c r="M852" s="92"/>
      <c r="N852" s="91" t="s">
        <v>1223</v>
      </c>
      <c r="O852" s="131"/>
      <c r="P852" s="90" t="s">
        <v>2206</v>
      </c>
      <c r="Q852" s="131"/>
      <c r="R852" s="131"/>
      <c r="S852" s="92"/>
      <c r="T852" s="131">
        <v>9403208000</v>
      </c>
      <c r="U852" s="155">
        <v>0</v>
      </c>
      <c r="V852" s="131">
        <v>45</v>
      </c>
      <c r="W852" s="131">
        <v>45</v>
      </c>
      <c r="X852" s="131"/>
      <c r="Y852" s="131" t="s">
        <v>1706</v>
      </c>
      <c r="Z852" s="133">
        <f t="shared" si="1123"/>
        <v>364.26982950333576</v>
      </c>
      <c r="AA852" s="133"/>
      <c r="AB852" s="161">
        <f t="shared" si="1124"/>
        <v>307.34106076571834</v>
      </c>
      <c r="AC852" s="161"/>
      <c r="AD852" s="213">
        <f t="shared" si="1125"/>
        <v>0.05</v>
      </c>
      <c r="AE852" s="213">
        <v>0.05</v>
      </c>
      <c r="AF852" s="219">
        <v>0.27</v>
      </c>
      <c r="AG852" s="218" t="s">
        <v>9</v>
      </c>
      <c r="AH852" s="148">
        <f t="shared" si="1086"/>
        <v>307.34106076571834</v>
      </c>
      <c r="AI852" s="206">
        <f t="shared" si="1109"/>
        <v>0.27000000000000013</v>
      </c>
      <c r="AJ852" s="444"/>
      <c r="AK852" s="150">
        <f t="shared" si="1103"/>
        <v>258.63157894736838</v>
      </c>
      <c r="AL852" s="202">
        <f>AX852/(1-AE852)</f>
        <v>236.16734143049933</v>
      </c>
      <c r="AM852" s="208">
        <f t="shared" si="1111"/>
        <v>0.29000000000000004</v>
      </c>
      <c r="AN852" s="208">
        <f>1-(AL852/AB852)</f>
        <v>0.23157894736842111</v>
      </c>
      <c r="AP852" s="170" t="s">
        <v>1267</v>
      </c>
      <c r="AQ852" s="204"/>
      <c r="AR852" s="204"/>
      <c r="AS852" s="197"/>
      <c r="AT852" s="162"/>
      <c r="AU852" s="162"/>
      <c r="AV852" s="173"/>
      <c r="AW852" s="203">
        <v>210</v>
      </c>
      <c r="AX852" s="126">
        <f t="shared" si="1113"/>
        <v>224.35897435897436</v>
      </c>
      <c r="AY852" s="163"/>
      <c r="AZ852" s="19"/>
      <c r="BB852" s="168">
        <f t="shared" si="1097"/>
        <v>1024.4702025523945</v>
      </c>
      <c r="BC852" s="168">
        <f t="shared" si="1098"/>
        <v>614.68212153143668</v>
      </c>
      <c r="BD852" s="168">
        <f t="shared" si="1099"/>
        <v>512.23510127619727</v>
      </c>
      <c r="BE852" s="168">
        <f t="shared" si="1100"/>
        <v>409.78808102095786</v>
      </c>
    </row>
    <row r="853" spans="1:58" s="129" customFormat="1" hidden="1">
      <c r="A853" s="88" t="s">
        <v>1276</v>
      </c>
      <c r="B853" s="88" t="s">
        <v>1846</v>
      </c>
      <c r="C853" s="88" t="s">
        <v>1318</v>
      </c>
      <c r="D853" s="88" t="s">
        <v>1102</v>
      </c>
      <c r="E853" s="91" t="s">
        <v>1844</v>
      </c>
      <c r="F853" s="90" t="s">
        <v>1845</v>
      </c>
      <c r="G853" s="92" t="s">
        <v>2640</v>
      </c>
      <c r="H853" s="92" t="s">
        <v>3259</v>
      </c>
      <c r="I853" s="132" t="s">
        <v>1866</v>
      </c>
      <c r="J853" s="132" t="str">
        <f>_xlfn.XLOOKUP(I853,[1]Sheet1!$A:$A,[1]Sheet1!$B:$B,"")</f>
        <v>U1402020</v>
      </c>
      <c r="K853" s="91" t="s">
        <v>1986</v>
      </c>
      <c r="L853" s="89" t="s">
        <v>2105</v>
      </c>
      <c r="M853" s="92"/>
      <c r="N853" s="91" t="s">
        <v>1223</v>
      </c>
      <c r="O853" s="131"/>
      <c r="P853" s="90" t="s">
        <v>2206</v>
      </c>
      <c r="Q853" s="131"/>
      <c r="R853" s="131"/>
      <c r="S853" s="92"/>
      <c r="T853" s="131">
        <v>9403208000</v>
      </c>
      <c r="U853" s="155">
        <v>0</v>
      </c>
      <c r="V853" s="131">
        <v>45</v>
      </c>
      <c r="W853" s="131">
        <v>45</v>
      </c>
      <c r="X853" s="131"/>
      <c r="Y853" s="131" t="s">
        <v>2436</v>
      </c>
      <c r="Z853" s="133">
        <f>AK853/(1-(AF853+2%))</f>
        <v>520.38547071905111</v>
      </c>
      <c r="AA853" s="133"/>
      <c r="AB853" s="161">
        <f>AX853/(1-AF853)</f>
        <v>439.05865823674043</v>
      </c>
      <c r="AC853" s="161"/>
      <c r="AD853" s="213">
        <f t="shared" si="1090"/>
        <v>0.05</v>
      </c>
      <c r="AE853" s="213">
        <v>0.05</v>
      </c>
      <c r="AF853" s="219">
        <v>0.27</v>
      </c>
      <c r="AG853" s="218" t="s">
        <v>9</v>
      </c>
      <c r="AH853" s="148">
        <f t="shared" si="1086"/>
        <v>439.05865823674043</v>
      </c>
      <c r="AI853" s="206">
        <f t="shared" si="1109"/>
        <v>0.27</v>
      </c>
      <c r="AJ853" s="444"/>
      <c r="AK853" s="150">
        <f t="shared" si="1103"/>
        <v>369.4736842105263</v>
      </c>
      <c r="AL853" s="202">
        <f t="shared" si="1110"/>
        <v>337.38191632928476</v>
      </c>
      <c r="AM853" s="208">
        <f t="shared" si="1111"/>
        <v>0.29000000000000004</v>
      </c>
      <c r="AN853" s="208">
        <f t="shared" si="1112"/>
        <v>0.231578947368421</v>
      </c>
      <c r="AP853" s="170" t="s">
        <v>1267</v>
      </c>
      <c r="AQ853" s="204"/>
      <c r="AR853" s="204"/>
      <c r="AS853" s="197"/>
      <c r="AT853" s="162"/>
      <c r="AU853" s="162"/>
      <c r="AV853" s="173"/>
      <c r="AW853" s="203">
        <v>300</v>
      </c>
      <c r="AX853" s="126">
        <f t="shared" si="1113"/>
        <v>320.5128205128205</v>
      </c>
      <c r="AY853" s="163"/>
      <c r="AZ853" s="19"/>
      <c r="BB853" s="168">
        <f t="shared" si="1097"/>
        <v>1463.5288607891348</v>
      </c>
      <c r="BC853" s="168">
        <f t="shared" si="1098"/>
        <v>878.11731647348086</v>
      </c>
      <c r="BD853" s="168">
        <f t="shared" si="1099"/>
        <v>731.7644303945674</v>
      </c>
      <c r="BE853" s="168">
        <f t="shared" si="1100"/>
        <v>585.41154431565394</v>
      </c>
    </row>
    <row r="854" spans="1:58" s="129" customFormat="1" hidden="1">
      <c r="A854" s="88" t="s">
        <v>1276</v>
      </c>
      <c r="B854" s="88" t="s">
        <v>1846</v>
      </c>
      <c r="C854" s="88" t="s">
        <v>1318</v>
      </c>
      <c r="D854" s="88" t="s">
        <v>1102</v>
      </c>
      <c r="E854" s="91" t="s">
        <v>1844</v>
      </c>
      <c r="F854" s="90" t="s">
        <v>1845</v>
      </c>
      <c r="G854" s="92" t="s">
        <v>2640</v>
      </c>
      <c r="H854" s="92" t="s">
        <v>3259</v>
      </c>
      <c r="I854" s="132" t="s">
        <v>1867</v>
      </c>
      <c r="J854" s="132" t="str">
        <f>_xlfn.XLOOKUP(I854,[1]Sheet1!$A:$A,[1]Sheet1!$B:$B,"")</f>
        <v>U1402021</v>
      </c>
      <c r="K854" s="91" t="s">
        <v>1987</v>
      </c>
      <c r="L854" s="89" t="s">
        <v>2106</v>
      </c>
      <c r="M854" s="92"/>
      <c r="N854" s="91" t="s">
        <v>1223</v>
      </c>
      <c r="O854" s="131"/>
      <c r="P854" s="90" t="s">
        <v>2206</v>
      </c>
      <c r="Q854" s="131"/>
      <c r="R854" s="131"/>
      <c r="S854" s="92"/>
      <c r="T854" s="131">
        <v>9403208000</v>
      </c>
      <c r="U854" s="155">
        <v>0</v>
      </c>
      <c r="V854" s="131">
        <v>45</v>
      </c>
      <c r="W854" s="131">
        <v>45</v>
      </c>
      <c r="X854" s="131"/>
      <c r="Y854" s="131" t="s">
        <v>2436</v>
      </c>
      <c r="Z854" s="133">
        <f t="shared" si="1107"/>
        <v>424.98146775389176</v>
      </c>
      <c r="AA854" s="133"/>
      <c r="AB854" s="161">
        <f t="shared" si="1108"/>
        <v>358.56457089333804</v>
      </c>
      <c r="AC854" s="161"/>
      <c r="AD854" s="213">
        <f t="shared" si="1090"/>
        <v>0.05</v>
      </c>
      <c r="AE854" s="213">
        <v>0.05</v>
      </c>
      <c r="AF854" s="219">
        <v>0.27</v>
      </c>
      <c r="AG854" s="218" t="s">
        <v>9</v>
      </c>
      <c r="AH854" s="148">
        <f t="shared" si="1086"/>
        <v>358.56457089333804</v>
      </c>
      <c r="AI854" s="206">
        <f t="shared" si="1109"/>
        <v>0.27</v>
      </c>
      <c r="AJ854" s="444"/>
      <c r="AK854" s="150">
        <f t="shared" si="1103"/>
        <v>301.73684210526312</v>
      </c>
      <c r="AL854" s="202">
        <f t="shared" si="1110"/>
        <v>275.52856500224925</v>
      </c>
      <c r="AM854" s="208">
        <f t="shared" si="1111"/>
        <v>0.29000000000000004</v>
      </c>
      <c r="AN854" s="208">
        <f t="shared" si="1112"/>
        <v>0.231578947368421</v>
      </c>
      <c r="AP854" s="170" t="s">
        <v>1267</v>
      </c>
      <c r="AQ854" s="204"/>
      <c r="AR854" s="204"/>
      <c r="AS854" s="197"/>
      <c r="AT854" s="162"/>
      <c r="AU854" s="162"/>
      <c r="AV854" s="173"/>
      <c r="AW854" s="203">
        <v>245</v>
      </c>
      <c r="AX854" s="126">
        <f t="shared" si="1113"/>
        <v>261.75213675213678</v>
      </c>
      <c r="AY854" s="163"/>
      <c r="AZ854" s="19"/>
      <c r="BB854" s="168">
        <f t="shared" si="1097"/>
        <v>1195.2152363111268</v>
      </c>
      <c r="BC854" s="168">
        <f t="shared" si="1098"/>
        <v>717.12914178667609</v>
      </c>
      <c r="BD854" s="168">
        <f t="shared" si="1099"/>
        <v>597.60761815556339</v>
      </c>
      <c r="BE854" s="168">
        <f t="shared" si="1100"/>
        <v>478.08609452445074</v>
      </c>
    </row>
    <row r="855" spans="1:58" s="403" customFormat="1" ht="15" hidden="1">
      <c r="A855" s="386" t="s">
        <v>1276</v>
      </c>
      <c r="B855" s="386" t="s">
        <v>1846</v>
      </c>
      <c r="C855" s="386" t="s">
        <v>1318</v>
      </c>
      <c r="D855" s="386" t="s">
        <v>1102</v>
      </c>
      <c r="E855" s="387" t="s">
        <v>1844</v>
      </c>
      <c r="F855" s="388" t="s">
        <v>1845</v>
      </c>
      <c r="G855" s="389" t="s">
        <v>2640</v>
      </c>
      <c r="H855" s="389" t="s">
        <v>3259</v>
      </c>
      <c r="I855" s="413" t="s">
        <v>3971</v>
      </c>
      <c r="J855" s="390" t="str">
        <f>_xlfn.XLOOKUP(I855,[1]Sheet1!$A:$A,[1]Sheet1!$B:$B,"")</f>
        <v/>
      </c>
      <c r="K855" s="258" t="s">
        <v>3707</v>
      </c>
      <c r="L855" s="414" t="s">
        <v>3708</v>
      </c>
      <c r="M855" s="389"/>
      <c r="N855" s="387" t="s">
        <v>1223</v>
      </c>
      <c r="O855" s="391"/>
      <c r="P855" s="388" t="s">
        <v>2206</v>
      </c>
      <c r="Q855" s="391"/>
      <c r="R855" s="391"/>
      <c r="S855" s="389"/>
      <c r="T855" s="391">
        <v>9403208000</v>
      </c>
      <c r="U855" s="392">
        <v>0</v>
      </c>
      <c r="V855" s="391">
        <v>45</v>
      </c>
      <c r="W855" s="391">
        <v>45</v>
      </c>
      <c r="X855" s="391"/>
      <c r="Y855" s="391" t="s">
        <v>1706</v>
      </c>
      <c r="Z855" s="393">
        <f t="shared" ref="Z855" si="1138">AK855/(1-(AF855+2%))</f>
        <v>674.76649369903635</v>
      </c>
      <c r="AA855" s="393"/>
      <c r="AB855" s="394">
        <f t="shared" ref="AB855" si="1139">AX855/(1-AF855)</f>
        <v>569.31272684697353</v>
      </c>
      <c r="AC855" s="394"/>
      <c r="AD855" s="395">
        <f t="shared" ref="AD855" si="1140">AE855</f>
        <v>0.05</v>
      </c>
      <c r="AE855" s="395">
        <v>0.05</v>
      </c>
      <c r="AF855" s="396">
        <v>0.27</v>
      </c>
      <c r="AG855" s="397" t="s">
        <v>9</v>
      </c>
      <c r="AH855" s="398">
        <f t="shared" ref="AH855" si="1141">AB855</f>
        <v>569.31272684697353</v>
      </c>
      <c r="AI855" s="399">
        <f t="shared" ref="AI855" si="1142">1-(AX855/AH855)</f>
        <v>0.27</v>
      </c>
      <c r="AJ855" s="444"/>
      <c r="AK855" s="400">
        <f t="shared" ref="AK855" si="1143">AW855/(1-AD855)*$F$6</f>
        <v>479.08421052631581</v>
      </c>
      <c r="AL855" s="401">
        <f t="shared" ref="AL855" si="1144">AX855/(1-AE855)</f>
        <v>437.47188484030596</v>
      </c>
      <c r="AM855" s="402">
        <f t="shared" ref="AM855" si="1145">1-(AK855/Z855)</f>
        <v>0.29000000000000004</v>
      </c>
      <c r="AN855" s="402">
        <f t="shared" ref="AN855" si="1146">1-(AL855/AB855)</f>
        <v>0.23157894736842111</v>
      </c>
      <c r="AP855" s="404" t="s">
        <v>1267</v>
      </c>
      <c r="AQ855" s="405"/>
      <c r="AR855" s="405"/>
      <c r="AS855" s="406"/>
      <c r="AT855" s="407"/>
      <c r="AU855" s="407"/>
      <c r="AV855" s="408"/>
      <c r="AW855" s="409">
        <v>389</v>
      </c>
      <c r="AX855" s="410">
        <f t="shared" ref="AX855" si="1147">AW855/$F$6*1.25+AW855*U855</f>
        <v>415.59829059829065</v>
      </c>
      <c r="AY855" s="411"/>
      <c r="AZ855" s="412"/>
      <c r="BB855" s="394">
        <f t="shared" ref="BB855" si="1148">AB855/0.3</f>
        <v>1897.7090894899118</v>
      </c>
      <c r="BC855" s="394">
        <f t="shared" ref="BC855" si="1149">BB855*0.6</f>
        <v>1138.6254536939471</v>
      </c>
      <c r="BD855" s="394">
        <f t="shared" ref="BD855" si="1150">BB855*0.5</f>
        <v>948.85454474495589</v>
      </c>
      <c r="BE855" s="394">
        <f t="shared" ref="BE855" si="1151">BB855*0.4</f>
        <v>759.08363579596471</v>
      </c>
      <c r="BF855" s="129"/>
    </row>
    <row r="856" spans="1:58" s="129" customFormat="1" hidden="1">
      <c r="A856" s="88" t="s">
        <v>1276</v>
      </c>
      <c r="B856" s="88" t="s">
        <v>1846</v>
      </c>
      <c r="C856" s="88" t="s">
        <v>1318</v>
      </c>
      <c r="D856" s="88" t="s">
        <v>1102</v>
      </c>
      <c r="E856" s="91" t="s">
        <v>1844</v>
      </c>
      <c r="F856" s="90" t="s">
        <v>1845</v>
      </c>
      <c r="G856" s="92"/>
      <c r="H856" s="92"/>
      <c r="I856" s="132" t="s">
        <v>1868</v>
      </c>
      <c r="J856" s="132" t="str">
        <f>_xlfn.XLOOKUP(I856,[1]Sheet1!$A:$A,[1]Sheet1!$B:$B,"")</f>
        <v/>
      </c>
      <c r="K856" s="91" t="s">
        <v>1988</v>
      </c>
      <c r="L856" s="89" t="s">
        <v>2107</v>
      </c>
      <c r="M856" s="92"/>
      <c r="N856" s="91" t="s">
        <v>1223</v>
      </c>
      <c r="O856" s="131"/>
      <c r="P856" s="90" t="s">
        <v>2206</v>
      </c>
      <c r="Q856" s="131"/>
      <c r="R856" s="131"/>
      <c r="S856" s="92"/>
      <c r="T856" s="131">
        <v>9403208000</v>
      </c>
      <c r="U856" s="155">
        <v>0</v>
      </c>
      <c r="V856" s="131">
        <v>45</v>
      </c>
      <c r="W856" s="131">
        <v>45</v>
      </c>
      <c r="X856" s="131"/>
      <c r="Y856" s="131" t="s">
        <v>2436</v>
      </c>
      <c r="Z856" s="133">
        <f t="shared" si="1107"/>
        <v>0</v>
      </c>
      <c r="AA856" s="133"/>
      <c r="AB856" s="161">
        <f t="shared" si="1108"/>
        <v>0</v>
      </c>
      <c r="AC856" s="161"/>
      <c r="AD856" s="213">
        <f t="shared" si="1090"/>
        <v>0.05</v>
      </c>
      <c r="AE856" s="213">
        <v>0.05</v>
      </c>
      <c r="AF856" s="219">
        <v>0.27</v>
      </c>
      <c r="AG856" s="218" t="s">
        <v>9</v>
      </c>
      <c r="AH856" s="148">
        <f t="shared" si="1086"/>
        <v>0</v>
      </c>
      <c r="AI856" s="206" t="e">
        <f t="shared" si="1109"/>
        <v>#DIV/0!</v>
      </c>
      <c r="AJ856" s="444"/>
      <c r="AK856" s="150">
        <f t="shared" si="1103"/>
        <v>0</v>
      </c>
      <c r="AL856" s="202">
        <f t="shared" si="1110"/>
        <v>0</v>
      </c>
      <c r="AM856" s="208" t="e">
        <f t="shared" si="1111"/>
        <v>#DIV/0!</v>
      </c>
      <c r="AN856" s="208" t="e">
        <f t="shared" si="1112"/>
        <v>#DIV/0!</v>
      </c>
      <c r="AP856" s="170" t="s">
        <v>1267</v>
      </c>
      <c r="AQ856" s="204"/>
      <c r="AR856" s="204"/>
      <c r="AS856" s="197"/>
      <c r="AT856" s="162"/>
      <c r="AU856" s="162"/>
      <c r="AV856" s="173"/>
      <c r="AW856" s="203"/>
      <c r="AX856" s="126"/>
      <c r="AY856" s="163"/>
      <c r="AZ856" s="19"/>
      <c r="BB856" s="168">
        <f t="shared" si="1097"/>
        <v>0</v>
      </c>
      <c r="BC856" s="168">
        <f t="shared" si="1098"/>
        <v>0</v>
      </c>
      <c r="BD856" s="168">
        <f t="shared" si="1099"/>
        <v>0</v>
      </c>
      <c r="BE856" s="168">
        <f t="shared" si="1100"/>
        <v>0</v>
      </c>
    </row>
    <row r="857" spans="1:58" s="129" customFormat="1" hidden="1">
      <c r="A857" s="88" t="s">
        <v>1276</v>
      </c>
      <c r="B857" s="88" t="s">
        <v>1846</v>
      </c>
      <c r="C857" s="88" t="s">
        <v>1318</v>
      </c>
      <c r="D857" s="88" t="s">
        <v>1102</v>
      </c>
      <c r="E857" s="91" t="s">
        <v>1844</v>
      </c>
      <c r="F857" s="90" t="s">
        <v>1845</v>
      </c>
      <c r="G857" s="92"/>
      <c r="H857" s="92"/>
      <c r="I857" s="132" t="s">
        <v>1869</v>
      </c>
      <c r="J857" s="132" t="str">
        <f>_xlfn.XLOOKUP(I857,[1]Sheet1!$A:$A,[1]Sheet1!$B:$B,"")</f>
        <v/>
      </c>
      <c r="K857" s="91" t="s">
        <v>1989</v>
      </c>
      <c r="L857" s="89" t="s">
        <v>2108</v>
      </c>
      <c r="M857" s="92"/>
      <c r="N857" s="91" t="s">
        <v>1223</v>
      </c>
      <c r="O857" s="131"/>
      <c r="P857" s="90" t="s">
        <v>2206</v>
      </c>
      <c r="Q857" s="131"/>
      <c r="R857" s="131"/>
      <c r="S857" s="92"/>
      <c r="T857" s="131">
        <v>9403208000</v>
      </c>
      <c r="U857" s="155">
        <v>0</v>
      </c>
      <c r="V857" s="131">
        <v>45</v>
      </c>
      <c r="W857" s="131">
        <v>45</v>
      </c>
      <c r="X857" s="131"/>
      <c r="Y857" s="131" t="s">
        <v>2436</v>
      </c>
      <c r="Z857" s="133">
        <f t="shared" si="1107"/>
        <v>0</v>
      </c>
      <c r="AA857" s="133"/>
      <c r="AB857" s="161">
        <f t="shared" si="1108"/>
        <v>0</v>
      </c>
      <c r="AC857" s="161"/>
      <c r="AD857" s="213">
        <f t="shared" si="1090"/>
        <v>0.05</v>
      </c>
      <c r="AE857" s="213">
        <v>0.05</v>
      </c>
      <c r="AF857" s="219">
        <v>0.27</v>
      </c>
      <c r="AG857" s="218" t="s">
        <v>9</v>
      </c>
      <c r="AH857" s="148">
        <f t="shared" si="1086"/>
        <v>0</v>
      </c>
      <c r="AI857" s="206" t="e">
        <f t="shared" si="1109"/>
        <v>#DIV/0!</v>
      </c>
      <c r="AJ857" s="444"/>
      <c r="AK857" s="150">
        <f t="shared" si="1103"/>
        <v>0</v>
      </c>
      <c r="AL857" s="202">
        <f t="shared" si="1110"/>
        <v>0</v>
      </c>
      <c r="AM857" s="208" t="e">
        <f t="shared" si="1111"/>
        <v>#DIV/0!</v>
      </c>
      <c r="AN857" s="208" t="e">
        <f t="shared" si="1112"/>
        <v>#DIV/0!</v>
      </c>
      <c r="AP857" s="170" t="s">
        <v>1267</v>
      </c>
      <c r="AQ857" s="204"/>
      <c r="AR857" s="204"/>
      <c r="AS857" s="197"/>
      <c r="AT857" s="162"/>
      <c r="AU857" s="162"/>
      <c r="AV857" s="173"/>
      <c r="AW857" s="203"/>
      <c r="AX857" s="126"/>
      <c r="AY857" s="163"/>
      <c r="AZ857" s="19"/>
      <c r="BB857" s="168">
        <f t="shared" si="1097"/>
        <v>0</v>
      </c>
      <c r="BC857" s="168">
        <f t="shared" si="1098"/>
        <v>0</v>
      </c>
      <c r="BD857" s="168">
        <f t="shared" si="1099"/>
        <v>0</v>
      </c>
      <c r="BE857" s="168">
        <f t="shared" si="1100"/>
        <v>0</v>
      </c>
    </row>
    <row r="858" spans="1:58" s="129" customFormat="1" hidden="1">
      <c r="A858" s="88" t="s">
        <v>1276</v>
      </c>
      <c r="B858" s="88" t="s">
        <v>1846</v>
      </c>
      <c r="C858" s="88" t="s">
        <v>1318</v>
      </c>
      <c r="D858" s="88" t="s">
        <v>1102</v>
      </c>
      <c r="E858" s="91" t="s">
        <v>1844</v>
      </c>
      <c r="F858" s="90" t="s">
        <v>1845</v>
      </c>
      <c r="G858" s="92"/>
      <c r="H858" s="92"/>
      <c r="I858" s="132" t="s">
        <v>1870</v>
      </c>
      <c r="J858" s="132" t="str">
        <f>_xlfn.XLOOKUP(I858,[1]Sheet1!$A:$A,[1]Sheet1!$B:$B,"")</f>
        <v/>
      </c>
      <c r="K858" s="91" t="s">
        <v>1990</v>
      </c>
      <c r="L858" s="89" t="s">
        <v>2109</v>
      </c>
      <c r="M858" s="92"/>
      <c r="N858" s="91" t="s">
        <v>1223</v>
      </c>
      <c r="O858" s="131"/>
      <c r="P858" s="90" t="s">
        <v>2206</v>
      </c>
      <c r="Q858" s="131"/>
      <c r="R858" s="131"/>
      <c r="S858" s="92"/>
      <c r="T858" s="131">
        <v>9403208000</v>
      </c>
      <c r="U858" s="155">
        <v>0</v>
      </c>
      <c r="V858" s="131">
        <v>45</v>
      </c>
      <c r="W858" s="131">
        <v>45</v>
      </c>
      <c r="X858" s="131"/>
      <c r="Y858" s="131" t="s">
        <v>2436</v>
      </c>
      <c r="Z858" s="133">
        <f t="shared" si="1107"/>
        <v>0</v>
      </c>
      <c r="AA858" s="133"/>
      <c r="AB858" s="161">
        <f t="shared" si="1108"/>
        <v>0</v>
      </c>
      <c r="AC858" s="161"/>
      <c r="AD858" s="213">
        <f t="shared" si="1090"/>
        <v>0.05</v>
      </c>
      <c r="AE858" s="213">
        <v>0.05</v>
      </c>
      <c r="AF858" s="219">
        <v>0.27</v>
      </c>
      <c r="AG858" s="218" t="s">
        <v>9</v>
      </c>
      <c r="AH858" s="148">
        <f t="shared" si="1086"/>
        <v>0</v>
      </c>
      <c r="AI858" s="206" t="e">
        <f t="shared" si="1109"/>
        <v>#DIV/0!</v>
      </c>
      <c r="AJ858" s="444"/>
      <c r="AK858" s="150">
        <f t="shared" si="1103"/>
        <v>0</v>
      </c>
      <c r="AL858" s="202">
        <f t="shared" si="1110"/>
        <v>0</v>
      </c>
      <c r="AM858" s="208" t="e">
        <f t="shared" si="1111"/>
        <v>#DIV/0!</v>
      </c>
      <c r="AN858" s="208" t="e">
        <f t="shared" si="1112"/>
        <v>#DIV/0!</v>
      </c>
      <c r="AP858" s="170" t="s">
        <v>1267</v>
      </c>
      <c r="AQ858" s="204"/>
      <c r="AR858" s="204"/>
      <c r="AS858" s="197"/>
      <c r="AT858" s="162"/>
      <c r="AU858" s="162"/>
      <c r="AV858" s="173"/>
      <c r="AW858" s="203"/>
      <c r="AX858" s="126"/>
      <c r="AY858" s="163"/>
      <c r="AZ858" s="19"/>
      <c r="BB858" s="168">
        <f t="shared" si="1097"/>
        <v>0</v>
      </c>
      <c r="BC858" s="168">
        <f t="shared" si="1098"/>
        <v>0</v>
      </c>
      <c r="BD858" s="168">
        <f t="shared" si="1099"/>
        <v>0</v>
      </c>
      <c r="BE858" s="168">
        <f t="shared" si="1100"/>
        <v>0</v>
      </c>
    </row>
    <row r="859" spans="1:58" s="129" customFormat="1" hidden="1">
      <c r="A859" s="88" t="s">
        <v>1276</v>
      </c>
      <c r="B859" s="88" t="s">
        <v>1846</v>
      </c>
      <c r="C859" s="88" t="s">
        <v>1318</v>
      </c>
      <c r="D859" s="88" t="s">
        <v>1102</v>
      </c>
      <c r="E859" s="91" t="s">
        <v>1844</v>
      </c>
      <c r="F859" s="90" t="s">
        <v>1845</v>
      </c>
      <c r="G859" s="92"/>
      <c r="H859" s="92"/>
      <c r="I859" s="132" t="s">
        <v>1871</v>
      </c>
      <c r="J859" s="132" t="str">
        <f>_xlfn.XLOOKUP(I859,[1]Sheet1!$A:$A,[1]Sheet1!$B:$B,"")</f>
        <v/>
      </c>
      <c r="K859" s="91" t="s">
        <v>1991</v>
      </c>
      <c r="L859" s="89" t="s">
        <v>2110</v>
      </c>
      <c r="M859" s="92"/>
      <c r="N859" s="91" t="s">
        <v>1223</v>
      </c>
      <c r="O859" s="131"/>
      <c r="P859" s="90" t="s">
        <v>2206</v>
      </c>
      <c r="Q859" s="131"/>
      <c r="R859" s="131"/>
      <c r="S859" s="92"/>
      <c r="T859" s="131">
        <v>9403208000</v>
      </c>
      <c r="U859" s="155">
        <v>0</v>
      </c>
      <c r="V859" s="131">
        <v>45</v>
      </c>
      <c r="W859" s="131">
        <v>45</v>
      </c>
      <c r="X859" s="131"/>
      <c r="Y859" s="131" t="s">
        <v>2436</v>
      </c>
      <c r="Z859" s="133">
        <f t="shared" si="1107"/>
        <v>0</v>
      </c>
      <c r="AA859" s="133"/>
      <c r="AB859" s="161">
        <f t="shared" si="1108"/>
        <v>0</v>
      </c>
      <c r="AC859" s="161"/>
      <c r="AD859" s="213">
        <f t="shared" si="1090"/>
        <v>0.05</v>
      </c>
      <c r="AE859" s="213">
        <v>0.05</v>
      </c>
      <c r="AF859" s="219">
        <v>0.27</v>
      </c>
      <c r="AG859" s="218" t="s">
        <v>9</v>
      </c>
      <c r="AH859" s="148">
        <f t="shared" si="1086"/>
        <v>0</v>
      </c>
      <c r="AI859" s="206" t="e">
        <f t="shared" si="1109"/>
        <v>#DIV/0!</v>
      </c>
      <c r="AJ859" s="444"/>
      <c r="AK859" s="150">
        <f t="shared" si="1103"/>
        <v>0</v>
      </c>
      <c r="AL859" s="202">
        <f t="shared" si="1110"/>
        <v>0</v>
      </c>
      <c r="AM859" s="208" t="e">
        <f t="shared" si="1111"/>
        <v>#DIV/0!</v>
      </c>
      <c r="AN859" s="208" t="e">
        <f t="shared" si="1112"/>
        <v>#DIV/0!</v>
      </c>
      <c r="AP859" s="170" t="s">
        <v>1267</v>
      </c>
      <c r="AQ859" s="204"/>
      <c r="AR859" s="204"/>
      <c r="AS859" s="197"/>
      <c r="AT859" s="162"/>
      <c r="AU859" s="162"/>
      <c r="AV859" s="173"/>
      <c r="AW859" s="203"/>
      <c r="AX859" s="126"/>
      <c r="AY859" s="163"/>
      <c r="AZ859" s="19"/>
      <c r="BB859" s="168">
        <f t="shared" si="1097"/>
        <v>0</v>
      </c>
      <c r="BC859" s="168">
        <f t="shared" si="1098"/>
        <v>0</v>
      </c>
      <c r="BD859" s="168">
        <f t="shared" si="1099"/>
        <v>0</v>
      </c>
      <c r="BE859" s="168">
        <f t="shared" si="1100"/>
        <v>0</v>
      </c>
    </row>
    <row r="860" spans="1:58" s="129" customFormat="1" hidden="1">
      <c r="A860" s="88" t="s">
        <v>1276</v>
      </c>
      <c r="B860" s="88" t="s">
        <v>1846</v>
      </c>
      <c r="C860" s="88" t="s">
        <v>1318</v>
      </c>
      <c r="D860" s="88" t="s">
        <v>1102</v>
      </c>
      <c r="E860" s="91" t="s">
        <v>1844</v>
      </c>
      <c r="F860" s="90" t="s">
        <v>1845</v>
      </c>
      <c r="G860" s="92"/>
      <c r="H860" s="92"/>
      <c r="I860" s="132" t="s">
        <v>1872</v>
      </c>
      <c r="J860" s="132" t="str">
        <f>_xlfn.XLOOKUP(I860,[1]Sheet1!$A:$A,[1]Sheet1!$B:$B,"")</f>
        <v/>
      </c>
      <c r="K860" s="91" t="s">
        <v>1992</v>
      </c>
      <c r="L860" s="89" t="s">
        <v>2111</v>
      </c>
      <c r="M860" s="92"/>
      <c r="N860" s="91" t="s">
        <v>1223</v>
      </c>
      <c r="O860" s="131"/>
      <c r="P860" s="90" t="s">
        <v>2206</v>
      </c>
      <c r="Q860" s="131"/>
      <c r="R860" s="131"/>
      <c r="S860" s="92"/>
      <c r="T860" s="131">
        <v>9403208000</v>
      </c>
      <c r="U860" s="155">
        <v>0</v>
      </c>
      <c r="V860" s="131">
        <v>45</v>
      </c>
      <c r="W860" s="131">
        <v>45</v>
      </c>
      <c r="X860" s="131"/>
      <c r="Y860" s="131" t="s">
        <v>2436</v>
      </c>
      <c r="Z860" s="133">
        <f t="shared" si="1107"/>
        <v>0</v>
      </c>
      <c r="AA860" s="133"/>
      <c r="AB860" s="161">
        <f t="shared" si="1108"/>
        <v>0</v>
      </c>
      <c r="AC860" s="161"/>
      <c r="AD860" s="213">
        <f t="shared" si="1090"/>
        <v>0.05</v>
      </c>
      <c r="AE860" s="213">
        <v>0.05</v>
      </c>
      <c r="AF860" s="219">
        <v>0.27</v>
      </c>
      <c r="AG860" s="218" t="s">
        <v>9</v>
      </c>
      <c r="AH860" s="148">
        <f t="shared" si="1086"/>
        <v>0</v>
      </c>
      <c r="AI860" s="206" t="e">
        <f t="shared" si="1109"/>
        <v>#DIV/0!</v>
      </c>
      <c r="AJ860" s="444"/>
      <c r="AK860" s="150">
        <f t="shared" si="1103"/>
        <v>0</v>
      </c>
      <c r="AL860" s="202">
        <f t="shared" si="1110"/>
        <v>0</v>
      </c>
      <c r="AM860" s="208" t="e">
        <f t="shared" si="1111"/>
        <v>#DIV/0!</v>
      </c>
      <c r="AN860" s="208" t="e">
        <f t="shared" si="1112"/>
        <v>#DIV/0!</v>
      </c>
      <c r="AP860" s="170" t="s">
        <v>1267</v>
      </c>
      <c r="AQ860" s="204"/>
      <c r="AR860" s="204"/>
      <c r="AS860" s="197"/>
      <c r="AT860" s="162"/>
      <c r="AU860" s="162"/>
      <c r="AV860" s="173"/>
      <c r="AW860" s="203"/>
      <c r="AX860" s="126"/>
      <c r="AY860" s="163"/>
      <c r="AZ860" s="19"/>
      <c r="BB860" s="168">
        <f t="shared" si="1097"/>
        <v>0</v>
      </c>
      <c r="BC860" s="168">
        <f t="shared" si="1098"/>
        <v>0</v>
      </c>
      <c r="BD860" s="168">
        <f t="shared" si="1099"/>
        <v>0</v>
      </c>
      <c r="BE860" s="168">
        <f t="shared" si="1100"/>
        <v>0</v>
      </c>
    </row>
    <row r="861" spans="1:58" s="129" customFormat="1" hidden="1">
      <c r="A861" s="88" t="s">
        <v>1276</v>
      </c>
      <c r="B861" s="88" t="s">
        <v>1846</v>
      </c>
      <c r="C861" s="88" t="s">
        <v>1318</v>
      </c>
      <c r="D861" s="88" t="s">
        <v>1102</v>
      </c>
      <c r="E861" s="91" t="s">
        <v>1844</v>
      </c>
      <c r="F861" s="90" t="s">
        <v>1845</v>
      </c>
      <c r="G861" s="92"/>
      <c r="H861" s="92"/>
      <c r="I861" s="132" t="s">
        <v>1873</v>
      </c>
      <c r="J861" s="132" t="str">
        <f>_xlfn.XLOOKUP(I861,[1]Sheet1!$A:$A,[1]Sheet1!$B:$B,"")</f>
        <v/>
      </c>
      <c r="K861" s="91" t="s">
        <v>1993</v>
      </c>
      <c r="L861" s="89" t="s">
        <v>2112</v>
      </c>
      <c r="M861" s="92"/>
      <c r="N861" s="91" t="s">
        <v>1223</v>
      </c>
      <c r="O861" s="131"/>
      <c r="P861" s="90" t="s">
        <v>2206</v>
      </c>
      <c r="Q861" s="131"/>
      <c r="R861" s="131"/>
      <c r="S861" s="92"/>
      <c r="T861" s="131">
        <v>9403208000</v>
      </c>
      <c r="U861" s="155">
        <v>0</v>
      </c>
      <c r="V861" s="131">
        <v>45</v>
      </c>
      <c r="W861" s="131">
        <v>45</v>
      </c>
      <c r="X861" s="131"/>
      <c r="Y861" s="131" t="s">
        <v>2436</v>
      </c>
      <c r="Z861" s="133">
        <f t="shared" si="1107"/>
        <v>0</v>
      </c>
      <c r="AA861" s="133"/>
      <c r="AB861" s="161">
        <f t="shared" si="1108"/>
        <v>0</v>
      </c>
      <c r="AC861" s="161"/>
      <c r="AD861" s="213">
        <f t="shared" si="1090"/>
        <v>0.05</v>
      </c>
      <c r="AE861" s="213">
        <v>0.05</v>
      </c>
      <c r="AF861" s="219">
        <v>0.27</v>
      </c>
      <c r="AG861" s="218" t="s">
        <v>9</v>
      </c>
      <c r="AH861" s="148">
        <f t="shared" si="1086"/>
        <v>0</v>
      </c>
      <c r="AI861" s="206" t="e">
        <f t="shared" si="1109"/>
        <v>#DIV/0!</v>
      </c>
      <c r="AJ861" s="444"/>
      <c r="AK861" s="150">
        <f t="shared" si="1103"/>
        <v>0</v>
      </c>
      <c r="AL861" s="202">
        <f t="shared" si="1110"/>
        <v>0</v>
      </c>
      <c r="AM861" s="208" t="e">
        <f t="shared" si="1111"/>
        <v>#DIV/0!</v>
      </c>
      <c r="AN861" s="208" t="e">
        <f t="shared" si="1112"/>
        <v>#DIV/0!</v>
      </c>
      <c r="AP861" s="170" t="s">
        <v>1267</v>
      </c>
      <c r="AQ861" s="204"/>
      <c r="AR861" s="204"/>
      <c r="AS861" s="197"/>
      <c r="AT861" s="162"/>
      <c r="AU861" s="162"/>
      <c r="AV861" s="173"/>
      <c r="AW861" s="203"/>
      <c r="AX861" s="126"/>
      <c r="AY861" s="163"/>
      <c r="AZ861" s="19"/>
      <c r="BB861" s="168">
        <f t="shared" si="1097"/>
        <v>0</v>
      </c>
      <c r="BC861" s="168">
        <f t="shared" si="1098"/>
        <v>0</v>
      </c>
      <c r="BD861" s="168">
        <f t="shared" si="1099"/>
        <v>0</v>
      </c>
      <c r="BE861" s="168">
        <f t="shared" si="1100"/>
        <v>0</v>
      </c>
    </row>
    <row r="862" spans="1:58" s="129" customFormat="1" hidden="1">
      <c r="A862" s="88" t="s">
        <v>1276</v>
      </c>
      <c r="B862" s="88" t="s">
        <v>1846</v>
      </c>
      <c r="C862" s="88" t="s">
        <v>1318</v>
      </c>
      <c r="D862" s="88" t="s">
        <v>1102</v>
      </c>
      <c r="E862" s="91" t="s">
        <v>1844</v>
      </c>
      <c r="F862" s="90" t="s">
        <v>2207</v>
      </c>
      <c r="G862" s="92" t="s">
        <v>2636</v>
      </c>
      <c r="H862" s="92" t="s">
        <v>3254</v>
      </c>
      <c r="I862" s="132" t="s">
        <v>1874</v>
      </c>
      <c r="J862" s="132" t="str">
        <f>_xlfn.XLOOKUP(I862,[1]Sheet1!$A:$A,[1]Sheet1!$B:$B,"")</f>
        <v>U1403001</v>
      </c>
      <c r="K862" s="91" t="s">
        <v>1994</v>
      </c>
      <c r="L862" s="89" t="s">
        <v>2113</v>
      </c>
      <c r="M862" s="92"/>
      <c r="N862" s="91" t="s">
        <v>1223</v>
      </c>
      <c r="O862" s="131"/>
      <c r="P862" s="90" t="s">
        <v>2206</v>
      </c>
      <c r="Q862" s="131"/>
      <c r="R862" s="131"/>
      <c r="S862" s="92"/>
      <c r="T862" s="131">
        <v>9403208000</v>
      </c>
      <c r="U862" s="155">
        <v>0</v>
      </c>
      <c r="V862" s="131">
        <v>45</v>
      </c>
      <c r="W862" s="131">
        <v>45</v>
      </c>
      <c r="X862" s="131"/>
      <c r="Y862" s="131" t="s">
        <v>2436</v>
      </c>
      <c r="Z862" s="133">
        <f t="shared" si="1107"/>
        <v>295.24152847873108</v>
      </c>
      <c r="AA862" s="133"/>
      <c r="AB862" s="161">
        <f t="shared" si="1108"/>
        <v>249.28774928774934</v>
      </c>
      <c r="AC862" s="161"/>
      <c r="AD862" s="213">
        <f t="shared" si="1090"/>
        <v>0.05</v>
      </c>
      <c r="AE862" s="213">
        <v>0.05</v>
      </c>
      <c r="AF862" s="219">
        <v>0.25</v>
      </c>
      <c r="AG862" s="218" t="s">
        <v>9</v>
      </c>
      <c r="AH862" s="148">
        <f t="shared" si="1086"/>
        <v>249.28774928774934</v>
      </c>
      <c r="AI862" s="206">
        <f t="shared" si="1109"/>
        <v>0.25</v>
      </c>
      <c r="AJ862" s="444"/>
      <c r="AK862" s="150">
        <f t="shared" si="1103"/>
        <v>215.52631578947367</v>
      </c>
      <c r="AL862" s="202">
        <f t="shared" si="1110"/>
        <v>196.8061178587495</v>
      </c>
      <c r="AM862" s="208">
        <f t="shared" si="1111"/>
        <v>0.27</v>
      </c>
      <c r="AN862" s="208">
        <f t="shared" si="1112"/>
        <v>0.21052631578947356</v>
      </c>
      <c r="AP862" s="170" t="s">
        <v>1267</v>
      </c>
      <c r="AQ862" s="204"/>
      <c r="AR862" s="204"/>
      <c r="AS862" s="197"/>
      <c r="AT862" s="162"/>
      <c r="AU862" s="162"/>
      <c r="AV862" s="173"/>
      <c r="AW862" s="203">
        <v>175</v>
      </c>
      <c r="AX862" s="126">
        <f t="shared" ref="AX862:AX903" si="1152">AW862/$F$6*1.25+AW862*U862</f>
        <v>186.96581196581201</v>
      </c>
      <c r="AY862" s="163"/>
      <c r="AZ862" s="19"/>
      <c r="BB862" s="168">
        <f t="shared" si="1097"/>
        <v>830.9591642924978</v>
      </c>
      <c r="BC862" s="168">
        <f t="shared" si="1098"/>
        <v>498.57549857549867</v>
      </c>
      <c r="BD862" s="168">
        <f t="shared" si="1099"/>
        <v>415.4795821462489</v>
      </c>
      <c r="BE862" s="168">
        <f t="shared" si="1100"/>
        <v>332.38366571699913</v>
      </c>
    </row>
    <row r="863" spans="1:58" s="129" customFormat="1" hidden="1">
      <c r="A863" s="88" t="s">
        <v>1276</v>
      </c>
      <c r="B863" s="88" t="s">
        <v>1846</v>
      </c>
      <c r="C863" s="88" t="s">
        <v>1318</v>
      </c>
      <c r="D863" s="88" t="s">
        <v>1102</v>
      </c>
      <c r="E863" s="91" t="s">
        <v>1844</v>
      </c>
      <c r="F863" s="90" t="s">
        <v>2207</v>
      </c>
      <c r="G863" s="92" t="s">
        <v>2637</v>
      </c>
      <c r="H863" s="92" t="s">
        <v>3254</v>
      </c>
      <c r="I863" s="132" t="s">
        <v>1875</v>
      </c>
      <c r="J863" s="132" t="str">
        <f>_xlfn.XLOOKUP(I863,[1]Sheet1!$A:$A,[1]Sheet1!$B:$B,"")</f>
        <v>U1403002</v>
      </c>
      <c r="K863" s="91" t="s">
        <v>1995</v>
      </c>
      <c r="L863" s="89" t="s">
        <v>2114</v>
      </c>
      <c r="M863" s="92"/>
      <c r="N863" s="91" t="s">
        <v>1223</v>
      </c>
      <c r="O863" s="131"/>
      <c r="P863" s="90" t="s">
        <v>2206</v>
      </c>
      <c r="Q863" s="131"/>
      <c r="R863" s="131"/>
      <c r="S863" s="92"/>
      <c r="T863" s="131">
        <v>9403208000</v>
      </c>
      <c r="U863" s="155">
        <v>0</v>
      </c>
      <c r="V863" s="131">
        <v>45</v>
      </c>
      <c r="W863" s="131">
        <v>45</v>
      </c>
      <c r="X863" s="131"/>
      <c r="Y863" s="131" t="s">
        <v>2436</v>
      </c>
      <c r="Z863" s="133">
        <f t="shared" si="1107"/>
        <v>303.67700072098052</v>
      </c>
      <c r="AA863" s="133"/>
      <c r="AB863" s="161">
        <f t="shared" si="1108"/>
        <v>256.41025641025641</v>
      </c>
      <c r="AC863" s="161"/>
      <c r="AD863" s="213">
        <f t="shared" si="1090"/>
        <v>0.05</v>
      </c>
      <c r="AE863" s="213">
        <v>0.05</v>
      </c>
      <c r="AF863" s="219">
        <v>0.25</v>
      </c>
      <c r="AG863" s="218" t="s">
        <v>9</v>
      </c>
      <c r="AH863" s="148">
        <f t="shared" si="1086"/>
        <v>256.41025641025641</v>
      </c>
      <c r="AI863" s="206">
        <f t="shared" si="1109"/>
        <v>0.25</v>
      </c>
      <c r="AJ863" s="444"/>
      <c r="AK863" s="150">
        <f t="shared" si="1103"/>
        <v>221.68421052631578</v>
      </c>
      <c r="AL863" s="202">
        <f t="shared" si="1110"/>
        <v>202.42914979757089</v>
      </c>
      <c r="AM863" s="208">
        <f t="shared" si="1111"/>
        <v>0.27</v>
      </c>
      <c r="AN863" s="208">
        <f t="shared" si="1112"/>
        <v>0.21052631578947356</v>
      </c>
      <c r="AP863" s="170" t="s">
        <v>1267</v>
      </c>
      <c r="AQ863" s="204"/>
      <c r="AR863" s="204"/>
      <c r="AS863" s="197"/>
      <c r="AT863" s="162"/>
      <c r="AU863" s="162"/>
      <c r="AV863" s="173"/>
      <c r="AW863" s="203">
        <v>180</v>
      </c>
      <c r="AX863" s="126">
        <f t="shared" si="1152"/>
        <v>192.30769230769232</v>
      </c>
      <c r="AY863" s="163"/>
      <c r="AZ863" s="19"/>
      <c r="BB863" s="168">
        <f t="shared" si="1097"/>
        <v>854.70085470085473</v>
      </c>
      <c r="BC863" s="168">
        <f t="shared" si="1098"/>
        <v>512.82051282051282</v>
      </c>
      <c r="BD863" s="168">
        <f t="shared" si="1099"/>
        <v>427.35042735042737</v>
      </c>
      <c r="BE863" s="168">
        <f t="shared" si="1100"/>
        <v>341.88034188034192</v>
      </c>
    </row>
    <row r="864" spans="1:58" s="129" customFormat="1" hidden="1">
      <c r="A864" s="88" t="s">
        <v>1276</v>
      </c>
      <c r="B864" s="88" t="s">
        <v>1846</v>
      </c>
      <c r="C864" s="88" t="s">
        <v>1318</v>
      </c>
      <c r="D864" s="88" t="s">
        <v>1102</v>
      </c>
      <c r="E864" s="91" t="s">
        <v>1844</v>
      </c>
      <c r="F864" s="90" t="s">
        <v>2207</v>
      </c>
      <c r="G864" s="92" t="s">
        <v>2638</v>
      </c>
      <c r="H864" s="92" t="s">
        <v>3254</v>
      </c>
      <c r="I864" s="132" t="s">
        <v>1876</v>
      </c>
      <c r="J864" s="132" t="str">
        <f>_xlfn.XLOOKUP(I864,[1]Sheet1!$A:$A,[1]Sheet1!$B:$B,"")</f>
        <v>U1403003</v>
      </c>
      <c r="K864" s="91" t="s">
        <v>1996</v>
      </c>
      <c r="L864" s="89" t="s">
        <v>2115</v>
      </c>
      <c r="M864" s="92"/>
      <c r="N864" s="91" t="s">
        <v>1223</v>
      </c>
      <c r="O864" s="131"/>
      <c r="P864" s="90" t="s">
        <v>2206</v>
      </c>
      <c r="Q864" s="131"/>
      <c r="R864" s="131"/>
      <c r="S864" s="92"/>
      <c r="T864" s="131">
        <v>9403208000</v>
      </c>
      <c r="U864" s="155">
        <v>0</v>
      </c>
      <c r="V864" s="131">
        <v>45</v>
      </c>
      <c r="W864" s="131">
        <v>45</v>
      </c>
      <c r="X864" s="131"/>
      <c r="Y864" s="131" t="s">
        <v>2436</v>
      </c>
      <c r="Z864" s="133">
        <f t="shared" si="1107"/>
        <v>320.54794520547944</v>
      </c>
      <c r="AA864" s="133"/>
      <c r="AB864" s="161">
        <f t="shared" si="1108"/>
        <v>270.65527065527067</v>
      </c>
      <c r="AC864" s="161"/>
      <c r="AD864" s="213">
        <f t="shared" si="1090"/>
        <v>0.05</v>
      </c>
      <c r="AE864" s="213">
        <v>0.05</v>
      </c>
      <c r="AF864" s="219">
        <v>0.25</v>
      </c>
      <c r="AG864" s="218" t="s">
        <v>9</v>
      </c>
      <c r="AH864" s="148">
        <f t="shared" si="1086"/>
        <v>270.65527065527067</v>
      </c>
      <c r="AI864" s="206">
        <f t="shared" si="1109"/>
        <v>0.25</v>
      </c>
      <c r="AJ864" s="444"/>
      <c r="AK864" s="150">
        <f t="shared" si="1103"/>
        <v>234</v>
      </c>
      <c r="AL864" s="202">
        <f t="shared" si="1110"/>
        <v>213.67521367521368</v>
      </c>
      <c r="AM864" s="208">
        <f t="shared" si="1111"/>
        <v>0.27</v>
      </c>
      <c r="AN864" s="208">
        <f t="shared" si="1112"/>
        <v>0.21052631578947367</v>
      </c>
      <c r="AP864" s="170" t="s">
        <v>1267</v>
      </c>
      <c r="AQ864" s="204"/>
      <c r="AR864" s="204"/>
      <c r="AS864" s="197"/>
      <c r="AT864" s="162"/>
      <c r="AU864" s="162"/>
      <c r="AV864" s="173"/>
      <c r="AW864" s="203">
        <v>190</v>
      </c>
      <c r="AX864" s="126">
        <f t="shared" si="1152"/>
        <v>202.991452991453</v>
      </c>
      <c r="AY864" s="163"/>
      <c r="AZ864" s="19"/>
      <c r="BB864" s="168">
        <f t="shared" si="1097"/>
        <v>902.18423551756894</v>
      </c>
      <c r="BC864" s="168">
        <f t="shared" si="1098"/>
        <v>541.31054131054134</v>
      </c>
      <c r="BD864" s="168">
        <f t="shared" si="1099"/>
        <v>451.09211775878447</v>
      </c>
      <c r="BE864" s="168">
        <f t="shared" si="1100"/>
        <v>360.8736942070276</v>
      </c>
    </row>
    <row r="865" spans="1:58" s="129" customFormat="1" hidden="1">
      <c r="A865" s="88" t="s">
        <v>1276</v>
      </c>
      <c r="B865" s="88" t="s">
        <v>1846</v>
      </c>
      <c r="C865" s="88" t="s">
        <v>1318</v>
      </c>
      <c r="D865" s="88" t="s">
        <v>1102</v>
      </c>
      <c r="E865" s="91" t="s">
        <v>1844</v>
      </c>
      <c r="F865" s="90" t="s">
        <v>2207</v>
      </c>
      <c r="G865" s="92" t="s">
        <v>2639</v>
      </c>
      <c r="H865" s="92" t="s">
        <v>3254</v>
      </c>
      <c r="I865" s="132" t="s">
        <v>1877</v>
      </c>
      <c r="J865" s="132" t="str">
        <f>_xlfn.XLOOKUP(I865,[1]Sheet1!$A:$A,[1]Sheet1!$B:$B,"")</f>
        <v>U1403004</v>
      </c>
      <c r="K865" s="91" t="s">
        <v>1997</v>
      </c>
      <c r="L865" s="89" t="s">
        <v>2116</v>
      </c>
      <c r="M865" s="92"/>
      <c r="N865" s="91" t="s">
        <v>1223</v>
      </c>
      <c r="O865" s="131"/>
      <c r="P865" s="90" t="s">
        <v>2206</v>
      </c>
      <c r="Q865" s="131"/>
      <c r="R865" s="131"/>
      <c r="S865" s="92"/>
      <c r="T865" s="131">
        <v>9403208000</v>
      </c>
      <c r="U865" s="155">
        <v>0</v>
      </c>
      <c r="V865" s="131">
        <v>45</v>
      </c>
      <c r="W865" s="131">
        <v>45</v>
      </c>
      <c r="X865" s="131"/>
      <c r="Y865" s="131" t="s">
        <v>2436</v>
      </c>
      <c r="Z865" s="133">
        <f t="shared" si="1107"/>
        <v>354.28983417447722</v>
      </c>
      <c r="AA865" s="133"/>
      <c r="AB865" s="161">
        <f t="shared" si="1108"/>
        <v>299.14529914529913</v>
      </c>
      <c r="AC865" s="161"/>
      <c r="AD865" s="213">
        <f t="shared" si="1090"/>
        <v>0.05</v>
      </c>
      <c r="AE865" s="213">
        <v>0.05</v>
      </c>
      <c r="AF865" s="219">
        <v>0.25</v>
      </c>
      <c r="AG865" s="218" t="s">
        <v>9</v>
      </c>
      <c r="AH865" s="148">
        <f t="shared" si="1086"/>
        <v>299.14529914529913</v>
      </c>
      <c r="AI865" s="206">
        <f t="shared" si="1109"/>
        <v>0.25</v>
      </c>
      <c r="AJ865" s="444"/>
      <c r="AK865" s="150">
        <f t="shared" si="1103"/>
        <v>258.63157894736838</v>
      </c>
      <c r="AL865" s="202">
        <f t="shared" si="1110"/>
        <v>236.16734143049933</v>
      </c>
      <c r="AM865" s="208">
        <f t="shared" si="1111"/>
        <v>0.27</v>
      </c>
      <c r="AN865" s="208">
        <f t="shared" si="1112"/>
        <v>0.21052631578947367</v>
      </c>
      <c r="AP865" s="170" t="s">
        <v>1267</v>
      </c>
      <c r="AQ865" s="204"/>
      <c r="AR865" s="204"/>
      <c r="AS865" s="197"/>
      <c r="AT865" s="162"/>
      <c r="AU865" s="162"/>
      <c r="AV865" s="173"/>
      <c r="AW865" s="203">
        <v>210</v>
      </c>
      <c r="AX865" s="126">
        <f t="shared" si="1152"/>
        <v>224.35897435897436</v>
      </c>
      <c r="AY865" s="163"/>
      <c r="AZ865" s="19"/>
      <c r="BB865" s="168">
        <f t="shared" si="1097"/>
        <v>997.15099715099711</v>
      </c>
      <c r="BC865" s="168">
        <f t="shared" si="1098"/>
        <v>598.29059829059827</v>
      </c>
      <c r="BD865" s="168">
        <f t="shared" si="1099"/>
        <v>498.57549857549856</v>
      </c>
      <c r="BE865" s="168">
        <f t="shared" si="1100"/>
        <v>398.86039886039885</v>
      </c>
    </row>
    <row r="866" spans="1:58" s="129" customFormat="1" hidden="1">
      <c r="A866" s="88" t="s">
        <v>1276</v>
      </c>
      <c r="B866" s="88" t="s">
        <v>1846</v>
      </c>
      <c r="C866" s="88" t="s">
        <v>1318</v>
      </c>
      <c r="D866" s="88" t="s">
        <v>1102</v>
      </c>
      <c r="E866" s="91" t="s">
        <v>1844</v>
      </c>
      <c r="F866" s="90" t="s">
        <v>2207</v>
      </c>
      <c r="G866" s="92" t="s">
        <v>2640</v>
      </c>
      <c r="H866" s="92" t="s">
        <v>3254</v>
      </c>
      <c r="I866" s="132" t="s">
        <v>1878</v>
      </c>
      <c r="J866" s="132" t="str">
        <f>_xlfn.XLOOKUP(I866,[1]Sheet1!$A:$A,[1]Sheet1!$B:$B,"")</f>
        <v>U1403005</v>
      </c>
      <c r="K866" s="91" t="s">
        <v>1998</v>
      </c>
      <c r="L866" s="89" t="s">
        <v>2117</v>
      </c>
      <c r="M866" s="92"/>
      <c r="N866" s="91" t="s">
        <v>1223</v>
      </c>
      <c r="O866" s="131"/>
      <c r="P866" s="90" t="s">
        <v>2206</v>
      </c>
      <c r="Q866" s="131"/>
      <c r="R866" s="131"/>
      <c r="S866" s="92"/>
      <c r="T866" s="131">
        <v>9403208000</v>
      </c>
      <c r="U866" s="155">
        <v>0</v>
      </c>
      <c r="V866" s="131">
        <v>45</v>
      </c>
      <c r="W866" s="131">
        <v>45</v>
      </c>
      <c r="X866" s="131"/>
      <c r="Y866" s="131" t="s">
        <v>2436</v>
      </c>
      <c r="Z866" s="133">
        <f t="shared" si="1107"/>
        <v>413.33813987022347</v>
      </c>
      <c r="AA866" s="133"/>
      <c r="AB866" s="161">
        <f t="shared" si="1108"/>
        <v>349.00284900284902</v>
      </c>
      <c r="AC866" s="161"/>
      <c r="AD866" s="213">
        <f t="shared" si="1090"/>
        <v>0.05</v>
      </c>
      <c r="AE866" s="213">
        <v>0.05</v>
      </c>
      <c r="AF866" s="219">
        <v>0.25</v>
      </c>
      <c r="AG866" s="218" t="s">
        <v>9</v>
      </c>
      <c r="AH866" s="148">
        <f t="shared" si="1086"/>
        <v>349.00284900284902</v>
      </c>
      <c r="AI866" s="206">
        <f t="shared" si="1109"/>
        <v>0.25</v>
      </c>
      <c r="AJ866" s="444"/>
      <c r="AK866" s="150">
        <f t="shared" si="1103"/>
        <v>301.73684210526312</v>
      </c>
      <c r="AL866" s="202">
        <f t="shared" si="1110"/>
        <v>275.52856500224925</v>
      </c>
      <c r="AM866" s="208">
        <f t="shared" si="1111"/>
        <v>0.27</v>
      </c>
      <c r="AN866" s="208">
        <f t="shared" si="1112"/>
        <v>0.21052631578947356</v>
      </c>
      <c r="AP866" s="170" t="s">
        <v>1267</v>
      </c>
      <c r="AQ866" s="204"/>
      <c r="AR866" s="204"/>
      <c r="AS866" s="197"/>
      <c r="AT866" s="162"/>
      <c r="AU866" s="162"/>
      <c r="AV866" s="173"/>
      <c r="AW866" s="203">
        <v>245</v>
      </c>
      <c r="AX866" s="126">
        <f t="shared" si="1152"/>
        <v>261.75213675213678</v>
      </c>
      <c r="AY866" s="163"/>
      <c r="AZ866" s="19"/>
      <c r="BB866" s="168">
        <f t="shared" si="1097"/>
        <v>1163.3428300094968</v>
      </c>
      <c r="BC866" s="168">
        <f t="shared" si="1098"/>
        <v>698.00569800569804</v>
      </c>
      <c r="BD866" s="168">
        <f t="shared" si="1099"/>
        <v>581.67141500474838</v>
      </c>
      <c r="BE866" s="168">
        <f t="shared" si="1100"/>
        <v>465.33713200379873</v>
      </c>
    </row>
    <row r="867" spans="1:58" s="129" customFormat="1" hidden="1">
      <c r="A867" s="88" t="s">
        <v>1276</v>
      </c>
      <c r="B867" s="88" t="s">
        <v>1846</v>
      </c>
      <c r="C867" s="88" t="s">
        <v>1318</v>
      </c>
      <c r="D867" s="88" t="s">
        <v>1102</v>
      </c>
      <c r="E867" s="91" t="s">
        <v>1844</v>
      </c>
      <c r="F867" s="90" t="s">
        <v>2207</v>
      </c>
      <c r="G867" s="92" t="s">
        <v>2636</v>
      </c>
      <c r="H867" s="92" t="s">
        <v>3255</v>
      </c>
      <c r="I867" s="132" t="s">
        <v>1879</v>
      </c>
      <c r="J867" s="132" t="str">
        <f>_xlfn.XLOOKUP(I867,[1]Sheet1!$A:$A,[1]Sheet1!$B:$B,"")</f>
        <v>U1403006</v>
      </c>
      <c r="K867" s="91" t="s">
        <v>1999</v>
      </c>
      <c r="L867" s="89" t="s">
        <v>2118</v>
      </c>
      <c r="M867" s="92"/>
      <c r="N867" s="91" t="s">
        <v>1223</v>
      </c>
      <c r="O867" s="131"/>
      <c r="P867" s="90" t="s">
        <v>2206</v>
      </c>
      <c r="Q867" s="131"/>
      <c r="R867" s="131"/>
      <c r="S867" s="92"/>
      <c r="T867" s="131">
        <v>9403208000</v>
      </c>
      <c r="U867" s="155">
        <v>0</v>
      </c>
      <c r="V867" s="131">
        <v>45</v>
      </c>
      <c r="W867" s="131">
        <v>45</v>
      </c>
      <c r="X867" s="131"/>
      <c r="Y867" s="131" t="s">
        <v>2436</v>
      </c>
      <c r="Z867" s="133">
        <f t="shared" si="1107"/>
        <v>320.54794520547944</v>
      </c>
      <c r="AA867" s="133"/>
      <c r="AB867" s="161">
        <f t="shared" si="1108"/>
        <v>270.65527065527067</v>
      </c>
      <c r="AC867" s="161"/>
      <c r="AD867" s="213">
        <f t="shared" si="1090"/>
        <v>0.05</v>
      </c>
      <c r="AE867" s="213">
        <v>0.05</v>
      </c>
      <c r="AF867" s="219">
        <v>0.25</v>
      </c>
      <c r="AG867" s="218" t="s">
        <v>9</v>
      </c>
      <c r="AH867" s="148">
        <f t="shared" si="1086"/>
        <v>270.65527065527067</v>
      </c>
      <c r="AI867" s="206">
        <f t="shared" si="1109"/>
        <v>0.25</v>
      </c>
      <c r="AJ867" s="444"/>
      <c r="AK867" s="150">
        <f t="shared" si="1103"/>
        <v>234</v>
      </c>
      <c r="AL867" s="202">
        <f t="shared" si="1110"/>
        <v>213.67521367521368</v>
      </c>
      <c r="AM867" s="208">
        <f t="shared" si="1111"/>
        <v>0.27</v>
      </c>
      <c r="AN867" s="208">
        <f t="shared" si="1112"/>
        <v>0.21052631578947367</v>
      </c>
      <c r="AP867" s="170" t="s">
        <v>1267</v>
      </c>
      <c r="AQ867" s="204"/>
      <c r="AR867" s="204"/>
      <c r="AS867" s="197"/>
      <c r="AT867" s="162"/>
      <c r="AU867" s="162"/>
      <c r="AV867" s="173"/>
      <c r="AW867" s="203">
        <v>190</v>
      </c>
      <c r="AX867" s="126">
        <f t="shared" si="1152"/>
        <v>202.991452991453</v>
      </c>
      <c r="AY867" s="163"/>
      <c r="AZ867" s="19"/>
      <c r="BB867" s="168">
        <f t="shared" si="1097"/>
        <v>902.18423551756894</v>
      </c>
      <c r="BC867" s="168">
        <f t="shared" si="1098"/>
        <v>541.31054131054134</v>
      </c>
      <c r="BD867" s="168">
        <f t="shared" si="1099"/>
        <v>451.09211775878447</v>
      </c>
      <c r="BE867" s="168">
        <f t="shared" si="1100"/>
        <v>360.8736942070276</v>
      </c>
    </row>
    <row r="868" spans="1:58" s="129" customFormat="1" hidden="1">
      <c r="A868" s="88" t="s">
        <v>1276</v>
      </c>
      <c r="B868" s="88" t="s">
        <v>1846</v>
      </c>
      <c r="C868" s="88" t="s">
        <v>1318</v>
      </c>
      <c r="D868" s="88" t="s">
        <v>1102</v>
      </c>
      <c r="E868" s="91" t="s">
        <v>1844</v>
      </c>
      <c r="F868" s="90" t="s">
        <v>2207</v>
      </c>
      <c r="G868" s="92" t="s">
        <v>2638</v>
      </c>
      <c r="H868" s="92" t="s">
        <v>3255</v>
      </c>
      <c r="I868" s="132" t="s">
        <v>1880</v>
      </c>
      <c r="J868" s="132" t="str">
        <f>_xlfn.XLOOKUP(I868,[1]Sheet1!$A:$A,[1]Sheet1!$B:$B,"")</f>
        <v>U1403007</v>
      </c>
      <c r="K868" s="91" t="s">
        <v>2000</v>
      </c>
      <c r="L868" s="89" t="s">
        <v>2119</v>
      </c>
      <c r="M868" s="92"/>
      <c r="N868" s="91" t="s">
        <v>1223</v>
      </c>
      <c r="O868" s="131"/>
      <c r="P868" s="90" t="s">
        <v>2206</v>
      </c>
      <c r="Q868" s="131"/>
      <c r="R868" s="131"/>
      <c r="S868" s="92"/>
      <c r="T868" s="131">
        <v>9403208000</v>
      </c>
      <c r="U868" s="155">
        <v>0</v>
      </c>
      <c r="V868" s="131">
        <v>45</v>
      </c>
      <c r="W868" s="131">
        <v>45</v>
      </c>
      <c r="X868" s="131"/>
      <c r="Y868" s="131" t="s">
        <v>2436</v>
      </c>
      <c r="Z868" s="133">
        <f t="shared" si="1107"/>
        <v>354.28983417447722</v>
      </c>
      <c r="AA868" s="133"/>
      <c r="AB868" s="161">
        <f t="shared" si="1108"/>
        <v>299.14529914529913</v>
      </c>
      <c r="AC868" s="161"/>
      <c r="AD868" s="213">
        <f t="shared" si="1090"/>
        <v>0.05</v>
      </c>
      <c r="AE868" s="213">
        <v>0.05</v>
      </c>
      <c r="AF868" s="219">
        <v>0.25</v>
      </c>
      <c r="AG868" s="218" t="s">
        <v>9</v>
      </c>
      <c r="AH868" s="148">
        <f t="shared" si="1086"/>
        <v>299.14529914529913</v>
      </c>
      <c r="AI868" s="206">
        <f t="shared" si="1109"/>
        <v>0.25</v>
      </c>
      <c r="AJ868" s="444"/>
      <c r="AK868" s="150">
        <f t="shared" si="1103"/>
        <v>258.63157894736838</v>
      </c>
      <c r="AL868" s="202">
        <f t="shared" si="1110"/>
        <v>236.16734143049933</v>
      </c>
      <c r="AM868" s="208">
        <f t="shared" si="1111"/>
        <v>0.27</v>
      </c>
      <c r="AN868" s="208">
        <f t="shared" si="1112"/>
        <v>0.21052631578947367</v>
      </c>
      <c r="AP868" s="170" t="s">
        <v>1267</v>
      </c>
      <c r="AQ868" s="204"/>
      <c r="AR868" s="204"/>
      <c r="AS868" s="197"/>
      <c r="AT868" s="162"/>
      <c r="AU868" s="162"/>
      <c r="AV868" s="173"/>
      <c r="AW868" s="203">
        <v>210</v>
      </c>
      <c r="AX868" s="126">
        <f t="shared" si="1152"/>
        <v>224.35897435897436</v>
      </c>
      <c r="AY868" s="163"/>
      <c r="AZ868" s="19"/>
      <c r="BB868" s="168">
        <f t="shared" si="1097"/>
        <v>997.15099715099711</v>
      </c>
      <c r="BC868" s="168">
        <f t="shared" si="1098"/>
        <v>598.29059829059827</v>
      </c>
      <c r="BD868" s="168">
        <f t="shared" si="1099"/>
        <v>498.57549857549856</v>
      </c>
      <c r="BE868" s="168">
        <f t="shared" si="1100"/>
        <v>398.86039886039885</v>
      </c>
    </row>
    <row r="869" spans="1:58" s="129" customFormat="1" hidden="1">
      <c r="A869" s="88" t="s">
        <v>1276</v>
      </c>
      <c r="B869" s="88" t="s">
        <v>1846</v>
      </c>
      <c r="C869" s="88" t="s">
        <v>1318</v>
      </c>
      <c r="D869" s="88" t="s">
        <v>1102</v>
      </c>
      <c r="E869" s="91" t="s">
        <v>1844</v>
      </c>
      <c r="F869" s="90" t="s">
        <v>2207</v>
      </c>
      <c r="G869" s="92" t="s">
        <v>2640</v>
      </c>
      <c r="H869" s="92" t="s">
        <v>3255</v>
      </c>
      <c r="I869" s="132" t="s">
        <v>1881</v>
      </c>
      <c r="J869" s="132" t="str">
        <f>_xlfn.XLOOKUP(I869,[1]Sheet1!$A:$A,[1]Sheet1!$B:$B,"")</f>
        <v>U1403008</v>
      </c>
      <c r="K869" s="91" t="s">
        <v>2001</v>
      </c>
      <c r="L869" s="89" t="s">
        <v>2120</v>
      </c>
      <c r="M869" s="92"/>
      <c r="N869" s="91" t="s">
        <v>1223</v>
      </c>
      <c r="O869" s="131"/>
      <c r="P869" s="90" t="s">
        <v>2206</v>
      </c>
      <c r="Q869" s="131"/>
      <c r="R869" s="131"/>
      <c r="S869" s="92"/>
      <c r="T869" s="131">
        <v>9403208000</v>
      </c>
      <c r="U869" s="155">
        <v>0</v>
      </c>
      <c r="V869" s="131">
        <v>45</v>
      </c>
      <c r="W869" s="131">
        <v>45</v>
      </c>
      <c r="X869" s="131"/>
      <c r="Y869" s="131" t="s">
        <v>2436</v>
      </c>
      <c r="Z869" s="133">
        <f t="shared" si="1107"/>
        <v>447.08002883922143</v>
      </c>
      <c r="AA869" s="133"/>
      <c r="AB869" s="161">
        <f t="shared" si="1108"/>
        <v>377.49287749287754</v>
      </c>
      <c r="AC869" s="161"/>
      <c r="AD869" s="213">
        <f t="shared" si="1090"/>
        <v>0.05</v>
      </c>
      <c r="AE869" s="213">
        <v>0.05</v>
      </c>
      <c r="AF869" s="219">
        <v>0.25</v>
      </c>
      <c r="AG869" s="218" t="s">
        <v>9</v>
      </c>
      <c r="AH869" s="148">
        <f t="shared" si="1086"/>
        <v>377.49287749287754</v>
      </c>
      <c r="AI869" s="206">
        <f t="shared" si="1109"/>
        <v>0.25</v>
      </c>
      <c r="AJ869" s="444"/>
      <c r="AK869" s="150">
        <f t="shared" si="1103"/>
        <v>326.36842105263162</v>
      </c>
      <c r="AL869" s="202">
        <f t="shared" si="1110"/>
        <v>298.0206927575349</v>
      </c>
      <c r="AM869" s="208">
        <f t="shared" si="1111"/>
        <v>0.27</v>
      </c>
      <c r="AN869" s="208">
        <f t="shared" si="1112"/>
        <v>0.21052631578947367</v>
      </c>
      <c r="AP869" s="170" t="s">
        <v>1267</v>
      </c>
      <c r="AQ869" s="204"/>
      <c r="AR869" s="204"/>
      <c r="AS869" s="197"/>
      <c r="AT869" s="162"/>
      <c r="AU869" s="162"/>
      <c r="AV869" s="173"/>
      <c r="AW869" s="203">
        <v>265</v>
      </c>
      <c r="AX869" s="126">
        <f t="shared" si="1152"/>
        <v>283.11965811965814</v>
      </c>
      <c r="AY869" s="163"/>
      <c r="AZ869" s="19"/>
      <c r="BB869" s="168">
        <f t="shared" si="1097"/>
        <v>1258.3095916429252</v>
      </c>
      <c r="BC869" s="168">
        <f t="shared" si="1098"/>
        <v>754.98575498575508</v>
      </c>
      <c r="BD869" s="168">
        <f t="shared" si="1099"/>
        <v>629.15479582146259</v>
      </c>
      <c r="BE869" s="168">
        <f t="shared" si="1100"/>
        <v>503.32383665717009</v>
      </c>
    </row>
    <row r="870" spans="1:58" s="129" customFormat="1" hidden="1">
      <c r="A870" s="88" t="s">
        <v>1276</v>
      </c>
      <c r="B870" s="88" t="s">
        <v>1846</v>
      </c>
      <c r="C870" s="88" t="s">
        <v>1318</v>
      </c>
      <c r="D870" s="88" t="s">
        <v>1102</v>
      </c>
      <c r="E870" s="91" t="s">
        <v>1844</v>
      </c>
      <c r="F870" s="90" t="s">
        <v>2207</v>
      </c>
      <c r="G870" s="92" t="s">
        <v>2640</v>
      </c>
      <c r="H870" s="92" t="s">
        <v>3256</v>
      </c>
      <c r="I870" s="132" t="s">
        <v>1882</v>
      </c>
      <c r="J870" s="132" t="str">
        <f>_xlfn.XLOOKUP(I870,[1]Sheet1!$A:$A,[1]Sheet1!$B:$B,"")</f>
        <v>U1403009</v>
      </c>
      <c r="K870" s="91" t="s">
        <v>2002</v>
      </c>
      <c r="L870" s="89" t="s">
        <v>2121</v>
      </c>
      <c r="M870" s="92"/>
      <c r="N870" s="91" t="s">
        <v>1223</v>
      </c>
      <c r="O870" s="131"/>
      <c r="P870" s="90" t="s">
        <v>2206</v>
      </c>
      <c r="Q870" s="131"/>
      <c r="R870" s="131"/>
      <c r="S870" s="92"/>
      <c r="T870" s="131">
        <v>9403208000</v>
      </c>
      <c r="U870" s="155">
        <v>0</v>
      </c>
      <c r="V870" s="131">
        <v>45</v>
      </c>
      <c r="W870" s="131">
        <v>45</v>
      </c>
      <c r="X870" s="131"/>
      <c r="Y870" s="131" t="s">
        <v>2436</v>
      </c>
      <c r="Z870" s="133">
        <f t="shared" si="1107"/>
        <v>489.2573900504687</v>
      </c>
      <c r="AA870" s="133"/>
      <c r="AB870" s="161">
        <f t="shared" si="1108"/>
        <v>413.10541310541316</v>
      </c>
      <c r="AC870" s="161"/>
      <c r="AD870" s="213">
        <f t="shared" si="1090"/>
        <v>0.05</v>
      </c>
      <c r="AE870" s="213">
        <v>0.05</v>
      </c>
      <c r="AF870" s="219">
        <v>0.25</v>
      </c>
      <c r="AG870" s="218" t="s">
        <v>9</v>
      </c>
      <c r="AH870" s="148">
        <f t="shared" si="1086"/>
        <v>413.10541310541316</v>
      </c>
      <c r="AI870" s="206">
        <f t="shared" si="1109"/>
        <v>0.25</v>
      </c>
      <c r="AJ870" s="444"/>
      <c r="AK870" s="150">
        <f t="shared" si="1103"/>
        <v>357.15789473684214</v>
      </c>
      <c r="AL870" s="202">
        <f t="shared" si="1110"/>
        <v>326.13585245164199</v>
      </c>
      <c r="AM870" s="208">
        <f t="shared" si="1111"/>
        <v>0.27</v>
      </c>
      <c r="AN870" s="208">
        <f t="shared" si="1112"/>
        <v>0.21052631578947367</v>
      </c>
      <c r="AP870" s="170" t="s">
        <v>1267</v>
      </c>
      <c r="AQ870" s="204"/>
      <c r="AR870" s="204"/>
      <c r="AS870" s="197"/>
      <c r="AT870" s="162"/>
      <c r="AU870" s="162"/>
      <c r="AV870" s="173"/>
      <c r="AW870" s="203">
        <v>290</v>
      </c>
      <c r="AX870" s="126">
        <f t="shared" si="1152"/>
        <v>309.82905982905987</v>
      </c>
      <c r="AY870" s="163"/>
      <c r="AZ870" s="19"/>
      <c r="BB870" s="168">
        <f t="shared" si="1097"/>
        <v>1377.0180436847106</v>
      </c>
      <c r="BC870" s="168">
        <f t="shared" si="1098"/>
        <v>826.21082621082633</v>
      </c>
      <c r="BD870" s="168">
        <f t="shared" si="1099"/>
        <v>688.50902184235531</v>
      </c>
      <c r="BE870" s="168">
        <f t="shared" si="1100"/>
        <v>550.80721747388429</v>
      </c>
    </row>
    <row r="871" spans="1:58" s="347" customFormat="1" hidden="1">
      <c r="A871" s="333"/>
      <c r="B871" s="333"/>
      <c r="C871" s="333"/>
      <c r="D871" s="333" t="s">
        <v>1102</v>
      </c>
      <c r="E871" s="348" t="s">
        <v>1844</v>
      </c>
      <c r="F871" s="349" t="s">
        <v>2207</v>
      </c>
      <c r="G871" s="335" t="s">
        <v>2640</v>
      </c>
      <c r="H871" s="335" t="s">
        <v>3257</v>
      </c>
      <c r="I871" s="350" t="s">
        <v>3518</v>
      </c>
      <c r="J871" s="350"/>
      <c r="K871" s="348" t="s">
        <v>3534</v>
      </c>
      <c r="L871" s="334" t="s">
        <v>3535</v>
      </c>
      <c r="M871" s="335"/>
      <c r="N871" s="348" t="s">
        <v>1223</v>
      </c>
      <c r="O871" s="351"/>
      <c r="P871" s="349" t="s">
        <v>2206</v>
      </c>
      <c r="Q871" s="351"/>
      <c r="R871" s="351"/>
      <c r="S871" s="335"/>
      <c r="T871" s="351">
        <v>9403208000</v>
      </c>
      <c r="U871" s="336">
        <v>0</v>
      </c>
      <c r="V871" s="351">
        <v>45</v>
      </c>
      <c r="W871" s="351">
        <v>45</v>
      </c>
      <c r="X871" s="351"/>
      <c r="Y871" s="351" t="s">
        <v>1706</v>
      </c>
      <c r="Z871" s="338">
        <f t="shared" ref="Z871:Z880" si="1153">AK871/(1-(AF871+2%))</f>
        <v>556.74116798846433</v>
      </c>
      <c r="AA871" s="338"/>
      <c r="AB871" s="339">
        <f t="shared" ref="AB871:AB880" si="1154">AX871/(1-AF871)</f>
        <v>470.08547008547004</v>
      </c>
      <c r="AC871" s="339"/>
      <c r="AD871" s="340">
        <f t="shared" ref="AD871:AD880" si="1155">AE871</f>
        <v>0.05</v>
      </c>
      <c r="AE871" s="340">
        <v>0.05</v>
      </c>
      <c r="AF871" s="352">
        <v>0.25</v>
      </c>
      <c r="AG871" s="337" t="s">
        <v>9</v>
      </c>
      <c r="AH871" s="353">
        <f t="shared" ref="AH871:AH880" si="1156">AB871</f>
        <v>470.08547008547004</v>
      </c>
      <c r="AI871" s="354">
        <f t="shared" ref="AI871:AI880" si="1157">1-(AX871/AH871)</f>
        <v>0.25</v>
      </c>
      <c r="AJ871" s="444"/>
      <c r="AK871" s="342">
        <f t="shared" ref="AK871:AK880" si="1158">AW871/(1-AD871)*$F$6</f>
        <v>406.42105263157896</v>
      </c>
      <c r="AL871" s="355">
        <f t="shared" ref="AL871:AL880" si="1159">AX871/(1-AE871)</f>
        <v>371.12010796221324</v>
      </c>
      <c r="AM871" s="356">
        <f t="shared" ref="AM871:AM880" si="1160">1-(AK871/Z871)</f>
        <v>0.27</v>
      </c>
      <c r="AN871" s="356">
        <f t="shared" ref="AN871:AN880" si="1161">1-(AL871/AB871)</f>
        <v>0.21052631578947356</v>
      </c>
      <c r="AP871" s="357" t="s">
        <v>1267</v>
      </c>
      <c r="AQ871" s="358"/>
      <c r="AR871" s="358"/>
      <c r="AS871" s="359"/>
      <c r="AT871" s="360"/>
      <c r="AU871" s="360"/>
      <c r="AV871" s="361"/>
      <c r="AW871" s="362">
        <v>330</v>
      </c>
      <c r="AX871" s="346">
        <f t="shared" si="1152"/>
        <v>352.56410256410254</v>
      </c>
      <c r="AY871" s="363"/>
      <c r="AZ871" s="364"/>
      <c r="BB871" s="339"/>
      <c r="BC871" s="339"/>
      <c r="BD871" s="339"/>
      <c r="BE871" s="339"/>
      <c r="BF871" s="129"/>
    </row>
    <row r="872" spans="1:58" s="347" customFormat="1" hidden="1">
      <c r="A872" s="333"/>
      <c r="B872" s="333"/>
      <c r="C872" s="333"/>
      <c r="D872" s="333" t="s">
        <v>1102</v>
      </c>
      <c r="E872" s="348" t="s">
        <v>1844</v>
      </c>
      <c r="F872" s="349" t="s">
        <v>2207</v>
      </c>
      <c r="G872" s="335" t="s">
        <v>2637</v>
      </c>
      <c r="H872" s="335" t="s">
        <v>3258</v>
      </c>
      <c r="I872" s="350" t="s">
        <v>3514</v>
      </c>
      <c r="J872" s="350"/>
      <c r="K872" s="348" t="s">
        <v>3526</v>
      </c>
      <c r="L872" s="334" t="s">
        <v>3527</v>
      </c>
      <c r="M872" s="335"/>
      <c r="N872" s="348" t="s">
        <v>1223</v>
      </c>
      <c r="O872" s="351"/>
      <c r="P872" s="349" t="s">
        <v>2206</v>
      </c>
      <c r="Q872" s="351"/>
      <c r="R872" s="351"/>
      <c r="S872" s="335"/>
      <c r="T872" s="351">
        <v>9403208000</v>
      </c>
      <c r="U872" s="336">
        <v>0</v>
      </c>
      <c r="V872" s="351">
        <v>45</v>
      </c>
      <c r="W872" s="351">
        <v>45</v>
      </c>
      <c r="X872" s="351"/>
      <c r="Y872" s="351" t="s">
        <v>1706</v>
      </c>
      <c r="Z872" s="338">
        <f t="shared" si="1153"/>
        <v>447.08002883922143</v>
      </c>
      <c r="AA872" s="338"/>
      <c r="AB872" s="339">
        <f t="shared" si="1154"/>
        <v>377.49287749287754</v>
      </c>
      <c r="AC872" s="339"/>
      <c r="AD872" s="340">
        <f t="shared" si="1155"/>
        <v>0.05</v>
      </c>
      <c r="AE872" s="340">
        <v>0.05</v>
      </c>
      <c r="AF872" s="352">
        <v>0.25</v>
      </c>
      <c r="AG872" s="337" t="s">
        <v>9</v>
      </c>
      <c r="AH872" s="353">
        <f t="shared" si="1156"/>
        <v>377.49287749287754</v>
      </c>
      <c r="AI872" s="354">
        <f t="shared" si="1157"/>
        <v>0.25</v>
      </c>
      <c r="AJ872" s="444"/>
      <c r="AK872" s="342">
        <f t="shared" si="1158"/>
        <v>326.36842105263162</v>
      </c>
      <c r="AL872" s="355">
        <f t="shared" si="1159"/>
        <v>298.0206927575349</v>
      </c>
      <c r="AM872" s="356">
        <f t="shared" si="1160"/>
        <v>0.27</v>
      </c>
      <c r="AN872" s="356">
        <f t="shared" si="1161"/>
        <v>0.21052631578947367</v>
      </c>
      <c r="AP872" s="357" t="s">
        <v>1267</v>
      </c>
      <c r="AQ872" s="358"/>
      <c r="AR872" s="358"/>
      <c r="AS872" s="359"/>
      <c r="AT872" s="360"/>
      <c r="AU872" s="360"/>
      <c r="AV872" s="361"/>
      <c r="AW872" s="362">
        <v>265</v>
      </c>
      <c r="AX872" s="346">
        <f t="shared" si="1152"/>
        <v>283.11965811965814</v>
      </c>
      <c r="AY872" s="363"/>
      <c r="AZ872" s="364"/>
      <c r="BB872" s="339"/>
      <c r="BC872" s="339"/>
      <c r="BD872" s="339"/>
      <c r="BE872" s="339"/>
      <c r="BF872" s="129"/>
    </row>
    <row r="873" spans="1:58" s="347" customFormat="1" hidden="1">
      <c r="A873" s="333"/>
      <c r="B873" s="333"/>
      <c r="C873" s="333"/>
      <c r="D873" s="333" t="s">
        <v>1102</v>
      </c>
      <c r="E873" s="348" t="s">
        <v>1844</v>
      </c>
      <c r="F873" s="349" t="s">
        <v>2207</v>
      </c>
      <c r="G873" s="335" t="s">
        <v>3524</v>
      </c>
      <c r="H873" s="335" t="s">
        <v>3258</v>
      </c>
      <c r="I873" s="350" t="s">
        <v>3515</v>
      </c>
      <c r="J873" s="350"/>
      <c r="K873" s="348" t="s">
        <v>3528</v>
      </c>
      <c r="L873" s="334" t="s">
        <v>3529</v>
      </c>
      <c r="M873" s="335"/>
      <c r="N873" s="348" t="s">
        <v>1223</v>
      </c>
      <c r="O873" s="351"/>
      <c r="P873" s="349" t="s">
        <v>2206</v>
      </c>
      <c r="Q873" s="351"/>
      <c r="R873" s="351"/>
      <c r="S873" s="335"/>
      <c r="T873" s="351">
        <v>9403208000</v>
      </c>
      <c r="U873" s="336">
        <v>0</v>
      </c>
      <c r="V873" s="351">
        <v>45</v>
      </c>
      <c r="W873" s="351">
        <v>45</v>
      </c>
      <c r="X873" s="351"/>
      <c r="Y873" s="351" t="s">
        <v>1706</v>
      </c>
      <c r="Z873" s="338">
        <f t="shared" si="1153"/>
        <v>463.95097332372035</v>
      </c>
      <c r="AA873" s="338"/>
      <c r="AB873" s="339">
        <f t="shared" si="1154"/>
        <v>391.73789173789174</v>
      </c>
      <c r="AC873" s="339"/>
      <c r="AD873" s="340">
        <f t="shared" si="1155"/>
        <v>0.05</v>
      </c>
      <c r="AE873" s="340">
        <v>0.05</v>
      </c>
      <c r="AF873" s="352">
        <v>0.25</v>
      </c>
      <c r="AG873" s="337" t="s">
        <v>9</v>
      </c>
      <c r="AH873" s="353">
        <f t="shared" si="1156"/>
        <v>391.73789173789174</v>
      </c>
      <c r="AI873" s="354">
        <f t="shared" si="1157"/>
        <v>0.25</v>
      </c>
      <c r="AJ873" s="444"/>
      <c r="AK873" s="342">
        <f t="shared" si="1158"/>
        <v>338.68421052631584</v>
      </c>
      <c r="AL873" s="355">
        <f t="shared" si="1159"/>
        <v>309.26675663517773</v>
      </c>
      <c r="AM873" s="356">
        <f t="shared" si="1160"/>
        <v>0.27</v>
      </c>
      <c r="AN873" s="356">
        <f t="shared" si="1161"/>
        <v>0.21052631578947356</v>
      </c>
      <c r="AP873" s="357" t="s">
        <v>1267</v>
      </c>
      <c r="AQ873" s="358"/>
      <c r="AR873" s="358"/>
      <c r="AS873" s="359"/>
      <c r="AT873" s="360"/>
      <c r="AU873" s="360"/>
      <c r="AV873" s="361"/>
      <c r="AW873" s="362">
        <v>275</v>
      </c>
      <c r="AX873" s="346">
        <f t="shared" si="1152"/>
        <v>293.80341880341882</v>
      </c>
      <c r="AY873" s="363"/>
      <c r="AZ873" s="364"/>
      <c r="BB873" s="339"/>
      <c r="BC873" s="339"/>
      <c r="BD873" s="339"/>
      <c r="BE873" s="339"/>
      <c r="BF873" s="129"/>
    </row>
    <row r="874" spans="1:58" s="347" customFormat="1" hidden="1">
      <c r="A874" s="333"/>
      <c r="B874" s="333"/>
      <c r="C874" s="333"/>
      <c r="D874" s="333" t="s">
        <v>1102</v>
      </c>
      <c r="E874" s="348" t="s">
        <v>1844</v>
      </c>
      <c r="F874" s="349" t="s">
        <v>2207</v>
      </c>
      <c r="G874" s="335" t="s">
        <v>2639</v>
      </c>
      <c r="H874" s="335" t="s">
        <v>3258</v>
      </c>
      <c r="I874" s="350" t="s">
        <v>3516</v>
      </c>
      <c r="J874" s="350"/>
      <c r="K874" s="348" t="s">
        <v>3530</v>
      </c>
      <c r="L874" s="334" t="s">
        <v>3531</v>
      </c>
      <c r="M874" s="335"/>
      <c r="N874" s="348" t="s">
        <v>1223</v>
      </c>
      <c r="O874" s="351"/>
      <c r="P874" s="349" t="s">
        <v>2206</v>
      </c>
      <c r="Q874" s="351"/>
      <c r="R874" s="351"/>
      <c r="S874" s="335"/>
      <c r="T874" s="351">
        <v>9403208000</v>
      </c>
      <c r="U874" s="336">
        <v>0</v>
      </c>
      <c r="V874" s="351">
        <v>45</v>
      </c>
      <c r="W874" s="351">
        <v>45</v>
      </c>
      <c r="X874" s="351"/>
      <c r="Y874" s="351" t="s">
        <v>1706</v>
      </c>
      <c r="Z874" s="338">
        <f t="shared" si="1153"/>
        <v>514.563806777217</v>
      </c>
      <c r="AA874" s="338"/>
      <c r="AB874" s="339">
        <f t="shared" si="1154"/>
        <v>434.47293447293447</v>
      </c>
      <c r="AC874" s="339"/>
      <c r="AD874" s="340">
        <f t="shared" si="1155"/>
        <v>0.05</v>
      </c>
      <c r="AE874" s="340">
        <v>0.05</v>
      </c>
      <c r="AF874" s="352">
        <v>0.25</v>
      </c>
      <c r="AG874" s="337" t="s">
        <v>9</v>
      </c>
      <c r="AH874" s="353">
        <f t="shared" si="1156"/>
        <v>434.47293447293447</v>
      </c>
      <c r="AI874" s="354">
        <f t="shared" si="1157"/>
        <v>0.25</v>
      </c>
      <c r="AJ874" s="444"/>
      <c r="AK874" s="342">
        <f t="shared" si="1158"/>
        <v>375.63157894736844</v>
      </c>
      <c r="AL874" s="355">
        <f t="shared" si="1159"/>
        <v>343.0049482681062</v>
      </c>
      <c r="AM874" s="356">
        <f t="shared" si="1160"/>
        <v>0.26999999999999991</v>
      </c>
      <c r="AN874" s="356">
        <f t="shared" si="1161"/>
        <v>0.21052631578947356</v>
      </c>
      <c r="AP874" s="357" t="s">
        <v>1267</v>
      </c>
      <c r="AQ874" s="358"/>
      <c r="AR874" s="358"/>
      <c r="AS874" s="359"/>
      <c r="AT874" s="360"/>
      <c r="AU874" s="360"/>
      <c r="AV874" s="361"/>
      <c r="AW874" s="362">
        <v>305</v>
      </c>
      <c r="AX874" s="346">
        <f t="shared" si="1152"/>
        <v>325.85470085470087</v>
      </c>
      <c r="AY874" s="363"/>
      <c r="AZ874" s="364"/>
      <c r="BB874" s="339"/>
      <c r="BC874" s="339"/>
      <c r="BD874" s="339"/>
      <c r="BE874" s="339"/>
      <c r="BF874" s="129"/>
    </row>
    <row r="875" spans="1:58" s="347" customFormat="1" hidden="1">
      <c r="A875" s="333"/>
      <c r="B875" s="333"/>
      <c r="C875" s="333"/>
      <c r="D875" s="333" t="s">
        <v>1102</v>
      </c>
      <c r="E875" s="348" t="s">
        <v>1844</v>
      </c>
      <c r="F875" s="349" t="s">
        <v>2207</v>
      </c>
      <c r="G875" s="335" t="s">
        <v>2640</v>
      </c>
      <c r="H875" s="335" t="s">
        <v>3258</v>
      </c>
      <c r="I875" s="350" t="s">
        <v>3519</v>
      </c>
      <c r="J875" s="350"/>
      <c r="K875" s="348" t="s">
        <v>3536</v>
      </c>
      <c r="L875" s="334" t="s">
        <v>3537</v>
      </c>
      <c r="M875" s="335"/>
      <c r="N875" s="348" t="s">
        <v>1223</v>
      </c>
      <c r="O875" s="351"/>
      <c r="P875" s="349" t="s">
        <v>2206</v>
      </c>
      <c r="Q875" s="351"/>
      <c r="R875" s="351"/>
      <c r="S875" s="335"/>
      <c r="T875" s="351">
        <v>9403208000</v>
      </c>
      <c r="U875" s="336">
        <v>0</v>
      </c>
      <c r="V875" s="351">
        <v>45</v>
      </c>
      <c r="W875" s="351">
        <v>45</v>
      </c>
      <c r="X875" s="351"/>
      <c r="Y875" s="351" t="s">
        <v>1706</v>
      </c>
      <c r="Z875" s="338">
        <f t="shared" si="1153"/>
        <v>573.61211247296319</v>
      </c>
      <c r="AA875" s="338"/>
      <c r="AB875" s="339">
        <f t="shared" si="1154"/>
        <v>484.3304843304843</v>
      </c>
      <c r="AC875" s="339"/>
      <c r="AD875" s="340">
        <f t="shared" si="1155"/>
        <v>0.05</v>
      </c>
      <c r="AE875" s="340">
        <v>0.05</v>
      </c>
      <c r="AF875" s="352">
        <v>0.25</v>
      </c>
      <c r="AG875" s="337" t="s">
        <v>9</v>
      </c>
      <c r="AH875" s="353">
        <f t="shared" si="1156"/>
        <v>484.3304843304843</v>
      </c>
      <c r="AI875" s="354">
        <f t="shared" si="1157"/>
        <v>0.25</v>
      </c>
      <c r="AJ875" s="444"/>
      <c r="AK875" s="342">
        <f t="shared" si="1158"/>
        <v>418.73684210526312</v>
      </c>
      <c r="AL875" s="355">
        <f t="shared" si="1159"/>
        <v>382.36617183985607</v>
      </c>
      <c r="AM875" s="356">
        <f t="shared" si="1160"/>
        <v>0.27</v>
      </c>
      <c r="AN875" s="356">
        <f t="shared" si="1161"/>
        <v>0.21052631578947356</v>
      </c>
      <c r="AP875" s="357" t="s">
        <v>1267</v>
      </c>
      <c r="AQ875" s="358"/>
      <c r="AR875" s="358"/>
      <c r="AS875" s="359"/>
      <c r="AT875" s="360"/>
      <c r="AU875" s="360"/>
      <c r="AV875" s="361"/>
      <c r="AW875" s="362">
        <v>340</v>
      </c>
      <c r="AX875" s="346">
        <f t="shared" si="1152"/>
        <v>363.24786324786322</v>
      </c>
      <c r="AY875" s="363"/>
      <c r="AZ875" s="364"/>
      <c r="BB875" s="339"/>
      <c r="BC875" s="339"/>
      <c r="BD875" s="339"/>
      <c r="BE875" s="339"/>
      <c r="BF875" s="129"/>
    </row>
    <row r="876" spans="1:58" s="347" customFormat="1" hidden="1">
      <c r="A876" s="333"/>
      <c r="B876" s="333"/>
      <c r="C876" s="333"/>
      <c r="D876" s="333" t="s">
        <v>1102</v>
      </c>
      <c r="E876" s="348" t="s">
        <v>1844</v>
      </c>
      <c r="F876" s="349" t="s">
        <v>2207</v>
      </c>
      <c r="G876" s="335" t="s">
        <v>2641</v>
      </c>
      <c r="H876" s="335" t="s">
        <v>3258</v>
      </c>
      <c r="I876" s="350" t="s">
        <v>3520</v>
      </c>
      <c r="J876" s="350"/>
      <c r="K876" s="348" t="s">
        <v>3538</v>
      </c>
      <c r="L876" s="334" t="s">
        <v>3539</v>
      </c>
      <c r="M876" s="335"/>
      <c r="N876" s="348" t="s">
        <v>1223</v>
      </c>
      <c r="O876" s="351"/>
      <c r="P876" s="349" t="s">
        <v>2206</v>
      </c>
      <c r="Q876" s="351"/>
      <c r="R876" s="351"/>
      <c r="S876" s="335"/>
      <c r="T876" s="351">
        <v>9403208000</v>
      </c>
      <c r="U876" s="336">
        <v>0</v>
      </c>
      <c r="V876" s="351">
        <v>45</v>
      </c>
      <c r="W876" s="351">
        <v>45</v>
      </c>
      <c r="X876" s="351"/>
      <c r="Y876" s="351" t="s">
        <v>1706</v>
      </c>
      <c r="Z876" s="338">
        <f t="shared" si="1153"/>
        <v>657.96683489545785</v>
      </c>
      <c r="AA876" s="338"/>
      <c r="AB876" s="339">
        <f t="shared" si="1154"/>
        <v>555.55555555555566</v>
      </c>
      <c r="AC876" s="339"/>
      <c r="AD876" s="340">
        <f t="shared" si="1155"/>
        <v>0.05</v>
      </c>
      <c r="AE876" s="340">
        <v>0.05</v>
      </c>
      <c r="AF876" s="352">
        <v>0.25</v>
      </c>
      <c r="AG876" s="337" t="s">
        <v>9</v>
      </c>
      <c r="AH876" s="353">
        <f t="shared" si="1156"/>
        <v>555.55555555555566</v>
      </c>
      <c r="AI876" s="354">
        <f t="shared" si="1157"/>
        <v>0.25</v>
      </c>
      <c r="AJ876" s="444"/>
      <c r="AK876" s="342">
        <f t="shared" si="1158"/>
        <v>480.31578947368422</v>
      </c>
      <c r="AL876" s="355">
        <f t="shared" si="1159"/>
        <v>438.59649122807025</v>
      </c>
      <c r="AM876" s="356">
        <f t="shared" si="1160"/>
        <v>0.27</v>
      </c>
      <c r="AN876" s="356">
        <f t="shared" si="1161"/>
        <v>0.21052631578947367</v>
      </c>
      <c r="AP876" s="357" t="s">
        <v>1267</v>
      </c>
      <c r="AQ876" s="358"/>
      <c r="AR876" s="358"/>
      <c r="AS876" s="359"/>
      <c r="AT876" s="360"/>
      <c r="AU876" s="360"/>
      <c r="AV876" s="361"/>
      <c r="AW876" s="362">
        <v>390</v>
      </c>
      <c r="AX876" s="346">
        <f t="shared" si="1152"/>
        <v>416.66666666666674</v>
      </c>
      <c r="AY876" s="363"/>
      <c r="AZ876" s="364"/>
      <c r="BB876" s="339"/>
      <c r="BC876" s="339"/>
      <c r="BD876" s="339"/>
      <c r="BE876" s="339"/>
      <c r="BF876" s="129"/>
    </row>
    <row r="877" spans="1:58" s="347" customFormat="1" hidden="1">
      <c r="A877" s="333"/>
      <c r="B877" s="333"/>
      <c r="C877" s="333"/>
      <c r="D877" s="333" t="s">
        <v>1102</v>
      </c>
      <c r="E877" s="348" t="s">
        <v>1844</v>
      </c>
      <c r="F877" s="349" t="s">
        <v>2207</v>
      </c>
      <c r="G877" s="335" t="s">
        <v>2640</v>
      </c>
      <c r="H877" s="335" t="s">
        <v>3259</v>
      </c>
      <c r="I877" s="350" t="s">
        <v>3521</v>
      </c>
      <c r="J877" s="350" t="s">
        <v>3814</v>
      </c>
      <c r="K877" s="348" t="s">
        <v>3540</v>
      </c>
      <c r="L877" s="334" t="s">
        <v>3541</v>
      </c>
      <c r="M877" s="335"/>
      <c r="N877" s="348" t="s">
        <v>1223</v>
      </c>
      <c r="O877" s="351"/>
      <c r="P877" s="349" t="s">
        <v>2206</v>
      </c>
      <c r="Q877" s="351"/>
      <c r="R877" s="351"/>
      <c r="S877" s="335"/>
      <c r="T877" s="351">
        <v>9403208000</v>
      </c>
      <c r="U877" s="336">
        <v>0</v>
      </c>
      <c r="V877" s="351">
        <v>45</v>
      </c>
      <c r="W877" s="351">
        <v>45</v>
      </c>
      <c r="X877" s="351"/>
      <c r="Y877" s="351" t="s">
        <v>1706</v>
      </c>
      <c r="Z877" s="338">
        <f t="shared" si="1153"/>
        <v>649.53136265320848</v>
      </c>
      <c r="AA877" s="338"/>
      <c r="AB877" s="339">
        <f t="shared" si="1154"/>
        <v>548.4330484330485</v>
      </c>
      <c r="AC877" s="339"/>
      <c r="AD877" s="340">
        <f t="shared" si="1155"/>
        <v>0.05</v>
      </c>
      <c r="AE877" s="340">
        <v>0.05</v>
      </c>
      <c r="AF877" s="352">
        <v>0.25</v>
      </c>
      <c r="AG877" s="337" t="s">
        <v>9</v>
      </c>
      <c r="AH877" s="353">
        <f t="shared" si="1156"/>
        <v>548.4330484330485</v>
      </c>
      <c r="AI877" s="354">
        <f t="shared" si="1157"/>
        <v>0.25</v>
      </c>
      <c r="AJ877" s="444"/>
      <c r="AK877" s="342">
        <f t="shared" si="1158"/>
        <v>474.15789473684214</v>
      </c>
      <c r="AL877" s="355">
        <f t="shared" si="1159"/>
        <v>432.97345928924881</v>
      </c>
      <c r="AM877" s="356">
        <f t="shared" si="1160"/>
        <v>0.27000000000000013</v>
      </c>
      <c r="AN877" s="356">
        <f t="shared" si="1161"/>
        <v>0.21052631578947367</v>
      </c>
      <c r="AP877" s="357" t="s">
        <v>1267</v>
      </c>
      <c r="AQ877" s="358"/>
      <c r="AR877" s="358"/>
      <c r="AS877" s="359"/>
      <c r="AT877" s="360"/>
      <c r="AU877" s="360"/>
      <c r="AV877" s="361"/>
      <c r="AW877" s="362">
        <v>385</v>
      </c>
      <c r="AX877" s="346">
        <f t="shared" si="1152"/>
        <v>411.32478632478637</v>
      </c>
      <c r="AY877" s="363"/>
      <c r="AZ877" s="364"/>
      <c r="BB877" s="339"/>
      <c r="BC877" s="339"/>
      <c r="BD877" s="339"/>
      <c r="BE877" s="339"/>
      <c r="BF877" s="129"/>
    </row>
    <row r="878" spans="1:58" s="347" customFormat="1" hidden="1">
      <c r="A878" s="333"/>
      <c r="B878" s="333"/>
      <c r="C878" s="333"/>
      <c r="D878" s="333" t="s">
        <v>1102</v>
      </c>
      <c r="E878" s="348" t="s">
        <v>1844</v>
      </c>
      <c r="F878" s="349" t="s">
        <v>2207</v>
      </c>
      <c r="G878" s="335" t="s">
        <v>2641</v>
      </c>
      <c r="H878" s="335" t="s">
        <v>3525</v>
      </c>
      <c r="I878" s="350" t="s">
        <v>3517</v>
      </c>
      <c r="J878" s="350"/>
      <c r="K878" s="348" t="s">
        <v>3532</v>
      </c>
      <c r="L878" s="334" t="s">
        <v>3533</v>
      </c>
      <c r="M878" s="335"/>
      <c r="N878" s="348" t="s">
        <v>1223</v>
      </c>
      <c r="O878" s="351"/>
      <c r="P878" s="349" t="s">
        <v>2206</v>
      </c>
      <c r="Q878" s="351"/>
      <c r="R878" s="351"/>
      <c r="S878" s="335"/>
      <c r="T878" s="351">
        <v>9403208000</v>
      </c>
      <c r="U878" s="336">
        <v>0</v>
      </c>
      <c r="V878" s="351">
        <v>45</v>
      </c>
      <c r="W878" s="351">
        <v>45</v>
      </c>
      <c r="X878" s="351"/>
      <c r="Y878" s="351" t="s">
        <v>1706</v>
      </c>
      <c r="Z878" s="338">
        <f t="shared" si="1153"/>
        <v>717.01514059120404</v>
      </c>
      <c r="AA878" s="338"/>
      <c r="AB878" s="339">
        <f t="shared" si="1154"/>
        <v>605.41310541310543</v>
      </c>
      <c r="AC878" s="339"/>
      <c r="AD878" s="340">
        <f t="shared" si="1155"/>
        <v>0.05</v>
      </c>
      <c r="AE878" s="340">
        <v>0.05</v>
      </c>
      <c r="AF878" s="352">
        <v>0.25</v>
      </c>
      <c r="AG878" s="337" t="s">
        <v>9</v>
      </c>
      <c r="AH878" s="353">
        <f t="shared" si="1156"/>
        <v>605.41310541310543</v>
      </c>
      <c r="AI878" s="354">
        <f t="shared" si="1157"/>
        <v>0.25</v>
      </c>
      <c r="AJ878" s="444"/>
      <c r="AK878" s="342">
        <f t="shared" si="1158"/>
        <v>523.42105263157896</v>
      </c>
      <c r="AL878" s="355">
        <f t="shared" si="1159"/>
        <v>477.95771479982011</v>
      </c>
      <c r="AM878" s="356">
        <f t="shared" si="1160"/>
        <v>0.27</v>
      </c>
      <c r="AN878" s="356">
        <f t="shared" si="1161"/>
        <v>0.21052631578947367</v>
      </c>
      <c r="AP878" s="357" t="s">
        <v>1267</v>
      </c>
      <c r="AQ878" s="358"/>
      <c r="AR878" s="358"/>
      <c r="AS878" s="359"/>
      <c r="AT878" s="360"/>
      <c r="AU878" s="360"/>
      <c r="AV878" s="361"/>
      <c r="AW878" s="362">
        <v>425</v>
      </c>
      <c r="AX878" s="346">
        <f t="shared" si="1152"/>
        <v>454.0598290598291</v>
      </c>
      <c r="AY878" s="363"/>
      <c r="AZ878" s="364"/>
      <c r="BB878" s="339"/>
      <c r="BC878" s="339"/>
      <c r="BD878" s="339"/>
      <c r="BE878" s="339"/>
      <c r="BF878" s="129"/>
    </row>
    <row r="879" spans="1:58" s="347" customFormat="1" hidden="1">
      <c r="A879" s="333"/>
      <c r="B879" s="333"/>
      <c r="C879" s="333"/>
      <c r="D879" s="333" t="s">
        <v>1102</v>
      </c>
      <c r="E879" s="348" t="s">
        <v>1844</v>
      </c>
      <c r="F879" s="349" t="s">
        <v>2207</v>
      </c>
      <c r="G879" s="335" t="s">
        <v>2640</v>
      </c>
      <c r="H879" s="335" t="s">
        <v>3260</v>
      </c>
      <c r="I879" s="350" t="s">
        <v>3522</v>
      </c>
      <c r="J879" s="350"/>
      <c r="K879" s="348" t="s">
        <v>3542</v>
      </c>
      <c r="L879" s="334" t="s">
        <v>3543</v>
      </c>
      <c r="M879" s="335"/>
      <c r="N879" s="348" t="s">
        <v>1223</v>
      </c>
      <c r="O879" s="351"/>
      <c r="P879" s="349" t="s">
        <v>2206</v>
      </c>
      <c r="Q879" s="351"/>
      <c r="R879" s="351"/>
      <c r="S879" s="335"/>
      <c r="T879" s="351">
        <v>9403208000</v>
      </c>
      <c r="U879" s="336">
        <v>0</v>
      </c>
      <c r="V879" s="351">
        <v>45</v>
      </c>
      <c r="W879" s="351">
        <v>45</v>
      </c>
      <c r="X879" s="351"/>
      <c r="Y879" s="351" t="s">
        <v>1706</v>
      </c>
      <c r="Z879" s="338">
        <f t="shared" si="1153"/>
        <v>725.45061283345353</v>
      </c>
      <c r="AA879" s="338"/>
      <c r="AB879" s="339">
        <f t="shared" si="1154"/>
        <v>612.53561253561259</v>
      </c>
      <c r="AC879" s="339"/>
      <c r="AD879" s="340">
        <f t="shared" si="1155"/>
        <v>0.05</v>
      </c>
      <c r="AE879" s="340">
        <v>0.05</v>
      </c>
      <c r="AF879" s="352">
        <v>0.25</v>
      </c>
      <c r="AG879" s="337" t="s">
        <v>9</v>
      </c>
      <c r="AH879" s="353">
        <f t="shared" si="1156"/>
        <v>612.53561253561259</v>
      </c>
      <c r="AI879" s="354">
        <f t="shared" si="1157"/>
        <v>0.25</v>
      </c>
      <c r="AJ879" s="444"/>
      <c r="AK879" s="342">
        <f t="shared" si="1158"/>
        <v>529.57894736842104</v>
      </c>
      <c r="AL879" s="355">
        <f t="shared" si="1159"/>
        <v>483.58074673864155</v>
      </c>
      <c r="AM879" s="356">
        <f t="shared" si="1160"/>
        <v>0.27</v>
      </c>
      <c r="AN879" s="356">
        <f t="shared" si="1161"/>
        <v>0.21052631578947367</v>
      </c>
      <c r="AP879" s="357" t="s">
        <v>1267</v>
      </c>
      <c r="AQ879" s="358"/>
      <c r="AR879" s="358"/>
      <c r="AS879" s="359"/>
      <c r="AT879" s="360"/>
      <c r="AU879" s="360"/>
      <c r="AV879" s="361"/>
      <c r="AW879" s="362">
        <v>430</v>
      </c>
      <c r="AX879" s="346">
        <f t="shared" si="1152"/>
        <v>459.40170940170947</v>
      </c>
      <c r="AY879" s="363"/>
      <c r="AZ879" s="364"/>
      <c r="BB879" s="339"/>
      <c r="BC879" s="339"/>
      <c r="BD879" s="339"/>
      <c r="BE879" s="339"/>
      <c r="BF879" s="129"/>
    </row>
    <row r="880" spans="1:58" s="347" customFormat="1" hidden="1">
      <c r="A880" s="333"/>
      <c r="B880" s="333"/>
      <c r="C880" s="333"/>
      <c r="D880" s="333" t="s">
        <v>1102</v>
      </c>
      <c r="E880" s="348" t="s">
        <v>1844</v>
      </c>
      <c r="F880" s="349" t="s">
        <v>2207</v>
      </c>
      <c r="G880" s="335" t="s">
        <v>2641</v>
      </c>
      <c r="H880" s="335" t="s">
        <v>3260</v>
      </c>
      <c r="I880" s="350" t="s">
        <v>3523</v>
      </c>
      <c r="J880" s="350"/>
      <c r="K880" s="348" t="s">
        <v>3544</v>
      </c>
      <c r="L880" s="334" t="s">
        <v>3545</v>
      </c>
      <c r="M880" s="335"/>
      <c r="N880" s="348" t="s">
        <v>1223</v>
      </c>
      <c r="O880" s="351"/>
      <c r="P880" s="349" t="s">
        <v>2206</v>
      </c>
      <c r="Q880" s="351"/>
      <c r="R880" s="351"/>
      <c r="S880" s="335"/>
      <c r="T880" s="351">
        <v>9403208000</v>
      </c>
      <c r="U880" s="336">
        <v>0</v>
      </c>
      <c r="V880" s="351">
        <v>45</v>
      </c>
      <c r="W880" s="351">
        <v>45</v>
      </c>
      <c r="X880" s="351"/>
      <c r="Y880" s="351" t="s">
        <v>1706</v>
      </c>
      <c r="Z880" s="338">
        <f t="shared" si="1153"/>
        <v>792.93439077144922</v>
      </c>
      <c r="AA880" s="338"/>
      <c r="AB880" s="339">
        <f t="shared" si="1154"/>
        <v>669.51566951566963</v>
      </c>
      <c r="AC880" s="339"/>
      <c r="AD880" s="340">
        <f t="shared" si="1155"/>
        <v>0.05</v>
      </c>
      <c r="AE880" s="340">
        <v>0.05</v>
      </c>
      <c r="AF880" s="352">
        <v>0.25</v>
      </c>
      <c r="AG880" s="337" t="s">
        <v>9</v>
      </c>
      <c r="AH880" s="353">
        <f t="shared" si="1156"/>
        <v>669.51566951566963</v>
      </c>
      <c r="AI880" s="354">
        <f t="shared" si="1157"/>
        <v>0.25</v>
      </c>
      <c r="AJ880" s="444"/>
      <c r="AK880" s="342">
        <f t="shared" si="1158"/>
        <v>578.84210526315792</v>
      </c>
      <c r="AL880" s="355">
        <f t="shared" si="1159"/>
        <v>528.56500224921285</v>
      </c>
      <c r="AM880" s="356">
        <f t="shared" si="1160"/>
        <v>0.27</v>
      </c>
      <c r="AN880" s="356">
        <f t="shared" si="1161"/>
        <v>0.21052631578947367</v>
      </c>
      <c r="AP880" s="357" t="s">
        <v>1267</v>
      </c>
      <c r="AQ880" s="358"/>
      <c r="AR880" s="358"/>
      <c r="AS880" s="359"/>
      <c r="AT880" s="360"/>
      <c r="AU880" s="360"/>
      <c r="AV880" s="361"/>
      <c r="AW880" s="362">
        <v>470</v>
      </c>
      <c r="AX880" s="346">
        <f t="shared" si="1152"/>
        <v>502.13675213675219</v>
      </c>
      <c r="AY880" s="363"/>
      <c r="AZ880" s="364"/>
      <c r="BB880" s="339"/>
      <c r="BC880" s="339"/>
      <c r="BD880" s="339"/>
      <c r="BE880" s="339"/>
      <c r="BF880" s="129"/>
    </row>
    <row r="881" spans="1:57" s="129" customFormat="1" hidden="1">
      <c r="A881" s="88" t="s">
        <v>1276</v>
      </c>
      <c r="B881" s="88" t="s">
        <v>1846</v>
      </c>
      <c r="C881" s="88" t="s">
        <v>1318</v>
      </c>
      <c r="D881" s="88" t="s">
        <v>1102</v>
      </c>
      <c r="E881" s="91" t="s">
        <v>1844</v>
      </c>
      <c r="F881" s="90" t="s">
        <v>2207</v>
      </c>
      <c r="G881" s="92" t="s">
        <v>2636</v>
      </c>
      <c r="H881" s="92" t="s">
        <v>3254</v>
      </c>
      <c r="I881" s="132" t="s">
        <v>1883</v>
      </c>
      <c r="J881" s="132" t="str">
        <f>_xlfn.XLOOKUP(I881,[1]Sheet1!$A:$A,[1]Sheet1!$B:$B,"")</f>
        <v>U1403010</v>
      </c>
      <c r="K881" s="91" t="s">
        <v>2003</v>
      </c>
      <c r="L881" s="89" t="s">
        <v>2122</v>
      </c>
      <c r="M881" s="92"/>
      <c r="N881" s="91" t="s">
        <v>1223</v>
      </c>
      <c r="O881" s="131"/>
      <c r="P881" s="90" t="s">
        <v>2206</v>
      </c>
      <c r="Q881" s="131"/>
      <c r="R881" s="131"/>
      <c r="S881" s="92"/>
      <c r="T881" s="131">
        <v>9403208000</v>
      </c>
      <c r="U881" s="155">
        <v>0</v>
      </c>
      <c r="V881" s="131">
        <v>45</v>
      </c>
      <c r="W881" s="131">
        <v>45</v>
      </c>
      <c r="X881" s="131"/>
      <c r="Y881" s="131" t="s">
        <v>2436</v>
      </c>
      <c r="Z881" s="133">
        <f t="shared" si="1107"/>
        <v>345.85436193222785</v>
      </c>
      <c r="AA881" s="133"/>
      <c r="AB881" s="161">
        <f t="shared" si="1108"/>
        <v>292.02279202279209</v>
      </c>
      <c r="AC881" s="161"/>
      <c r="AD881" s="213">
        <f t="shared" si="1090"/>
        <v>0.05</v>
      </c>
      <c r="AE881" s="213">
        <v>0.05</v>
      </c>
      <c r="AF881" s="219">
        <v>0.25</v>
      </c>
      <c r="AG881" s="218" t="s">
        <v>9</v>
      </c>
      <c r="AH881" s="148">
        <f t="shared" si="1086"/>
        <v>292.02279202279209</v>
      </c>
      <c r="AI881" s="206">
        <f t="shared" si="1109"/>
        <v>0.25</v>
      </c>
      <c r="AJ881" s="444"/>
      <c r="AK881" s="150">
        <f t="shared" si="1103"/>
        <v>252.47368421052633</v>
      </c>
      <c r="AL881" s="202">
        <f t="shared" si="1110"/>
        <v>230.54430949167795</v>
      </c>
      <c r="AM881" s="208">
        <f t="shared" si="1111"/>
        <v>0.27</v>
      </c>
      <c r="AN881" s="208">
        <f t="shared" si="1112"/>
        <v>0.21052631578947378</v>
      </c>
      <c r="AP881" s="170" t="s">
        <v>1267</v>
      </c>
      <c r="AQ881" s="204"/>
      <c r="AR881" s="204"/>
      <c r="AS881" s="197"/>
      <c r="AT881" s="162"/>
      <c r="AU881" s="162"/>
      <c r="AV881" s="173"/>
      <c r="AW881" s="203">
        <v>205</v>
      </c>
      <c r="AX881" s="126">
        <f t="shared" si="1152"/>
        <v>219.01709401709405</v>
      </c>
      <c r="AY881" s="163"/>
      <c r="AZ881" s="19"/>
      <c r="BB881" s="168">
        <f t="shared" si="1097"/>
        <v>973.4093067426403</v>
      </c>
      <c r="BC881" s="168">
        <f t="shared" si="1098"/>
        <v>584.04558404558418</v>
      </c>
      <c r="BD881" s="168">
        <f t="shared" si="1099"/>
        <v>486.70465337132015</v>
      </c>
      <c r="BE881" s="168">
        <f t="shared" si="1100"/>
        <v>389.36372269705612</v>
      </c>
    </row>
    <row r="882" spans="1:57" s="129" customFormat="1" hidden="1">
      <c r="A882" s="88" t="s">
        <v>1276</v>
      </c>
      <c r="B882" s="88" t="s">
        <v>1846</v>
      </c>
      <c r="C882" s="88" t="s">
        <v>1318</v>
      </c>
      <c r="D882" s="88" t="s">
        <v>1102</v>
      </c>
      <c r="E882" s="91" t="s">
        <v>1844</v>
      </c>
      <c r="F882" s="90" t="s">
        <v>2207</v>
      </c>
      <c r="G882" s="92" t="s">
        <v>2637</v>
      </c>
      <c r="H882" s="92" t="s">
        <v>3254</v>
      </c>
      <c r="I882" s="132" t="s">
        <v>1884</v>
      </c>
      <c r="J882" s="132" t="str">
        <f>_xlfn.XLOOKUP(I882,[1]Sheet1!$A:$A,[1]Sheet1!$B:$B,"")</f>
        <v>U1403011</v>
      </c>
      <c r="K882" s="91" t="s">
        <v>2004</v>
      </c>
      <c r="L882" s="89" t="s">
        <v>2123</v>
      </c>
      <c r="M882" s="92"/>
      <c r="N882" s="91" t="s">
        <v>1223</v>
      </c>
      <c r="O882" s="131"/>
      <c r="P882" s="90" t="s">
        <v>2206</v>
      </c>
      <c r="Q882" s="131"/>
      <c r="R882" s="131"/>
      <c r="S882" s="92"/>
      <c r="T882" s="131">
        <v>9403208000</v>
      </c>
      <c r="U882" s="155">
        <v>0</v>
      </c>
      <c r="V882" s="131">
        <v>45</v>
      </c>
      <c r="W882" s="131">
        <v>45</v>
      </c>
      <c r="X882" s="131"/>
      <c r="Y882" s="131" t="s">
        <v>2436</v>
      </c>
      <c r="Z882" s="133">
        <f t="shared" si="1107"/>
        <v>355.97692862292718</v>
      </c>
      <c r="AA882" s="133"/>
      <c r="AB882" s="161">
        <f t="shared" si="1108"/>
        <v>300.56980056980058</v>
      </c>
      <c r="AC882" s="161"/>
      <c r="AD882" s="213">
        <f t="shared" si="1090"/>
        <v>0.05</v>
      </c>
      <c r="AE882" s="213">
        <v>0.05</v>
      </c>
      <c r="AF882" s="219">
        <v>0.25</v>
      </c>
      <c r="AG882" s="218" t="s">
        <v>9</v>
      </c>
      <c r="AH882" s="148">
        <f t="shared" si="1086"/>
        <v>300.56980056980058</v>
      </c>
      <c r="AI882" s="206">
        <f t="shared" si="1109"/>
        <v>0.25</v>
      </c>
      <c r="AJ882" s="444"/>
      <c r="AK882" s="150">
        <f t="shared" si="1103"/>
        <v>259.86315789473684</v>
      </c>
      <c r="AL882" s="202">
        <f t="shared" si="1110"/>
        <v>237.29194781826362</v>
      </c>
      <c r="AM882" s="208">
        <f t="shared" si="1111"/>
        <v>0.27</v>
      </c>
      <c r="AN882" s="208">
        <f t="shared" si="1112"/>
        <v>0.21052631578947367</v>
      </c>
      <c r="AP882" s="170" t="s">
        <v>1267</v>
      </c>
      <c r="AQ882" s="204"/>
      <c r="AR882" s="204"/>
      <c r="AS882" s="197"/>
      <c r="AT882" s="162"/>
      <c r="AU882" s="162"/>
      <c r="AV882" s="173"/>
      <c r="AW882" s="203">
        <v>211</v>
      </c>
      <c r="AX882" s="126">
        <f t="shared" si="1152"/>
        <v>225.42735042735043</v>
      </c>
      <c r="AY882" s="163"/>
      <c r="AZ882" s="19"/>
      <c r="BB882" s="168">
        <f t="shared" si="1097"/>
        <v>1001.8993352326686</v>
      </c>
      <c r="BC882" s="168">
        <f t="shared" si="1098"/>
        <v>601.13960113960115</v>
      </c>
      <c r="BD882" s="168">
        <f t="shared" si="1099"/>
        <v>500.9496676163343</v>
      </c>
      <c r="BE882" s="168">
        <f t="shared" si="1100"/>
        <v>400.75973409306744</v>
      </c>
    </row>
    <row r="883" spans="1:57" s="129" customFormat="1" hidden="1">
      <c r="A883" s="88" t="s">
        <v>1276</v>
      </c>
      <c r="B883" s="88" t="s">
        <v>1846</v>
      </c>
      <c r="C883" s="88" t="s">
        <v>1318</v>
      </c>
      <c r="D883" s="88" t="s">
        <v>1102</v>
      </c>
      <c r="E883" s="91" t="s">
        <v>1844</v>
      </c>
      <c r="F883" s="90" t="s">
        <v>2207</v>
      </c>
      <c r="G883" s="92" t="s">
        <v>2638</v>
      </c>
      <c r="H883" s="92" t="s">
        <v>3254</v>
      </c>
      <c r="I883" s="132" t="s">
        <v>1885</v>
      </c>
      <c r="J883" s="132" t="str">
        <f>_xlfn.XLOOKUP(I883,[1]Sheet1!$A:$A,[1]Sheet1!$B:$B,"")</f>
        <v>U1403012</v>
      </c>
      <c r="K883" s="91" t="s">
        <v>2005</v>
      </c>
      <c r="L883" s="89" t="s">
        <v>2124</v>
      </c>
      <c r="M883" s="92"/>
      <c r="N883" s="91" t="s">
        <v>1223</v>
      </c>
      <c r="O883" s="131"/>
      <c r="P883" s="90" t="s">
        <v>2206</v>
      </c>
      <c r="Q883" s="131"/>
      <c r="R883" s="131"/>
      <c r="S883" s="92"/>
      <c r="T883" s="131">
        <v>9403208000</v>
      </c>
      <c r="U883" s="155">
        <v>0</v>
      </c>
      <c r="V883" s="131">
        <v>45</v>
      </c>
      <c r="W883" s="131">
        <v>45</v>
      </c>
      <c r="X883" s="131"/>
      <c r="Y883" s="131" t="s">
        <v>2436</v>
      </c>
      <c r="Z883" s="133">
        <f t="shared" si="1107"/>
        <v>371.16077865897626</v>
      </c>
      <c r="AA883" s="133"/>
      <c r="AB883" s="161">
        <f t="shared" si="1108"/>
        <v>313.39031339031339</v>
      </c>
      <c r="AC883" s="161"/>
      <c r="AD883" s="213">
        <f t="shared" si="1090"/>
        <v>0.05</v>
      </c>
      <c r="AE883" s="213">
        <v>0.05</v>
      </c>
      <c r="AF883" s="219">
        <v>0.25</v>
      </c>
      <c r="AG883" s="218" t="s">
        <v>9</v>
      </c>
      <c r="AH883" s="148">
        <f t="shared" si="1086"/>
        <v>313.39031339031339</v>
      </c>
      <c r="AI883" s="206">
        <f t="shared" si="1109"/>
        <v>0.25</v>
      </c>
      <c r="AJ883" s="444"/>
      <c r="AK883" s="150">
        <f t="shared" si="1103"/>
        <v>270.94736842105266</v>
      </c>
      <c r="AL883" s="202">
        <f t="shared" si="1110"/>
        <v>247.41340530814216</v>
      </c>
      <c r="AM883" s="208">
        <f t="shared" si="1111"/>
        <v>0.27</v>
      </c>
      <c r="AN883" s="208">
        <f t="shared" si="1112"/>
        <v>0.21052631578947367</v>
      </c>
      <c r="AP883" s="170" t="s">
        <v>1267</v>
      </c>
      <c r="AQ883" s="204"/>
      <c r="AR883" s="204"/>
      <c r="AS883" s="197"/>
      <c r="AT883" s="162"/>
      <c r="AU883" s="162"/>
      <c r="AV883" s="173"/>
      <c r="AW883" s="203">
        <v>220</v>
      </c>
      <c r="AX883" s="126">
        <f t="shared" si="1152"/>
        <v>235.04273504273505</v>
      </c>
      <c r="AY883" s="163"/>
      <c r="AZ883" s="19"/>
      <c r="BB883" s="168">
        <f t="shared" si="1097"/>
        <v>1044.6343779677113</v>
      </c>
      <c r="BC883" s="168">
        <f t="shared" si="1098"/>
        <v>626.78062678062679</v>
      </c>
      <c r="BD883" s="168">
        <f t="shared" si="1099"/>
        <v>522.31718898385566</v>
      </c>
      <c r="BE883" s="168">
        <f t="shared" si="1100"/>
        <v>417.85375118708453</v>
      </c>
    </row>
    <row r="884" spans="1:57" s="129" customFormat="1" hidden="1">
      <c r="A884" s="88" t="s">
        <v>1276</v>
      </c>
      <c r="B884" s="88" t="s">
        <v>1846</v>
      </c>
      <c r="C884" s="88" t="s">
        <v>1318</v>
      </c>
      <c r="D884" s="88" t="s">
        <v>1102</v>
      </c>
      <c r="E884" s="91" t="s">
        <v>1844</v>
      </c>
      <c r="F884" s="90" t="s">
        <v>2207</v>
      </c>
      <c r="G884" s="92" t="s">
        <v>2639</v>
      </c>
      <c r="H884" s="92" t="s">
        <v>3254</v>
      </c>
      <c r="I884" s="132" t="s">
        <v>1886</v>
      </c>
      <c r="J884" s="132" t="str">
        <f>_xlfn.XLOOKUP(I884,[1]Sheet1!$A:$A,[1]Sheet1!$B:$B,"")</f>
        <v>U1403013</v>
      </c>
      <c r="K884" s="91" t="s">
        <v>2006</v>
      </c>
      <c r="L884" s="89" t="s">
        <v>2125</v>
      </c>
      <c r="M884" s="92"/>
      <c r="N884" s="91" t="s">
        <v>1223</v>
      </c>
      <c r="O884" s="131"/>
      <c r="P884" s="90" t="s">
        <v>2206</v>
      </c>
      <c r="Q884" s="131"/>
      <c r="R884" s="131"/>
      <c r="S884" s="92"/>
      <c r="T884" s="131">
        <v>9403208000</v>
      </c>
      <c r="U884" s="155">
        <v>0</v>
      </c>
      <c r="V884" s="131">
        <v>45</v>
      </c>
      <c r="W884" s="131">
        <v>45</v>
      </c>
      <c r="X884" s="131"/>
      <c r="Y884" s="131" t="s">
        <v>2436</v>
      </c>
      <c r="Z884" s="133">
        <f t="shared" si="1107"/>
        <v>416.71232876712327</v>
      </c>
      <c r="AA884" s="133"/>
      <c r="AB884" s="161">
        <f t="shared" si="1108"/>
        <v>351.8518518518519</v>
      </c>
      <c r="AC884" s="161"/>
      <c r="AD884" s="213">
        <f t="shared" si="1090"/>
        <v>0.05</v>
      </c>
      <c r="AE884" s="213">
        <v>0.05</v>
      </c>
      <c r="AF884" s="219">
        <v>0.25</v>
      </c>
      <c r="AG884" s="218" t="s">
        <v>9</v>
      </c>
      <c r="AH884" s="148">
        <f t="shared" si="1086"/>
        <v>351.8518518518519</v>
      </c>
      <c r="AI884" s="206">
        <f t="shared" si="1109"/>
        <v>0.25</v>
      </c>
      <c r="AJ884" s="444"/>
      <c r="AK884" s="150">
        <f t="shared" si="1103"/>
        <v>304.2</v>
      </c>
      <c r="AL884" s="202">
        <f t="shared" si="1110"/>
        <v>277.77777777777783</v>
      </c>
      <c r="AM884" s="208">
        <f t="shared" si="1111"/>
        <v>0.27</v>
      </c>
      <c r="AN884" s="208">
        <f t="shared" si="1112"/>
        <v>0.21052631578947367</v>
      </c>
      <c r="AP884" s="170" t="s">
        <v>1267</v>
      </c>
      <c r="AQ884" s="204"/>
      <c r="AR884" s="204"/>
      <c r="AS884" s="197"/>
      <c r="AT884" s="162"/>
      <c r="AU884" s="162"/>
      <c r="AV884" s="173"/>
      <c r="AW884" s="203">
        <v>247</v>
      </c>
      <c r="AX884" s="126">
        <f t="shared" si="1152"/>
        <v>263.88888888888891</v>
      </c>
      <c r="AY884" s="163"/>
      <c r="AZ884" s="19"/>
      <c r="BB884" s="168">
        <f t="shared" si="1097"/>
        <v>1172.8395061728397</v>
      </c>
      <c r="BC884" s="168">
        <f t="shared" si="1098"/>
        <v>703.70370370370381</v>
      </c>
      <c r="BD884" s="168">
        <f t="shared" si="1099"/>
        <v>586.41975308641986</v>
      </c>
      <c r="BE884" s="168">
        <f t="shared" si="1100"/>
        <v>469.13580246913591</v>
      </c>
    </row>
    <row r="885" spans="1:57" s="129" customFormat="1" hidden="1">
      <c r="A885" s="88" t="s">
        <v>1276</v>
      </c>
      <c r="B885" s="88" t="s">
        <v>1846</v>
      </c>
      <c r="C885" s="88" t="s">
        <v>1318</v>
      </c>
      <c r="D885" s="88" t="s">
        <v>1102</v>
      </c>
      <c r="E885" s="91" t="s">
        <v>1844</v>
      </c>
      <c r="F885" s="90" t="s">
        <v>2207</v>
      </c>
      <c r="G885" s="92" t="s">
        <v>2640</v>
      </c>
      <c r="H885" s="92" t="s">
        <v>3254</v>
      </c>
      <c r="I885" s="132" t="s">
        <v>1887</v>
      </c>
      <c r="J885" s="132" t="str">
        <f>_xlfn.XLOOKUP(I885,[1]Sheet1!$A:$A,[1]Sheet1!$B:$B,"")</f>
        <v>U1403014</v>
      </c>
      <c r="K885" s="91" t="s">
        <v>2007</v>
      </c>
      <c r="L885" s="89" t="s">
        <v>2126</v>
      </c>
      <c r="M885" s="92"/>
      <c r="N885" s="91" t="s">
        <v>1223</v>
      </c>
      <c r="O885" s="131"/>
      <c r="P885" s="90" t="s">
        <v>2206</v>
      </c>
      <c r="Q885" s="131"/>
      <c r="R885" s="131"/>
      <c r="S885" s="92"/>
      <c r="T885" s="131">
        <v>9403208000</v>
      </c>
      <c r="U885" s="155">
        <v>0</v>
      </c>
      <c r="V885" s="131">
        <v>45</v>
      </c>
      <c r="W885" s="131">
        <v>45</v>
      </c>
      <c r="X885" s="131"/>
      <c r="Y885" s="131" t="s">
        <v>2436</v>
      </c>
      <c r="Z885" s="133">
        <f t="shared" si="1107"/>
        <v>463.95097332372035</v>
      </c>
      <c r="AA885" s="133"/>
      <c r="AB885" s="161">
        <f t="shared" si="1108"/>
        <v>391.73789173789174</v>
      </c>
      <c r="AC885" s="161"/>
      <c r="AD885" s="213">
        <f t="shared" si="1090"/>
        <v>0.05</v>
      </c>
      <c r="AE885" s="213">
        <v>0.05</v>
      </c>
      <c r="AF885" s="219">
        <v>0.25</v>
      </c>
      <c r="AG885" s="218" t="s">
        <v>9</v>
      </c>
      <c r="AH885" s="148">
        <f t="shared" si="1086"/>
        <v>391.73789173789174</v>
      </c>
      <c r="AI885" s="206">
        <f t="shared" si="1109"/>
        <v>0.25</v>
      </c>
      <c r="AJ885" s="444"/>
      <c r="AK885" s="150">
        <f t="shared" si="1103"/>
        <v>338.68421052631584</v>
      </c>
      <c r="AL885" s="202">
        <f t="shared" si="1110"/>
        <v>309.26675663517773</v>
      </c>
      <c r="AM885" s="208">
        <f t="shared" si="1111"/>
        <v>0.27</v>
      </c>
      <c r="AN885" s="208">
        <f t="shared" si="1112"/>
        <v>0.21052631578947356</v>
      </c>
      <c r="AP885" s="170" t="s">
        <v>1267</v>
      </c>
      <c r="AQ885" s="204"/>
      <c r="AR885" s="204"/>
      <c r="AS885" s="197"/>
      <c r="AT885" s="162"/>
      <c r="AU885" s="162"/>
      <c r="AV885" s="173"/>
      <c r="AW885" s="203">
        <v>275</v>
      </c>
      <c r="AX885" s="126">
        <f t="shared" si="1152"/>
        <v>293.80341880341882</v>
      </c>
      <c r="AY885" s="163"/>
      <c r="AZ885" s="19"/>
      <c r="BB885" s="168">
        <f t="shared" si="1097"/>
        <v>1305.7929724596393</v>
      </c>
      <c r="BC885" s="168">
        <f t="shared" si="1098"/>
        <v>783.47578347578349</v>
      </c>
      <c r="BD885" s="168">
        <f t="shared" si="1099"/>
        <v>652.89648622981963</v>
      </c>
      <c r="BE885" s="168">
        <f t="shared" si="1100"/>
        <v>522.31718898385577</v>
      </c>
    </row>
    <row r="886" spans="1:57" s="129" customFormat="1" hidden="1">
      <c r="A886" s="88" t="s">
        <v>1276</v>
      </c>
      <c r="B886" s="88" t="s">
        <v>1846</v>
      </c>
      <c r="C886" s="88" t="s">
        <v>1318</v>
      </c>
      <c r="D886" s="88" t="s">
        <v>1102</v>
      </c>
      <c r="E886" s="91" t="s">
        <v>1844</v>
      </c>
      <c r="F886" s="90" t="s">
        <v>2207</v>
      </c>
      <c r="G886" s="92" t="s">
        <v>2636</v>
      </c>
      <c r="H886" s="92" t="s">
        <v>3255</v>
      </c>
      <c r="I886" s="132" t="s">
        <v>1888</v>
      </c>
      <c r="J886" s="132" t="str">
        <f>_xlfn.XLOOKUP(I886,[1]Sheet1!$A:$A,[1]Sheet1!$B:$B,"")</f>
        <v>U1403015</v>
      </c>
      <c r="K886" s="91" t="s">
        <v>2008</v>
      </c>
      <c r="L886" s="89" t="s">
        <v>2127</v>
      </c>
      <c r="M886" s="92"/>
      <c r="N886" s="91" t="s">
        <v>1223</v>
      </c>
      <c r="O886" s="131"/>
      <c r="P886" s="90" t="s">
        <v>2206</v>
      </c>
      <c r="Q886" s="131"/>
      <c r="R886" s="131"/>
      <c r="S886" s="92"/>
      <c r="T886" s="131">
        <v>9403208000</v>
      </c>
      <c r="U886" s="155">
        <v>0</v>
      </c>
      <c r="V886" s="131">
        <v>45</v>
      </c>
      <c r="W886" s="131">
        <v>45</v>
      </c>
      <c r="X886" s="131"/>
      <c r="Y886" s="131" t="s">
        <v>2436</v>
      </c>
      <c r="Z886" s="133">
        <f t="shared" si="1107"/>
        <v>371.16077865897626</v>
      </c>
      <c r="AA886" s="133"/>
      <c r="AB886" s="161">
        <f t="shared" si="1108"/>
        <v>313.39031339031339</v>
      </c>
      <c r="AC886" s="161"/>
      <c r="AD886" s="213">
        <f t="shared" si="1090"/>
        <v>0.05</v>
      </c>
      <c r="AE886" s="213">
        <v>0.05</v>
      </c>
      <c r="AF886" s="219">
        <v>0.25</v>
      </c>
      <c r="AG886" s="218" t="s">
        <v>9</v>
      </c>
      <c r="AH886" s="148">
        <f t="shared" si="1086"/>
        <v>313.39031339031339</v>
      </c>
      <c r="AI886" s="206">
        <f t="shared" si="1109"/>
        <v>0.25</v>
      </c>
      <c r="AJ886" s="444"/>
      <c r="AK886" s="150">
        <f t="shared" si="1103"/>
        <v>270.94736842105266</v>
      </c>
      <c r="AL886" s="202">
        <f t="shared" si="1110"/>
        <v>247.41340530814216</v>
      </c>
      <c r="AM886" s="208">
        <f t="shared" si="1111"/>
        <v>0.27</v>
      </c>
      <c r="AN886" s="208">
        <f t="shared" si="1112"/>
        <v>0.21052631578947367</v>
      </c>
      <c r="AP886" s="170" t="s">
        <v>1267</v>
      </c>
      <c r="AQ886" s="204"/>
      <c r="AR886" s="204"/>
      <c r="AS886" s="197"/>
      <c r="AT886" s="162"/>
      <c r="AU886" s="162"/>
      <c r="AV886" s="173"/>
      <c r="AW886" s="203">
        <v>220</v>
      </c>
      <c r="AX886" s="126">
        <f t="shared" si="1152"/>
        <v>235.04273504273505</v>
      </c>
      <c r="AY886" s="163"/>
      <c r="AZ886" s="19"/>
      <c r="BB886" s="168">
        <f t="shared" si="1097"/>
        <v>1044.6343779677113</v>
      </c>
      <c r="BC886" s="168">
        <f t="shared" si="1098"/>
        <v>626.78062678062679</v>
      </c>
      <c r="BD886" s="168">
        <f t="shared" si="1099"/>
        <v>522.31718898385566</v>
      </c>
      <c r="BE886" s="168">
        <f t="shared" si="1100"/>
        <v>417.85375118708453</v>
      </c>
    </row>
    <row r="887" spans="1:57" s="129" customFormat="1" hidden="1">
      <c r="A887" s="88" t="s">
        <v>1276</v>
      </c>
      <c r="B887" s="88" t="s">
        <v>1846</v>
      </c>
      <c r="C887" s="88" t="s">
        <v>1318</v>
      </c>
      <c r="D887" s="88" t="s">
        <v>1102</v>
      </c>
      <c r="E887" s="91" t="s">
        <v>1844</v>
      </c>
      <c r="F887" s="90" t="s">
        <v>2207</v>
      </c>
      <c r="G887" s="92" t="s">
        <v>2638</v>
      </c>
      <c r="H887" s="92" t="s">
        <v>3255</v>
      </c>
      <c r="I887" s="132" t="s">
        <v>1889</v>
      </c>
      <c r="J887" s="132" t="str">
        <f>_xlfn.XLOOKUP(I887,[1]Sheet1!$A:$A,[1]Sheet1!$B:$B,"")</f>
        <v>U1403016</v>
      </c>
      <c r="K887" s="91" t="s">
        <v>2009</v>
      </c>
      <c r="L887" s="89" t="s">
        <v>2128</v>
      </c>
      <c r="M887" s="92"/>
      <c r="N887" s="91" t="s">
        <v>1223</v>
      </c>
      <c r="O887" s="131"/>
      <c r="P887" s="90" t="s">
        <v>2206</v>
      </c>
      <c r="Q887" s="131"/>
      <c r="R887" s="131"/>
      <c r="S887" s="92"/>
      <c r="T887" s="131">
        <v>9403208000</v>
      </c>
      <c r="U887" s="155">
        <v>0</v>
      </c>
      <c r="V887" s="131">
        <v>45</v>
      </c>
      <c r="W887" s="131">
        <v>45</v>
      </c>
      <c r="X887" s="131"/>
      <c r="Y887" s="131" t="s">
        <v>2436</v>
      </c>
      <c r="Z887" s="133">
        <f t="shared" si="1107"/>
        <v>404.90266762797404</v>
      </c>
      <c r="AA887" s="133"/>
      <c r="AB887" s="161">
        <f t="shared" si="1108"/>
        <v>341.88034188034186</v>
      </c>
      <c r="AC887" s="161"/>
      <c r="AD887" s="213">
        <f t="shared" si="1090"/>
        <v>0.05</v>
      </c>
      <c r="AE887" s="213">
        <v>0.05</v>
      </c>
      <c r="AF887" s="219">
        <v>0.25</v>
      </c>
      <c r="AG887" s="218" t="s">
        <v>9</v>
      </c>
      <c r="AH887" s="148">
        <f t="shared" si="1086"/>
        <v>341.88034188034186</v>
      </c>
      <c r="AI887" s="206">
        <f t="shared" si="1109"/>
        <v>0.25</v>
      </c>
      <c r="AJ887" s="444"/>
      <c r="AK887" s="150">
        <f t="shared" si="1103"/>
        <v>295.57894736842104</v>
      </c>
      <c r="AL887" s="202">
        <f t="shared" si="1110"/>
        <v>269.90553306342781</v>
      </c>
      <c r="AM887" s="208">
        <f t="shared" si="1111"/>
        <v>0.27</v>
      </c>
      <c r="AN887" s="208">
        <f t="shared" si="1112"/>
        <v>0.21052631578947356</v>
      </c>
      <c r="AP887" s="170" t="s">
        <v>1267</v>
      </c>
      <c r="AQ887" s="204"/>
      <c r="AR887" s="204"/>
      <c r="AS887" s="197"/>
      <c r="AT887" s="162"/>
      <c r="AU887" s="162"/>
      <c r="AV887" s="173"/>
      <c r="AW887" s="203">
        <v>240</v>
      </c>
      <c r="AX887" s="126">
        <f t="shared" si="1152"/>
        <v>256.41025641025641</v>
      </c>
      <c r="AY887" s="163"/>
      <c r="AZ887" s="19"/>
      <c r="BB887" s="168">
        <f t="shared" si="1097"/>
        <v>1139.6011396011395</v>
      </c>
      <c r="BC887" s="168">
        <f t="shared" si="1098"/>
        <v>683.76068376068372</v>
      </c>
      <c r="BD887" s="168">
        <f t="shared" si="1099"/>
        <v>569.80056980056975</v>
      </c>
      <c r="BE887" s="168">
        <f t="shared" si="1100"/>
        <v>455.84045584045583</v>
      </c>
    </row>
    <row r="888" spans="1:57" s="129" customFormat="1" hidden="1">
      <c r="A888" s="88" t="s">
        <v>1276</v>
      </c>
      <c r="B888" s="88" t="s">
        <v>1846</v>
      </c>
      <c r="C888" s="88" t="s">
        <v>1318</v>
      </c>
      <c r="D888" s="88" t="s">
        <v>1102</v>
      </c>
      <c r="E888" s="91" t="s">
        <v>1844</v>
      </c>
      <c r="F888" s="90" t="s">
        <v>2207</v>
      </c>
      <c r="G888" s="92" t="s">
        <v>2640</v>
      </c>
      <c r="H888" s="92" t="s">
        <v>3255</v>
      </c>
      <c r="I888" s="132" t="s">
        <v>1890</v>
      </c>
      <c r="J888" s="132" t="str">
        <f>_xlfn.XLOOKUP(I888,[1]Sheet1!$A:$A,[1]Sheet1!$B:$B,"")</f>
        <v>U1403017</v>
      </c>
      <c r="K888" s="91" t="s">
        <v>2010</v>
      </c>
      <c r="L888" s="89" t="s">
        <v>2129</v>
      </c>
      <c r="M888" s="92"/>
      <c r="N888" s="91" t="s">
        <v>1223</v>
      </c>
      <c r="O888" s="131"/>
      <c r="P888" s="90" t="s">
        <v>2206</v>
      </c>
      <c r="Q888" s="131"/>
      <c r="R888" s="131"/>
      <c r="S888" s="92"/>
      <c r="T888" s="131">
        <v>9403208000</v>
      </c>
      <c r="U888" s="155">
        <v>0</v>
      </c>
      <c r="V888" s="131">
        <v>45</v>
      </c>
      <c r="W888" s="131">
        <v>45</v>
      </c>
      <c r="X888" s="131"/>
      <c r="Y888" s="131" t="s">
        <v>2436</v>
      </c>
      <c r="Z888" s="133">
        <f t="shared" si="1107"/>
        <v>506.12833453496756</v>
      </c>
      <c r="AA888" s="133"/>
      <c r="AB888" s="161">
        <f t="shared" si="1108"/>
        <v>427.35042735042731</v>
      </c>
      <c r="AC888" s="161"/>
      <c r="AD888" s="213">
        <f t="shared" si="1090"/>
        <v>0.05</v>
      </c>
      <c r="AE888" s="213">
        <v>0.05</v>
      </c>
      <c r="AF888" s="219">
        <v>0.25</v>
      </c>
      <c r="AG888" s="218" t="s">
        <v>9</v>
      </c>
      <c r="AH888" s="148">
        <f t="shared" si="1086"/>
        <v>427.35042735042731</v>
      </c>
      <c r="AI888" s="206">
        <f t="shared" si="1109"/>
        <v>0.25</v>
      </c>
      <c r="AJ888" s="444"/>
      <c r="AK888" s="150">
        <f t="shared" si="1103"/>
        <v>369.4736842105263</v>
      </c>
      <c r="AL888" s="202">
        <f t="shared" si="1110"/>
        <v>337.38191632928476</v>
      </c>
      <c r="AM888" s="208">
        <f t="shared" si="1111"/>
        <v>0.27</v>
      </c>
      <c r="AN888" s="208">
        <f t="shared" si="1112"/>
        <v>0.21052631578947356</v>
      </c>
      <c r="AP888" s="170" t="s">
        <v>1267</v>
      </c>
      <c r="AQ888" s="204"/>
      <c r="AR888" s="204"/>
      <c r="AS888" s="197"/>
      <c r="AT888" s="162"/>
      <c r="AU888" s="162"/>
      <c r="AV888" s="173"/>
      <c r="AW888" s="203">
        <v>300</v>
      </c>
      <c r="AX888" s="126">
        <f t="shared" si="1152"/>
        <v>320.5128205128205</v>
      </c>
      <c r="AY888" s="163"/>
      <c r="AZ888" s="19"/>
      <c r="BB888" s="168">
        <f t="shared" si="1097"/>
        <v>1424.5014245014245</v>
      </c>
      <c r="BC888" s="168">
        <f t="shared" si="1098"/>
        <v>854.70085470085462</v>
      </c>
      <c r="BD888" s="168">
        <f t="shared" si="1099"/>
        <v>712.25071225071224</v>
      </c>
      <c r="BE888" s="168">
        <f t="shared" si="1100"/>
        <v>569.80056980056986</v>
      </c>
    </row>
    <row r="889" spans="1:57" s="129" customFormat="1" hidden="1">
      <c r="A889" s="88" t="s">
        <v>1276</v>
      </c>
      <c r="B889" s="88" t="s">
        <v>1846</v>
      </c>
      <c r="C889" s="88" t="s">
        <v>1318</v>
      </c>
      <c r="D889" s="88" t="s">
        <v>1102</v>
      </c>
      <c r="E889" s="91" t="s">
        <v>1844</v>
      </c>
      <c r="F889" s="90" t="s">
        <v>2207</v>
      </c>
      <c r="G889" s="92" t="s">
        <v>2640</v>
      </c>
      <c r="H889" s="92" t="s">
        <v>3256</v>
      </c>
      <c r="I889" s="132" t="s">
        <v>1891</v>
      </c>
      <c r="J889" s="132" t="str">
        <f>_xlfn.XLOOKUP(I889,[1]Sheet1!$A:$A,[1]Sheet1!$B:$B,"")</f>
        <v>U1403018</v>
      </c>
      <c r="K889" s="91" t="s">
        <v>2011</v>
      </c>
      <c r="L889" s="89" t="s">
        <v>2130</v>
      </c>
      <c r="M889" s="92"/>
      <c r="N889" s="91" t="s">
        <v>1223</v>
      </c>
      <c r="O889" s="131"/>
      <c r="P889" s="90" t="s">
        <v>2206</v>
      </c>
      <c r="Q889" s="131"/>
      <c r="R889" s="131"/>
      <c r="S889" s="92"/>
      <c r="T889" s="131">
        <v>9403208000</v>
      </c>
      <c r="U889" s="155">
        <v>0</v>
      </c>
      <c r="V889" s="131">
        <v>45</v>
      </c>
      <c r="W889" s="131">
        <v>45</v>
      </c>
      <c r="X889" s="131"/>
      <c r="Y889" s="131" t="s">
        <v>2436</v>
      </c>
      <c r="Z889" s="133">
        <f t="shared" si="1107"/>
        <v>556.74116798846433</v>
      </c>
      <c r="AA889" s="133"/>
      <c r="AB889" s="161">
        <f t="shared" si="1108"/>
        <v>470.08547008547004</v>
      </c>
      <c r="AC889" s="161"/>
      <c r="AD889" s="213">
        <f t="shared" si="1090"/>
        <v>0.05</v>
      </c>
      <c r="AE889" s="213">
        <v>0.05</v>
      </c>
      <c r="AF889" s="219">
        <v>0.25</v>
      </c>
      <c r="AG889" s="218" t="s">
        <v>9</v>
      </c>
      <c r="AH889" s="148">
        <f t="shared" si="1086"/>
        <v>470.08547008547004</v>
      </c>
      <c r="AI889" s="206">
        <f t="shared" si="1109"/>
        <v>0.25</v>
      </c>
      <c r="AJ889" s="444"/>
      <c r="AK889" s="150">
        <f t="shared" si="1103"/>
        <v>406.42105263157896</v>
      </c>
      <c r="AL889" s="202">
        <f t="shared" si="1110"/>
        <v>371.12010796221324</v>
      </c>
      <c r="AM889" s="208">
        <f t="shared" si="1111"/>
        <v>0.27</v>
      </c>
      <c r="AN889" s="208">
        <f t="shared" si="1112"/>
        <v>0.21052631578947356</v>
      </c>
      <c r="AP889" s="170" t="s">
        <v>1267</v>
      </c>
      <c r="AQ889" s="204"/>
      <c r="AR889" s="204"/>
      <c r="AS889" s="197"/>
      <c r="AT889" s="162"/>
      <c r="AU889" s="162"/>
      <c r="AV889" s="173"/>
      <c r="AW889" s="203">
        <v>330</v>
      </c>
      <c r="AX889" s="126">
        <f t="shared" si="1152"/>
        <v>352.56410256410254</v>
      </c>
      <c r="AY889" s="163"/>
      <c r="AZ889" s="19"/>
      <c r="BB889" s="168">
        <f t="shared" si="1097"/>
        <v>1566.9515669515667</v>
      </c>
      <c r="BC889" s="168">
        <f t="shared" si="1098"/>
        <v>940.17094017093996</v>
      </c>
      <c r="BD889" s="168">
        <f t="shared" si="1099"/>
        <v>783.47578347578337</v>
      </c>
      <c r="BE889" s="168">
        <f t="shared" si="1100"/>
        <v>626.78062678062679</v>
      </c>
    </row>
    <row r="890" spans="1:57" s="129" customFormat="1" hidden="1">
      <c r="A890" s="88" t="s">
        <v>1276</v>
      </c>
      <c r="B890" s="88" t="s">
        <v>1846</v>
      </c>
      <c r="C890" s="88" t="s">
        <v>1318</v>
      </c>
      <c r="D890" s="88" t="s">
        <v>1102</v>
      </c>
      <c r="E890" s="91" t="s">
        <v>1844</v>
      </c>
      <c r="F890" s="90" t="s">
        <v>2207</v>
      </c>
      <c r="G890" s="92" t="s">
        <v>2640</v>
      </c>
      <c r="H890" s="92" t="s">
        <v>3257</v>
      </c>
      <c r="I890" s="132" t="s">
        <v>1892</v>
      </c>
      <c r="J890" s="132" t="str">
        <f>_xlfn.XLOOKUP(I890,[1]Sheet1!$A:$A,[1]Sheet1!$B:$B,"")</f>
        <v>U1403019</v>
      </c>
      <c r="K890" s="91" t="s">
        <v>2012</v>
      </c>
      <c r="L890" s="89" t="s">
        <v>2131</v>
      </c>
      <c r="M890" s="92"/>
      <c r="N890" s="91" t="s">
        <v>1223</v>
      </c>
      <c r="O890" s="131"/>
      <c r="P890" s="90" t="s">
        <v>2206</v>
      </c>
      <c r="Q890" s="131"/>
      <c r="R890" s="131"/>
      <c r="S890" s="92"/>
      <c r="T890" s="131">
        <v>9403208000</v>
      </c>
      <c r="U890" s="155">
        <v>0</v>
      </c>
      <c r="V890" s="131">
        <v>45</v>
      </c>
      <c r="W890" s="131">
        <v>45</v>
      </c>
      <c r="X890" s="131"/>
      <c r="Y890" s="131" t="s">
        <v>2436</v>
      </c>
      <c r="Z890" s="133">
        <f t="shared" si="1107"/>
        <v>573.61211247296319</v>
      </c>
      <c r="AA890" s="133"/>
      <c r="AB890" s="161">
        <f t="shared" si="1108"/>
        <v>484.3304843304843</v>
      </c>
      <c r="AC890" s="161"/>
      <c r="AD890" s="213">
        <f t="shared" si="1090"/>
        <v>0.05</v>
      </c>
      <c r="AE890" s="213">
        <v>0.05</v>
      </c>
      <c r="AF890" s="219">
        <v>0.25</v>
      </c>
      <c r="AG890" s="218" t="s">
        <v>9</v>
      </c>
      <c r="AH890" s="148">
        <f t="shared" si="1086"/>
        <v>484.3304843304843</v>
      </c>
      <c r="AI890" s="206">
        <f t="shared" si="1109"/>
        <v>0.25</v>
      </c>
      <c r="AJ890" s="444"/>
      <c r="AK890" s="150">
        <f t="shared" si="1103"/>
        <v>418.73684210526312</v>
      </c>
      <c r="AL890" s="202">
        <f t="shared" si="1110"/>
        <v>382.36617183985607</v>
      </c>
      <c r="AM890" s="208">
        <f t="shared" si="1111"/>
        <v>0.27</v>
      </c>
      <c r="AN890" s="208">
        <f t="shared" si="1112"/>
        <v>0.21052631578947356</v>
      </c>
      <c r="AP890" s="170" t="s">
        <v>1267</v>
      </c>
      <c r="AQ890" s="204"/>
      <c r="AR890" s="204"/>
      <c r="AS890" s="197"/>
      <c r="AT890" s="162"/>
      <c r="AU890" s="162"/>
      <c r="AV890" s="173"/>
      <c r="AW890" s="203">
        <v>340</v>
      </c>
      <c r="AX890" s="126">
        <f t="shared" si="1152"/>
        <v>363.24786324786322</v>
      </c>
      <c r="AY890" s="163"/>
      <c r="AZ890" s="19"/>
      <c r="BB890" s="168">
        <f t="shared" si="1097"/>
        <v>1614.4349477682811</v>
      </c>
      <c r="BC890" s="168">
        <f t="shared" si="1098"/>
        <v>968.66096866096859</v>
      </c>
      <c r="BD890" s="168">
        <f t="shared" si="1099"/>
        <v>807.21747388414053</v>
      </c>
      <c r="BE890" s="168">
        <f t="shared" si="1100"/>
        <v>645.77397910731247</v>
      </c>
    </row>
    <row r="891" spans="1:57" s="129" customFormat="1" hidden="1">
      <c r="A891" s="88" t="s">
        <v>1276</v>
      </c>
      <c r="B891" s="88" t="s">
        <v>1846</v>
      </c>
      <c r="C891" s="88" t="s">
        <v>1318</v>
      </c>
      <c r="D891" s="88" t="s">
        <v>1102</v>
      </c>
      <c r="E891" s="91" t="s">
        <v>1844</v>
      </c>
      <c r="F891" s="90" t="s">
        <v>2207</v>
      </c>
      <c r="G891" s="92" t="s">
        <v>2639</v>
      </c>
      <c r="H891" s="92" t="s">
        <v>3258</v>
      </c>
      <c r="I891" s="132" t="s">
        <v>1893</v>
      </c>
      <c r="J891" s="132" t="str">
        <f>_xlfn.XLOOKUP(I891,[1]Sheet1!$A:$A,[1]Sheet1!$B:$B,"")</f>
        <v>U1403020</v>
      </c>
      <c r="K891" s="91" t="s">
        <v>2013</v>
      </c>
      <c r="L891" s="89" t="s">
        <v>2132</v>
      </c>
      <c r="M891" s="92"/>
      <c r="N891" s="91" t="s">
        <v>1223</v>
      </c>
      <c r="O891" s="131"/>
      <c r="P891" s="90" t="s">
        <v>2206</v>
      </c>
      <c r="Q891" s="131"/>
      <c r="R891" s="131"/>
      <c r="S891" s="92"/>
      <c r="T891" s="131">
        <v>9403208000</v>
      </c>
      <c r="U891" s="155">
        <v>0</v>
      </c>
      <c r="V891" s="131">
        <v>45</v>
      </c>
      <c r="W891" s="131">
        <v>45</v>
      </c>
      <c r="X891" s="131"/>
      <c r="Y891" s="131" t="s">
        <v>2436</v>
      </c>
      <c r="Z891" s="133">
        <f t="shared" si="1107"/>
        <v>548.30569574621484</v>
      </c>
      <c r="AA891" s="133"/>
      <c r="AB891" s="161">
        <f t="shared" si="1108"/>
        <v>462.96296296296299</v>
      </c>
      <c r="AC891" s="161"/>
      <c r="AD891" s="213">
        <f t="shared" si="1090"/>
        <v>0.05</v>
      </c>
      <c r="AE891" s="213">
        <v>0.05</v>
      </c>
      <c r="AF891" s="219">
        <v>0.25</v>
      </c>
      <c r="AG891" s="218" t="s">
        <v>9</v>
      </c>
      <c r="AH891" s="148">
        <f t="shared" si="1086"/>
        <v>462.96296296296299</v>
      </c>
      <c r="AI891" s="206">
        <f t="shared" si="1109"/>
        <v>0.25</v>
      </c>
      <c r="AJ891" s="444"/>
      <c r="AK891" s="150">
        <f t="shared" si="1103"/>
        <v>400.26315789473682</v>
      </c>
      <c r="AL891" s="202">
        <f t="shared" si="1110"/>
        <v>365.49707602339186</v>
      </c>
      <c r="AM891" s="208">
        <f t="shared" si="1111"/>
        <v>0.27</v>
      </c>
      <c r="AN891" s="208">
        <f t="shared" si="1112"/>
        <v>0.21052631578947367</v>
      </c>
      <c r="AP891" s="170" t="s">
        <v>1267</v>
      </c>
      <c r="AQ891" s="204"/>
      <c r="AR891" s="204"/>
      <c r="AS891" s="197"/>
      <c r="AT891" s="162"/>
      <c r="AU891" s="162"/>
      <c r="AV891" s="173"/>
      <c r="AW891" s="203">
        <v>325</v>
      </c>
      <c r="AX891" s="126">
        <f t="shared" si="1152"/>
        <v>347.22222222222223</v>
      </c>
      <c r="AY891" s="163"/>
      <c r="AZ891" s="19"/>
      <c r="BB891" s="168">
        <f t="shared" si="1097"/>
        <v>1543.2098765432099</v>
      </c>
      <c r="BC891" s="168">
        <f t="shared" si="1098"/>
        <v>925.92592592592587</v>
      </c>
      <c r="BD891" s="168">
        <f t="shared" si="1099"/>
        <v>771.60493827160496</v>
      </c>
      <c r="BE891" s="168">
        <f t="shared" si="1100"/>
        <v>617.28395061728406</v>
      </c>
    </row>
    <row r="892" spans="1:57" s="129" customFormat="1" hidden="1">
      <c r="A892" s="88" t="s">
        <v>1276</v>
      </c>
      <c r="B892" s="88" t="s">
        <v>1846</v>
      </c>
      <c r="C892" s="88" t="s">
        <v>1318</v>
      </c>
      <c r="D892" s="88" t="s">
        <v>1102</v>
      </c>
      <c r="E892" s="91" t="s">
        <v>1844</v>
      </c>
      <c r="F892" s="90" t="s">
        <v>2207</v>
      </c>
      <c r="G892" s="92" t="s">
        <v>2640</v>
      </c>
      <c r="H892" s="92" t="s">
        <v>3258</v>
      </c>
      <c r="I892" s="132" t="s">
        <v>1894</v>
      </c>
      <c r="J892" s="132" t="str">
        <f>_xlfn.XLOOKUP(I892,[1]Sheet1!$A:$A,[1]Sheet1!$B:$B,"")</f>
        <v>U1403021</v>
      </c>
      <c r="K892" s="91" t="s">
        <v>2014</v>
      </c>
      <c r="L892" s="89" t="s">
        <v>2133</v>
      </c>
      <c r="M892" s="92"/>
      <c r="N892" s="91" t="s">
        <v>1223</v>
      </c>
      <c r="O892" s="131"/>
      <c r="P892" s="90" t="s">
        <v>2206</v>
      </c>
      <c r="Q892" s="131"/>
      <c r="R892" s="131"/>
      <c r="S892" s="92"/>
      <c r="T892" s="131">
        <v>9403208000</v>
      </c>
      <c r="U892" s="155">
        <v>0</v>
      </c>
      <c r="V892" s="131">
        <v>45</v>
      </c>
      <c r="W892" s="131">
        <v>45</v>
      </c>
      <c r="X892" s="131"/>
      <c r="Y892" s="131" t="s">
        <v>2436</v>
      </c>
      <c r="Z892" s="133">
        <f t="shared" si="1107"/>
        <v>573.61211247296319</v>
      </c>
      <c r="AA892" s="133"/>
      <c r="AB892" s="161">
        <f t="shared" si="1108"/>
        <v>484.3304843304843</v>
      </c>
      <c r="AC892" s="161"/>
      <c r="AD892" s="213">
        <f t="shared" si="1090"/>
        <v>0.05</v>
      </c>
      <c r="AE892" s="213">
        <v>0.05</v>
      </c>
      <c r="AF892" s="219">
        <v>0.25</v>
      </c>
      <c r="AG892" s="218" t="s">
        <v>9</v>
      </c>
      <c r="AH892" s="148">
        <f t="shared" si="1086"/>
        <v>484.3304843304843</v>
      </c>
      <c r="AI892" s="206">
        <f t="shared" si="1109"/>
        <v>0.25</v>
      </c>
      <c r="AJ892" s="444"/>
      <c r="AK892" s="150">
        <f t="shared" si="1103"/>
        <v>418.73684210526312</v>
      </c>
      <c r="AL892" s="202">
        <f t="shared" si="1110"/>
        <v>382.36617183985607</v>
      </c>
      <c r="AM892" s="208">
        <f t="shared" si="1111"/>
        <v>0.27</v>
      </c>
      <c r="AN892" s="208">
        <f t="shared" si="1112"/>
        <v>0.21052631578947356</v>
      </c>
      <c r="AP892" s="170" t="s">
        <v>1267</v>
      </c>
      <c r="AQ892" s="204"/>
      <c r="AR892" s="204"/>
      <c r="AS892" s="197"/>
      <c r="AT892" s="162"/>
      <c r="AU892" s="162"/>
      <c r="AV892" s="173"/>
      <c r="AW892" s="203">
        <v>340</v>
      </c>
      <c r="AX892" s="126">
        <f t="shared" si="1152"/>
        <v>363.24786324786322</v>
      </c>
      <c r="AY892" s="163"/>
      <c r="AZ892" s="19"/>
      <c r="BB892" s="168">
        <f t="shared" si="1097"/>
        <v>1614.4349477682811</v>
      </c>
      <c r="BC892" s="168">
        <f t="shared" si="1098"/>
        <v>968.66096866096859</v>
      </c>
      <c r="BD892" s="168">
        <f t="shared" si="1099"/>
        <v>807.21747388414053</v>
      </c>
      <c r="BE892" s="168">
        <f t="shared" si="1100"/>
        <v>645.77397910731247</v>
      </c>
    </row>
    <row r="893" spans="1:57" s="129" customFormat="1" hidden="1">
      <c r="A893" s="88" t="s">
        <v>1276</v>
      </c>
      <c r="B893" s="88" t="s">
        <v>1846</v>
      </c>
      <c r="C893" s="88" t="s">
        <v>1318</v>
      </c>
      <c r="D893" s="88" t="s">
        <v>1102</v>
      </c>
      <c r="E893" s="91" t="s">
        <v>1844</v>
      </c>
      <c r="F893" s="90" t="s">
        <v>2207</v>
      </c>
      <c r="G893" s="92" t="s">
        <v>2641</v>
      </c>
      <c r="H893" s="92" t="s">
        <v>3258</v>
      </c>
      <c r="I893" s="132" t="s">
        <v>1895</v>
      </c>
      <c r="J893" s="132" t="str">
        <f>_xlfn.XLOOKUP(I893,[1]Sheet1!$A:$A,[1]Sheet1!$B:$B,"")</f>
        <v>U1403022</v>
      </c>
      <c r="K893" s="91" t="s">
        <v>2015</v>
      </c>
      <c r="L893" s="89" t="s">
        <v>2134</v>
      </c>
      <c r="M893" s="92"/>
      <c r="N893" s="91" t="s">
        <v>1223</v>
      </c>
      <c r="O893" s="131"/>
      <c r="P893" s="90" t="s">
        <v>2206</v>
      </c>
      <c r="Q893" s="131"/>
      <c r="R893" s="131"/>
      <c r="S893" s="92"/>
      <c r="T893" s="131">
        <v>9403208000</v>
      </c>
      <c r="U893" s="155">
        <v>0</v>
      </c>
      <c r="V893" s="131">
        <v>45</v>
      </c>
      <c r="W893" s="131">
        <v>45</v>
      </c>
      <c r="X893" s="131"/>
      <c r="Y893" s="131" t="s">
        <v>2436</v>
      </c>
      <c r="Z893" s="133">
        <f t="shared" si="1107"/>
        <v>674.83777937995683</v>
      </c>
      <c r="AA893" s="133"/>
      <c r="AB893" s="161">
        <f t="shared" si="1108"/>
        <v>569.80056980056986</v>
      </c>
      <c r="AC893" s="161"/>
      <c r="AD893" s="213">
        <f t="shared" si="1090"/>
        <v>0.05</v>
      </c>
      <c r="AE893" s="213">
        <v>0.05</v>
      </c>
      <c r="AF893" s="219">
        <v>0.25</v>
      </c>
      <c r="AG893" s="218" t="s">
        <v>9</v>
      </c>
      <c r="AH893" s="148">
        <f t="shared" si="1086"/>
        <v>569.80056980056986</v>
      </c>
      <c r="AI893" s="206">
        <f t="shared" si="1109"/>
        <v>0.25</v>
      </c>
      <c r="AJ893" s="444"/>
      <c r="AK893" s="150">
        <f t="shared" si="1103"/>
        <v>492.63157894736844</v>
      </c>
      <c r="AL893" s="202">
        <f t="shared" si="1110"/>
        <v>449.84255510571302</v>
      </c>
      <c r="AM893" s="208">
        <f t="shared" si="1111"/>
        <v>0.27</v>
      </c>
      <c r="AN893" s="208">
        <f t="shared" si="1112"/>
        <v>0.21052631578947378</v>
      </c>
      <c r="AP893" s="170" t="s">
        <v>1267</v>
      </c>
      <c r="AQ893" s="204"/>
      <c r="AR893" s="204"/>
      <c r="AS893" s="197"/>
      <c r="AT893" s="162"/>
      <c r="AU893" s="162"/>
      <c r="AV893" s="173"/>
      <c r="AW893" s="203">
        <v>400</v>
      </c>
      <c r="AX893" s="126">
        <f t="shared" si="1152"/>
        <v>427.35042735042737</v>
      </c>
      <c r="AY893" s="163"/>
      <c r="AZ893" s="19"/>
      <c r="BB893" s="168">
        <f t="shared" si="1097"/>
        <v>1899.3352326685663</v>
      </c>
      <c r="BC893" s="168">
        <f t="shared" si="1098"/>
        <v>1139.6011396011397</v>
      </c>
      <c r="BD893" s="168">
        <f t="shared" si="1099"/>
        <v>949.66761633428314</v>
      </c>
      <c r="BE893" s="168">
        <f t="shared" si="1100"/>
        <v>759.73409306742656</v>
      </c>
    </row>
    <row r="894" spans="1:57" s="129" customFormat="1" hidden="1">
      <c r="A894" s="88" t="s">
        <v>1276</v>
      </c>
      <c r="B894" s="88" t="s">
        <v>1846</v>
      </c>
      <c r="C894" s="88" t="s">
        <v>1318</v>
      </c>
      <c r="D894" s="88" t="s">
        <v>1102</v>
      </c>
      <c r="E894" s="91" t="s">
        <v>1844</v>
      </c>
      <c r="F894" s="90" t="s">
        <v>2207</v>
      </c>
      <c r="G894" s="92" t="s">
        <v>2640</v>
      </c>
      <c r="H894" s="92" t="s">
        <v>3259</v>
      </c>
      <c r="I894" s="132" t="s">
        <v>1896</v>
      </c>
      <c r="J894" s="132" t="str">
        <f>_xlfn.XLOOKUP(I894,[1]Sheet1!$A:$A,[1]Sheet1!$B:$B,"")</f>
        <v>U1403023</v>
      </c>
      <c r="K894" s="91" t="s">
        <v>2016</v>
      </c>
      <c r="L894" s="89" t="s">
        <v>2135</v>
      </c>
      <c r="M894" s="92"/>
      <c r="N894" s="91" t="s">
        <v>1223</v>
      </c>
      <c r="O894" s="131"/>
      <c r="P894" s="90" t="s">
        <v>2206</v>
      </c>
      <c r="Q894" s="131"/>
      <c r="R894" s="131"/>
      <c r="S894" s="92"/>
      <c r="T894" s="131">
        <v>9403208000</v>
      </c>
      <c r="U894" s="155">
        <v>0</v>
      </c>
      <c r="V894" s="131">
        <v>45</v>
      </c>
      <c r="W894" s="131">
        <v>45</v>
      </c>
      <c r="X894" s="131"/>
      <c r="Y894" s="131" t="s">
        <v>2436</v>
      </c>
      <c r="Z894" s="133">
        <f t="shared" si="1107"/>
        <v>649.53136265320848</v>
      </c>
      <c r="AA894" s="133"/>
      <c r="AB894" s="161">
        <f t="shared" si="1108"/>
        <v>548.4330484330485</v>
      </c>
      <c r="AC894" s="161"/>
      <c r="AD894" s="213">
        <f t="shared" si="1090"/>
        <v>0.05</v>
      </c>
      <c r="AE894" s="213">
        <v>0.05</v>
      </c>
      <c r="AF894" s="219">
        <v>0.25</v>
      </c>
      <c r="AG894" s="218" t="s">
        <v>9</v>
      </c>
      <c r="AH894" s="148">
        <f t="shared" si="1086"/>
        <v>548.4330484330485</v>
      </c>
      <c r="AI894" s="206">
        <f t="shared" si="1109"/>
        <v>0.25</v>
      </c>
      <c r="AJ894" s="444"/>
      <c r="AK894" s="150">
        <f t="shared" si="1103"/>
        <v>474.15789473684214</v>
      </c>
      <c r="AL894" s="202">
        <f t="shared" si="1110"/>
        <v>432.97345928924881</v>
      </c>
      <c r="AM894" s="208">
        <f t="shared" si="1111"/>
        <v>0.27000000000000013</v>
      </c>
      <c r="AN894" s="208">
        <f t="shared" si="1112"/>
        <v>0.21052631578947367</v>
      </c>
      <c r="AP894" s="170" t="s">
        <v>1267</v>
      </c>
      <c r="AQ894" s="204"/>
      <c r="AR894" s="204"/>
      <c r="AS894" s="197"/>
      <c r="AT894" s="162"/>
      <c r="AU894" s="162"/>
      <c r="AV894" s="173"/>
      <c r="AW894" s="203">
        <v>385</v>
      </c>
      <c r="AX894" s="126">
        <f t="shared" si="1152"/>
        <v>411.32478632478637</v>
      </c>
      <c r="AY894" s="163"/>
      <c r="AZ894" s="19"/>
      <c r="BB894" s="168">
        <f t="shared" si="1097"/>
        <v>1828.1101614434951</v>
      </c>
      <c r="BC894" s="168">
        <f t="shared" si="1098"/>
        <v>1096.866096866097</v>
      </c>
      <c r="BD894" s="168">
        <f t="shared" si="1099"/>
        <v>914.05508072174757</v>
      </c>
      <c r="BE894" s="168">
        <f t="shared" si="1100"/>
        <v>731.24406457739815</v>
      </c>
    </row>
    <row r="895" spans="1:57" s="129" customFormat="1" hidden="1">
      <c r="A895" s="88" t="s">
        <v>1276</v>
      </c>
      <c r="B895" s="88" t="s">
        <v>1846</v>
      </c>
      <c r="C895" s="88" t="s">
        <v>1318</v>
      </c>
      <c r="D895" s="88" t="s">
        <v>1102</v>
      </c>
      <c r="E895" s="91" t="s">
        <v>1844</v>
      </c>
      <c r="F895" s="90" t="s">
        <v>2207</v>
      </c>
      <c r="G895" s="92" t="s">
        <v>2640</v>
      </c>
      <c r="H895" s="92" t="s">
        <v>3260</v>
      </c>
      <c r="I895" s="132" t="s">
        <v>1897</v>
      </c>
      <c r="J895" s="132" t="str">
        <f>_xlfn.XLOOKUP(I895,[1]Sheet1!$A:$A,[1]Sheet1!$B:$B,"")</f>
        <v>U1403024</v>
      </c>
      <c r="K895" s="91" t="s">
        <v>2017</v>
      </c>
      <c r="L895" s="89" t="s">
        <v>2136</v>
      </c>
      <c r="M895" s="92"/>
      <c r="N895" s="91" t="s">
        <v>1223</v>
      </c>
      <c r="O895" s="131"/>
      <c r="P895" s="90" t="s">
        <v>2206</v>
      </c>
      <c r="Q895" s="131"/>
      <c r="R895" s="131"/>
      <c r="S895" s="92"/>
      <c r="T895" s="131">
        <v>9403208000</v>
      </c>
      <c r="U895" s="155">
        <v>0</v>
      </c>
      <c r="V895" s="131">
        <v>45</v>
      </c>
      <c r="W895" s="131">
        <v>45</v>
      </c>
      <c r="X895" s="131"/>
      <c r="Y895" s="131" t="s">
        <v>2436</v>
      </c>
      <c r="Z895" s="133">
        <f t="shared" si="1107"/>
        <v>733.88608507570291</v>
      </c>
      <c r="AA895" s="133"/>
      <c r="AB895" s="161">
        <f t="shared" si="1108"/>
        <v>619.65811965811974</v>
      </c>
      <c r="AC895" s="161"/>
      <c r="AD895" s="213">
        <f t="shared" si="1090"/>
        <v>0.05</v>
      </c>
      <c r="AE895" s="213">
        <v>0.05</v>
      </c>
      <c r="AF895" s="219">
        <v>0.25</v>
      </c>
      <c r="AG895" s="218" t="s">
        <v>9</v>
      </c>
      <c r="AH895" s="148">
        <f t="shared" ref="AH895:AH965" si="1162">AB895</f>
        <v>619.65811965811974</v>
      </c>
      <c r="AI895" s="206">
        <f t="shared" si="1109"/>
        <v>0.25</v>
      </c>
      <c r="AJ895" s="444"/>
      <c r="AK895" s="150">
        <f t="shared" si="1103"/>
        <v>535.73684210526312</v>
      </c>
      <c r="AL895" s="202">
        <f t="shared" si="1110"/>
        <v>489.20377867746294</v>
      </c>
      <c r="AM895" s="208">
        <f t="shared" si="1111"/>
        <v>0.27</v>
      </c>
      <c r="AN895" s="208">
        <f t="shared" si="1112"/>
        <v>0.21052631578947367</v>
      </c>
      <c r="AP895" s="170" t="s">
        <v>1267</v>
      </c>
      <c r="AQ895" s="204"/>
      <c r="AR895" s="204"/>
      <c r="AS895" s="197"/>
      <c r="AT895" s="162"/>
      <c r="AU895" s="162"/>
      <c r="AV895" s="173"/>
      <c r="AW895" s="203">
        <v>435</v>
      </c>
      <c r="AX895" s="126">
        <f t="shared" si="1152"/>
        <v>464.74358974358978</v>
      </c>
      <c r="AY895" s="163"/>
      <c r="AZ895" s="19"/>
      <c r="BB895" s="168">
        <f t="shared" si="1097"/>
        <v>2065.527065527066</v>
      </c>
      <c r="BC895" s="168">
        <f t="shared" si="1098"/>
        <v>1239.3162393162395</v>
      </c>
      <c r="BD895" s="168">
        <f t="shared" si="1099"/>
        <v>1032.763532763533</v>
      </c>
      <c r="BE895" s="168">
        <f t="shared" si="1100"/>
        <v>826.21082621082644</v>
      </c>
    </row>
    <row r="896" spans="1:57" s="129" customFormat="1" hidden="1">
      <c r="A896" s="88" t="s">
        <v>1276</v>
      </c>
      <c r="B896" s="88" t="s">
        <v>1846</v>
      </c>
      <c r="C896" s="88" t="s">
        <v>1318</v>
      </c>
      <c r="D896" s="88" t="s">
        <v>1102</v>
      </c>
      <c r="E896" s="91" t="s">
        <v>1844</v>
      </c>
      <c r="F896" s="90" t="s">
        <v>2207</v>
      </c>
      <c r="G896" s="92" t="s">
        <v>2641</v>
      </c>
      <c r="H896" s="92" t="s">
        <v>3260</v>
      </c>
      <c r="I896" s="132" t="s">
        <v>1898</v>
      </c>
      <c r="J896" s="132" t="str">
        <f>_xlfn.XLOOKUP(I896,[1]Sheet1!$A:$A,[1]Sheet1!$B:$B,"")</f>
        <v>U1403025</v>
      </c>
      <c r="K896" s="91" t="s">
        <v>2018</v>
      </c>
      <c r="L896" s="89" t="s">
        <v>2137</v>
      </c>
      <c r="M896" s="92"/>
      <c r="N896" s="91" t="s">
        <v>1223</v>
      </c>
      <c r="O896" s="131"/>
      <c r="P896" s="90" t="s">
        <v>2206</v>
      </c>
      <c r="Q896" s="131"/>
      <c r="R896" s="131"/>
      <c r="S896" s="92"/>
      <c r="T896" s="131">
        <v>9403208000</v>
      </c>
      <c r="U896" s="155">
        <v>0</v>
      </c>
      <c r="V896" s="131">
        <v>45</v>
      </c>
      <c r="W896" s="131">
        <v>45</v>
      </c>
      <c r="X896" s="131"/>
      <c r="Y896" s="131" t="s">
        <v>2436</v>
      </c>
      <c r="Z896" s="133">
        <f t="shared" si="1107"/>
        <v>792.93439077144922</v>
      </c>
      <c r="AA896" s="133"/>
      <c r="AB896" s="161">
        <f t="shared" si="1108"/>
        <v>669.51566951566963</v>
      </c>
      <c r="AC896" s="161"/>
      <c r="AD896" s="213">
        <f t="shared" ref="AD896:AD966" si="1163">AE896</f>
        <v>0.05</v>
      </c>
      <c r="AE896" s="213">
        <v>0.05</v>
      </c>
      <c r="AF896" s="219">
        <v>0.25</v>
      </c>
      <c r="AG896" s="218" t="s">
        <v>9</v>
      </c>
      <c r="AH896" s="148">
        <f t="shared" si="1162"/>
        <v>669.51566951566963</v>
      </c>
      <c r="AI896" s="206">
        <f t="shared" si="1109"/>
        <v>0.25</v>
      </c>
      <c r="AJ896" s="444"/>
      <c r="AK896" s="150">
        <f t="shared" si="1103"/>
        <v>578.84210526315792</v>
      </c>
      <c r="AL896" s="202">
        <f t="shared" si="1110"/>
        <v>528.56500224921285</v>
      </c>
      <c r="AM896" s="208">
        <f t="shared" si="1111"/>
        <v>0.27</v>
      </c>
      <c r="AN896" s="208">
        <f t="shared" si="1112"/>
        <v>0.21052631578947367</v>
      </c>
      <c r="AP896" s="170" t="s">
        <v>1267</v>
      </c>
      <c r="AQ896" s="204"/>
      <c r="AR896" s="204"/>
      <c r="AS896" s="197"/>
      <c r="AT896" s="162"/>
      <c r="AU896" s="162"/>
      <c r="AV896" s="173"/>
      <c r="AW896" s="203">
        <v>470</v>
      </c>
      <c r="AX896" s="126">
        <f t="shared" si="1152"/>
        <v>502.13675213675219</v>
      </c>
      <c r="AY896" s="163"/>
      <c r="AZ896" s="19"/>
      <c r="BB896" s="168">
        <f t="shared" si="1097"/>
        <v>2231.7188983855654</v>
      </c>
      <c r="BC896" s="168">
        <f t="shared" si="1098"/>
        <v>1339.0313390313393</v>
      </c>
      <c r="BD896" s="168">
        <f t="shared" si="1099"/>
        <v>1115.8594491927827</v>
      </c>
      <c r="BE896" s="168">
        <f t="shared" si="1100"/>
        <v>892.68755935422621</v>
      </c>
    </row>
    <row r="897" spans="1:57" s="129" customFormat="1" hidden="1">
      <c r="A897" s="88" t="s">
        <v>1276</v>
      </c>
      <c r="B897" s="88" t="s">
        <v>1846</v>
      </c>
      <c r="C897" s="88" t="s">
        <v>1318</v>
      </c>
      <c r="D897" s="88" t="s">
        <v>1102</v>
      </c>
      <c r="E897" s="91" t="s">
        <v>1844</v>
      </c>
      <c r="F897" s="90" t="s">
        <v>2207</v>
      </c>
      <c r="G897" s="92" t="s">
        <v>2639</v>
      </c>
      <c r="H897" s="92" t="s">
        <v>3258</v>
      </c>
      <c r="I897" s="132" t="s">
        <v>1899</v>
      </c>
      <c r="J897" s="132" t="str">
        <f>_xlfn.XLOOKUP(I897,[1]Sheet1!$A:$A,[1]Sheet1!$B:$B,"")</f>
        <v>U1403026</v>
      </c>
      <c r="K897" s="91" t="s">
        <v>2019</v>
      </c>
      <c r="L897" s="89" t="s">
        <v>2138</v>
      </c>
      <c r="M897" s="92"/>
      <c r="N897" s="91" t="s">
        <v>1223</v>
      </c>
      <c r="O897" s="131"/>
      <c r="P897" s="90" t="s">
        <v>2206</v>
      </c>
      <c r="Q897" s="131"/>
      <c r="R897" s="131"/>
      <c r="S897" s="92"/>
      <c r="T897" s="131">
        <v>9403208000</v>
      </c>
      <c r="U897" s="155">
        <v>0</v>
      </c>
      <c r="V897" s="131">
        <v>45</v>
      </c>
      <c r="W897" s="131">
        <v>45</v>
      </c>
      <c r="X897" s="131"/>
      <c r="Y897" s="131" t="s">
        <v>2436</v>
      </c>
      <c r="Z897" s="133">
        <f t="shared" si="1107"/>
        <v>632.6604181687095</v>
      </c>
      <c r="AA897" s="133"/>
      <c r="AB897" s="161">
        <f t="shared" si="1108"/>
        <v>534.18803418803429</v>
      </c>
      <c r="AC897" s="161"/>
      <c r="AD897" s="213">
        <f t="shared" si="1163"/>
        <v>0.05</v>
      </c>
      <c r="AE897" s="213">
        <v>0.05</v>
      </c>
      <c r="AF897" s="219">
        <v>0.25</v>
      </c>
      <c r="AG897" s="218" t="s">
        <v>9</v>
      </c>
      <c r="AH897" s="148">
        <f t="shared" si="1162"/>
        <v>534.18803418803429</v>
      </c>
      <c r="AI897" s="206">
        <f t="shared" si="1109"/>
        <v>0.25</v>
      </c>
      <c r="AJ897" s="444"/>
      <c r="AK897" s="150">
        <f t="shared" si="1103"/>
        <v>461.84210526315792</v>
      </c>
      <c r="AL897" s="202">
        <f t="shared" si="1110"/>
        <v>421.72739541160604</v>
      </c>
      <c r="AM897" s="208">
        <f t="shared" si="1111"/>
        <v>0.27</v>
      </c>
      <c r="AN897" s="208">
        <f t="shared" si="1112"/>
        <v>0.21052631578947367</v>
      </c>
      <c r="AP897" s="170" t="s">
        <v>1267</v>
      </c>
      <c r="AQ897" s="204"/>
      <c r="AR897" s="204"/>
      <c r="AS897" s="197"/>
      <c r="AT897" s="162"/>
      <c r="AU897" s="162"/>
      <c r="AV897" s="173"/>
      <c r="AW897" s="203">
        <v>375</v>
      </c>
      <c r="AX897" s="126">
        <f t="shared" si="1152"/>
        <v>400.64102564102569</v>
      </c>
      <c r="AY897" s="163"/>
      <c r="AZ897" s="19"/>
      <c r="BB897" s="168">
        <f t="shared" si="1097"/>
        <v>1780.6267806267811</v>
      </c>
      <c r="BC897" s="168">
        <f t="shared" si="1098"/>
        <v>1068.3760683760686</v>
      </c>
      <c r="BD897" s="168">
        <f t="shared" si="1099"/>
        <v>890.31339031339053</v>
      </c>
      <c r="BE897" s="168">
        <f t="shared" si="1100"/>
        <v>712.25071225071247</v>
      </c>
    </row>
    <row r="898" spans="1:57" s="129" customFormat="1" hidden="1">
      <c r="A898" s="88" t="s">
        <v>1276</v>
      </c>
      <c r="B898" s="88" t="s">
        <v>1846</v>
      </c>
      <c r="C898" s="88" t="s">
        <v>1318</v>
      </c>
      <c r="D898" s="88" t="s">
        <v>1102</v>
      </c>
      <c r="E898" s="91" t="s">
        <v>1844</v>
      </c>
      <c r="F898" s="90" t="s">
        <v>2207</v>
      </c>
      <c r="G898" s="92" t="s">
        <v>2640</v>
      </c>
      <c r="H898" s="92" t="s">
        <v>3258</v>
      </c>
      <c r="I898" s="132" t="s">
        <v>1900</v>
      </c>
      <c r="J898" s="132" t="str">
        <f>_xlfn.XLOOKUP(I898,[1]Sheet1!$A:$A,[1]Sheet1!$B:$B,"")</f>
        <v>U1403027</v>
      </c>
      <c r="K898" s="91" t="s">
        <v>2020</v>
      </c>
      <c r="L898" s="89" t="s">
        <v>2139</v>
      </c>
      <c r="M898" s="92"/>
      <c r="N898" s="91" t="s">
        <v>1223</v>
      </c>
      <c r="O898" s="131"/>
      <c r="P898" s="90" t="s">
        <v>2206</v>
      </c>
      <c r="Q898" s="131"/>
      <c r="R898" s="131"/>
      <c r="S898" s="92"/>
      <c r="T898" s="131">
        <v>9403208000</v>
      </c>
      <c r="U898" s="155">
        <v>0</v>
      </c>
      <c r="V898" s="131">
        <v>45</v>
      </c>
      <c r="W898" s="131">
        <v>45</v>
      </c>
      <c r="X898" s="131"/>
      <c r="Y898" s="131" t="s">
        <v>2436</v>
      </c>
      <c r="Z898" s="133">
        <f t="shared" si="1107"/>
        <v>708.57966834895444</v>
      </c>
      <c r="AA898" s="133"/>
      <c r="AB898" s="161">
        <f t="shared" si="1108"/>
        <v>598.29059829059827</v>
      </c>
      <c r="AC898" s="161"/>
      <c r="AD898" s="213">
        <f t="shared" si="1163"/>
        <v>0.05</v>
      </c>
      <c r="AE898" s="213">
        <v>0.05</v>
      </c>
      <c r="AF898" s="219">
        <v>0.25</v>
      </c>
      <c r="AG898" s="218" t="s">
        <v>9</v>
      </c>
      <c r="AH898" s="148">
        <f t="shared" si="1162"/>
        <v>598.29059829059827</v>
      </c>
      <c r="AI898" s="206">
        <f t="shared" si="1109"/>
        <v>0.25</v>
      </c>
      <c r="AJ898" s="444"/>
      <c r="AK898" s="150">
        <f t="shared" si="1103"/>
        <v>517.26315789473676</v>
      </c>
      <c r="AL898" s="202">
        <f t="shared" si="1110"/>
        <v>472.33468286099867</v>
      </c>
      <c r="AM898" s="208">
        <f t="shared" si="1111"/>
        <v>0.27</v>
      </c>
      <c r="AN898" s="208">
        <f t="shared" si="1112"/>
        <v>0.21052631578947367</v>
      </c>
      <c r="AP898" s="170" t="s">
        <v>1267</v>
      </c>
      <c r="AQ898" s="204"/>
      <c r="AR898" s="204"/>
      <c r="AS898" s="197"/>
      <c r="AT898" s="162"/>
      <c r="AU898" s="162"/>
      <c r="AV898" s="173"/>
      <c r="AW898" s="203">
        <v>420</v>
      </c>
      <c r="AX898" s="126">
        <f t="shared" si="1152"/>
        <v>448.71794871794873</v>
      </c>
      <c r="AY898" s="163"/>
      <c r="AZ898" s="19"/>
      <c r="BB898" s="168">
        <f t="shared" si="1097"/>
        <v>1994.3019943019942</v>
      </c>
      <c r="BC898" s="168">
        <f t="shared" si="1098"/>
        <v>1196.5811965811965</v>
      </c>
      <c r="BD898" s="168">
        <f t="shared" si="1099"/>
        <v>997.15099715099711</v>
      </c>
      <c r="BE898" s="168">
        <f t="shared" si="1100"/>
        <v>797.72079772079769</v>
      </c>
    </row>
    <row r="899" spans="1:57" s="129" customFormat="1" hidden="1">
      <c r="A899" s="88" t="s">
        <v>1276</v>
      </c>
      <c r="B899" s="88" t="s">
        <v>1846</v>
      </c>
      <c r="C899" s="88" t="s">
        <v>1318</v>
      </c>
      <c r="D899" s="88" t="s">
        <v>1102</v>
      </c>
      <c r="E899" s="91" t="s">
        <v>1844</v>
      </c>
      <c r="F899" s="90" t="s">
        <v>2207</v>
      </c>
      <c r="G899" s="92" t="s">
        <v>2641</v>
      </c>
      <c r="H899" s="92" t="s">
        <v>3258</v>
      </c>
      <c r="I899" s="132" t="s">
        <v>1901</v>
      </c>
      <c r="J899" s="132" t="str">
        <f>_xlfn.XLOOKUP(I899,[1]Sheet1!$A:$A,[1]Sheet1!$B:$B,"")</f>
        <v>U1403028</v>
      </c>
      <c r="K899" s="91" t="s">
        <v>2021</v>
      </c>
      <c r="L899" s="89" t="s">
        <v>2140</v>
      </c>
      <c r="M899" s="92"/>
      <c r="N899" s="91" t="s">
        <v>1223</v>
      </c>
      <c r="O899" s="131"/>
      <c r="P899" s="90" t="s">
        <v>2206</v>
      </c>
      <c r="Q899" s="131"/>
      <c r="R899" s="131"/>
      <c r="S899" s="92"/>
      <c r="T899" s="131">
        <v>9403208000</v>
      </c>
      <c r="U899" s="155">
        <v>0</v>
      </c>
      <c r="V899" s="131">
        <v>45</v>
      </c>
      <c r="W899" s="131">
        <v>45</v>
      </c>
      <c r="X899" s="131"/>
      <c r="Y899" s="131" t="s">
        <v>2436</v>
      </c>
      <c r="Z899" s="133">
        <f t="shared" si="1107"/>
        <v>767.62797404470075</v>
      </c>
      <c r="AA899" s="133"/>
      <c r="AB899" s="161">
        <f t="shared" si="1108"/>
        <v>648.14814814814815</v>
      </c>
      <c r="AC899" s="161"/>
      <c r="AD899" s="213">
        <f t="shared" si="1163"/>
        <v>0.05</v>
      </c>
      <c r="AE899" s="213">
        <v>0.05</v>
      </c>
      <c r="AF899" s="219">
        <v>0.25</v>
      </c>
      <c r="AG899" s="218" t="s">
        <v>9</v>
      </c>
      <c r="AH899" s="148">
        <f t="shared" si="1162"/>
        <v>648.14814814814815</v>
      </c>
      <c r="AI899" s="206">
        <f t="shared" si="1109"/>
        <v>0.25</v>
      </c>
      <c r="AJ899" s="444"/>
      <c r="AK899" s="150">
        <f t="shared" si="1103"/>
        <v>560.36842105263156</v>
      </c>
      <c r="AL899" s="202">
        <f t="shared" si="1110"/>
        <v>511.69590643274859</v>
      </c>
      <c r="AM899" s="208">
        <f t="shared" si="1111"/>
        <v>0.27</v>
      </c>
      <c r="AN899" s="208">
        <f t="shared" si="1112"/>
        <v>0.21052631578947356</v>
      </c>
      <c r="AP899" s="170" t="s">
        <v>1267</v>
      </c>
      <c r="AQ899" s="204"/>
      <c r="AR899" s="204"/>
      <c r="AS899" s="197"/>
      <c r="AT899" s="162"/>
      <c r="AU899" s="162"/>
      <c r="AV899" s="173"/>
      <c r="AW899" s="203">
        <v>455</v>
      </c>
      <c r="AX899" s="126">
        <f t="shared" si="1152"/>
        <v>486.11111111111114</v>
      </c>
      <c r="AY899" s="163"/>
      <c r="AZ899" s="19"/>
      <c r="BB899" s="168">
        <f t="shared" si="1097"/>
        <v>2160.4938271604938</v>
      </c>
      <c r="BC899" s="168">
        <f t="shared" si="1098"/>
        <v>1296.2962962962963</v>
      </c>
      <c r="BD899" s="168">
        <f t="shared" si="1099"/>
        <v>1080.2469135802469</v>
      </c>
      <c r="BE899" s="168">
        <f t="shared" si="1100"/>
        <v>864.19753086419757</v>
      </c>
    </row>
    <row r="900" spans="1:57" s="129" customFormat="1" hidden="1">
      <c r="A900" s="88" t="s">
        <v>1276</v>
      </c>
      <c r="B900" s="88" t="s">
        <v>1846</v>
      </c>
      <c r="C900" s="88" t="s">
        <v>1318</v>
      </c>
      <c r="D900" s="88" t="s">
        <v>1102</v>
      </c>
      <c r="E900" s="91" t="s">
        <v>1844</v>
      </c>
      <c r="F900" s="90" t="s">
        <v>2207</v>
      </c>
      <c r="G900" s="92" t="s">
        <v>2640</v>
      </c>
      <c r="H900" s="92" t="s">
        <v>3259</v>
      </c>
      <c r="I900" s="132" t="s">
        <v>1902</v>
      </c>
      <c r="J900" s="132" t="str">
        <f>_xlfn.XLOOKUP(I900,[1]Sheet1!$A:$A,[1]Sheet1!$B:$B,"")</f>
        <v>U1403029</v>
      </c>
      <c r="K900" s="91" t="s">
        <v>2022</v>
      </c>
      <c r="L900" s="89" t="s">
        <v>2141</v>
      </c>
      <c r="M900" s="92"/>
      <c r="N900" s="91" t="s">
        <v>1223</v>
      </c>
      <c r="O900" s="131"/>
      <c r="P900" s="90" t="s">
        <v>2206</v>
      </c>
      <c r="Q900" s="131"/>
      <c r="R900" s="131"/>
      <c r="S900" s="92"/>
      <c r="T900" s="131">
        <v>9403208000</v>
      </c>
      <c r="U900" s="155">
        <v>0</v>
      </c>
      <c r="V900" s="131">
        <v>45</v>
      </c>
      <c r="W900" s="131">
        <v>45</v>
      </c>
      <c r="X900" s="131"/>
      <c r="Y900" s="131" t="s">
        <v>2436</v>
      </c>
      <c r="Z900" s="133">
        <f t="shared" si="1107"/>
        <v>750.75702956020189</v>
      </c>
      <c r="AA900" s="133"/>
      <c r="AB900" s="161">
        <f t="shared" si="1108"/>
        <v>633.90313390313395</v>
      </c>
      <c r="AC900" s="161"/>
      <c r="AD900" s="213">
        <f t="shared" si="1163"/>
        <v>0.05</v>
      </c>
      <c r="AE900" s="213">
        <v>0.05</v>
      </c>
      <c r="AF900" s="219">
        <v>0.25</v>
      </c>
      <c r="AG900" s="218" t="s">
        <v>9</v>
      </c>
      <c r="AH900" s="148">
        <f t="shared" si="1162"/>
        <v>633.90313390313395</v>
      </c>
      <c r="AI900" s="206">
        <f t="shared" si="1109"/>
        <v>0.25</v>
      </c>
      <c r="AJ900" s="444"/>
      <c r="AK900" s="150">
        <f t="shared" si="1103"/>
        <v>548.0526315789474</v>
      </c>
      <c r="AL900" s="202">
        <f t="shared" si="1110"/>
        <v>500.44984255510576</v>
      </c>
      <c r="AM900" s="208">
        <f t="shared" si="1111"/>
        <v>0.27</v>
      </c>
      <c r="AN900" s="208">
        <f t="shared" si="1112"/>
        <v>0.21052631578947367</v>
      </c>
      <c r="AP900" s="170" t="s">
        <v>1267</v>
      </c>
      <c r="AQ900" s="204"/>
      <c r="AR900" s="204"/>
      <c r="AS900" s="197"/>
      <c r="AT900" s="162"/>
      <c r="AU900" s="162"/>
      <c r="AV900" s="173"/>
      <c r="AW900" s="203">
        <v>445</v>
      </c>
      <c r="AX900" s="126">
        <f t="shared" si="1152"/>
        <v>475.42735042735046</v>
      </c>
      <c r="AY900" s="163"/>
      <c r="AZ900" s="19"/>
      <c r="BB900" s="168">
        <f t="shared" si="1097"/>
        <v>2113.0104463437801</v>
      </c>
      <c r="BC900" s="168">
        <f t="shared" si="1098"/>
        <v>1267.8062678062681</v>
      </c>
      <c r="BD900" s="168">
        <f t="shared" si="1099"/>
        <v>1056.5052231718901</v>
      </c>
      <c r="BE900" s="168">
        <f t="shared" si="1100"/>
        <v>845.20417853751212</v>
      </c>
    </row>
    <row r="901" spans="1:57" s="129" customFormat="1" hidden="1">
      <c r="A901" s="88" t="s">
        <v>1276</v>
      </c>
      <c r="B901" s="88" t="s">
        <v>1846</v>
      </c>
      <c r="C901" s="88" t="s">
        <v>1318</v>
      </c>
      <c r="D901" s="88" t="s">
        <v>1102</v>
      </c>
      <c r="E901" s="91" t="s">
        <v>1844</v>
      </c>
      <c r="F901" s="90" t="s">
        <v>2207</v>
      </c>
      <c r="G901" s="92" t="s">
        <v>2640</v>
      </c>
      <c r="H901" s="92" t="s">
        <v>3260</v>
      </c>
      <c r="I901" s="132" t="s">
        <v>1903</v>
      </c>
      <c r="J901" s="132" t="str">
        <f>_xlfn.XLOOKUP(I901,[1]Sheet1!$A:$A,[1]Sheet1!$B:$B,"")</f>
        <v>U1403030</v>
      </c>
      <c r="K901" s="91" t="s">
        <v>2023</v>
      </c>
      <c r="L901" s="89" t="s">
        <v>2142</v>
      </c>
      <c r="M901" s="92"/>
      <c r="N901" s="91" t="s">
        <v>1223</v>
      </c>
      <c r="O901" s="131"/>
      <c r="P901" s="90" t="s">
        <v>2206</v>
      </c>
      <c r="Q901" s="131"/>
      <c r="R901" s="131"/>
      <c r="S901" s="92"/>
      <c r="T901" s="131">
        <v>9403208000</v>
      </c>
      <c r="U901" s="155">
        <v>0</v>
      </c>
      <c r="V901" s="131">
        <v>45</v>
      </c>
      <c r="W901" s="131">
        <v>45</v>
      </c>
      <c r="X901" s="131"/>
      <c r="Y901" s="131" t="s">
        <v>2436</v>
      </c>
      <c r="Z901" s="133">
        <f t="shared" si="1107"/>
        <v>826.67627974044694</v>
      </c>
      <c r="AA901" s="133"/>
      <c r="AB901" s="161">
        <f t="shared" si="1108"/>
        <v>698.00569800569804</v>
      </c>
      <c r="AC901" s="161"/>
      <c r="AD901" s="213">
        <f t="shared" si="1163"/>
        <v>0.05</v>
      </c>
      <c r="AE901" s="213">
        <v>0.05</v>
      </c>
      <c r="AF901" s="219">
        <v>0.25</v>
      </c>
      <c r="AG901" s="218" t="s">
        <v>9</v>
      </c>
      <c r="AH901" s="148">
        <f t="shared" si="1162"/>
        <v>698.00569800569804</v>
      </c>
      <c r="AI901" s="206">
        <f t="shared" si="1109"/>
        <v>0.25</v>
      </c>
      <c r="AJ901" s="444"/>
      <c r="AK901" s="150">
        <f t="shared" si="1103"/>
        <v>603.47368421052624</v>
      </c>
      <c r="AL901" s="202">
        <f t="shared" si="1110"/>
        <v>551.0571300044985</v>
      </c>
      <c r="AM901" s="208">
        <f t="shared" si="1111"/>
        <v>0.27</v>
      </c>
      <c r="AN901" s="208">
        <f t="shared" si="1112"/>
        <v>0.21052631578947356</v>
      </c>
      <c r="AP901" s="170" t="s">
        <v>1267</v>
      </c>
      <c r="AQ901" s="204"/>
      <c r="AR901" s="204"/>
      <c r="AS901" s="197"/>
      <c r="AT901" s="162"/>
      <c r="AU901" s="162"/>
      <c r="AV901" s="173"/>
      <c r="AW901" s="203">
        <v>490</v>
      </c>
      <c r="AX901" s="126">
        <f t="shared" si="1152"/>
        <v>523.50427350427356</v>
      </c>
      <c r="AY901" s="163"/>
      <c r="AZ901" s="19"/>
      <c r="BB901" s="168">
        <f t="shared" si="1097"/>
        <v>2326.6856600189935</v>
      </c>
      <c r="BC901" s="168">
        <f t="shared" si="1098"/>
        <v>1396.0113960113961</v>
      </c>
      <c r="BD901" s="168">
        <f t="shared" si="1099"/>
        <v>1163.3428300094968</v>
      </c>
      <c r="BE901" s="168">
        <f t="shared" si="1100"/>
        <v>930.67426400759746</v>
      </c>
    </row>
    <row r="902" spans="1:57" s="129" customFormat="1" hidden="1">
      <c r="A902" s="88" t="s">
        <v>1276</v>
      </c>
      <c r="B902" s="88" t="s">
        <v>1846</v>
      </c>
      <c r="C902" s="88" t="s">
        <v>1318</v>
      </c>
      <c r="D902" s="88" t="s">
        <v>1102</v>
      </c>
      <c r="E902" s="91" t="s">
        <v>1844</v>
      </c>
      <c r="F902" s="90" t="s">
        <v>2207</v>
      </c>
      <c r="G902" s="92" t="s">
        <v>2641</v>
      </c>
      <c r="H902" s="92" t="s">
        <v>3260</v>
      </c>
      <c r="I902" s="132" t="s">
        <v>1904</v>
      </c>
      <c r="J902" s="132" t="str">
        <f>_xlfn.XLOOKUP(I902,[1]Sheet1!$A:$A,[1]Sheet1!$B:$B,"")</f>
        <v>U1403031</v>
      </c>
      <c r="K902" s="91" t="s">
        <v>2024</v>
      </c>
      <c r="L902" s="89" t="s">
        <v>2143</v>
      </c>
      <c r="M902" s="92"/>
      <c r="N902" s="91" t="s">
        <v>1223</v>
      </c>
      <c r="O902" s="131"/>
      <c r="P902" s="90" t="s">
        <v>2206</v>
      </c>
      <c r="Q902" s="131"/>
      <c r="R902" s="131"/>
      <c r="S902" s="92"/>
      <c r="T902" s="131">
        <v>9403208000</v>
      </c>
      <c r="U902" s="155">
        <v>0</v>
      </c>
      <c r="V902" s="131">
        <v>45</v>
      </c>
      <c r="W902" s="131">
        <v>45</v>
      </c>
      <c r="X902" s="131"/>
      <c r="Y902" s="131" t="s">
        <v>2436</v>
      </c>
      <c r="Z902" s="133">
        <f t="shared" si="1107"/>
        <v>894.16005767844285</v>
      </c>
      <c r="AA902" s="133"/>
      <c r="AB902" s="161">
        <f t="shared" si="1108"/>
        <v>754.98575498575508</v>
      </c>
      <c r="AC902" s="161"/>
      <c r="AD902" s="213">
        <f t="shared" si="1163"/>
        <v>0.05</v>
      </c>
      <c r="AE902" s="213">
        <v>0.05</v>
      </c>
      <c r="AF902" s="219">
        <v>0.25</v>
      </c>
      <c r="AG902" s="218" t="s">
        <v>9</v>
      </c>
      <c r="AH902" s="148">
        <f t="shared" si="1162"/>
        <v>754.98575498575508</v>
      </c>
      <c r="AI902" s="206">
        <f t="shared" si="1109"/>
        <v>0.25</v>
      </c>
      <c r="AJ902" s="444"/>
      <c r="AK902" s="150">
        <f t="shared" si="1103"/>
        <v>652.73684210526324</v>
      </c>
      <c r="AL902" s="202">
        <f t="shared" si="1110"/>
        <v>596.04138551506981</v>
      </c>
      <c r="AM902" s="208">
        <f t="shared" si="1111"/>
        <v>0.27</v>
      </c>
      <c r="AN902" s="208">
        <f t="shared" si="1112"/>
        <v>0.21052631578947367</v>
      </c>
      <c r="AP902" s="170" t="s">
        <v>1267</v>
      </c>
      <c r="AQ902" s="204"/>
      <c r="AR902" s="204"/>
      <c r="AS902" s="197"/>
      <c r="AT902" s="162"/>
      <c r="AU902" s="162"/>
      <c r="AV902" s="173"/>
      <c r="AW902" s="203">
        <v>530</v>
      </c>
      <c r="AX902" s="126">
        <f t="shared" si="1152"/>
        <v>566.23931623931628</v>
      </c>
      <c r="AY902" s="163"/>
      <c r="AZ902" s="19"/>
      <c r="BB902" s="168">
        <f t="shared" si="1097"/>
        <v>2516.6191832858503</v>
      </c>
      <c r="BC902" s="168">
        <f t="shared" si="1098"/>
        <v>1509.9715099715102</v>
      </c>
      <c r="BD902" s="168">
        <f t="shared" si="1099"/>
        <v>1258.3095916429252</v>
      </c>
      <c r="BE902" s="168">
        <f t="shared" si="1100"/>
        <v>1006.6476733143402</v>
      </c>
    </row>
    <row r="903" spans="1:57" s="129" customFormat="1" hidden="1">
      <c r="A903" s="88" t="s">
        <v>1276</v>
      </c>
      <c r="B903" s="88" t="s">
        <v>1846</v>
      </c>
      <c r="C903" s="88" t="s">
        <v>1318</v>
      </c>
      <c r="D903" s="88" t="s">
        <v>1102</v>
      </c>
      <c r="E903" s="91" t="s">
        <v>1844</v>
      </c>
      <c r="F903" s="90" t="s">
        <v>2207</v>
      </c>
      <c r="G903" s="92" t="s">
        <v>2636</v>
      </c>
      <c r="H903" s="92" t="s">
        <v>3254</v>
      </c>
      <c r="I903" s="132" t="s">
        <v>1905</v>
      </c>
      <c r="J903" s="132" t="str">
        <f>_xlfn.XLOOKUP(I903,[1]Sheet1!$A:$A,[1]Sheet1!$B:$B,"")</f>
        <v>U1403032</v>
      </c>
      <c r="K903" s="91" t="s">
        <v>3413</v>
      </c>
      <c r="L903" s="89" t="s">
        <v>2144</v>
      </c>
      <c r="M903" s="92"/>
      <c r="N903" s="91" t="s">
        <v>1223</v>
      </c>
      <c r="O903" s="131"/>
      <c r="P903" s="90" t="s">
        <v>2206</v>
      </c>
      <c r="Q903" s="131"/>
      <c r="R903" s="131"/>
      <c r="S903" s="92"/>
      <c r="T903" s="131">
        <v>9403208000</v>
      </c>
      <c r="U903" s="155">
        <v>0</v>
      </c>
      <c r="V903" s="131">
        <v>45</v>
      </c>
      <c r="W903" s="131">
        <v>45</v>
      </c>
      <c r="X903" s="131"/>
      <c r="Y903" s="131" t="s">
        <v>2436</v>
      </c>
      <c r="Z903" s="133">
        <f t="shared" si="1107"/>
        <v>303.67700072098052</v>
      </c>
      <c r="AA903" s="133"/>
      <c r="AB903" s="161">
        <f t="shared" si="1108"/>
        <v>256.41025641025641</v>
      </c>
      <c r="AC903" s="161"/>
      <c r="AD903" s="213">
        <f t="shared" si="1163"/>
        <v>0.05</v>
      </c>
      <c r="AE903" s="213">
        <v>0.05</v>
      </c>
      <c r="AF903" s="219">
        <v>0.25</v>
      </c>
      <c r="AG903" s="218" t="s">
        <v>9</v>
      </c>
      <c r="AH903" s="148">
        <f t="shared" si="1162"/>
        <v>256.41025641025641</v>
      </c>
      <c r="AI903" s="206">
        <f t="shared" si="1109"/>
        <v>0.25</v>
      </c>
      <c r="AJ903" s="444"/>
      <c r="AK903" s="150">
        <f t="shared" si="1103"/>
        <v>221.68421052631578</v>
      </c>
      <c r="AL903" s="202">
        <f t="shared" si="1110"/>
        <v>202.42914979757089</v>
      </c>
      <c r="AM903" s="208">
        <f t="shared" si="1111"/>
        <v>0.27</v>
      </c>
      <c r="AN903" s="208">
        <f t="shared" si="1112"/>
        <v>0.21052631578947356</v>
      </c>
      <c r="AP903" s="170" t="s">
        <v>1267</v>
      </c>
      <c r="AQ903" s="204"/>
      <c r="AR903" s="204"/>
      <c r="AS903" s="197"/>
      <c r="AT903" s="162"/>
      <c r="AU903" s="162"/>
      <c r="AV903" s="173"/>
      <c r="AW903" s="203">
        <v>180</v>
      </c>
      <c r="AX903" s="126">
        <f t="shared" si="1152"/>
        <v>192.30769230769232</v>
      </c>
      <c r="AY903" s="163"/>
      <c r="AZ903" s="19"/>
      <c r="BB903" s="168">
        <f t="shared" si="1097"/>
        <v>854.70085470085473</v>
      </c>
      <c r="BC903" s="168">
        <f t="shared" si="1098"/>
        <v>512.82051282051282</v>
      </c>
      <c r="BD903" s="168">
        <f t="shared" si="1099"/>
        <v>427.35042735042737</v>
      </c>
      <c r="BE903" s="168">
        <f t="shared" si="1100"/>
        <v>341.88034188034192</v>
      </c>
    </row>
    <row r="904" spans="1:57" s="129" customFormat="1" hidden="1">
      <c r="A904" s="88" t="s">
        <v>1276</v>
      </c>
      <c r="B904" s="88" t="s">
        <v>1846</v>
      </c>
      <c r="C904" s="88" t="s">
        <v>1318</v>
      </c>
      <c r="D904" s="88" t="s">
        <v>1102</v>
      </c>
      <c r="E904" s="91" t="s">
        <v>1844</v>
      </c>
      <c r="F904" s="90" t="s">
        <v>2207</v>
      </c>
      <c r="G904" s="92" t="s">
        <v>2637</v>
      </c>
      <c r="H904" s="92" t="s">
        <v>3254</v>
      </c>
      <c r="I904" s="132" t="s">
        <v>1906</v>
      </c>
      <c r="J904" s="132" t="str">
        <f>_xlfn.XLOOKUP(I904,[1]Sheet1!$A:$A,[1]Sheet1!$B:$B,"")</f>
        <v>U1403033</v>
      </c>
      <c r="K904" s="91" t="s">
        <v>2025</v>
      </c>
      <c r="L904" s="89" t="s">
        <v>2145</v>
      </c>
      <c r="M904" s="92"/>
      <c r="N904" s="91" t="s">
        <v>1223</v>
      </c>
      <c r="O904" s="131"/>
      <c r="P904" s="90" t="s">
        <v>2206</v>
      </c>
      <c r="Q904" s="131"/>
      <c r="R904" s="131"/>
      <c r="S904" s="92"/>
      <c r="T904" s="131">
        <v>9403208000</v>
      </c>
      <c r="U904" s="155">
        <v>0</v>
      </c>
      <c r="V904" s="131">
        <v>45</v>
      </c>
      <c r="W904" s="131">
        <v>45</v>
      </c>
      <c r="X904" s="131"/>
      <c r="Y904" s="131" t="s">
        <v>2436</v>
      </c>
      <c r="Z904" s="133">
        <f t="shared" si="1107"/>
        <v>320.54794520547944</v>
      </c>
      <c r="AA904" s="133"/>
      <c r="AB904" s="161">
        <f t="shared" si="1108"/>
        <v>270.65527065527067</v>
      </c>
      <c r="AC904" s="161"/>
      <c r="AD904" s="213">
        <f t="shared" si="1163"/>
        <v>0.05</v>
      </c>
      <c r="AE904" s="213">
        <v>0.05</v>
      </c>
      <c r="AF904" s="219">
        <v>0.25</v>
      </c>
      <c r="AG904" s="218" t="s">
        <v>9</v>
      </c>
      <c r="AH904" s="148">
        <f t="shared" si="1162"/>
        <v>270.65527065527067</v>
      </c>
      <c r="AI904" s="206">
        <f t="shared" si="1109"/>
        <v>0.25</v>
      </c>
      <c r="AJ904" s="444"/>
      <c r="AK904" s="150">
        <f t="shared" si="1103"/>
        <v>234</v>
      </c>
      <c r="AL904" s="202">
        <f t="shared" si="1110"/>
        <v>213.67521367521368</v>
      </c>
      <c r="AM904" s="208">
        <f t="shared" si="1111"/>
        <v>0.27</v>
      </c>
      <c r="AN904" s="208">
        <f t="shared" si="1112"/>
        <v>0.21052631578947367</v>
      </c>
      <c r="AP904" s="170" t="s">
        <v>1267</v>
      </c>
      <c r="AQ904" s="204"/>
      <c r="AR904" s="204"/>
      <c r="AS904" s="197"/>
      <c r="AT904" s="162"/>
      <c r="AU904" s="162"/>
      <c r="AV904" s="173"/>
      <c r="AW904" s="203">
        <v>190</v>
      </c>
      <c r="AX904" s="126">
        <f t="shared" ref="AX904:AX935" si="1164">AW904/$F$6*1.25+AW904*U904</f>
        <v>202.991452991453</v>
      </c>
      <c r="AY904" s="163"/>
      <c r="AZ904" s="19"/>
      <c r="BB904" s="168">
        <f t="shared" ref="BB904:BB974" si="1165">AB904/0.3</f>
        <v>902.18423551756894</v>
      </c>
      <c r="BC904" s="168">
        <f t="shared" ref="BC904:BC974" si="1166">BB904*0.6</f>
        <v>541.31054131054134</v>
      </c>
      <c r="BD904" s="168">
        <f t="shared" ref="BD904:BD974" si="1167">BB904*0.5</f>
        <v>451.09211775878447</v>
      </c>
      <c r="BE904" s="168">
        <f t="shared" ref="BE904:BE974" si="1168">BB904*0.4</f>
        <v>360.8736942070276</v>
      </c>
    </row>
    <row r="905" spans="1:57" s="129" customFormat="1" hidden="1">
      <c r="A905" s="88" t="s">
        <v>1276</v>
      </c>
      <c r="B905" s="88" t="s">
        <v>1846</v>
      </c>
      <c r="C905" s="88" t="s">
        <v>1318</v>
      </c>
      <c r="D905" s="88" t="s">
        <v>1102</v>
      </c>
      <c r="E905" s="91" t="s">
        <v>1844</v>
      </c>
      <c r="F905" s="90" t="s">
        <v>2207</v>
      </c>
      <c r="G905" s="92" t="s">
        <v>2638</v>
      </c>
      <c r="H905" s="92" t="s">
        <v>3254</v>
      </c>
      <c r="I905" s="132" t="s">
        <v>1907</v>
      </c>
      <c r="J905" s="132" t="str">
        <f>_xlfn.XLOOKUP(I905,[1]Sheet1!$A:$A,[1]Sheet1!$B:$B,"")</f>
        <v>U1403034</v>
      </c>
      <c r="K905" s="91" t="s">
        <v>2026</v>
      </c>
      <c r="L905" s="89" t="s">
        <v>2146</v>
      </c>
      <c r="M905" s="92"/>
      <c r="N905" s="91" t="s">
        <v>1223</v>
      </c>
      <c r="O905" s="131"/>
      <c r="P905" s="90" t="s">
        <v>2206</v>
      </c>
      <c r="Q905" s="131"/>
      <c r="R905" s="131"/>
      <c r="S905" s="92"/>
      <c r="T905" s="131">
        <v>9403208000</v>
      </c>
      <c r="U905" s="155">
        <v>0</v>
      </c>
      <c r="V905" s="131">
        <v>45</v>
      </c>
      <c r="W905" s="131">
        <v>45</v>
      </c>
      <c r="X905" s="131"/>
      <c r="Y905" s="131" t="s">
        <v>2436</v>
      </c>
      <c r="Z905" s="133">
        <f t="shared" si="1107"/>
        <v>337.41888968997841</v>
      </c>
      <c r="AA905" s="133"/>
      <c r="AB905" s="161">
        <f t="shared" si="1108"/>
        <v>284.90028490028493</v>
      </c>
      <c r="AC905" s="161"/>
      <c r="AD905" s="213">
        <f t="shared" si="1163"/>
        <v>0.05</v>
      </c>
      <c r="AE905" s="213">
        <v>0.05</v>
      </c>
      <c r="AF905" s="219">
        <v>0.25</v>
      </c>
      <c r="AG905" s="218" t="s">
        <v>9</v>
      </c>
      <c r="AH905" s="148">
        <f t="shared" si="1162"/>
        <v>284.90028490028493</v>
      </c>
      <c r="AI905" s="206">
        <f t="shared" si="1109"/>
        <v>0.25</v>
      </c>
      <c r="AJ905" s="444"/>
      <c r="AK905" s="150">
        <f t="shared" si="1103"/>
        <v>246.31578947368422</v>
      </c>
      <c r="AL905" s="202">
        <f t="shared" si="1110"/>
        <v>224.92127755285651</v>
      </c>
      <c r="AM905" s="208">
        <f t="shared" si="1111"/>
        <v>0.27</v>
      </c>
      <c r="AN905" s="208">
        <f t="shared" si="1112"/>
        <v>0.21052631578947378</v>
      </c>
      <c r="AP905" s="170" t="s">
        <v>1267</v>
      </c>
      <c r="AQ905" s="204"/>
      <c r="AR905" s="204"/>
      <c r="AS905" s="197"/>
      <c r="AT905" s="162"/>
      <c r="AU905" s="162"/>
      <c r="AV905" s="173"/>
      <c r="AW905" s="203">
        <v>200</v>
      </c>
      <c r="AX905" s="126">
        <f t="shared" si="1164"/>
        <v>213.67521367521368</v>
      </c>
      <c r="AY905" s="163"/>
      <c r="AZ905" s="19"/>
      <c r="BB905" s="168">
        <f t="shared" si="1165"/>
        <v>949.66761633428314</v>
      </c>
      <c r="BC905" s="168">
        <f t="shared" si="1166"/>
        <v>569.80056980056986</v>
      </c>
      <c r="BD905" s="168">
        <f t="shared" si="1167"/>
        <v>474.83380816714157</v>
      </c>
      <c r="BE905" s="168">
        <f t="shared" si="1168"/>
        <v>379.86704653371328</v>
      </c>
    </row>
    <row r="906" spans="1:57" s="129" customFormat="1" hidden="1">
      <c r="A906" s="88" t="s">
        <v>1276</v>
      </c>
      <c r="B906" s="88" t="s">
        <v>1846</v>
      </c>
      <c r="C906" s="88" t="s">
        <v>1318</v>
      </c>
      <c r="D906" s="88" t="s">
        <v>1102</v>
      </c>
      <c r="E906" s="91" t="s">
        <v>1844</v>
      </c>
      <c r="F906" s="90" t="s">
        <v>2207</v>
      </c>
      <c r="G906" s="92" t="s">
        <v>2639</v>
      </c>
      <c r="H906" s="92" t="s">
        <v>3254</v>
      </c>
      <c r="I906" s="132" t="s">
        <v>1908</v>
      </c>
      <c r="J906" s="132" t="str">
        <f>_xlfn.XLOOKUP(I906,[1]Sheet1!$A:$A,[1]Sheet1!$B:$B,"")</f>
        <v>U1403035</v>
      </c>
      <c r="K906" s="91" t="s">
        <v>2027</v>
      </c>
      <c r="L906" s="89" t="s">
        <v>2147</v>
      </c>
      <c r="M906" s="92"/>
      <c r="N906" s="91" t="s">
        <v>1223</v>
      </c>
      <c r="O906" s="131"/>
      <c r="P906" s="90" t="s">
        <v>2206</v>
      </c>
      <c r="Q906" s="131"/>
      <c r="R906" s="131"/>
      <c r="S906" s="92"/>
      <c r="T906" s="131">
        <v>9403208000</v>
      </c>
      <c r="U906" s="155">
        <v>0</v>
      </c>
      <c r="V906" s="131">
        <v>45</v>
      </c>
      <c r="W906" s="131">
        <v>45</v>
      </c>
      <c r="X906" s="131"/>
      <c r="Y906" s="131" t="s">
        <v>2436</v>
      </c>
      <c r="Z906" s="133">
        <f t="shared" si="1107"/>
        <v>371.16077865897626</v>
      </c>
      <c r="AA906" s="133"/>
      <c r="AB906" s="161">
        <f t="shared" si="1108"/>
        <v>313.39031339031339</v>
      </c>
      <c r="AC906" s="161"/>
      <c r="AD906" s="213">
        <f t="shared" si="1163"/>
        <v>0.05</v>
      </c>
      <c r="AE906" s="213">
        <v>0.05</v>
      </c>
      <c r="AF906" s="219">
        <v>0.25</v>
      </c>
      <c r="AG906" s="218" t="s">
        <v>9</v>
      </c>
      <c r="AH906" s="148">
        <f t="shared" si="1162"/>
        <v>313.39031339031339</v>
      </c>
      <c r="AI906" s="206">
        <f t="shared" si="1109"/>
        <v>0.25</v>
      </c>
      <c r="AJ906" s="444"/>
      <c r="AK906" s="150">
        <f t="shared" si="1103"/>
        <v>270.94736842105266</v>
      </c>
      <c r="AL906" s="202">
        <f t="shared" si="1110"/>
        <v>247.41340530814216</v>
      </c>
      <c r="AM906" s="208">
        <f t="shared" si="1111"/>
        <v>0.27</v>
      </c>
      <c r="AN906" s="208">
        <f t="shared" si="1112"/>
        <v>0.21052631578947367</v>
      </c>
      <c r="AP906" s="170" t="s">
        <v>1267</v>
      </c>
      <c r="AQ906" s="204"/>
      <c r="AR906" s="204"/>
      <c r="AS906" s="197"/>
      <c r="AT906" s="162"/>
      <c r="AU906" s="162"/>
      <c r="AV906" s="173"/>
      <c r="AW906" s="203">
        <v>220</v>
      </c>
      <c r="AX906" s="126">
        <f t="shared" si="1164"/>
        <v>235.04273504273505</v>
      </c>
      <c r="AY906" s="163"/>
      <c r="AZ906" s="19"/>
      <c r="BB906" s="168">
        <f t="shared" si="1165"/>
        <v>1044.6343779677113</v>
      </c>
      <c r="BC906" s="168">
        <f t="shared" si="1166"/>
        <v>626.78062678062679</v>
      </c>
      <c r="BD906" s="168">
        <f t="shared" si="1167"/>
        <v>522.31718898385566</v>
      </c>
      <c r="BE906" s="168">
        <f t="shared" si="1168"/>
        <v>417.85375118708453</v>
      </c>
    </row>
    <row r="907" spans="1:57" s="129" customFormat="1" hidden="1">
      <c r="A907" s="88" t="s">
        <v>1276</v>
      </c>
      <c r="B907" s="88" t="s">
        <v>1846</v>
      </c>
      <c r="C907" s="88" t="s">
        <v>1318</v>
      </c>
      <c r="D907" s="88" t="s">
        <v>1102</v>
      </c>
      <c r="E907" s="91" t="s">
        <v>1844</v>
      </c>
      <c r="F907" s="90" t="s">
        <v>2207</v>
      </c>
      <c r="G907" s="92" t="s">
        <v>2640</v>
      </c>
      <c r="H907" s="92" t="s">
        <v>3254</v>
      </c>
      <c r="I907" s="132" t="s">
        <v>1909</v>
      </c>
      <c r="J907" s="132" t="str">
        <f>_xlfn.XLOOKUP(I907,[1]Sheet1!$A:$A,[1]Sheet1!$B:$B,"")</f>
        <v>U1403036</v>
      </c>
      <c r="K907" s="91" t="s">
        <v>2028</v>
      </c>
      <c r="L907" s="89" t="s">
        <v>2148</v>
      </c>
      <c r="M907" s="92"/>
      <c r="N907" s="91" t="s">
        <v>1223</v>
      </c>
      <c r="O907" s="131"/>
      <c r="P907" s="90" t="s">
        <v>2206</v>
      </c>
      <c r="Q907" s="131"/>
      <c r="R907" s="131"/>
      <c r="S907" s="92"/>
      <c r="T907" s="131">
        <v>9403208000</v>
      </c>
      <c r="U907" s="155">
        <v>0</v>
      </c>
      <c r="V907" s="131">
        <v>45</v>
      </c>
      <c r="W907" s="131">
        <v>45</v>
      </c>
      <c r="X907" s="131"/>
      <c r="Y907" s="131" t="s">
        <v>2436</v>
      </c>
      <c r="Z907" s="133">
        <f t="shared" si="1107"/>
        <v>421.77361211247296</v>
      </c>
      <c r="AA907" s="133"/>
      <c r="AB907" s="161">
        <f t="shared" si="1108"/>
        <v>356.12535612535612</v>
      </c>
      <c r="AC907" s="161"/>
      <c r="AD907" s="213">
        <f t="shared" si="1163"/>
        <v>0.05</v>
      </c>
      <c r="AE907" s="213">
        <v>0.05</v>
      </c>
      <c r="AF907" s="219">
        <v>0.25</v>
      </c>
      <c r="AG907" s="218" t="s">
        <v>9</v>
      </c>
      <c r="AH907" s="148">
        <f t="shared" si="1162"/>
        <v>356.12535612535612</v>
      </c>
      <c r="AI907" s="206">
        <f t="shared" si="1109"/>
        <v>0.25</v>
      </c>
      <c r="AJ907" s="444"/>
      <c r="AK907" s="150">
        <f t="shared" si="1103"/>
        <v>307.89473684210526</v>
      </c>
      <c r="AL907" s="202">
        <f t="shared" si="1110"/>
        <v>281.15159694107064</v>
      </c>
      <c r="AM907" s="208">
        <f t="shared" si="1111"/>
        <v>0.27</v>
      </c>
      <c r="AN907" s="208">
        <f t="shared" si="1112"/>
        <v>0.21052631578947367</v>
      </c>
      <c r="AP907" s="170" t="s">
        <v>1267</v>
      </c>
      <c r="AQ907" s="204"/>
      <c r="AR907" s="204"/>
      <c r="AS907" s="197"/>
      <c r="AT907" s="162"/>
      <c r="AU907" s="162"/>
      <c r="AV907" s="173"/>
      <c r="AW907" s="203">
        <v>250</v>
      </c>
      <c r="AX907" s="126">
        <f t="shared" si="1164"/>
        <v>267.09401709401709</v>
      </c>
      <c r="AY907" s="163"/>
      <c r="AZ907" s="19"/>
      <c r="BB907" s="168">
        <f t="shared" si="1165"/>
        <v>1187.0845204178538</v>
      </c>
      <c r="BC907" s="168">
        <f t="shared" si="1166"/>
        <v>712.25071225071224</v>
      </c>
      <c r="BD907" s="168">
        <f t="shared" si="1167"/>
        <v>593.5422602089269</v>
      </c>
      <c r="BE907" s="168">
        <f t="shared" si="1168"/>
        <v>474.83380816714157</v>
      </c>
    </row>
    <row r="908" spans="1:57" s="129" customFormat="1" hidden="1">
      <c r="A908" s="88" t="s">
        <v>1276</v>
      </c>
      <c r="B908" s="88" t="s">
        <v>1846</v>
      </c>
      <c r="C908" s="88" t="s">
        <v>1318</v>
      </c>
      <c r="D908" s="88" t="s">
        <v>1102</v>
      </c>
      <c r="E908" s="91" t="s">
        <v>1844</v>
      </c>
      <c r="F908" s="90" t="s">
        <v>2207</v>
      </c>
      <c r="G908" s="92" t="s">
        <v>2636</v>
      </c>
      <c r="H908" s="92" t="s">
        <v>3255</v>
      </c>
      <c r="I908" s="132" t="s">
        <v>1910</v>
      </c>
      <c r="J908" s="132" t="str">
        <f>_xlfn.XLOOKUP(I908,[1]Sheet1!$A:$A,[1]Sheet1!$B:$B,"")</f>
        <v>U1403037</v>
      </c>
      <c r="K908" s="91" t="s">
        <v>2029</v>
      </c>
      <c r="L908" s="89" t="s">
        <v>2149</v>
      </c>
      <c r="M908" s="92"/>
      <c r="N908" s="91" t="s">
        <v>1223</v>
      </c>
      <c r="O908" s="131"/>
      <c r="P908" s="90" t="s">
        <v>2206</v>
      </c>
      <c r="Q908" s="131"/>
      <c r="R908" s="131"/>
      <c r="S908" s="92"/>
      <c r="T908" s="131">
        <v>9403208000</v>
      </c>
      <c r="U908" s="155">
        <v>0</v>
      </c>
      <c r="V908" s="131">
        <v>45</v>
      </c>
      <c r="W908" s="131">
        <v>45</v>
      </c>
      <c r="X908" s="131"/>
      <c r="Y908" s="131" t="s">
        <v>2436</v>
      </c>
      <c r="Z908" s="133">
        <f t="shared" si="1107"/>
        <v>337.41888968997841</v>
      </c>
      <c r="AA908" s="133"/>
      <c r="AB908" s="161">
        <f t="shared" si="1108"/>
        <v>284.90028490028493</v>
      </c>
      <c r="AC908" s="161"/>
      <c r="AD908" s="213">
        <f t="shared" si="1163"/>
        <v>0.05</v>
      </c>
      <c r="AE908" s="213">
        <v>0.05</v>
      </c>
      <c r="AF908" s="219">
        <v>0.25</v>
      </c>
      <c r="AG908" s="218" t="s">
        <v>9</v>
      </c>
      <c r="AH908" s="148">
        <f t="shared" si="1162"/>
        <v>284.90028490028493</v>
      </c>
      <c r="AI908" s="206">
        <f t="shared" si="1109"/>
        <v>0.25</v>
      </c>
      <c r="AJ908" s="444"/>
      <c r="AK908" s="150">
        <f t="shared" si="1103"/>
        <v>246.31578947368422</v>
      </c>
      <c r="AL908" s="202">
        <f t="shared" si="1110"/>
        <v>224.92127755285651</v>
      </c>
      <c r="AM908" s="208">
        <f t="shared" si="1111"/>
        <v>0.27</v>
      </c>
      <c r="AN908" s="208">
        <f t="shared" si="1112"/>
        <v>0.21052631578947378</v>
      </c>
      <c r="AP908" s="170" t="s">
        <v>1267</v>
      </c>
      <c r="AQ908" s="204"/>
      <c r="AR908" s="204"/>
      <c r="AS908" s="197"/>
      <c r="AT908" s="162"/>
      <c r="AU908" s="162"/>
      <c r="AV908" s="173"/>
      <c r="AW908" s="203">
        <v>200</v>
      </c>
      <c r="AX908" s="126">
        <f t="shared" si="1164"/>
        <v>213.67521367521368</v>
      </c>
      <c r="AY908" s="163"/>
      <c r="AZ908" s="19"/>
      <c r="BB908" s="168">
        <f t="shared" si="1165"/>
        <v>949.66761633428314</v>
      </c>
      <c r="BC908" s="168">
        <f t="shared" si="1166"/>
        <v>569.80056980056986</v>
      </c>
      <c r="BD908" s="168">
        <f t="shared" si="1167"/>
        <v>474.83380816714157</v>
      </c>
      <c r="BE908" s="168">
        <f t="shared" si="1168"/>
        <v>379.86704653371328</v>
      </c>
    </row>
    <row r="909" spans="1:57" s="129" customFormat="1" hidden="1">
      <c r="A909" s="88" t="s">
        <v>1276</v>
      </c>
      <c r="B909" s="88" t="s">
        <v>1846</v>
      </c>
      <c r="C909" s="88" t="s">
        <v>1318</v>
      </c>
      <c r="D909" s="88" t="s">
        <v>1102</v>
      </c>
      <c r="E909" s="91" t="s">
        <v>1844</v>
      </c>
      <c r="F909" s="90" t="s">
        <v>2207</v>
      </c>
      <c r="G909" s="92" t="s">
        <v>2638</v>
      </c>
      <c r="H909" s="92" t="s">
        <v>3255</v>
      </c>
      <c r="I909" s="132" t="s">
        <v>1911</v>
      </c>
      <c r="J909" s="132" t="str">
        <f>_xlfn.XLOOKUP(I909,[1]Sheet1!$A:$A,[1]Sheet1!$B:$B,"")</f>
        <v>U1403038</v>
      </c>
      <c r="K909" s="91" t="s">
        <v>2030</v>
      </c>
      <c r="L909" s="89" t="s">
        <v>2150</v>
      </c>
      <c r="M909" s="92"/>
      <c r="N909" s="91" t="s">
        <v>1223</v>
      </c>
      <c r="O909" s="131"/>
      <c r="P909" s="90" t="s">
        <v>2206</v>
      </c>
      <c r="Q909" s="131"/>
      <c r="R909" s="131"/>
      <c r="S909" s="92"/>
      <c r="T909" s="131">
        <v>9403208000</v>
      </c>
      <c r="U909" s="155">
        <v>0</v>
      </c>
      <c r="V909" s="131">
        <v>45</v>
      </c>
      <c r="W909" s="131">
        <v>45</v>
      </c>
      <c r="X909" s="131"/>
      <c r="Y909" s="131" t="s">
        <v>2436</v>
      </c>
      <c r="Z909" s="133">
        <f t="shared" si="1107"/>
        <v>371.16077865897626</v>
      </c>
      <c r="AA909" s="133"/>
      <c r="AB909" s="161">
        <f t="shared" si="1108"/>
        <v>313.39031339031339</v>
      </c>
      <c r="AC909" s="161"/>
      <c r="AD909" s="213">
        <f t="shared" si="1163"/>
        <v>0.05</v>
      </c>
      <c r="AE909" s="213">
        <v>0.05</v>
      </c>
      <c r="AF909" s="219">
        <v>0.25</v>
      </c>
      <c r="AG909" s="218" t="s">
        <v>9</v>
      </c>
      <c r="AH909" s="148">
        <f t="shared" si="1162"/>
        <v>313.39031339031339</v>
      </c>
      <c r="AI909" s="206">
        <f t="shared" si="1109"/>
        <v>0.25</v>
      </c>
      <c r="AJ909" s="444"/>
      <c r="AK909" s="150">
        <f t="shared" ref="AK909:AK979" si="1169">AW909/(1-AD909)*$F$6</f>
        <v>270.94736842105266</v>
      </c>
      <c r="AL909" s="202">
        <f t="shared" si="1110"/>
        <v>247.41340530814216</v>
      </c>
      <c r="AM909" s="208">
        <f t="shared" si="1111"/>
        <v>0.27</v>
      </c>
      <c r="AN909" s="208">
        <f t="shared" si="1112"/>
        <v>0.21052631578947367</v>
      </c>
      <c r="AP909" s="170" t="s">
        <v>1267</v>
      </c>
      <c r="AQ909" s="204"/>
      <c r="AR909" s="204"/>
      <c r="AS909" s="197"/>
      <c r="AT909" s="162"/>
      <c r="AU909" s="162"/>
      <c r="AV909" s="173"/>
      <c r="AW909" s="203">
        <v>220</v>
      </c>
      <c r="AX909" s="126">
        <f t="shared" si="1164"/>
        <v>235.04273504273505</v>
      </c>
      <c r="AY909" s="163"/>
      <c r="AZ909" s="19"/>
      <c r="BB909" s="168">
        <f t="shared" si="1165"/>
        <v>1044.6343779677113</v>
      </c>
      <c r="BC909" s="168">
        <f t="shared" si="1166"/>
        <v>626.78062678062679</v>
      </c>
      <c r="BD909" s="168">
        <f t="shared" si="1167"/>
        <v>522.31718898385566</v>
      </c>
      <c r="BE909" s="168">
        <f t="shared" si="1168"/>
        <v>417.85375118708453</v>
      </c>
    </row>
    <row r="910" spans="1:57" s="129" customFormat="1" hidden="1">
      <c r="A910" s="88" t="s">
        <v>1276</v>
      </c>
      <c r="B910" s="88" t="s">
        <v>1846</v>
      </c>
      <c r="C910" s="88" t="s">
        <v>1318</v>
      </c>
      <c r="D910" s="88" t="s">
        <v>1102</v>
      </c>
      <c r="E910" s="91" t="s">
        <v>1844</v>
      </c>
      <c r="F910" s="90" t="s">
        <v>2207</v>
      </c>
      <c r="G910" s="92" t="s">
        <v>2640</v>
      </c>
      <c r="H910" s="92" t="s">
        <v>3255</v>
      </c>
      <c r="I910" s="132" t="s">
        <v>1912</v>
      </c>
      <c r="J910" s="132" t="str">
        <f>_xlfn.XLOOKUP(I910,[1]Sheet1!$A:$A,[1]Sheet1!$B:$B,"")</f>
        <v>U1403039</v>
      </c>
      <c r="K910" s="91" t="s">
        <v>2031</v>
      </c>
      <c r="L910" s="89" t="s">
        <v>2151</v>
      </c>
      <c r="M910" s="92"/>
      <c r="N910" s="91" t="s">
        <v>1223</v>
      </c>
      <c r="O910" s="131"/>
      <c r="P910" s="90" t="s">
        <v>2206</v>
      </c>
      <c r="Q910" s="131"/>
      <c r="R910" s="131"/>
      <c r="S910" s="92"/>
      <c r="T910" s="131">
        <v>9403208000</v>
      </c>
      <c r="U910" s="155">
        <v>0</v>
      </c>
      <c r="V910" s="131">
        <v>45</v>
      </c>
      <c r="W910" s="131">
        <v>45</v>
      </c>
      <c r="X910" s="131"/>
      <c r="Y910" s="131" t="s">
        <v>2436</v>
      </c>
      <c r="Z910" s="133">
        <f t="shared" ref="Z910:Z971" si="1170">AK910/(1-(AF910+2%))</f>
        <v>455.51550108147086</v>
      </c>
      <c r="AA910" s="133"/>
      <c r="AB910" s="161">
        <f t="shared" ref="AB910:AB971" si="1171">AX910/(1-AF910)</f>
        <v>384.61538461538458</v>
      </c>
      <c r="AC910" s="161"/>
      <c r="AD910" s="213">
        <f t="shared" si="1163"/>
        <v>0.05</v>
      </c>
      <c r="AE910" s="213">
        <v>0.05</v>
      </c>
      <c r="AF910" s="219">
        <v>0.25</v>
      </c>
      <c r="AG910" s="218" t="s">
        <v>9</v>
      </c>
      <c r="AH910" s="148">
        <f t="shared" si="1162"/>
        <v>384.61538461538458</v>
      </c>
      <c r="AI910" s="206">
        <f t="shared" ref="AI910:AI971" si="1172">1-(AX910/AH910)</f>
        <v>0.25</v>
      </c>
      <c r="AJ910" s="444"/>
      <c r="AK910" s="150">
        <f t="shared" si="1169"/>
        <v>332.5263157894737</v>
      </c>
      <c r="AL910" s="202">
        <f t="shared" ref="AL910:AL971" si="1173">AX910/(1-AE910)</f>
        <v>303.64372469635629</v>
      </c>
      <c r="AM910" s="208">
        <f t="shared" ref="AM910:AM971" si="1174">1-(AK910/Z910)</f>
        <v>0.27</v>
      </c>
      <c r="AN910" s="208">
        <f t="shared" ref="AN910:AN971" si="1175">1-(AL910/AB910)</f>
        <v>0.21052631578947356</v>
      </c>
      <c r="AP910" s="170" t="s">
        <v>1267</v>
      </c>
      <c r="AQ910" s="204"/>
      <c r="AR910" s="204"/>
      <c r="AS910" s="197"/>
      <c r="AT910" s="162"/>
      <c r="AU910" s="162"/>
      <c r="AV910" s="173"/>
      <c r="AW910" s="203">
        <v>270</v>
      </c>
      <c r="AX910" s="126">
        <f t="shared" si="1164"/>
        <v>288.46153846153845</v>
      </c>
      <c r="AY910" s="163"/>
      <c r="AZ910" s="19"/>
      <c r="BB910" s="168">
        <f t="shared" si="1165"/>
        <v>1282.051282051282</v>
      </c>
      <c r="BC910" s="168">
        <f t="shared" si="1166"/>
        <v>769.23076923076917</v>
      </c>
      <c r="BD910" s="168">
        <f t="shared" si="1167"/>
        <v>641.02564102564099</v>
      </c>
      <c r="BE910" s="168">
        <f t="shared" si="1168"/>
        <v>512.82051282051282</v>
      </c>
    </row>
    <row r="911" spans="1:57" s="129" customFormat="1" hidden="1">
      <c r="A911" s="88" t="s">
        <v>1276</v>
      </c>
      <c r="B911" s="88" t="s">
        <v>1846</v>
      </c>
      <c r="C911" s="88" t="s">
        <v>1318</v>
      </c>
      <c r="D911" s="88" t="s">
        <v>1102</v>
      </c>
      <c r="E911" s="91" t="s">
        <v>1844</v>
      </c>
      <c r="F911" s="90" t="s">
        <v>2207</v>
      </c>
      <c r="G911" s="92" t="s">
        <v>2641</v>
      </c>
      <c r="H911" s="92" t="s">
        <v>3255</v>
      </c>
      <c r="I911" s="132" t="s">
        <v>1913</v>
      </c>
      <c r="J911" s="132" t="str">
        <f>_xlfn.XLOOKUP(I911,[1]Sheet1!$A:$A,[1]Sheet1!$B:$B,"")</f>
        <v>U1403040</v>
      </c>
      <c r="K911" s="91" t="s">
        <v>2032</v>
      </c>
      <c r="L911" s="89" t="s">
        <v>2152</v>
      </c>
      <c r="M911" s="92"/>
      <c r="N911" s="91" t="s">
        <v>1223</v>
      </c>
      <c r="O911" s="131"/>
      <c r="P911" s="90" t="s">
        <v>2206</v>
      </c>
      <c r="Q911" s="131"/>
      <c r="R911" s="131"/>
      <c r="S911" s="92"/>
      <c r="T911" s="131">
        <v>9403208000</v>
      </c>
      <c r="U911" s="155">
        <v>0</v>
      </c>
      <c r="V911" s="131">
        <v>45</v>
      </c>
      <c r="W911" s="131">
        <v>45</v>
      </c>
      <c r="X911" s="131"/>
      <c r="Y911" s="131" t="s">
        <v>2436</v>
      </c>
      <c r="Z911" s="133">
        <f t="shared" si="1170"/>
        <v>489.2573900504687</v>
      </c>
      <c r="AA911" s="133"/>
      <c r="AB911" s="161">
        <f t="shared" si="1171"/>
        <v>413.10541310541316</v>
      </c>
      <c r="AC911" s="161"/>
      <c r="AD911" s="213">
        <f t="shared" si="1163"/>
        <v>0.05</v>
      </c>
      <c r="AE911" s="213">
        <v>0.05</v>
      </c>
      <c r="AF911" s="219">
        <v>0.25</v>
      </c>
      <c r="AG911" s="218" t="s">
        <v>9</v>
      </c>
      <c r="AH911" s="148">
        <f t="shared" si="1162"/>
        <v>413.10541310541316</v>
      </c>
      <c r="AI911" s="206">
        <f t="shared" si="1172"/>
        <v>0.25</v>
      </c>
      <c r="AJ911" s="444"/>
      <c r="AK911" s="150">
        <f t="shared" si="1169"/>
        <v>357.15789473684214</v>
      </c>
      <c r="AL911" s="202">
        <f t="shared" si="1173"/>
        <v>326.13585245164199</v>
      </c>
      <c r="AM911" s="208">
        <f t="shared" si="1174"/>
        <v>0.27</v>
      </c>
      <c r="AN911" s="208">
        <f t="shared" si="1175"/>
        <v>0.21052631578947367</v>
      </c>
      <c r="AP911" s="170" t="s">
        <v>1267</v>
      </c>
      <c r="AQ911" s="204"/>
      <c r="AR911" s="204"/>
      <c r="AS911" s="197"/>
      <c r="AT911" s="162"/>
      <c r="AU911" s="162"/>
      <c r="AV911" s="173"/>
      <c r="AW911" s="203">
        <v>290</v>
      </c>
      <c r="AX911" s="126">
        <f t="shared" si="1164"/>
        <v>309.82905982905987</v>
      </c>
      <c r="AY911" s="163"/>
      <c r="AZ911" s="19"/>
      <c r="BB911" s="168">
        <f t="shared" si="1165"/>
        <v>1377.0180436847106</v>
      </c>
      <c r="BC911" s="168">
        <f t="shared" si="1166"/>
        <v>826.21082621082633</v>
      </c>
      <c r="BD911" s="168">
        <f t="shared" si="1167"/>
        <v>688.50902184235531</v>
      </c>
      <c r="BE911" s="168">
        <f t="shared" si="1168"/>
        <v>550.80721747388429</v>
      </c>
    </row>
    <row r="912" spans="1:57" s="129" customFormat="1" hidden="1">
      <c r="A912" s="88" t="s">
        <v>1276</v>
      </c>
      <c r="B912" s="88" t="s">
        <v>1846</v>
      </c>
      <c r="C912" s="88" t="s">
        <v>1318</v>
      </c>
      <c r="D912" s="88" t="s">
        <v>1102</v>
      </c>
      <c r="E912" s="91" t="s">
        <v>1844</v>
      </c>
      <c r="F912" s="90" t="s">
        <v>2207</v>
      </c>
      <c r="G912" s="92" t="s">
        <v>2640</v>
      </c>
      <c r="H912" s="92" t="s">
        <v>3256</v>
      </c>
      <c r="I912" s="132" t="s">
        <v>1914</v>
      </c>
      <c r="J912" s="132" t="str">
        <f>_xlfn.XLOOKUP(I912,[1]Sheet1!$A:$A,[1]Sheet1!$B:$B,"")</f>
        <v>U1403041</v>
      </c>
      <c r="K912" s="91" t="s">
        <v>2033</v>
      </c>
      <c r="L912" s="89" t="s">
        <v>2153</v>
      </c>
      <c r="M912" s="92"/>
      <c r="N912" s="91" t="s">
        <v>1223</v>
      </c>
      <c r="O912" s="131"/>
      <c r="P912" s="90" t="s">
        <v>2206</v>
      </c>
      <c r="Q912" s="131"/>
      <c r="R912" s="131"/>
      <c r="S912" s="92"/>
      <c r="T912" s="131">
        <v>9403208000</v>
      </c>
      <c r="U912" s="155">
        <v>0</v>
      </c>
      <c r="V912" s="131">
        <v>45</v>
      </c>
      <c r="W912" s="131">
        <v>45</v>
      </c>
      <c r="X912" s="131"/>
      <c r="Y912" s="131" t="s">
        <v>2436</v>
      </c>
      <c r="Z912" s="133">
        <f t="shared" si="1170"/>
        <v>497.69286229271813</v>
      </c>
      <c r="AA912" s="133"/>
      <c r="AB912" s="161">
        <f t="shared" si="1171"/>
        <v>420.22792022792027</v>
      </c>
      <c r="AC912" s="161"/>
      <c r="AD912" s="213">
        <f t="shared" si="1163"/>
        <v>0.05</v>
      </c>
      <c r="AE912" s="213">
        <v>0.05</v>
      </c>
      <c r="AF912" s="219">
        <v>0.25</v>
      </c>
      <c r="AG912" s="218" t="s">
        <v>9</v>
      </c>
      <c r="AH912" s="148">
        <f t="shared" si="1162"/>
        <v>420.22792022792027</v>
      </c>
      <c r="AI912" s="206">
        <f t="shared" si="1172"/>
        <v>0.25</v>
      </c>
      <c r="AJ912" s="444"/>
      <c r="AK912" s="150">
        <f t="shared" si="1169"/>
        <v>363.31578947368422</v>
      </c>
      <c r="AL912" s="202">
        <f t="shared" si="1173"/>
        <v>331.75888439046338</v>
      </c>
      <c r="AM912" s="208">
        <f t="shared" si="1174"/>
        <v>0.27</v>
      </c>
      <c r="AN912" s="208">
        <f t="shared" si="1175"/>
        <v>0.21052631578947367</v>
      </c>
      <c r="AP912" s="170" t="s">
        <v>1267</v>
      </c>
      <c r="AQ912" s="204"/>
      <c r="AR912" s="204"/>
      <c r="AS912" s="197"/>
      <c r="AT912" s="162"/>
      <c r="AU912" s="162"/>
      <c r="AV912" s="173"/>
      <c r="AW912" s="203">
        <v>295</v>
      </c>
      <c r="AX912" s="126">
        <f t="shared" si="1164"/>
        <v>315.17094017094018</v>
      </c>
      <c r="AY912" s="163"/>
      <c r="AZ912" s="19"/>
      <c r="BB912" s="168">
        <f t="shared" si="1165"/>
        <v>1400.7597340930677</v>
      </c>
      <c r="BC912" s="168">
        <f t="shared" si="1166"/>
        <v>840.45584045584053</v>
      </c>
      <c r="BD912" s="168">
        <f t="shared" si="1167"/>
        <v>700.37986704653383</v>
      </c>
      <c r="BE912" s="168">
        <f t="shared" si="1168"/>
        <v>560.30389363722713</v>
      </c>
    </row>
    <row r="913" spans="1:57" s="129" customFormat="1" hidden="1">
      <c r="A913" s="88" t="s">
        <v>1276</v>
      </c>
      <c r="B913" s="88" t="s">
        <v>1846</v>
      </c>
      <c r="C913" s="88" t="s">
        <v>1318</v>
      </c>
      <c r="D913" s="88" t="s">
        <v>1102</v>
      </c>
      <c r="E913" s="91" t="s">
        <v>1844</v>
      </c>
      <c r="F913" s="90" t="s">
        <v>2207</v>
      </c>
      <c r="G913" s="92" t="s">
        <v>2636</v>
      </c>
      <c r="H913" s="92" t="s">
        <v>3261</v>
      </c>
      <c r="I913" s="132" t="s">
        <v>1915</v>
      </c>
      <c r="J913" s="132" t="str">
        <f>_xlfn.XLOOKUP(I913,[1]Sheet1!$A:$A,[1]Sheet1!$B:$B,"")</f>
        <v>U1403042</v>
      </c>
      <c r="K913" s="91" t="s">
        <v>2034</v>
      </c>
      <c r="L913" s="89" t="s">
        <v>2154</v>
      </c>
      <c r="M913" s="92"/>
      <c r="N913" s="91" t="s">
        <v>1223</v>
      </c>
      <c r="O913" s="131"/>
      <c r="P913" s="90" t="s">
        <v>2206</v>
      </c>
      <c r="Q913" s="131"/>
      <c r="R913" s="131"/>
      <c r="S913" s="92"/>
      <c r="T913" s="131">
        <v>9403208000</v>
      </c>
      <c r="U913" s="155">
        <v>0</v>
      </c>
      <c r="V913" s="131">
        <v>45</v>
      </c>
      <c r="W913" s="131">
        <v>45</v>
      </c>
      <c r="X913" s="131"/>
      <c r="Y913" s="131" t="s">
        <v>2436</v>
      </c>
      <c r="Z913" s="133">
        <f t="shared" si="1170"/>
        <v>345.85436193222785</v>
      </c>
      <c r="AA913" s="133"/>
      <c r="AB913" s="161">
        <f t="shared" si="1171"/>
        <v>292.02279202279209</v>
      </c>
      <c r="AC913" s="161"/>
      <c r="AD913" s="213">
        <f t="shared" si="1163"/>
        <v>0.05</v>
      </c>
      <c r="AE913" s="213">
        <v>0.05</v>
      </c>
      <c r="AF913" s="219">
        <v>0.25</v>
      </c>
      <c r="AG913" s="218" t="s">
        <v>9</v>
      </c>
      <c r="AH913" s="148">
        <f t="shared" si="1162"/>
        <v>292.02279202279209</v>
      </c>
      <c r="AI913" s="206">
        <f t="shared" si="1172"/>
        <v>0.25</v>
      </c>
      <c r="AJ913" s="444"/>
      <c r="AK913" s="150">
        <f t="shared" si="1169"/>
        <v>252.47368421052633</v>
      </c>
      <c r="AL913" s="202">
        <f t="shared" si="1173"/>
        <v>230.54430949167795</v>
      </c>
      <c r="AM913" s="208">
        <f t="shared" si="1174"/>
        <v>0.27</v>
      </c>
      <c r="AN913" s="208">
        <f t="shared" si="1175"/>
        <v>0.21052631578947378</v>
      </c>
      <c r="AP913" s="170" t="s">
        <v>1267</v>
      </c>
      <c r="AQ913" s="204"/>
      <c r="AR913" s="204"/>
      <c r="AS913" s="197"/>
      <c r="AT913" s="162"/>
      <c r="AU913" s="162"/>
      <c r="AV913" s="173"/>
      <c r="AW913" s="203">
        <v>205</v>
      </c>
      <c r="AX913" s="126">
        <f t="shared" si="1164"/>
        <v>219.01709401709405</v>
      </c>
      <c r="AY913" s="163"/>
      <c r="AZ913" s="19"/>
      <c r="BB913" s="168">
        <f t="shared" si="1165"/>
        <v>973.4093067426403</v>
      </c>
      <c r="BC913" s="168">
        <f t="shared" si="1166"/>
        <v>584.04558404558418</v>
      </c>
      <c r="BD913" s="168">
        <f t="shared" si="1167"/>
        <v>486.70465337132015</v>
      </c>
      <c r="BE913" s="168">
        <f t="shared" si="1168"/>
        <v>389.36372269705612</v>
      </c>
    </row>
    <row r="914" spans="1:57" s="129" customFormat="1" hidden="1">
      <c r="A914" s="88" t="s">
        <v>1276</v>
      </c>
      <c r="B914" s="88" t="s">
        <v>1846</v>
      </c>
      <c r="C914" s="88" t="s">
        <v>1318</v>
      </c>
      <c r="D914" s="88" t="s">
        <v>1102</v>
      </c>
      <c r="E914" s="91" t="s">
        <v>1844</v>
      </c>
      <c r="F914" s="90" t="s">
        <v>2207</v>
      </c>
      <c r="G914" s="92" t="s">
        <v>2637</v>
      </c>
      <c r="H914" s="92" t="s">
        <v>3254</v>
      </c>
      <c r="I914" s="132" t="s">
        <v>1916</v>
      </c>
      <c r="J914" s="132" t="str">
        <f>_xlfn.XLOOKUP(I914,[1]Sheet1!$A:$A,[1]Sheet1!$B:$B,"")</f>
        <v>U1403043</v>
      </c>
      <c r="K914" s="91" t="s">
        <v>2035</v>
      </c>
      <c r="L914" s="89" t="s">
        <v>2155</v>
      </c>
      <c r="M914" s="92"/>
      <c r="N914" s="91" t="s">
        <v>1223</v>
      </c>
      <c r="O914" s="131"/>
      <c r="P914" s="90" t="s">
        <v>2206</v>
      </c>
      <c r="Q914" s="131"/>
      <c r="R914" s="131"/>
      <c r="S914" s="92"/>
      <c r="T914" s="131">
        <v>9403208000</v>
      </c>
      <c r="U914" s="155">
        <v>0</v>
      </c>
      <c r="V914" s="131">
        <v>45</v>
      </c>
      <c r="W914" s="131">
        <v>45</v>
      </c>
      <c r="X914" s="131"/>
      <c r="Y914" s="131" t="s">
        <v>2436</v>
      </c>
      <c r="Z914" s="133">
        <f t="shared" si="1170"/>
        <v>362.72530641672677</v>
      </c>
      <c r="AA914" s="133"/>
      <c r="AB914" s="161">
        <f t="shared" si="1171"/>
        <v>306.26780626780629</v>
      </c>
      <c r="AC914" s="161"/>
      <c r="AD914" s="213">
        <f t="shared" si="1163"/>
        <v>0.05</v>
      </c>
      <c r="AE914" s="213">
        <v>0.05</v>
      </c>
      <c r="AF914" s="219">
        <v>0.25</v>
      </c>
      <c r="AG914" s="218" t="s">
        <v>9</v>
      </c>
      <c r="AH914" s="148">
        <f t="shared" si="1162"/>
        <v>306.26780626780629</v>
      </c>
      <c r="AI914" s="206">
        <f t="shared" si="1172"/>
        <v>0.25</v>
      </c>
      <c r="AJ914" s="444"/>
      <c r="AK914" s="150">
        <f t="shared" si="1169"/>
        <v>264.78947368421052</v>
      </c>
      <c r="AL914" s="202">
        <f t="shared" si="1173"/>
        <v>241.79037336932078</v>
      </c>
      <c r="AM914" s="208">
        <f t="shared" si="1174"/>
        <v>0.27</v>
      </c>
      <c r="AN914" s="208">
        <f t="shared" si="1175"/>
        <v>0.21052631578947367</v>
      </c>
      <c r="AP914" s="170" t="s">
        <v>1267</v>
      </c>
      <c r="AQ914" s="204"/>
      <c r="AR914" s="204"/>
      <c r="AS914" s="197"/>
      <c r="AT914" s="162"/>
      <c r="AU914" s="162"/>
      <c r="AV914" s="173"/>
      <c r="AW914" s="203">
        <v>215</v>
      </c>
      <c r="AX914" s="126">
        <f t="shared" si="1164"/>
        <v>229.70085470085473</v>
      </c>
      <c r="AY914" s="163"/>
      <c r="AZ914" s="19"/>
      <c r="BB914" s="168">
        <f t="shared" si="1165"/>
        <v>1020.8926875593544</v>
      </c>
      <c r="BC914" s="168">
        <f t="shared" si="1166"/>
        <v>612.53561253561259</v>
      </c>
      <c r="BD914" s="168">
        <f t="shared" si="1167"/>
        <v>510.44634377967719</v>
      </c>
      <c r="BE914" s="168">
        <f t="shared" si="1168"/>
        <v>408.3570750237418</v>
      </c>
    </row>
    <row r="915" spans="1:57" s="129" customFormat="1" hidden="1">
      <c r="A915" s="88" t="s">
        <v>1276</v>
      </c>
      <c r="B915" s="88" t="s">
        <v>1846</v>
      </c>
      <c r="C915" s="88" t="s">
        <v>1318</v>
      </c>
      <c r="D915" s="88" t="s">
        <v>1102</v>
      </c>
      <c r="E915" s="91" t="s">
        <v>1844</v>
      </c>
      <c r="F915" s="90" t="s">
        <v>2207</v>
      </c>
      <c r="G915" s="92" t="s">
        <v>2638</v>
      </c>
      <c r="H915" s="92" t="s">
        <v>3254</v>
      </c>
      <c r="I915" s="132" t="s">
        <v>1917</v>
      </c>
      <c r="J915" s="132" t="str">
        <f>_xlfn.XLOOKUP(I915,[1]Sheet1!$A:$A,[1]Sheet1!$B:$B,"")</f>
        <v>U1403044</v>
      </c>
      <c r="K915" s="91" t="s">
        <v>2036</v>
      </c>
      <c r="L915" s="89" t="s">
        <v>2156</v>
      </c>
      <c r="M915" s="92"/>
      <c r="N915" s="91" t="s">
        <v>1223</v>
      </c>
      <c r="O915" s="131"/>
      <c r="P915" s="90" t="s">
        <v>2206</v>
      </c>
      <c r="Q915" s="131"/>
      <c r="R915" s="131"/>
      <c r="S915" s="92"/>
      <c r="T915" s="131">
        <v>9403208000</v>
      </c>
      <c r="U915" s="155">
        <v>0</v>
      </c>
      <c r="V915" s="131">
        <v>45</v>
      </c>
      <c r="W915" s="131">
        <v>45</v>
      </c>
      <c r="X915" s="131"/>
      <c r="Y915" s="131" t="s">
        <v>2436</v>
      </c>
      <c r="Z915" s="133">
        <f t="shared" si="1170"/>
        <v>379.59625090122569</v>
      </c>
      <c r="AA915" s="133"/>
      <c r="AB915" s="161">
        <f t="shared" si="1171"/>
        <v>320.51282051282055</v>
      </c>
      <c r="AC915" s="161"/>
      <c r="AD915" s="213">
        <f t="shared" si="1163"/>
        <v>0.05</v>
      </c>
      <c r="AE915" s="213">
        <v>0.05</v>
      </c>
      <c r="AF915" s="219">
        <v>0.25</v>
      </c>
      <c r="AG915" s="218" t="s">
        <v>9</v>
      </c>
      <c r="AH915" s="148">
        <f t="shared" si="1162"/>
        <v>320.51282051282055</v>
      </c>
      <c r="AI915" s="206">
        <f t="shared" si="1172"/>
        <v>0.25</v>
      </c>
      <c r="AJ915" s="444"/>
      <c r="AK915" s="150">
        <f t="shared" si="1169"/>
        <v>277.10526315789474</v>
      </c>
      <c r="AL915" s="202">
        <f t="shared" si="1173"/>
        <v>253.0364372469636</v>
      </c>
      <c r="AM915" s="208">
        <f t="shared" si="1174"/>
        <v>0.27</v>
      </c>
      <c r="AN915" s="208">
        <f t="shared" si="1175"/>
        <v>0.21052631578947367</v>
      </c>
      <c r="AP915" s="170" t="s">
        <v>1267</v>
      </c>
      <c r="AQ915" s="204"/>
      <c r="AR915" s="204"/>
      <c r="AS915" s="197"/>
      <c r="AT915" s="162"/>
      <c r="AU915" s="162"/>
      <c r="AV915" s="173"/>
      <c r="AW915" s="203">
        <v>225</v>
      </c>
      <c r="AX915" s="126">
        <f t="shared" si="1164"/>
        <v>240.38461538461542</v>
      </c>
      <c r="AY915" s="163"/>
      <c r="AZ915" s="19"/>
      <c r="BB915" s="168">
        <f t="shared" si="1165"/>
        <v>1068.3760683760686</v>
      </c>
      <c r="BC915" s="168">
        <f t="shared" si="1166"/>
        <v>641.02564102564111</v>
      </c>
      <c r="BD915" s="168">
        <f t="shared" si="1167"/>
        <v>534.18803418803429</v>
      </c>
      <c r="BE915" s="168">
        <f t="shared" si="1168"/>
        <v>427.35042735042748</v>
      </c>
    </row>
    <row r="916" spans="1:57" s="129" customFormat="1" hidden="1">
      <c r="A916" s="88" t="s">
        <v>1276</v>
      </c>
      <c r="B916" s="88" t="s">
        <v>1846</v>
      </c>
      <c r="C916" s="88" t="s">
        <v>1318</v>
      </c>
      <c r="D916" s="88" t="s">
        <v>1102</v>
      </c>
      <c r="E916" s="91" t="s">
        <v>1844</v>
      </c>
      <c r="F916" s="90" t="s">
        <v>2207</v>
      </c>
      <c r="G916" s="92" t="s">
        <v>2639</v>
      </c>
      <c r="H916" s="92" t="s">
        <v>3254</v>
      </c>
      <c r="I916" s="132" t="s">
        <v>1918</v>
      </c>
      <c r="J916" s="132" t="str">
        <f>_xlfn.XLOOKUP(I916,[1]Sheet1!$A:$A,[1]Sheet1!$B:$B,"")</f>
        <v>U1403045</v>
      </c>
      <c r="K916" s="91" t="s">
        <v>2037</v>
      </c>
      <c r="L916" s="89" t="s">
        <v>2157</v>
      </c>
      <c r="M916" s="92"/>
      <c r="N916" s="91" t="s">
        <v>1223</v>
      </c>
      <c r="O916" s="131"/>
      <c r="P916" s="90" t="s">
        <v>2206</v>
      </c>
      <c r="Q916" s="131"/>
      <c r="R916" s="131"/>
      <c r="S916" s="92"/>
      <c r="T916" s="131">
        <v>9403208000</v>
      </c>
      <c r="U916" s="155">
        <v>0</v>
      </c>
      <c r="V916" s="131">
        <v>45</v>
      </c>
      <c r="W916" s="131">
        <v>45</v>
      </c>
      <c r="X916" s="131"/>
      <c r="Y916" s="131" t="s">
        <v>2436</v>
      </c>
      <c r="Z916" s="133">
        <f t="shared" si="1170"/>
        <v>421.77361211247296</v>
      </c>
      <c r="AA916" s="133"/>
      <c r="AB916" s="161">
        <f t="shared" si="1171"/>
        <v>356.12535612535612</v>
      </c>
      <c r="AC916" s="161"/>
      <c r="AD916" s="213">
        <f t="shared" si="1163"/>
        <v>0.05</v>
      </c>
      <c r="AE916" s="213">
        <v>0.05</v>
      </c>
      <c r="AF916" s="219">
        <v>0.25</v>
      </c>
      <c r="AG916" s="218" t="s">
        <v>9</v>
      </c>
      <c r="AH916" s="148">
        <f t="shared" si="1162"/>
        <v>356.12535612535612</v>
      </c>
      <c r="AI916" s="206">
        <f t="shared" si="1172"/>
        <v>0.25</v>
      </c>
      <c r="AJ916" s="444"/>
      <c r="AK916" s="150">
        <f t="shared" si="1169"/>
        <v>307.89473684210526</v>
      </c>
      <c r="AL916" s="202">
        <f t="shared" si="1173"/>
        <v>281.15159694107064</v>
      </c>
      <c r="AM916" s="208">
        <f t="shared" si="1174"/>
        <v>0.27</v>
      </c>
      <c r="AN916" s="208">
        <f t="shared" si="1175"/>
        <v>0.21052631578947367</v>
      </c>
      <c r="AP916" s="170" t="s">
        <v>1267</v>
      </c>
      <c r="AQ916" s="204"/>
      <c r="AR916" s="204"/>
      <c r="AS916" s="197"/>
      <c r="AT916" s="162"/>
      <c r="AU916" s="162"/>
      <c r="AV916" s="173"/>
      <c r="AW916" s="203">
        <v>250</v>
      </c>
      <c r="AX916" s="126">
        <f t="shared" si="1164"/>
        <v>267.09401709401709</v>
      </c>
      <c r="AY916" s="163"/>
      <c r="AZ916" s="19"/>
      <c r="BB916" s="168">
        <f t="shared" si="1165"/>
        <v>1187.0845204178538</v>
      </c>
      <c r="BC916" s="168">
        <f t="shared" si="1166"/>
        <v>712.25071225071224</v>
      </c>
      <c r="BD916" s="168">
        <f t="shared" si="1167"/>
        <v>593.5422602089269</v>
      </c>
      <c r="BE916" s="168">
        <f t="shared" si="1168"/>
        <v>474.83380816714157</v>
      </c>
    </row>
    <row r="917" spans="1:57" s="129" customFormat="1" hidden="1">
      <c r="A917" s="88" t="s">
        <v>1276</v>
      </c>
      <c r="B917" s="88" t="s">
        <v>1846</v>
      </c>
      <c r="C917" s="88" t="s">
        <v>1318</v>
      </c>
      <c r="D917" s="88" t="s">
        <v>1102</v>
      </c>
      <c r="E917" s="91" t="s">
        <v>1844</v>
      </c>
      <c r="F917" s="90" t="s">
        <v>2207</v>
      </c>
      <c r="G917" s="92" t="s">
        <v>2640</v>
      </c>
      <c r="H917" s="92" t="s">
        <v>3254</v>
      </c>
      <c r="I917" s="132" t="s">
        <v>1919</v>
      </c>
      <c r="J917" s="132" t="str">
        <f>_xlfn.XLOOKUP(I917,[1]Sheet1!$A:$A,[1]Sheet1!$B:$B,"")</f>
        <v>U1403046</v>
      </c>
      <c r="K917" s="91" t="s">
        <v>2038</v>
      </c>
      <c r="L917" s="89" t="s">
        <v>2158</v>
      </c>
      <c r="M917" s="92"/>
      <c r="N917" s="91" t="s">
        <v>1223</v>
      </c>
      <c r="O917" s="131"/>
      <c r="P917" s="90" t="s">
        <v>2206</v>
      </c>
      <c r="Q917" s="131"/>
      <c r="R917" s="131"/>
      <c r="S917" s="92"/>
      <c r="T917" s="131">
        <v>9403208000</v>
      </c>
      <c r="U917" s="155">
        <v>0</v>
      </c>
      <c r="V917" s="131">
        <v>45</v>
      </c>
      <c r="W917" s="131">
        <v>45</v>
      </c>
      <c r="X917" s="131"/>
      <c r="Y917" s="131" t="s">
        <v>2436</v>
      </c>
      <c r="Z917" s="133">
        <f t="shared" si="1170"/>
        <v>472.38644556596978</v>
      </c>
      <c r="AA917" s="133"/>
      <c r="AB917" s="161">
        <f t="shared" si="1171"/>
        <v>398.86039886039885</v>
      </c>
      <c r="AC917" s="161"/>
      <c r="AD917" s="213">
        <f t="shared" si="1163"/>
        <v>0.05</v>
      </c>
      <c r="AE917" s="213">
        <v>0.05</v>
      </c>
      <c r="AF917" s="219">
        <v>0.25</v>
      </c>
      <c r="AG917" s="218" t="s">
        <v>9</v>
      </c>
      <c r="AH917" s="148">
        <f t="shared" si="1162"/>
        <v>398.86039886039885</v>
      </c>
      <c r="AI917" s="206">
        <f t="shared" si="1172"/>
        <v>0.25</v>
      </c>
      <c r="AJ917" s="444"/>
      <c r="AK917" s="150">
        <f t="shared" si="1169"/>
        <v>344.84210526315792</v>
      </c>
      <c r="AL917" s="202">
        <f t="shared" si="1173"/>
        <v>314.88978857399911</v>
      </c>
      <c r="AM917" s="208">
        <f t="shared" si="1174"/>
        <v>0.27</v>
      </c>
      <c r="AN917" s="208">
        <f t="shared" si="1175"/>
        <v>0.21052631578947367</v>
      </c>
      <c r="AP917" s="170" t="s">
        <v>1267</v>
      </c>
      <c r="AQ917" s="204"/>
      <c r="AR917" s="204"/>
      <c r="AS917" s="197"/>
      <c r="AT917" s="162"/>
      <c r="AU917" s="162"/>
      <c r="AV917" s="173"/>
      <c r="AW917" s="203">
        <v>280</v>
      </c>
      <c r="AX917" s="126">
        <f t="shared" si="1164"/>
        <v>299.14529914529913</v>
      </c>
      <c r="AY917" s="163"/>
      <c r="AZ917" s="19"/>
      <c r="BB917" s="168">
        <f t="shared" si="1165"/>
        <v>1329.5346628679963</v>
      </c>
      <c r="BC917" s="168">
        <f t="shared" si="1166"/>
        <v>797.7207977207978</v>
      </c>
      <c r="BD917" s="168">
        <f t="shared" si="1167"/>
        <v>664.76733143399815</v>
      </c>
      <c r="BE917" s="168">
        <f t="shared" si="1168"/>
        <v>531.8138651471985</v>
      </c>
    </row>
    <row r="918" spans="1:57" s="129" customFormat="1" hidden="1">
      <c r="A918" s="88" t="s">
        <v>1276</v>
      </c>
      <c r="B918" s="88" t="s">
        <v>1846</v>
      </c>
      <c r="C918" s="88" t="s">
        <v>1318</v>
      </c>
      <c r="D918" s="88" t="s">
        <v>1102</v>
      </c>
      <c r="E918" s="91" t="s">
        <v>1844</v>
      </c>
      <c r="F918" s="90" t="s">
        <v>2207</v>
      </c>
      <c r="G918" s="92" t="s">
        <v>2636</v>
      </c>
      <c r="H918" s="92" t="s">
        <v>3255</v>
      </c>
      <c r="I918" s="132" t="s">
        <v>1920</v>
      </c>
      <c r="J918" s="132" t="str">
        <f>_xlfn.XLOOKUP(I918,[1]Sheet1!$A:$A,[1]Sheet1!$B:$B,"")</f>
        <v>U1403047</v>
      </c>
      <c r="K918" s="91" t="s">
        <v>2039</v>
      </c>
      <c r="L918" s="89" t="s">
        <v>2159</v>
      </c>
      <c r="M918" s="92"/>
      <c r="N918" s="91" t="s">
        <v>1223</v>
      </c>
      <c r="O918" s="131"/>
      <c r="P918" s="90" t="s">
        <v>2206</v>
      </c>
      <c r="Q918" s="131"/>
      <c r="R918" s="131"/>
      <c r="S918" s="92"/>
      <c r="T918" s="131">
        <v>9403208000</v>
      </c>
      <c r="U918" s="155">
        <v>0</v>
      </c>
      <c r="V918" s="131">
        <v>45</v>
      </c>
      <c r="W918" s="131">
        <v>45</v>
      </c>
      <c r="X918" s="131"/>
      <c r="Y918" s="131" t="s">
        <v>2436</v>
      </c>
      <c r="Z918" s="133">
        <f t="shared" si="1170"/>
        <v>371.16077865897626</v>
      </c>
      <c r="AA918" s="133"/>
      <c r="AB918" s="161">
        <f t="shared" si="1171"/>
        <v>313.39031339031339</v>
      </c>
      <c r="AC918" s="161"/>
      <c r="AD918" s="213">
        <f t="shared" si="1163"/>
        <v>0.05</v>
      </c>
      <c r="AE918" s="213">
        <v>0.05</v>
      </c>
      <c r="AF918" s="219">
        <v>0.25</v>
      </c>
      <c r="AG918" s="218" t="s">
        <v>9</v>
      </c>
      <c r="AH918" s="148">
        <f t="shared" si="1162"/>
        <v>313.39031339031339</v>
      </c>
      <c r="AI918" s="206">
        <f t="shared" si="1172"/>
        <v>0.25</v>
      </c>
      <c r="AJ918" s="444"/>
      <c r="AK918" s="150">
        <f t="shared" si="1169"/>
        <v>270.94736842105266</v>
      </c>
      <c r="AL918" s="202">
        <f t="shared" si="1173"/>
        <v>247.41340530814216</v>
      </c>
      <c r="AM918" s="208">
        <f t="shared" si="1174"/>
        <v>0.27</v>
      </c>
      <c r="AN918" s="208">
        <f t="shared" si="1175"/>
        <v>0.21052631578947367</v>
      </c>
      <c r="AP918" s="170" t="s">
        <v>1267</v>
      </c>
      <c r="AQ918" s="204"/>
      <c r="AR918" s="204"/>
      <c r="AS918" s="197"/>
      <c r="AT918" s="162"/>
      <c r="AU918" s="162"/>
      <c r="AV918" s="173"/>
      <c r="AW918" s="203">
        <v>220</v>
      </c>
      <c r="AX918" s="126">
        <f t="shared" si="1164"/>
        <v>235.04273504273505</v>
      </c>
      <c r="AY918" s="163"/>
      <c r="AZ918" s="19"/>
      <c r="BB918" s="168">
        <f t="shared" si="1165"/>
        <v>1044.6343779677113</v>
      </c>
      <c r="BC918" s="168">
        <f t="shared" si="1166"/>
        <v>626.78062678062679</v>
      </c>
      <c r="BD918" s="168">
        <f t="shared" si="1167"/>
        <v>522.31718898385566</v>
      </c>
      <c r="BE918" s="168">
        <f t="shared" si="1168"/>
        <v>417.85375118708453</v>
      </c>
    </row>
    <row r="919" spans="1:57" s="129" customFormat="1" hidden="1">
      <c r="A919" s="88" t="s">
        <v>1276</v>
      </c>
      <c r="B919" s="88" t="s">
        <v>1846</v>
      </c>
      <c r="C919" s="88" t="s">
        <v>1318</v>
      </c>
      <c r="D919" s="88" t="s">
        <v>1102</v>
      </c>
      <c r="E919" s="91" t="s">
        <v>1844</v>
      </c>
      <c r="F919" s="90" t="s">
        <v>2207</v>
      </c>
      <c r="G919" s="92" t="s">
        <v>2638</v>
      </c>
      <c r="H919" s="92" t="s">
        <v>3255</v>
      </c>
      <c r="I919" s="132" t="s">
        <v>1921</v>
      </c>
      <c r="J919" s="132" t="str">
        <f>_xlfn.XLOOKUP(I919,[1]Sheet1!$A:$A,[1]Sheet1!$B:$B,"")</f>
        <v>U1403048</v>
      </c>
      <c r="K919" s="91" t="s">
        <v>2040</v>
      </c>
      <c r="L919" s="89" t="s">
        <v>2160</v>
      </c>
      <c r="M919" s="92"/>
      <c r="N919" s="91" t="s">
        <v>1223</v>
      </c>
      <c r="O919" s="131"/>
      <c r="P919" s="90" t="s">
        <v>2206</v>
      </c>
      <c r="Q919" s="131"/>
      <c r="R919" s="131"/>
      <c r="S919" s="92"/>
      <c r="T919" s="131">
        <v>9403208000</v>
      </c>
      <c r="U919" s="155">
        <v>0</v>
      </c>
      <c r="V919" s="131">
        <v>45</v>
      </c>
      <c r="W919" s="131">
        <v>45</v>
      </c>
      <c r="X919" s="131"/>
      <c r="Y919" s="131" t="s">
        <v>2436</v>
      </c>
      <c r="Z919" s="133">
        <f t="shared" si="1170"/>
        <v>404.90266762797404</v>
      </c>
      <c r="AA919" s="133"/>
      <c r="AB919" s="161">
        <f t="shared" si="1171"/>
        <v>341.88034188034186</v>
      </c>
      <c r="AC919" s="161"/>
      <c r="AD919" s="213">
        <f t="shared" si="1163"/>
        <v>0.05</v>
      </c>
      <c r="AE919" s="213">
        <v>0.05</v>
      </c>
      <c r="AF919" s="219">
        <v>0.25</v>
      </c>
      <c r="AG919" s="218" t="s">
        <v>9</v>
      </c>
      <c r="AH919" s="148">
        <f t="shared" si="1162"/>
        <v>341.88034188034186</v>
      </c>
      <c r="AI919" s="206">
        <f t="shared" si="1172"/>
        <v>0.25</v>
      </c>
      <c r="AJ919" s="444"/>
      <c r="AK919" s="150">
        <f t="shared" si="1169"/>
        <v>295.57894736842104</v>
      </c>
      <c r="AL919" s="202">
        <f t="shared" si="1173"/>
        <v>269.90553306342781</v>
      </c>
      <c r="AM919" s="208">
        <f t="shared" si="1174"/>
        <v>0.27</v>
      </c>
      <c r="AN919" s="208">
        <f t="shared" si="1175"/>
        <v>0.21052631578947356</v>
      </c>
      <c r="AP919" s="170" t="s">
        <v>1267</v>
      </c>
      <c r="AQ919" s="204"/>
      <c r="AR919" s="204"/>
      <c r="AS919" s="197"/>
      <c r="AT919" s="162"/>
      <c r="AU919" s="162"/>
      <c r="AV919" s="173"/>
      <c r="AW919" s="203">
        <v>240</v>
      </c>
      <c r="AX919" s="126">
        <f t="shared" si="1164"/>
        <v>256.41025641025641</v>
      </c>
      <c r="AY919" s="163"/>
      <c r="AZ919" s="19"/>
      <c r="BB919" s="168">
        <f t="shared" si="1165"/>
        <v>1139.6011396011395</v>
      </c>
      <c r="BC919" s="168">
        <f t="shared" si="1166"/>
        <v>683.76068376068372</v>
      </c>
      <c r="BD919" s="168">
        <f t="shared" si="1167"/>
        <v>569.80056980056975</v>
      </c>
      <c r="BE919" s="168">
        <f t="shared" si="1168"/>
        <v>455.84045584045583</v>
      </c>
    </row>
    <row r="920" spans="1:57" s="129" customFormat="1" hidden="1">
      <c r="A920" s="88" t="s">
        <v>1276</v>
      </c>
      <c r="B920" s="88" t="s">
        <v>1846</v>
      </c>
      <c r="C920" s="88" t="s">
        <v>1318</v>
      </c>
      <c r="D920" s="88" t="s">
        <v>1102</v>
      </c>
      <c r="E920" s="91" t="s">
        <v>1844</v>
      </c>
      <c r="F920" s="90" t="s">
        <v>2207</v>
      </c>
      <c r="G920" s="92" t="s">
        <v>2640</v>
      </c>
      <c r="H920" s="92" t="s">
        <v>3255</v>
      </c>
      <c r="I920" s="132" t="s">
        <v>1922</v>
      </c>
      <c r="J920" s="132" t="str">
        <f>_xlfn.XLOOKUP(I920,[1]Sheet1!$A:$A,[1]Sheet1!$B:$B,"")</f>
        <v>U1403049</v>
      </c>
      <c r="K920" s="91" t="s">
        <v>2041</v>
      </c>
      <c r="L920" s="89" t="s">
        <v>2161</v>
      </c>
      <c r="M920" s="92"/>
      <c r="N920" s="91" t="s">
        <v>1223</v>
      </c>
      <c r="O920" s="131"/>
      <c r="P920" s="90" t="s">
        <v>2206</v>
      </c>
      <c r="Q920" s="131"/>
      <c r="R920" s="131"/>
      <c r="S920" s="92"/>
      <c r="T920" s="131">
        <v>9403208000</v>
      </c>
      <c r="U920" s="155">
        <v>0</v>
      </c>
      <c r="V920" s="131">
        <v>45</v>
      </c>
      <c r="W920" s="131">
        <v>45</v>
      </c>
      <c r="X920" s="131"/>
      <c r="Y920" s="131" t="s">
        <v>2436</v>
      </c>
      <c r="Z920" s="133">
        <f t="shared" si="1170"/>
        <v>514.563806777217</v>
      </c>
      <c r="AA920" s="133"/>
      <c r="AB920" s="161">
        <f t="shared" si="1171"/>
        <v>434.47293447293447</v>
      </c>
      <c r="AC920" s="161"/>
      <c r="AD920" s="213">
        <f t="shared" si="1163"/>
        <v>0.05</v>
      </c>
      <c r="AE920" s="213">
        <v>0.05</v>
      </c>
      <c r="AF920" s="219">
        <v>0.25</v>
      </c>
      <c r="AG920" s="218" t="s">
        <v>9</v>
      </c>
      <c r="AH920" s="148">
        <f t="shared" si="1162"/>
        <v>434.47293447293447</v>
      </c>
      <c r="AI920" s="206">
        <f t="shared" si="1172"/>
        <v>0.25</v>
      </c>
      <c r="AJ920" s="444"/>
      <c r="AK920" s="150">
        <f t="shared" si="1169"/>
        <v>375.63157894736844</v>
      </c>
      <c r="AL920" s="202">
        <f t="shared" si="1173"/>
        <v>343.0049482681062</v>
      </c>
      <c r="AM920" s="208">
        <f t="shared" si="1174"/>
        <v>0.26999999999999991</v>
      </c>
      <c r="AN920" s="208">
        <f t="shared" si="1175"/>
        <v>0.21052631578947356</v>
      </c>
      <c r="AP920" s="170" t="s">
        <v>1267</v>
      </c>
      <c r="AQ920" s="204"/>
      <c r="AR920" s="204"/>
      <c r="AS920" s="197"/>
      <c r="AT920" s="162"/>
      <c r="AU920" s="162"/>
      <c r="AV920" s="173"/>
      <c r="AW920" s="203">
        <v>305</v>
      </c>
      <c r="AX920" s="126">
        <f t="shared" si="1164"/>
        <v>325.85470085470087</v>
      </c>
      <c r="AY920" s="163"/>
      <c r="AZ920" s="19"/>
      <c r="BB920" s="168">
        <f t="shared" si="1165"/>
        <v>1448.2431149097815</v>
      </c>
      <c r="BC920" s="168">
        <f t="shared" si="1166"/>
        <v>868.94586894586894</v>
      </c>
      <c r="BD920" s="168">
        <f t="shared" si="1167"/>
        <v>724.12155745489076</v>
      </c>
      <c r="BE920" s="168">
        <f t="shared" si="1168"/>
        <v>579.29724596391259</v>
      </c>
    </row>
    <row r="921" spans="1:57" s="129" customFormat="1" hidden="1">
      <c r="A921" s="88" t="s">
        <v>1276</v>
      </c>
      <c r="B921" s="88" t="s">
        <v>1846</v>
      </c>
      <c r="C921" s="88" t="s">
        <v>1318</v>
      </c>
      <c r="D921" s="88" t="s">
        <v>1102</v>
      </c>
      <c r="E921" s="91" t="s">
        <v>1844</v>
      </c>
      <c r="F921" s="90" t="s">
        <v>2207</v>
      </c>
      <c r="G921" s="92" t="s">
        <v>2641</v>
      </c>
      <c r="H921" s="92" t="s">
        <v>3255</v>
      </c>
      <c r="I921" s="132" t="s">
        <v>1923</v>
      </c>
      <c r="J921" s="132" t="str">
        <f>_xlfn.XLOOKUP(I921,[1]Sheet1!$A:$A,[1]Sheet1!$B:$B,"")</f>
        <v>U1403050</v>
      </c>
      <c r="K921" s="91" t="s">
        <v>2042</v>
      </c>
      <c r="L921" s="89" t="s">
        <v>2162</v>
      </c>
      <c r="M921" s="92"/>
      <c r="N921" s="91" t="s">
        <v>1223</v>
      </c>
      <c r="O921" s="131"/>
      <c r="P921" s="90" t="s">
        <v>2206</v>
      </c>
      <c r="Q921" s="131"/>
      <c r="R921" s="131"/>
      <c r="S921" s="92"/>
      <c r="T921" s="131">
        <v>9403208000</v>
      </c>
      <c r="U921" s="155">
        <v>0</v>
      </c>
      <c r="V921" s="131">
        <v>45</v>
      </c>
      <c r="W921" s="131">
        <v>45</v>
      </c>
      <c r="X921" s="131"/>
      <c r="Y921" s="131" t="s">
        <v>2436</v>
      </c>
      <c r="Z921" s="133">
        <f t="shared" si="1170"/>
        <v>553.36697909156464</v>
      </c>
      <c r="AA921" s="133"/>
      <c r="AB921" s="161">
        <f t="shared" si="1171"/>
        <v>467.23646723646726</v>
      </c>
      <c r="AC921" s="161"/>
      <c r="AD921" s="213">
        <f t="shared" si="1163"/>
        <v>0.05</v>
      </c>
      <c r="AE921" s="213">
        <v>0.05</v>
      </c>
      <c r="AF921" s="219">
        <v>0.25</v>
      </c>
      <c r="AG921" s="218" t="s">
        <v>9</v>
      </c>
      <c r="AH921" s="148">
        <f t="shared" si="1162"/>
        <v>467.23646723646726</v>
      </c>
      <c r="AI921" s="206">
        <f t="shared" si="1172"/>
        <v>0.25</v>
      </c>
      <c r="AJ921" s="444"/>
      <c r="AK921" s="150">
        <f t="shared" si="1169"/>
        <v>403.95789473684215</v>
      </c>
      <c r="AL921" s="202">
        <f t="shared" si="1173"/>
        <v>368.87089518668472</v>
      </c>
      <c r="AM921" s="208">
        <f t="shared" si="1174"/>
        <v>0.27000000000000013</v>
      </c>
      <c r="AN921" s="208">
        <f t="shared" si="1175"/>
        <v>0.21052631578947356</v>
      </c>
      <c r="AP921" s="170" t="s">
        <v>1267</v>
      </c>
      <c r="AQ921" s="204"/>
      <c r="AR921" s="204"/>
      <c r="AS921" s="197"/>
      <c r="AT921" s="162"/>
      <c r="AU921" s="162"/>
      <c r="AV921" s="173"/>
      <c r="AW921" s="203">
        <v>328</v>
      </c>
      <c r="AX921" s="126">
        <f t="shared" si="1164"/>
        <v>350.42735042735046</v>
      </c>
      <c r="AY921" s="163"/>
      <c r="AZ921" s="19"/>
      <c r="BB921" s="168">
        <f t="shared" si="1165"/>
        <v>1557.4548907882242</v>
      </c>
      <c r="BC921" s="168">
        <f t="shared" si="1166"/>
        <v>934.47293447293453</v>
      </c>
      <c r="BD921" s="168">
        <f t="shared" si="1167"/>
        <v>778.72744539411212</v>
      </c>
      <c r="BE921" s="168">
        <f t="shared" si="1168"/>
        <v>622.98195631528972</v>
      </c>
    </row>
    <row r="922" spans="1:57" s="129" customFormat="1" hidden="1">
      <c r="A922" s="88" t="s">
        <v>1276</v>
      </c>
      <c r="B922" s="88" t="s">
        <v>1846</v>
      </c>
      <c r="C922" s="88" t="s">
        <v>1318</v>
      </c>
      <c r="D922" s="88" t="s">
        <v>1102</v>
      </c>
      <c r="E922" s="91" t="s">
        <v>1844</v>
      </c>
      <c r="F922" s="90" t="s">
        <v>2207</v>
      </c>
      <c r="G922" s="92" t="s">
        <v>2640</v>
      </c>
      <c r="H922" s="92" t="s">
        <v>3256</v>
      </c>
      <c r="I922" s="132" t="s">
        <v>1924</v>
      </c>
      <c r="J922" s="132" t="str">
        <f>_xlfn.XLOOKUP(I922,[1]Sheet1!$A:$A,[1]Sheet1!$B:$B,"")</f>
        <v>U1403051</v>
      </c>
      <c r="K922" s="91" t="s">
        <v>2043</v>
      </c>
      <c r="L922" s="89" t="s">
        <v>2163</v>
      </c>
      <c r="M922" s="92"/>
      <c r="N922" s="91" t="s">
        <v>1223</v>
      </c>
      <c r="O922" s="131"/>
      <c r="P922" s="90" t="s">
        <v>2206</v>
      </c>
      <c r="Q922" s="131"/>
      <c r="R922" s="131"/>
      <c r="S922" s="92"/>
      <c r="T922" s="131">
        <v>9403208000</v>
      </c>
      <c r="U922" s="155">
        <v>0</v>
      </c>
      <c r="V922" s="131">
        <v>45</v>
      </c>
      <c r="W922" s="131">
        <v>45</v>
      </c>
      <c r="X922" s="131"/>
      <c r="Y922" s="131" t="s">
        <v>2436</v>
      </c>
      <c r="Z922" s="133">
        <f t="shared" si="1170"/>
        <v>561.80245133381402</v>
      </c>
      <c r="AA922" s="133"/>
      <c r="AB922" s="161">
        <f t="shared" si="1171"/>
        <v>474.35897435897442</v>
      </c>
      <c r="AC922" s="161"/>
      <c r="AD922" s="213">
        <f t="shared" si="1163"/>
        <v>0.05</v>
      </c>
      <c r="AE922" s="213">
        <v>0.05</v>
      </c>
      <c r="AF922" s="219">
        <v>0.25</v>
      </c>
      <c r="AG922" s="218" t="s">
        <v>9</v>
      </c>
      <c r="AH922" s="148">
        <f t="shared" si="1162"/>
        <v>474.35897435897442</v>
      </c>
      <c r="AI922" s="206">
        <f t="shared" si="1172"/>
        <v>0.25</v>
      </c>
      <c r="AJ922" s="444"/>
      <c r="AK922" s="150">
        <f t="shared" si="1169"/>
        <v>410.11578947368423</v>
      </c>
      <c r="AL922" s="202">
        <f t="shared" si="1173"/>
        <v>374.49392712550616</v>
      </c>
      <c r="AM922" s="208">
        <f t="shared" si="1174"/>
        <v>0.27</v>
      </c>
      <c r="AN922" s="208">
        <f t="shared" si="1175"/>
        <v>0.21052631578947356</v>
      </c>
      <c r="AP922" s="170" t="s">
        <v>1267</v>
      </c>
      <c r="AQ922" s="204"/>
      <c r="AR922" s="204"/>
      <c r="AS922" s="197"/>
      <c r="AT922" s="162"/>
      <c r="AU922" s="162"/>
      <c r="AV922" s="173"/>
      <c r="AW922" s="203">
        <v>333</v>
      </c>
      <c r="AX922" s="126">
        <f t="shared" si="1164"/>
        <v>355.76923076923083</v>
      </c>
      <c r="AY922" s="163"/>
      <c r="AZ922" s="19"/>
      <c r="BB922" s="168">
        <f t="shared" si="1165"/>
        <v>1581.1965811965815</v>
      </c>
      <c r="BC922" s="168">
        <f t="shared" si="1166"/>
        <v>948.71794871794884</v>
      </c>
      <c r="BD922" s="168">
        <f t="shared" si="1167"/>
        <v>790.59829059829076</v>
      </c>
      <c r="BE922" s="168">
        <f t="shared" si="1168"/>
        <v>632.47863247863268</v>
      </c>
    </row>
    <row r="923" spans="1:57" s="129" customFormat="1" hidden="1">
      <c r="A923" s="88" t="s">
        <v>1276</v>
      </c>
      <c r="B923" s="88" t="s">
        <v>1846</v>
      </c>
      <c r="C923" s="88" t="s">
        <v>1318</v>
      </c>
      <c r="D923" s="88" t="s">
        <v>1102</v>
      </c>
      <c r="E923" s="91" t="s">
        <v>1844</v>
      </c>
      <c r="F923" s="90" t="s">
        <v>2207</v>
      </c>
      <c r="G923" s="92" t="s">
        <v>2640</v>
      </c>
      <c r="H923" s="92" t="s">
        <v>3257</v>
      </c>
      <c r="I923" s="132" t="s">
        <v>1925</v>
      </c>
      <c r="J923" s="132" t="str">
        <f>_xlfn.XLOOKUP(I923,[1]Sheet1!$A:$A,[1]Sheet1!$B:$B,"")</f>
        <v>U1403052</v>
      </c>
      <c r="K923" s="91" t="s">
        <v>2044</v>
      </c>
      <c r="L923" s="89" t="s">
        <v>2164</v>
      </c>
      <c r="M923" s="92"/>
      <c r="N923" s="91" t="s">
        <v>1223</v>
      </c>
      <c r="O923" s="131"/>
      <c r="P923" s="90" t="s">
        <v>2206</v>
      </c>
      <c r="Q923" s="131"/>
      <c r="R923" s="131"/>
      <c r="S923" s="92"/>
      <c r="T923" s="131">
        <v>9403208000</v>
      </c>
      <c r="U923" s="155">
        <v>0</v>
      </c>
      <c r="V923" s="131">
        <v>45</v>
      </c>
      <c r="W923" s="131">
        <v>45</v>
      </c>
      <c r="X923" s="131"/>
      <c r="Y923" s="131" t="s">
        <v>2436</v>
      </c>
      <c r="Z923" s="133">
        <f t="shared" si="1170"/>
        <v>565.17664023071382</v>
      </c>
      <c r="AA923" s="133"/>
      <c r="AB923" s="161">
        <f t="shared" si="1171"/>
        <v>477.20797720797719</v>
      </c>
      <c r="AC923" s="161"/>
      <c r="AD923" s="213">
        <f t="shared" si="1163"/>
        <v>0.05</v>
      </c>
      <c r="AE923" s="213">
        <v>0.05</v>
      </c>
      <c r="AF923" s="219">
        <v>0.25</v>
      </c>
      <c r="AG923" s="218" t="s">
        <v>9</v>
      </c>
      <c r="AH923" s="148">
        <f t="shared" si="1162"/>
        <v>477.20797720797719</v>
      </c>
      <c r="AI923" s="206">
        <f t="shared" si="1172"/>
        <v>0.25</v>
      </c>
      <c r="AJ923" s="444"/>
      <c r="AK923" s="150">
        <f t="shared" si="1169"/>
        <v>412.57894736842104</v>
      </c>
      <c r="AL923" s="202">
        <f t="shared" si="1173"/>
        <v>376.74313990103468</v>
      </c>
      <c r="AM923" s="208">
        <f t="shared" si="1174"/>
        <v>0.27000000000000013</v>
      </c>
      <c r="AN923" s="208">
        <f t="shared" si="1175"/>
        <v>0.21052631578947356</v>
      </c>
      <c r="AP923" s="170" t="s">
        <v>1267</v>
      </c>
      <c r="AQ923" s="204"/>
      <c r="AR923" s="204"/>
      <c r="AS923" s="197"/>
      <c r="AT923" s="162"/>
      <c r="AU923" s="162"/>
      <c r="AV923" s="173"/>
      <c r="AW923" s="203">
        <v>335</v>
      </c>
      <c r="AX923" s="126">
        <f t="shared" si="1164"/>
        <v>357.90598290598291</v>
      </c>
      <c r="AY923" s="163"/>
      <c r="AZ923" s="19"/>
      <c r="BB923" s="168">
        <f t="shared" si="1165"/>
        <v>1590.693257359924</v>
      </c>
      <c r="BC923" s="168">
        <f t="shared" si="1166"/>
        <v>954.41595441595439</v>
      </c>
      <c r="BD923" s="168">
        <f t="shared" si="1167"/>
        <v>795.34662867996201</v>
      </c>
      <c r="BE923" s="168">
        <f t="shared" si="1168"/>
        <v>636.27730294396963</v>
      </c>
    </row>
    <row r="924" spans="1:57" s="129" customFormat="1" hidden="1">
      <c r="A924" s="88" t="s">
        <v>1276</v>
      </c>
      <c r="B924" s="88" t="s">
        <v>1846</v>
      </c>
      <c r="C924" s="88" t="s">
        <v>1318</v>
      </c>
      <c r="D924" s="88" t="s">
        <v>1102</v>
      </c>
      <c r="E924" s="91" t="s">
        <v>1844</v>
      </c>
      <c r="F924" s="90" t="s">
        <v>2207</v>
      </c>
      <c r="G924" s="92" t="s">
        <v>2639</v>
      </c>
      <c r="H924" s="92" t="s">
        <v>3258</v>
      </c>
      <c r="I924" s="132" t="s">
        <v>1926</v>
      </c>
      <c r="J924" s="132" t="str">
        <f>_xlfn.XLOOKUP(I924,[1]Sheet1!$A:$A,[1]Sheet1!$B:$B,"")</f>
        <v>U1403053</v>
      </c>
      <c r="K924" s="91" t="s">
        <v>2045</v>
      </c>
      <c r="L924" s="89" t="s">
        <v>2165</v>
      </c>
      <c r="M924" s="92"/>
      <c r="N924" s="91" t="s">
        <v>1223</v>
      </c>
      <c r="O924" s="131"/>
      <c r="P924" s="90" t="s">
        <v>2206</v>
      </c>
      <c r="Q924" s="131"/>
      <c r="R924" s="131"/>
      <c r="S924" s="92"/>
      <c r="T924" s="131">
        <v>9403208000</v>
      </c>
      <c r="U924" s="155">
        <v>0</v>
      </c>
      <c r="V924" s="131">
        <v>45</v>
      </c>
      <c r="W924" s="131">
        <v>45</v>
      </c>
      <c r="X924" s="131"/>
      <c r="Y924" s="131" t="s">
        <v>2436</v>
      </c>
      <c r="Z924" s="133">
        <f t="shared" si="1170"/>
        <v>539.87022350396546</v>
      </c>
      <c r="AA924" s="133"/>
      <c r="AB924" s="161">
        <f t="shared" si="1171"/>
        <v>455.84045584045583</v>
      </c>
      <c r="AC924" s="161"/>
      <c r="AD924" s="213">
        <f t="shared" si="1163"/>
        <v>0.05</v>
      </c>
      <c r="AE924" s="213">
        <v>0.05</v>
      </c>
      <c r="AF924" s="219">
        <v>0.25</v>
      </c>
      <c r="AG924" s="218" t="s">
        <v>9</v>
      </c>
      <c r="AH924" s="148">
        <f t="shared" si="1162"/>
        <v>455.84045584045583</v>
      </c>
      <c r="AI924" s="206">
        <f t="shared" si="1172"/>
        <v>0.25</v>
      </c>
      <c r="AJ924" s="444"/>
      <c r="AK924" s="150">
        <f t="shared" si="1169"/>
        <v>394.10526315789474</v>
      </c>
      <c r="AL924" s="202">
        <f t="shared" si="1173"/>
        <v>359.87404408457041</v>
      </c>
      <c r="AM924" s="208">
        <f t="shared" si="1174"/>
        <v>0.27000000000000013</v>
      </c>
      <c r="AN924" s="208">
        <f t="shared" si="1175"/>
        <v>0.21052631578947367</v>
      </c>
      <c r="AP924" s="170" t="s">
        <v>1267</v>
      </c>
      <c r="AQ924" s="204"/>
      <c r="AR924" s="204"/>
      <c r="AS924" s="197"/>
      <c r="AT924" s="162"/>
      <c r="AU924" s="162"/>
      <c r="AV924" s="173"/>
      <c r="AW924" s="203">
        <v>320</v>
      </c>
      <c r="AX924" s="126">
        <f t="shared" si="1164"/>
        <v>341.88034188034186</v>
      </c>
      <c r="AY924" s="163"/>
      <c r="AZ924" s="19"/>
      <c r="BB924" s="168">
        <f t="shared" si="1165"/>
        <v>1519.4681861348529</v>
      </c>
      <c r="BC924" s="168">
        <f t="shared" si="1166"/>
        <v>911.68091168091166</v>
      </c>
      <c r="BD924" s="168">
        <f t="shared" si="1167"/>
        <v>759.73409306742644</v>
      </c>
      <c r="BE924" s="168">
        <f t="shared" si="1168"/>
        <v>607.78727445394122</v>
      </c>
    </row>
    <row r="925" spans="1:57" s="129" customFormat="1" hidden="1">
      <c r="A925" s="88" t="s">
        <v>1276</v>
      </c>
      <c r="B925" s="88" t="s">
        <v>1846</v>
      </c>
      <c r="C925" s="88" t="s">
        <v>1318</v>
      </c>
      <c r="D925" s="88" t="s">
        <v>1102</v>
      </c>
      <c r="E925" s="91" t="s">
        <v>1844</v>
      </c>
      <c r="F925" s="90" t="s">
        <v>2207</v>
      </c>
      <c r="G925" s="92" t="s">
        <v>2640</v>
      </c>
      <c r="H925" s="92" t="s">
        <v>3258</v>
      </c>
      <c r="I925" s="132" t="s">
        <v>1927</v>
      </c>
      <c r="J925" s="132" t="str">
        <f>_xlfn.XLOOKUP(I925,[1]Sheet1!$A:$A,[1]Sheet1!$B:$B,"")</f>
        <v>U1403054</v>
      </c>
      <c r="K925" s="91" t="s">
        <v>2046</v>
      </c>
      <c r="L925" s="89" t="s">
        <v>2166</v>
      </c>
      <c r="M925" s="92"/>
      <c r="N925" s="91" t="s">
        <v>1223</v>
      </c>
      <c r="O925" s="131"/>
      <c r="P925" s="90" t="s">
        <v>2206</v>
      </c>
      <c r="Q925" s="131"/>
      <c r="R925" s="131"/>
      <c r="S925" s="92"/>
      <c r="T925" s="131">
        <v>9403208000</v>
      </c>
      <c r="U925" s="155">
        <v>0</v>
      </c>
      <c r="V925" s="131">
        <v>45</v>
      </c>
      <c r="W925" s="131">
        <v>45</v>
      </c>
      <c r="X925" s="131"/>
      <c r="Y925" s="131" t="s">
        <v>2436</v>
      </c>
      <c r="Z925" s="133">
        <f t="shared" si="1170"/>
        <v>573.61211247296319</v>
      </c>
      <c r="AA925" s="133"/>
      <c r="AB925" s="161">
        <f t="shared" si="1171"/>
        <v>484.3304843304843</v>
      </c>
      <c r="AC925" s="161"/>
      <c r="AD925" s="213">
        <f t="shared" si="1163"/>
        <v>0.05</v>
      </c>
      <c r="AE925" s="213">
        <v>0.05</v>
      </c>
      <c r="AF925" s="219">
        <v>0.25</v>
      </c>
      <c r="AG925" s="218" t="s">
        <v>9</v>
      </c>
      <c r="AH925" s="148">
        <f t="shared" si="1162"/>
        <v>484.3304843304843</v>
      </c>
      <c r="AI925" s="206">
        <f t="shared" si="1172"/>
        <v>0.25</v>
      </c>
      <c r="AJ925" s="444"/>
      <c r="AK925" s="150">
        <f t="shared" si="1169"/>
        <v>418.73684210526312</v>
      </c>
      <c r="AL925" s="202">
        <f t="shared" si="1173"/>
        <v>382.36617183985607</v>
      </c>
      <c r="AM925" s="208">
        <f t="shared" si="1174"/>
        <v>0.27</v>
      </c>
      <c r="AN925" s="208">
        <f t="shared" si="1175"/>
        <v>0.21052631578947356</v>
      </c>
      <c r="AP925" s="170" t="s">
        <v>1267</v>
      </c>
      <c r="AQ925" s="204"/>
      <c r="AR925" s="204"/>
      <c r="AS925" s="197"/>
      <c r="AT925" s="162"/>
      <c r="AU925" s="162"/>
      <c r="AV925" s="173"/>
      <c r="AW925" s="203">
        <v>340</v>
      </c>
      <c r="AX925" s="126">
        <f t="shared" si="1164"/>
        <v>363.24786324786322</v>
      </c>
      <c r="AY925" s="163"/>
      <c r="AZ925" s="19"/>
      <c r="BB925" s="168">
        <f t="shared" si="1165"/>
        <v>1614.4349477682811</v>
      </c>
      <c r="BC925" s="168">
        <f t="shared" si="1166"/>
        <v>968.66096866096859</v>
      </c>
      <c r="BD925" s="168">
        <f t="shared" si="1167"/>
        <v>807.21747388414053</v>
      </c>
      <c r="BE925" s="168">
        <f t="shared" si="1168"/>
        <v>645.77397910731247</v>
      </c>
    </row>
    <row r="926" spans="1:57" s="129" customFormat="1" hidden="1">
      <c r="A926" s="88" t="s">
        <v>1276</v>
      </c>
      <c r="B926" s="88" t="s">
        <v>1846</v>
      </c>
      <c r="C926" s="88" t="s">
        <v>1318</v>
      </c>
      <c r="D926" s="88" t="s">
        <v>1102</v>
      </c>
      <c r="E926" s="91" t="s">
        <v>1844</v>
      </c>
      <c r="F926" s="90" t="s">
        <v>2207</v>
      </c>
      <c r="G926" s="92" t="s">
        <v>2641</v>
      </c>
      <c r="H926" s="92" t="s">
        <v>3258</v>
      </c>
      <c r="I926" s="132" t="s">
        <v>1928</v>
      </c>
      <c r="J926" s="132" t="str">
        <f>_xlfn.XLOOKUP(I926,[1]Sheet1!$A:$A,[1]Sheet1!$B:$B,"")</f>
        <v>U1403055</v>
      </c>
      <c r="K926" s="91" t="s">
        <v>2047</v>
      </c>
      <c r="L926" s="89" t="s">
        <v>2167</v>
      </c>
      <c r="M926" s="92"/>
      <c r="N926" s="91" t="s">
        <v>1223</v>
      </c>
      <c r="O926" s="131"/>
      <c r="P926" s="90" t="s">
        <v>2206</v>
      </c>
      <c r="Q926" s="131"/>
      <c r="R926" s="131"/>
      <c r="S926" s="92"/>
      <c r="T926" s="131">
        <v>9403208000</v>
      </c>
      <c r="U926" s="155">
        <v>0</v>
      </c>
      <c r="V926" s="131">
        <v>45</v>
      </c>
      <c r="W926" s="131">
        <v>45</v>
      </c>
      <c r="X926" s="131"/>
      <c r="Y926" s="131" t="s">
        <v>2436</v>
      </c>
      <c r="Z926" s="133">
        <f t="shared" si="1170"/>
        <v>674.83777937995683</v>
      </c>
      <c r="AA926" s="133"/>
      <c r="AB926" s="161">
        <f t="shared" si="1171"/>
        <v>569.80056980056986</v>
      </c>
      <c r="AC926" s="161"/>
      <c r="AD926" s="213">
        <f t="shared" si="1163"/>
        <v>0.05</v>
      </c>
      <c r="AE926" s="213">
        <v>0.05</v>
      </c>
      <c r="AF926" s="219">
        <v>0.25</v>
      </c>
      <c r="AG926" s="218" t="s">
        <v>9</v>
      </c>
      <c r="AH926" s="148">
        <f t="shared" si="1162"/>
        <v>569.80056980056986</v>
      </c>
      <c r="AI926" s="206">
        <f t="shared" si="1172"/>
        <v>0.25</v>
      </c>
      <c r="AJ926" s="444"/>
      <c r="AK926" s="150">
        <f t="shared" si="1169"/>
        <v>492.63157894736844</v>
      </c>
      <c r="AL926" s="202">
        <f t="shared" si="1173"/>
        <v>449.84255510571302</v>
      </c>
      <c r="AM926" s="208">
        <f t="shared" si="1174"/>
        <v>0.27</v>
      </c>
      <c r="AN926" s="208">
        <f t="shared" si="1175"/>
        <v>0.21052631578947378</v>
      </c>
      <c r="AP926" s="170" t="s">
        <v>1267</v>
      </c>
      <c r="AQ926" s="204"/>
      <c r="AR926" s="204"/>
      <c r="AS926" s="197"/>
      <c r="AT926" s="162"/>
      <c r="AU926" s="162"/>
      <c r="AV926" s="173"/>
      <c r="AW926" s="203">
        <v>400</v>
      </c>
      <c r="AX926" s="126">
        <f t="shared" si="1164"/>
        <v>427.35042735042737</v>
      </c>
      <c r="AY926" s="163"/>
      <c r="AZ926" s="19"/>
      <c r="BB926" s="168">
        <f t="shared" si="1165"/>
        <v>1899.3352326685663</v>
      </c>
      <c r="BC926" s="168">
        <f t="shared" si="1166"/>
        <v>1139.6011396011397</v>
      </c>
      <c r="BD926" s="168">
        <f t="shared" si="1167"/>
        <v>949.66761633428314</v>
      </c>
      <c r="BE926" s="168">
        <f t="shared" si="1168"/>
        <v>759.73409306742656</v>
      </c>
    </row>
    <row r="927" spans="1:57" s="129" customFormat="1" hidden="1">
      <c r="A927" s="88" t="s">
        <v>1276</v>
      </c>
      <c r="B927" s="88" t="s">
        <v>1846</v>
      </c>
      <c r="C927" s="88" t="s">
        <v>1318</v>
      </c>
      <c r="D927" s="88" t="s">
        <v>1102</v>
      </c>
      <c r="E927" s="91" t="s">
        <v>1844</v>
      </c>
      <c r="F927" s="90" t="s">
        <v>2207</v>
      </c>
      <c r="G927" s="92" t="s">
        <v>2640</v>
      </c>
      <c r="H927" s="92" t="s">
        <v>3259</v>
      </c>
      <c r="I927" s="132" t="s">
        <v>1929</v>
      </c>
      <c r="J927" s="132" t="str">
        <f>_xlfn.XLOOKUP(I927,[1]Sheet1!$A:$A,[1]Sheet1!$B:$B,"")</f>
        <v>U1403056</v>
      </c>
      <c r="K927" s="91" t="s">
        <v>2048</v>
      </c>
      <c r="L927" s="89" t="s">
        <v>2168</v>
      </c>
      <c r="M927" s="92"/>
      <c r="N927" s="91" t="s">
        <v>1223</v>
      </c>
      <c r="O927" s="131"/>
      <c r="P927" s="90" t="s">
        <v>2206</v>
      </c>
      <c r="Q927" s="131"/>
      <c r="R927" s="131"/>
      <c r="S927" s="92"/>
      <c r="T927" s="131">
        <v>9403208000</v>
      </c>
      <c r="U927" s="155">
        <v>0</v>
      </c>
      <c r="V927" s="131">
        <v>45</v>
      </c>
      <c r="W927" s="131">
        <v>45</v>
      </c>
      <c r="X927" s="131"/>
      <c r="Y927" s="131" t="s">
        <v>2436</v>
      </c>
      <c r="Z927" s="133">
        <f t="shared" si="1170"/>
        <v>657.96683489545785</v>
      </c>
      <c r="AA927" s="133"/>
      <c r="AB927" s="161">
        <f t="shared" si="1171"/>
        <v>555.55555555555566</v>
      </c>
      <c r="AC927" s="161"/>
      <c r="AD927" s="213">
        <f t="shared" si="1163"/>
        <v>0.05</v>
      </c>
      <c r="AE927" s="213">
        <v>0.05</v>
      </c>
      <c r="AF927" s="219">
        <v>0.25</v>
      </c>
      <c r="AG927" s="218" t="s">
        <v>9</v>
      </c>
      <c r="AH927" s="148">
        <f t="shared" si="1162"/>
        <v>555.55555555555566</v>
      </c>
      <c r="AI927" s="206">
        <f t="shared" si="1172"/>
        <v>0.25</v>
      </c>
      <c r="AJ927" s="444"/>
      <c r="AK927" s="150">
        <f t="shared" si="1169"/>
        <v>480.31578947368422</v>
      </c>
      <c r="AL927" s="202">
        <f t="shared" si="1173"/>
        <v>438.59649122807025</v>
      </c>
      <c r="AM927" s="208">
        <f t="shared" si="1174"/>
        <v>0.27</v>
      </c>
      <c r="AN927" s="208">
        <f t="shared" si="1175"/>
        <v>0.21052631578947367</v>
      </c>
      <c r="AP927" s="170" t="s">
        <v>1267</v>
      </c>
      <c r="AQ927" s="204"/>
      <c r="AR927" s="204"/>
      <c r="AS927" s="197"/>
      <c r="AT927" s="162"/>
      <c r="AU927" s="162"/>
      <c r="AV927" s="173"/>
      <c r="AW927" s="203">
        <v>390</v>
      </c>
      <c r="AX927" s="126">
        <f t="shared" si="1164"/>
        <v>416.66666666666674</v>
      </c>
      <c r="AY927" s="163"/>
      <c r="AZ927" s="19"/>
      <c r="BB927" s="168">
        <f t="shared" si="1165"/>
        <v>1851.8518518518522</v>
      </c>
      <c r="BC927" s="168">
        <f t="shared" si="1166"/>
        <v>1111.1111111111113</v>
      </c>
      <c r="BD927" s="168">
        <f t="shared" si="1167"/>
        <v>925.92592592592609</v>
      </c>
      <c r="BE927" s="168">
        <f t="shared" si="1168"/>
        <v>740.74074074074088</v>
      </c>
    </row>
    <row r="928" spans="1:57" s="129" customFormat="1" hidden="1">
      <c r="A928" s="88" t="s">
        <v>1276</v>
      </c>
      <c r="B928" s="88" t="s">
        <v>1846</v>
      </c>
      <c r="C928" s="88" t="s">
        <v>1318</v>
      </c>
      <c r="D928" s="88" t="s">
        <v>1102</v>
      </c>
      <c r="E928" s="91" t="s">
        <v>1844</v>
      </c>
      <c r="F928" s="90" t="s">
        <v>2207</v>
      </c>
      <c r="G928" s="92" t="s">
        <v>2641</v>
      </c>
      <c r="H928" s="92" t="s">
        <v>3259</v>
      </c>
      <c r="I928" s="132" t="s">
        <v>1930</v>
      </c>
      <c r="J928" s="132" t="str">
        <f>_xlfn.XLOOKUP(I928,[1]Sheet1!$A:$A,[1]Sheet1!$B:$B,"")</f>
        <v>U1403057</v>
      </c>
      <c r="K928" s="91" t="s">
        <v>2049</v>
      </c>
      <c r="L928" s="89" t="s">
        <v>2169</v>
      </c>
      <c r="M928" s="92"/>
      <c r="N928" s="91" t="s">
        <v>1223</v>
      </c>
      <c r="O928" s="131"/>
      <c r="P928" s="90" t="s">
        <v>2206</v>
      </c>
      <c r="Q928" s="131"/>
      <c r="R928" s="131"/>
      <c r="S928" s="92"/>
      <c r="T928" s="131">
        <v>9403208000</v>
      </c>
      <c r="U928" s="155">
        <v>0</v>
      </c>
      <c r="V928" s="131">
        <v>45</v>
      </c>
      <c r="W928" s="131">
        <v>45</v>
      </c>
      <c r="X928" s="131"/>
      <c r="Y928" s="131" t="s">
        <v>2436</v>
      </c>
      <c r="Z928" s="133">
        <f t="shared" si="1170"/>
        <v>717.01514059120404</v>
      </c>
      <c r="AA928" s="133"/>
      <c r="AB928" s="161">
        <f t="shared" si="1171"/>
        <v>605.41310541310543</v>
      </c>
      <c r="AC928" s="161"/>
      <c r="AD928" s="213">
        <f t="shared" si="1163"/>
        <v>0.05</v>
      </c>
      <c r="AE928" s="213">
        <v>0.05</v>
      </c>
      <c r="AF928" s="219">
        <v>0.25</v>
      </c>
      <c r="AG928" s="218" t="s">
        <v>9</v>
      </c>
      <c r="AH928" s="148">
        <f t="shared" si="1162"/>
        <v>605.41310541310543</v>
      </c>
      <c r="AI928" s="206">
        <f t="shared" si="1172"/>
        <v>0.25</v>
      </c>
      <c r="AJ928" s="444"/>
      <c r="AK928" s="150">
        <f t="shared" si="1169"/>
        <v>523.42105263157896</v>
      </c>
      <c r="AL928" s="202">
        <f t="shared" si="1173"/>
        <v>477.95771479982011</v>
      </c>
      <c r="AM928" s="208">
        <f t="shared" si="1174"/>
        <v>0.27</v>
      </c>
      <c r="AN928" s="208">
        <f t="shared" si="1175"/>
        <v>0.21052631578947367</v>
      </c>
      <c r="AP928" s="170" t="s">
        <v>1267</v>
      </c>
      <c r="AQ928" s="204"/>
      <c r="AR928" s="204"/>
      <c r="AS928" s="197"/>
      <c r="AT928" s="162"/>
      <c r="AU928" s="162"/>
      <c r="AV928" s="173"/>
      <c r="AW928" s="203">
        <v>425</v>
      </c>
      <c r="AX928" s="126">
        <f t="shared" si="1164"/>
        <v>454.0598290598291</v>
      </c>
      <c r="AY928" s="163"/>
      <c r="AZ928" s="19"/>
      <c r="BB928" s="168">
        <f t="shared" si="1165"/>
        <v>2018.0436847103515</v>
      </c>
      <c r="BC928" s="168">
        <f t="shared" si="1166"/>
        <v>1210.8262108262109</v>
      </c>
      <c r="BD928" s="168">
        <f t="shared" si="1167"/>
        <v>1009.0218423551757</v>
      </c>
      <c r="BE928" s="168">
        <f t="shared" si="1168"/>
        <v>807.21747388414065</v>
      </c>
    </row>
    <row r="929" spans="1:58" s="129" customFormat="1" hidden="1">
      <c r="A929" s="88" t="s">
        <v>1276</v>
      </c>
      <c r="B929" s="88" t="s">
        <v>1846</v>
      </c>
      <c r="C929" s="88" t="s">
        <v>1318</v>
      </c>
      <c r="D929" s="88" t="s">
        <v>1102</v>
      </c>
      <c r="E929" s="91" t="s">
        <v>1844</v>
      </c>
      <c r="F929" s="90" t="s">
        <v>2207</v>
      </c>
      <c r="G929" s="92" t="s">
        <v>2640</v>
      </c>
      <c r="H929" s="92" t="s">
        <v>3260</v>
      </c>
      <c r="I929" s="132" t="s">
        <v>1931</v>
      </c>
      <c r="J929" s="132" t="str">
        <f>_xlfn.XLOOKUP(I929,[1]Sheet1!$A:$A,[1]Sheet1!$B:$B,"")</f>
        <v>U1403058</v>
      </c>
      <c r="K929" s="91" t="s">
        <v>2050</v>
      </c>
      <c r="L929" s="89" t="s">
        <v>2170</v>
      </c>
      <c r="M929" s="92"/>
      <c r="N929" s="91" t="s">
        <v>1223</v>
      </c>
      <c r="O929" s="131"/>
      <c r="P929" s="90" t="s">
        <v>2206</v>
      </c>
      <c r="Q929" s="131"/>
      <c r="R929" s="131"/>
      <c r="S929" s="92"/>
      <c r="T929" s="131">
        <v>9403208000</v>
      </c>
      <c r="U929" s="155">
        <v>0</v>
      </c>
      <c r="V929" s="131">
        <v>45</v>
      </c>
      <c r="W929" s="131">
        <v>45</v>
      </c>
      <c r="X929" s="131"/>
      <c r="Y929" s="131" t="s">
        <v>2436</v>
      </c>
      <c r="Z929" s="133">
        <f t="shared" si="1170"/>
        <v>727.13770728190343</v>
      </c>
      <c r="AA929" s="133"/>
      <c r="AB929" s="161">
        <f t="shared" si="1171"/>
        <v>613.96011396011397</v>
      </c>
      <c r="AC929" s="161"/>
      <c r="AD929" s="213">
        <f t="shared" si="1163"/>
        <v>0.05</v>
      </c>
      <c r="AE929" s="213">
        <v>0.05</v>
      </c>
      <c r="AF929" s="219">
        <v>0.25</v>
      </c>
      <c r="AG929" s="218" t="s">
        <v>9</v>
      </c>
      <c r="AH929" s="148">
        <f t="shared" si="1162"/>
        <v>613.96011396011397</v>
      </c>
      <c r="AI929" s="206">
        <f t="shared" si="1172"/>
        <v>0.25</v>
      </c>
      <c r="AJ929" s="444"/>
      <c r="AK929" s="150">
        <f t="shared" si="1169"/>
        <v>530.8105263157895</v>
      </c>
      <c r="AL929" s="202">
        <f t="shared" si="1173"/>
        <v>484.70535312640584</v>
      </c>
      <c r="AM929" s="208">
        <f t="shared" si="1174"/>
        <v>0.27</v>
      </c>
      <c r="AN929" s="208">
        <f t="shared" si="1175"/>
        <v>0.21052631578947356</v>
      </c>
      <c r="AP929" s="170" t="s">
        <v>1267</v>
      </c>
      <c r="AQ929" s="204"/>
      <c r="AR929" s="204"/>
      <c r="AS929" s="197"/>
      <c r="AT929" s="162"/>
      <c r="AU929" s="162"/>
      <c r="AV929" s="173"/>
      <c r="AW929" s="203">
        <v>431</v>
      </c>
      <c r="AX929" s="126">
        <f t="shared" si="1164"/>
        <v>460.47008547008551</v>
      </c>
      <c r="AY929" s="163"/>
      <c r="AZ929" s="19"/>
      <c r="BB929" s="168">
        <f t="shared" si="1165"/>
        <v>2046.5337132003799</v>
      </c>
      <c r="BC929" s="168">
        <f t="shared" si="1166"/>
        <v>1227.9202279202279</v>
      </c>
      <c r="BD929" s="168">
        <f t="shared" si="1167"/>
        <v>1023.26685660019</v>
      </c>
      <c r="BE929" s="168">
        <f t="shared" si="1168"/>
        <v>818.61348528015196</v>
      </c>
    </row>
    <row r="930" spans="1:58" s="129" customFormat="1" hidden="1">
      <c r="A930" s="88" t="s">
        <v>1276</v>
      </c>
      <c r="B930" s="88" t="s">
        <v>1846</v>
      </c>
      <c r="C930" s="88" t="s">
        <v>1318</v>
      </c>
      <c r="D930" s="88" t="s">
        <v>1102</v>
      </c>
      <c r="E930" s="91" t="s">
        <v>1844</v>
      </c>
      <c r="F930" s="90" t="s">
        <v>2207</v>
      </c>
      <c r="G930" s="92" t="s">
        <v>2641</v>
      </c>
      <c r="H930" s="92" t="s">
        <v>3260</v>
      </c>
      <c r="I930" s="132" t="s">
        <v>1932</v>
      </c>
      <c r="J930" s="132" t="str">
        <f>_xlfn.XLOOKUP(I930,[1]Sheet1!$A:$A,[1]Sheet1!$B:$B,"")</f>
        <v>U1403059</v>
      </c>
      <c r="K930" s="91" t="s">
        <v>2051</v>
      </c>
      <c r="L930" s="89" t="s">
        <v>2171</v>
      </c>
      <c r="M930" s="92"/>
      <c r="N930" s="91" t="s">
        <v>1223</v>
      </c>
      <c r="O930" s="131"/>
      <c r="P930" s="90" t="s">
        <v>2206</v>
      </c>
      <c r="Q930" s="131"/>
      <c r="R930" s="131"/>
      <c r="S930" s="92"/>
      <c r="T930" s="131">
        <v>9403208000</v>
      </c>
      <c r="U930" s="155">
        <v>0</v>
      </c>
      <c r="V930" s="131">
        <v>45</v>
      </c>
      <c r="W930" s="131">
        <v>45</v>
      </c>
      <c r="X930" s="131"/>
      <c r="Y930" s="131" t="s">
        <v>2436</v>
      </c>
      <c r="Z930" s="133">
        <f t="shared" si="1170"/>
        <v>801.3698630136987</v>
      </c>
      <c r="AA930" s="133"/>
      <c r="AB930" s="161">
        <f t="shared" si="1171"/>
        <v>676.63817663817667</v>
      </c>
      <c r="AC930" s="161"/>
      <c r="AD930" s="213">
        <f t="shared" si="1163"/>
        <v>0.05</v>
      </c>
      <c r="AE930" s="213">
        <v>0.05</v>
      </c>
      <c r="AF930" s="219">
        <v>0.25</v>
      </c>
      <c r="AG930" s="218" t="s">
        <v>9</v>
      </c>
      <c r="AH930" s="148">
        <f t="shared" si="1162"/>
        <v>676.63817663817667</v>
      </c>
      <c r="AI930" s="206">
        <f t="shared" si="1172"/>
        <v>0.25</v>
      </c>
      <c r="AJ930" s="444"/>
      <c r="AK930" s="150">
        <f t="shared" si="1169"/>
        <v>585</v>
      </c>
      <c r="AL930" s="202">
        <f t="shared" si="1173"/>
        <v>534.18803418803429</v>
      </c>
      <c r="AM930" s="208">
        <f t="shared" si="1174"/>
        <v>0.27</v>
      </c>
      <c r="AN930" s="208">
        <f t="shared" si="1175"/>
        <v>0.21052631578947356</v>
      </c>
      <c r="AP930" s="170" t="s">
        <v>1267</v>
      </c>
      <c r="AQ930" s="204"/>
      <c r="AR930" s="204"/>
      <c r="AS930" s="197"/>
      <c r="AT930" s="162"/>
      <c r="AU930" s="162"/>
      <c r="AV930" s="173"/>
      <c r="AW930" s="203">
        <v>475</v>
      </c>
      <c r="AX930" s="126">
        <f t="shared" si="1164"/>
        <v>507.47863247863251</v>
      </c>
      <c r="AY930" s="163"/>
      <c r="AZ930" s="19"/>
      <c r="BB930" s="168">
        <f t="shared" si="1165"/>
        <v>2255.4605887939224</v>
      </c>
      <c r="BC930" s="168">
        <f t="shared" si="1166"/>
        <v>1353.2763532763533</v>
      </c>
      <c r="BD930" s="168">
        <f t="shared" si="1167"/>
        <v>1127.7302943969612</v>
      </c>
      <c r="BE930" s="168">
        <f t="shared" si="1168"/>
        <v>902.18423551756905</v>
      </c>
    </row>
    <row r="931" spans="1:58" s="129" customFormat="1" hidden="1">
      <c r="A931" s="88" t="s">
        <v>1276</v>
      </c>
      <c r="B931" s="88" t="s">
        <v>1846</v>
      </c>
      <c r="C931" s="88" t="s">
        <v>1318</v>
      </c>
      <c r="D931" s="88" t="s">
        <v>1102</v>
      </c>
      <c r="E931" s="91" t="s">
        <v>1844</v>
      </c>
      <c r="F931" s="90" t="s">
        <v>2207</v>
      </c>
      <c r="G931" s="92" t="s">
        <v>2640</v>
      </c>
      <c r="H931" s="92" t="s">
        <v>3257</v>
      </c>
      <c r="I931" s="132" t="s">
        <v>1933</v>
      </c>
      <c r="J931" s="132" t="str">
        <f>_xlfn.XLOOKUP(I931,[1]Sheet1!$A:$A,[1]Sheet1!$B:$B,"")</f>
        <v>U1403060</v>
      </c>
      <c r="K931" s="91" t="s">
        <v>2052</v>
      </c>
      <c r="L931" s="89" t="s">
        <v>2172</v>
      </c>
      <c r="M931" s="92"/>
      <c r="N931" s="91" t="s">
        <v>1223</v>
      </c>
      <c r="O931" s="131"/>
      <c r="P931" s="90" t="s">
        <v>2206</v>
      </c>
      <c r="Q931" s="131"/>
      <c r="R931" s="131"/>
      <c r="S931" s="92"/>
      <c r="T931" s="131">
        <v>9403208000</v>
      </c>
      <c r="U931" s="155">
        <v>0</v>
      </c>
      <c r="V931" s="131">
        <v>45</v>
      </c>
      <c r="W931" s="131">
        <v>45</v>
      </c>
      <c r="X931" s="131"/>
      <c r="Y931" s="131" t="s">
        <v>2436</v>
      </c>
      <c r="Z931" s="133">
        <f t="shared" si="1170"/>
        <v>641.09589041095887</v>
      </c>
      <c r="AA931" s="133"/>
      <c r="AB931" s="161">
        <f t="shared" si="1171"/>
        <v>541.31054131054134</v>
      </c>
      <c r="AC931" s="161"/>
      <c r="AD931" s="213">
        <f t="shared" si="1163"/>
        <v>0.05</v>
      </c>
      <c r="AE931" s="213">
        <v>0.05</v>
      </c>
      <c r="AF931" s="219">
        <v>0.25</v>
      </c>
      <c r="AG931" s="218" t="s">
        <v>9</v>
      </c>
      <c r="AH931" s="148">
        <f t="shared" si="1162"/>
        <v>541.31054131054134</v>
      </c>
      <c r="AI931" s="206">
        <f t="shared" si="1172"/>
        <v>0.25</v>
      </c>
      <c r="AJ931" s="444"/>
      <c r="AK931" s="150">
        <f t="shared" si="1169"/>
        <v>468</v>
      </c>
      <c r="AL931" s="202">
        <f t="shared" si="1173"/>
        <v>427.35042735042737</v>
      </c>
      <c r="AM931" s="208">
        <f t="shared" si="1174"/>
        <v>0.27</v>
      </c>
      <c r="AN931" s="208">
        <f t="shared" si="1175"/>
        <v>0.21052631578947367</v>
      </c>
      <c r="AP931" s="170" t="s">
        <v>1267</v>
      </c>
      <c r="AQ931" s="204"/>
      <c r="AR931" s="204"/>
      <c r="AS931" s="197"/>
      <c r="AT931" s="162"/>
      <c r="AU931" s="162"/>
      <c r="AV931" s="173"/>
      <c r="AW931" s="203">
        <v>380</v>
      </c>
      <c r="AX931" s="126">
        <f t="shared" si="1164"/>
        <v>405.982905982906</v>
      </c>
      <c r="AY931" s="163"/>
      <c r="AZ931" s="19"/>
      <c r="BB931" s="168">
        <f t="shared" si="1165"/>
        <v>1804.3684710351379</v>
      </c>
      <c r="BC931" s="168">
        <f t="shared" si="1166"/>
        <v>1082.6210826210827</v>
      </c>
      <c r="BD931" s="168">
        <f t="shared" si="1167"/>
        <v>902.18423551756894</v>
      </c>
      <c r="BE931" s="168">
        <f t="shared" si="1168"/>
        <v>721.74738841405519</v>
      </c>
    </row>
    <row r="932" spans="1:58" s="129" customFormat="1" hidden="1">
      <c r="A932" s="88" t="s">
        <v>1276</v>
      </c>
      <c r="B932" s="88" t="s">
        <v>1846</v>
      </c>
      <c r="C932" s="88" t="s">
        <v>1318</v>
      </c>
      <c r="D932" s="88" t="s">
        <v>1102</v>
      </c>
      <c r="E932" s="91" t="s">
        <v>1844</v>
      </c>
      <c r="F932" s="90" t="s">
        <v>2207</v>
      </c>
      <c r="G932" s="92" t="s">
        <v>2639</v>
      </c>
      <c r="H932" s="92" t="s">
        <v>3258</v>
      </c>
      <c r="I932" s="132" t="s">
        <v>1934</v>
      </c>
      <c r="J932" s="132" t="str">
        <f>_xlfn.XLOOKUP(I932,[1]Sheet1!$A:$A,[1]Sheet1!$B:$B,"")</f>
        <v>U1403061</v>
      </c>
      <c r="K932" s="91" t="s">
        <v>2053</v>
      </c>
      <c r="L932" s="89" t="s">
        <v>2173</v>
      </c>
      <c r="M932" s="92"/>
      <c r="N932" s="91" t="s">
        <v>1223</v>
      </c>
      <c r="O932" s="131"/>
      <c r="P932" s="90" t="s">
        <v>2206</v>
      </c>
      <c r="Q932" s="131"/>
      <c r="R932" s="131"/>
      <c r="S932" s="92"/>
      <c r="T932" s="131">
        <v>9403208000</v>
      </c>
      <c r="U932" s="155">
        <v>0</v>
      </c>
      <c r="V932" s="131">
        <v>45</v>
      </c>
      <c r="W932" s="131">
        <v>45</v>
      </c>
      <c r="X932" s="131"/>
      <c r="Y932" s="131" t="s">
        <v>2436</v>
      </c>
      <c r="Z932" s="133">
        <f t="shared" si="1170"/>
        <v>607.35400144196103</v>
      </c>
      <c r="AA932" s="133"/>
      <c r="AB932" s="161">
        <f t="shared" si="1171"/>
        <v>512.82051282051282</v>
      </c>
      <c r="AC932" s="161"/>
      <c r="AD932" s="213">
        <f t="shared" si="1163"/>
        <v>0.05</v>
      </c>
      <c r="AE932" s="213">
        <v>0.05</v>
      </c>
      <c r="AF932" s="219">
        <v>0.25</v>
      </c>
      <c r="AG932" s="218" t="s">
        <v>9</v>
      </c>
      <c r="AH932" s="148">
        <f t="shared" si="1162"/>
        <v>512.82051282051282</v>
      </c>
      <c r="AI932" s="206">
        <f t="shared" si="1172"/>
        <v>0.25</v>
      </c>
      <c r="AJ932" s="444"/>
      <c r="AK932" s="150">
        <f t="shared" si="1169"/>
        <v>443.36842105263156</v>
      </c>
      <c r="AL932" s="202">
        <f t="shared" si="1173"/>
        <v>404.85829959514177</v>
      </c>
      <c r="AM932" s="208">
        <f t="shared" si="1174"/>
        <v>0.27</v>
      </c>
      <c r="AN932" s="208">
        <f t="shared" si="1175"/>
        <v>0.21052631578947356</v>
      </c>
      <c r="AP932" s="170" t="s">
        <v>1267</v>
      </c>
      <c r="AQ932" s="204"/>
      <c r="AR932" s="204"/>
      <c r="AS932" s="197"/>
      <c r="AT932" s="162"/>
      <c r="AU932" s="162"/>
      <c r="AV932" s="173"/>
      <c r="AW932" s="203">
        <v>360</v>
      </c>
      <c r="AX932" s="126">
        <f t="shared" si="1164"/>
        <v>384.61538461538464</v>
      </c>
      <c r="AY932" s="163"/>
      <c r="AZ932" s="19"/>
      <c r="BB932" s="168">
        <f t="shared" si="1165"/>
        <v>1709.4017094017095</v>
      </c>
      <c r="BC932" s="168">
        <f t="shared" si="1166"/>
        <v>1025.6410256410256</v>
      </c>
      <c r="BD932" s="168">
        <f t="shared" si="1167"/>
        <v>854.70085470085473</v>
      </c>
      <c r="BE932" s="168">
        <f t="shared" si="1168"/>
        <v>683.76068376068383</v>
      </c>
    </row>
    <row r="933" spans="1:58" s="129" customFormat="1" hidden="1">
      <c r="A933" s="88" t="s">
        <v>1276</v>
      </c>
      <c r="B933" s="88" t="s">
        <v>1846</v>
      </c>
      <c r="C933" s="88" t="s">
        <v>1318</v>
      </c>
      <c r="D933" s="88" t="s">
        <v>1102</v>
      </c>
      <c r="E933" s="91" t="s">
        <v>1844</v>
      </c>
      <c r="F933" s="90" t="s">
        <v>2207</v>
      </c>
      <c r="G933" s="92" t="s">
        <v>2640</v>
      </c>
      <c r="H933" s="92" t="s">
        <v>3258</v>
      </c>
      <c r="I933" s="132" t="s">
        <v>1935</v>
      </c>
      <c r="J933" s="132" t="str">
        <f>_xlfn.XLOOKUP(I933,[1]Sheet1!$A:$A,[1]Sheet1!$B:$B,"")</f>
        <v>U1403062</v>
      </c>
      <c r="K933" s="91" t="s">
        <v>2054</v>
      </c>
      <c r="L933" s="89" t="s">
        <v>2174</v>
      </c>
      <c r="M933" s="92"/>
      <c r="N933" s="91" t="s">
        <v>1223</v>
      </c>
      <c r="O933" s="131"/>
      <c r="P933" s="90" t="s">
        <v>2206</v>
      </c>
      <c r="Q933" s="131"/>
      <c r="R933" s="131"/>
      <c r="S933" s="92"/>
      <c r="T933" s="131">
        <v>9403208000</v>
      </c>
      <c r="U933" s="155">
        <v>0</v>
      </c>
      <c r="V933" s="131">
        <v>45</v>
      </c>
      <c r="W933" s="131">
        <v>45</v>
      </c>
      <c r="X933" s="131"/>
      <c r="Y933" s="131" t="s">
        <v>2436</v>
      </c>
      <c r="Z933" s="133">
        <f t="shared" si="1170"/>
        <v>641.09589041095887</v>
      </c>
      <c r="AA933" s="133"/>
      <c r="AB933" s="161">
        <f t="shared" si="1171"/>
        <v>541.31054131054134</v>
      </c>
      <c r="AC933" s="161"/>
      <c r="AD933" s="213">
        <f t="shared" si="1163"/>
        <v>0.05</v>
      </c>
      <c r="AE933" s="213">
        <v>0.05</v>
      </c>
      <c r="AF933" s="219">
        <v>0.25</v>
      </c>
      <c r="AG933" s="218" t="s">
        <v>9</v>
      </c>
      <c r="AH933" s="148">
        <f t="shared" si="1162"/>
        <v>541.31054131054134</v>
      </c>
      <c r="AI933" s="206">
        <f t="shared" si="1172"/>
        <v>0.25</v>
      </c>
      <c r="AJ933" s="444"/>
      <c r="AK933" s="150">
        <f t="shared" si="1169"/>
        <v>468</v>
      </c>
      <c r="AL933" s="202">
        <f t="shared" si="1173"/>
        <v>427.35042735042737</v>
      </c>
      <c r="AM933" s="208">
        <f t="shared" si="1174"/>
        <v>0.27</v>
      </c>
      <c r="AN933" s="208">
        <f t="shared" si="1175"/>
        <v>0.21052631578947367</v>
      </c>
      <c r="AP933" s="170" t="s">
        <v>1267</v>
      </c>
      <c r="AQ933" s="204"/>
      <c r="AR933" s="204"/>
      <c r="AS933" s="197"/>
      <c r="AT933" s="162"/>
      <c r="AU933" s="162"/>
      <c r="AV933" s="173"/>
      <c r="AW933" s="203">
        <v>380</v>
      </c>
      <c r="AX933" s="126">
        <f t="shared" si="1164"/>
        <v>405.982905982906</v>
      </c>
      <c r="AY933" s="163"/>
      <c r="AZ933" s="19"/>
      <c r="BB933" s="168">
        <f t="shared" si="1165"/>
        <v>1804.3684710351379</v>
      </c>
      <c r="BC933" s="168">
        <f t="shared" si="1166"/>
        <v>1082.6210826210827</v>
      </c>
      <c r="BD933" s="168">
        <f t="shared" si="1167"/>
        <v>902.18423551756894</v>
      </c>
      <c r="BE933" s="168">
        <f t="shared" si="1168"/>
        <v>721.74738841405519</v>
      </c>
    </row>
    <row r="934" spans="1:58" s="129" customFormat="1" hidden="1">
      <c r="A934" s="88" t="s">
        <v>1276</v>
      </c>
      <c r="B934" s="88" t="s">
        <v>1846</v>
      </c>
      <c r="C934" s="88" t="s">
        <v>1318</v>
      </c>
      <c r="D934" s="88" t="s">
        <v>1102</v>
      </c>
      <c r="E934" s="91" t="s">
        <v>1844</v>
      </c>
      <c r="F934" s="90" t="s">
        <v>2207</v>
      </c>
      <c r="G934" s="92" t="s">
        <v>2641</v>
      </c>
      <c r="H934" s="92" t="s">
        <v>3258</v>
      </c>
      <c r="I934" s="132" t="s">
        <v>1936</v>
      </c>
      <c r="J934" s="132" t="str">
        <f>_xlfn.XLOOKUP(I934,[1]Sheet1!$A:$A,[1]Sheet1!$B:$B,"")</f>
        <v>U1403063</v>
      </c>
      <c r="K934" s="91" t="s">
        <v>2055</v>
      </c>
      <c r="L934" s="89" t="s">
        <v>2175</v>
      </c>
      <c r="M934" s="92"/>
      <c r="N934" s="91" t="s">
        <v>1223</v>
      </c>
      <c r="O934" s="131"/>
      <c r="P934" s="90" t="s">
        <v>2206</v>
      </c>
      <c r="Q934" s="131"/>
      <c r="R934" s="131"/>
      <c r="S934" s="92"/>
      <c r="T934" s="131">
        <v>9403208000</v>
      </c>
      <c r="U934" s="155">
        <v>0</v>
      </c>
      <c r="V934" s="131">
        <v>45</v>
      </c>
      <c r="W934" s="131">
        <v>45</v>
      </c>
      <c r="X934" s="131"/>
      <c r="Y934" s="131" t="s">
        <v>2436</v>
      </c>
      <c r="Z934" s="133">
        <f t="shared" si="1170"/>
        <v>767.62797404470075</v>
      </c>
      <c r="AA934" s="133"/>
      <c r="AB934" s="161">
        <f t="shared" si="1171"/>
        <v>648.14814814814815</v>
      </c>
      <c r="AC934" s="161"/>
      <c r="AD934" s="213">
        <f t="shared" si="1163"/>
        <v>0.05</v>
      </c>
      <c r="AE934" s="213">
        <v>0.05</v>
      </c>
      <c r="AF934" s="219">
        <v>0.25</v>
      </c>
      <c r="AG934" s="218" t="s">
        <v>9</v>
      </c>
      <c r="AH934" s="148">
        <f t="shared" si="1162"/>
        <v>648.14814814814815</v>
      </c>
      <c r="AI934" s="206">
        <f t="shared" si="1172"/>
        <v>0.25</v>
      </c>
      <c r="AJ934" s="444"/>
      <c r="AK934" s="150">
        <f t="shared" si="1169"/>
        <v>560.36842105263156</v>
      </c>
      <c r="AL934" s="202">
        <f t="shared" si="1173"/>
        <v>511.69590643274859</v>
      </c>
      <c r="AM934" s="208">
        <f t="shared" si="1174"/>
        <v>0.27</v>
      </c>
      <c r="AN934" s="208">
        <f t="shared" si="1175"/>
        <v>0.21052631578947356</v>
      </c>
      <c r="AP934" s="170" t="s">
        <v>1267</v>
      </c>
      <c r="AQ934" s="204"/>
      <c r="AR934" s="204"/>
      <c r="AS934" s="197"/>
      <c r="AT934" s="162"/>
      <c r="AU934" s="162"/>
      <c r="AV934" s="173"/>
      <c r="AW934" s="203">
        <v>455</v>
      </c>
      <c r="AX934" s="126">
        <f t="shared" si="1164"/>
        <v>486.11111111111114</v>
      </c>
      <c r="AY934" s="163"/>
      <c r="AZ934" s="19"/>
      <c r="BB934" s="168">
        <f t="shared" si="1165"/>
        <v>2160.4938271604938</v>
      </c>
      <c r="BC934" s="168">
        <f t="shared" si="1166"/>
        <v>1296.2962962962963</v>
      </c>
      <c r="BD934" s="168">
        <f t="shared" si="1167"/>
        <v>1080.2469135802469</v>
      </c>
      <c r="BE934" s="168">
        <f t="shared" si="1168"/>
        <v>864.19753086419757</v>
      </c>
    </row>
    <row r="935" spans="1:58" s="129" customFormat="1" hidden="1">
      <c r="A935" s="88" t="s">
        <v>1276</v>
      </c>
      <c r="B935" s="88" t="s">
        <v>1846</v>
      </c>
      <c r="C935" s="88" t="s">
        <v>1318</v>
      </c>
      <c r="D935" s="88" t="s">
        <v>1102</v>
      </c>
      <c r="E935" s="91" t="s">
        <v>1844</v>
      </c>
      <c r="F935" s="90" t="s">
        <v>2207</v>
      </c>
      <c r="G935" s="92" t="s">
        <v>2640</v>
      </c>
      <c r="H935" s="92" t="s">
        <v>3259</v>
      </c>
      <c r="I935" s="132" t="s">
        <v>1937</v>
      </c>
      <c r="J935" s="132" t="str">
        <f>_xlfn.XLOOKUP(I935,[1]Sheet1!$A:$A,[1]Sheet1!$B:$B,"")</f>
        <v>U1403064</v>
      </c>
      <c r="K935" s="91" t="s">
        <v>2056</v>
      </c>
      <c r="L935" s="89" t="s">
        <v>2176</v>
      </c>
      <c r="M935" s="92"/>
      <c r="N935" s="91" t="s">
        <v>1223</v>
      </c>
      <c r="O935" s="131"/>
      <c r="P935" s="90" t="s">
        <v>2206</v>
      </c>
      <c r="Q935" s="131"/>
      <c r="R935" s="131"/>
      <c r="S935" s="92"/>
      <c r="T935" s="131">
        <v>9403208000</v>
      </c>
      <c r="U935" s="155">
        <v>0</v>
      </c>
      <c r="V935" s="131">
        <v>45</v>
      </c>
      <c r="W935" s="131">
        <v>45</v>
      </c>
      <c r="X935" s="131"/>
      <c r="Y935" s="131" t="s">
        <v>2436</v>
      </c>
      <c r="Z935" s="133">
        <f t="shared" si="1170"/>
        <v>717.01514059120404</v>
      </c>
      <c r="AA935" s="133"/>
      <c r="AB935" s="161">
        <f>AX935/(1-AF935)</f>
        <v>605.41310541310543</v>
      </c>
      <c r="AC935" s="161"/>
      <c r="AD935" s="213">
        <f t="shared" si="1163"/>
        <v>0.05</v>
      </c>
      <c r="AE935" s="213">
        <v>0.05</v>
      </c>
      <c r="AF935" s="219">
        <v>0.25</v>
      </c>
      <c r="AG935" s="218" t="s">
        <v>9</v>
      </c>
      <c r="AH935" s="148">
        <f t="shared" si="1162"/>
        <v>605.41310541310543</v>
      </c>
      <c r="AI935" s="206">
        <f t="shared" si="1172"/>
        <v>0.25</v>
      </c>
      <c r="AJ935" s="444"/>
      <c r="AK935" s="150">
        <f t="shared" si="1169"/>
        <v>523.42105263157896</v>
      </c>
      <c r="AL935" s="202">
        <f t="shared" si="1173"/>
        <v>477.95771479982011</v>
      </c>
      <c r="AM935" s="208">
        <f t="shared" si="1174"/>
        <v>0.27</v>
      </c>
      <c r="AN935" s="208">
        <f t="shared" si="1175"/>
        <v>0.21052631578947367</v>
      </c>
      <c r="AP935" s="170" t="s">
        <v>1267</v>
      </c>
      <c r="AQ935" s="204"/>
      <c r="AR935" s="204"/>
      <c r="AS935" s="197"/>
      <c r="AT935" s="162"/>
      <c r="AU935" s="162"/>
      <c r="AV935" s="173"/>
      <c r="AW935" s="203">
        <v>425</v>
      </c>
      <c r="AX935" s="126">
        <f t="shared" si="1164"/>
        <v>454.0598290598291</v>
      </c>
      <c r="AY935" s="163"/>
      <c r="AZ935" s="19"/>
      <c r="BB935" s="168">
        <f t="shared" si="1165"/>
        <v>2018.0436847103515</v>
      </c>
      <c r="BC935" s="168">
        <f t="shared" si="1166"/>
        <v>1210.8262108262109</v>
      </c>
      <c r="BD935" s="168">
        <f t="shared" si="1167"/>
        <v>1009.0218423551757</v>
      </c>
      <c r="BE935" s="168">
        <f t="shared" si="1168"/>
        <v>807.21747388414065</v>
      </c>
    </row>
    <row r="936" spans="1:58" s="129" customFormat="1" hidden="1">
      <c r="A936" s="88" t="s">
        <v>1276</v>
      </c>
      <c r="B936" s="88" t="s">
        <v>1846</v>
      </c>
      <c r="C936" s="88" t="s">
        <v>1318</v>
      </c>
      <c r="D936" s="88" t="s">
        <v>1102</v>
      </c>
      <c r="E936" s="91" t="s">
        <v>1844</v>
      </c>
      <c r="F936" s="90" t="s">
        <v>2207</v>
      </c>
      <c r="G936" s="92" t="s">
        <v>2641</v>
      </c>
      <c r="H936" s="92" t="s">
        <v>3259</v>
      </c>
      <c r="I936" s="132" t="s">
        <v>1938</v>
      </c>
      <c r="J936" s="132" t="str">
        <f>_xlfn.XLOOKUP(I936,[1]Sheet1!$A:$A,[1]Sheet1!$B:$B,"")</f>
        <v>U1403065</v>
      </c>
      <c r="K936" s="91" t="s">
        <v>2057</v>
      </c>
      <c r="L936" s="89" t="s">
        <v>2177</v>
      </c>
      <c r="M936" s="92"/>
      <c r="N936" s="91" t="s">
        <v>1223</v>
      </c>
      <c r="O936" s="131"/>
      <c r="P936" s="90" t="s">
        <v>2206</v>
      </c>
      <c r="Q936" s="131"/>
      <c r="R936" s="131"/>
      <c r="S936" s="92"/>
      <c r="T936" s="131">
        <v>9403208000</v>
      </c>
      <c r="U936" s="155">
        <v>0</v>
      </c>
      <c r="V936" s="131">
        <v>45</v>
      </c>
      <c r="W936" s="131">
        <v>45</v>
      </c>
      <c r="X936" s="131"/>
      <c r="Y936" s="131" t="s">
        <v>2436</v>
      </c>
      <c r="Z936" s="133">
        <f t="shared" si="1170"/>
        <v>784.49891852919984</v>
      </c>
      <c r="AA936" s="133"/>
      <c r="AB936" s="161">
        <f t="shared" si="1171"/>
        <v>662.39316239316247</v>
      </c>
      <c r="AC936" s="161"/>
      <c r="AD936" s="213">
        <f t="shared" si="1163"/>
        <v>0.05</v>
      </c>
      <c r="AE936" s="213">
        <v>0.05</v>
      </c>
      <c r="AF936" s="219">
        <v>0.25</v>
      </c>
      <c r="AG936" s="218" t="s">
        <v>9</v>
      </c>
      <c r="AH936" s="148">
        <f t="shared" si="1162"/>
        <v>662.39316239316247</v>
      </c>
      <c r="AI936" s="206">
        <f t="shared" si="1172"/>
        <v>0.25</v>
      </c>
      <c r="AJ936" s="444"/>
      <c r="AK936" s="150">
        <f t="shared" si="1169"/>
        <v>572.68421052631584</v>
      </c>
      <c r="AL936" s="202">
        <f t="shared" si="1173"/>
        <v>522.94197031039141</v>
      </c>
      <c r="AM936" s="208">
        <f t="shared" si="1174"/>
        <v>0.27</v>
      </c>
      <c r="AN936" s="208">
        <f t="shared" si="1175"/>
        <v>0.21052631578947367</v>
      </c>
      <c r="AP936" s="170" t="s">
        <v>1267</v>
      </c>
      <c r="AQ936" s="204"/>
      <c r="AR936" s="204"/>
      <c r="AS936" s="197"/>
      <c r="AT936" s="162"/>
      <c r="AU936" s="162"/>
      <c r="AV936" s="173"/>
      <c r="AW936" s="203">
        <v>465</v>
      </c>
      <c r="AX936" s="126">
        <f t="shared" ref="AX936:AX974" si="1176">AW936/$F$6*1.25+AW936*U936</f>
        <v>496.79487179487182</v>
      </c>
      <c r="AY936" s="163"/>
      <c r="AZ936" s="19"/>
      <c r="BB936" s="168">
        <f t="shared" si="1165"/>
        <v>2207.9772079772083</v>
      </c>
      <c r="BC936" s="168">
        <f t="shared" si="1166"/>
        <v>1324.7863247863249</v>
      </c>
      <c r="BD936" s="168">
        <f t="shared" si="1167"/>
        <v>1103.9886039886042</v>
      </c>
      <c r="BE936" s="168">
        <f t="shared" si="1168"/>
        <v>883.19088319088337</v>
      </c>
    </row>
    <row r="937" spans="1:58" s="129" customFormat="1" hidden="1">
      <c r="A937" s="88" t="s">
        <v>1276</v>
      </c>
      <c r="B937" s="88" t="s">
        <v>1846</v>
      </c>
      <c r="C937" s="88" t="s">
        <v>1318</v>
      </c>
      <c r="D937" s="88" t="s">
        <v>1102</v>
      </c>
      <c r="E937" s="91" t="s">
        <v>1844</v>
      </c>
      <c r="F937" s="90" t="s">
        <v>2207</v>
      </c>
      <c r="G937" s="92" t="s">
        <v>2640</v>
      </c>
      <c r="H937" s="92" t="s">
        <v>3260</v>
      </c>
      <c r="I937" s="132" t="s">
        <v>1939</v>
      </c>
      <c r="J937" s="132" t="str">
        <f>_xlfn.XLOOKUP(I937,[1]Sheet1!$A:$A,[1]Sheet1!$B:$B,"")</f>
        <v>U1403066</v>
      </c>
      <c r="K937" s="91" t="s">
        <v>2058</v>
      </c>
      <c r="L937" s="89" t="s">
        <v>2178</v>
      </c>
      <c r="M937" s="92"/>
      <c r="N937" s="91" t="s">
        <v>1223</v>
      </c>
      <c r="O937" s="131"/>
      <c r="P937" s="90" t="s">
        <v>2206</v>
      </c>
      <c r="Q937" s="131"/>
      <c r="R937" s="131"/>
      <c r="S937" s="92"/>
      <c r="T937" s="131">
        <v>9403208000</v>
      </c>
      <c r="U937" s="155">
        <v>0</v>
      </c>
      <c r="V937" s="131">
        <v>45</v>
      </c>
      <c r="W937" s="131">
        <v>45</v>
      </c>
      <c r="X937" s="131"/>
      <c r="Y937" s="131" t="s">
        <v>1706</v>
      </c>
      <c r="Z937" s="133">
        <f t="shared" ref="Z937:Z945" si="1177">AK937/(1-(AF937+2%))</f>
        <v>792.93439077144922</v>
      </c>
      <c r="AA937" s="133"/>
      <c r="AB937" s="161">
        <f t="shared" ref="AB937:AB945" si="1178">AX937/(1-AF937)</f>
        <v>669.51566951566963</v>
      </c>
      <c r="AC937" s="161"/>
      <c r="AD937" s="213">
        <f t="shared" ref="AD937:AD945" si="1179">AE937</f>
        <v>0.05</v>
      </c>
      <c r="AE937" s="213">
        <v>0.05</v>
      </c>
      <c r="AF937" s="219">
        <v>0.25</v>
      </c>
      <c r="AG937" s="218" t="s">
        <v>9</v>
      </c>
      <c r="AH937" s="148">
        <f t="shared" ref="AH937:AH945" si="1180">AB937</f>
        <v>669.51566951566963</v>
      </c>
      <c r="AI937" s="206">
        <f t="shared" ref="AI937:AI945" si="1181">1-(AX937/AH937)</f>
        <v>0.25</v>
      </c>
      <c r="AJ937" s="444"/>
      <c r="AK937" s="150">
        <f t="shared" ref="AK937:AK945" si="1182">AW937/(1-AD937)*$F$6</f>
        <v>578.84210526315792</v>
      </c>
      <c r="AL937" s="202">
        <f t="shared" ref="AL937:AL945" si="1183">AX937/(1-AE937)</f>
        <v>528.56500224921285</v>
      </c>
      <c r="AM937" s="208">
        <f t="shared" ref="AM937:AM945" si="1184">1-(AK937/Z937)</f>
        <v>0.27</v>
      </c>
      <c r="AN937" s="208">
        <f t="shared" ref="AN937:AN945" si="1185">1-(AL937/AB937)</f>
        <v>0.21052631578947367</v>
      </c>
      <c r="AP937" s="170" t="s">
        <v>1267</v>
      </c>
      <c r="AQ937" s="204"/>
      <c r="AR937" s="204"/>
      <c r="AS937" s="197"/>
      <c r="AT937" s="162"/>
      <c r="AU937" s="162"/>
      <c r="AV937" s="173"/>
      <c r="AW937" s="203">
        <v>470</v>
      </c>
      <c r="AX937" s="126">
        <f t="shared" si="1176"/>
        <v>502.13675213675219</v>
      </c>
      <c r="AY937" s="163"/>
      <c r="AZ937" s="19"/>
      <c r="BB937" s="168">
        <f t="shared" si="1165"/>
        <v>2231.7188983855654</v>
      </c>
      <c r="BC937" s="168">
        <f t="shared" si="1166"/>
        <v>1339.0313390313393</v>
      </c>
      <c r="BD937" s="168">
        <f t="shared" si="1167"/>
        <v>1115.8594491927827</v>
      </c>
      <c r="BE937" s="168">
        <f t="shared" si="1168"/>
        <v>892.68755935422621</v>
      </c>
    </row>
    <row r="938" spans="1:58" s="129" customFormat="1" hidden="1">
      <c r="A938" s="88" t="s">
        <v>1276</v>
      </c>
      <c r="B938" s="88" t="s">
        <v>1846</v>
      </c>
      <c r="C938" s="88" t="s">
        <v>1318</v>
      </c>
      <c r="D938" s="88" t="s">
        <v>1102</v>
      </c>
      <c r="E938" s="91" t="s">
        <v>1844</v>
      </c>
      <c r="F938" s="90" t="s">
        <v>2207</v>
      </c>
      <c r="G938" s="92" t="s">
        <v>2641</v>
      </c>
      <c r="H938" s="92" t="s">
        <v>3260</v>
      </c>
      <c r="I938" s="132" t="s">
        <v>1940</v>
      </c>
      <c r="J938" s="132" t="str">
        <f>_xlfn.XLOOKUP(I938,[1]Sheet1!$A:$A,[1]Sheet1!$B:$B,"")</f>
        <v>U1403067</v>
      </c>
      <c r="K938" s="91" t="s">
        <v>2059</v>
      </c>
      <c r="L938" s="89" t="s">
        <v>2179</v>
      </c>
      <c r="M938" s="92"/>
      <c r="N938" s="91" t="s">
        <v>1223</v>
      </c>
      <c r="O938" s="131"/>
      <c r="P938" s="90" t="s">
        <v>2206</v>
      </c>
      <c r="Q938" s="131"/>
      <c r="R938" s="131"/>
      <c r="S938" s="92"/>
      <c r="T938" s="131">
        <v>9403208000</v>
      </c>
      <c r="U938" s="155">
        <v>0</v>
      </c>
      <c r="V938" s="131">
        <v>45</v>
      </c>
      <c r="W938" s="131">
        <v>45</v>
      </c>
      <c r="X938" s="131"/>
      <c r="Y938" s="131" t="s">
        <v>1706</v>
      </c>
      <c r="Z938" s="133">
        <f t="shared" si="1177"/>
        <v>868.85364095169439</v>
      </c>
      <c r="AA938" s="133"/>
      <c r="AB938" s="161">
        <f t="shared" si="1178"/>
        <v>733.61823361823372</v>
      </c>
      <c r="AC938" s="161"/>
      <c r="AD938" s="213">
        <f t="shared" si="1179"/>
        <v>0.05</v>
      </c>
      <c r="AE938" s="213">
        <v>0.05</v>
      </c>
      <c r="AF938" s="219">
        <v>0.25</v>
      </c>
      <c r="AG938" s="218" t="s">
        <v>9</v>
      </c>
      <c r="AH938" s="148">
        <f t="shared" si="1180"/>
        <v>733.61823361823372</v>
      </c>
      <c r="AI938" s="206">
        <f t="shared" si="1181"/>
        <v>0.25</v>
      </c>
      <c r="AJ938" s="444"/>
      <c r="AK938" s="150">
        <f t="shared" si="1182"/>
        <v>634.26315789473688</v>
      </c>
      <c r="AL938" s="202">
        <f t="shared" si="1183"/>
        <v>579.1722896986056</v>
      </c>
      <c r="AM938" s="208">
        <f t="shared" si="1184"/>
        <v>0.27</v>
      </c>
      <c r="AN938" s="208">
        <f t="shared" si="1185"/>
        <v>0.21052631578947367</v>
      </c>
      <c r="AP938" s="170" t="s">
        <v>1267</v>
      </c>
      <c r="AQ938" s="204"/>
      <c r="AR938" s="204"/>
      <c r="AS938" s="197"/>
      <c r="AT938" s="162"/>
      <c r="AU938" s="162"/>
      <c r="AV938" s="173"/>
      <c r="AW938" s="203">
        <v>515</v>
      </c>
      <c r="AX938" s="126">
        <f t="shared" si="1176"/>
        <v>550.21367521367529</v>
      </c>
      <c r="AY938" s="163"/>
      <c r="AZ938" s="19"/>
      <c r="BB938" s="168">
        <f t="shared" si="1165"/>
        <v>2445.3941120607792</v>
      </c>
      <c r="BC938" s="168">
        <f t="shared" si="1166"/>
        <v>1467.2364672364674</v>
      </c>
      <c r="BD938" s="168">
        <f t="shared" si="1167"/>
        <v>1222.6970560303896</v>
      </c>
      <c r="BE938" s="168">
        <f t="shared" si="1168"/>
        <v>978.15764482431177</v>
      </c>
    </row>
    <row r="939" spans="1:58" s="347" customFormat="1" hidden="1">
      <c r="A939" s="333" t="s">
        <v>1276</v>
      </c>
      <c r="B939" s="333" t="s">
        <v>1846</v>
      </c>
      <c r="C939" s="333" t="s">
        <v>1318</v>
      </c>
      <c r="D939" s="333" t="s">
        <v>1102</v>
      </c>
      <c r="E939" s="348" t="s">
        <v>1844</v>
      </c>
      <c r="F939" s="349" t="s">
        <v>2207</v>
      </c>
      <c r="G939" s="335" t="s">
        <v>2639</v>
      </c>
      <c r="H939" s="335" t="s">
        <v>3604</v>
      </c>
      <c r="I939" s="350" t="s">
        <v>3598</v>
      </c>
      <c r="J939" s="350"/>
      <c r="K939" s="348" t="s">
        <v>3613</v>
      </c>
      <c r="L939" s="334" t="s">
        <v>3611</v>
      </c>
      <c r="M939" s="335"/>
      <c r="N939" s="348" t="s">
        <v>1223</v>
      </c>
      <c r="O939" s="351"/>
      <c r="P939" s="349" t="s">
        <v>2206</v>
      </c>
      <c r="Q939" s="351"/>
      <c r="R939" s="351"/>
      <c r="S939" s="335"/>
      <c r="T939" s="351">
        <v>9403208000</v>
      </c>
      <c r="U939" s="336">
        <v>0</v>
      </c>
      <c r="V939" s="351">
        <v>45</v>
      </c>
      <c r="W939" s="351">
        <v>45</v>
      </c>
      <c r="X939" s="351"/>
      <c r="Y939" s="351" t="s">
        <v>1706</v>
      </c>
      <c r="Z939" s="338">
        <f t="shared" si="1177"/>
        <v>778.76279740447023</v>
      </c>
      <c r="AA939" s="338"/>
      <c r="AB939" s="339">
        <f t="shared" si="1178"/>
        <v>657.54985754985762</v>
      </c>
      <c r="AC939" s="339"/>
      <c r="AD939" s="340">
        <f t="shared" si="1179"/>
        <v>0.05</v>
      </c>
      <c r="AE939" s="340">
        <v>0.05</v>
      </c>
      <c r="AF939" s="352">
        <v>0.25</v>
      </c>
      <c r="AG939" s="337" t="s">
        <v>9</v>
      </c>
      <c r="AH939" s="353">
        <f t="shared" si="1180"/>
        <v>657.54985754985762</v>
      </c>
      <c r="AI939" s="354">
        <f t="shared" si="1181"/>
        <v>0.25</v>
      </c>
      <c r="AJ939" s="444"/>
      <c r="AK939" s="342">
        <f t="shared" si="1182"/>
        <v>568.49684210526323</v>
      </c>
      <c r="AL939" s="355">
        <f t="shared" si="1183"/>
        <v>519.1183085919929</v>
      </c>
      <c r="AM939" s="356">
        <f t="shared" si="1184"/>
        <v>0.27</v>
      </c>
      <c r="AN939" s="356">
        <f t="shared" si="1185"/>
        <v>0.21052631578947367</v>
      </c>
      <c r="AP939" s="357" t="s">
        <v>1267</v>
      </c>
      <c r="AQ939" s="358"/>
      <c r="AR939" s="358"/>
      <c r="AS939" s="359"/>
      <c r="AT939" s="360"/>
      <c r="AU939" s="360"/>
      <c r="AV939" s="361"/>
      <c r="AW939" s="362">
        <v>461.6</v>
      </c>
      <c r="AX939" s="346">
        <f t="shared" si="1176"/>
        <v>493.16239316239319</v>
      </c>
      <c r="AY939" s="363"/>
      <c r="AZ939" s="364"/>
      <c r="BB939" s="339"/>
      <c r="BC939" s="339"/>
      <c r="BD939" s="339"/>
      <c r="BE939" s="339"/>
      <c r="BF939" s="129"/>
    </row>
    <row r="940" spans="1:58" s="347" customFormat="1" hidden="1">
      <c r="A940" s="333" t="s">
        <v>1276</v>
      </c>
      <c r="B940" s="333" t="s">
        <v>1846</v>
      </c>
      <c r="C940" s="333" t="s">
        <v>1318</v>
      </c>
      <c r="D940" s="333" t="s">
        <v>1102</v>
      </c>
      <c r="E940" s="348" t="s">
        <v>1844</v>
      </c>
      <c r="F940" s="349" t="s">
        <v>2207</v>
      </c>
      <c r="G940" s="335" t="s">
        <v>2640</v>
      </c>
      <c r="H940" s="335" t="s">
        <v>3604</v>
      </c>
      <c r="I940" s="350" t="s">
        <v>3599</v>
      </c>
      <c r="J940" s="350"/>
      <c r="K940" s="348" t="s">
        <v>3614</v>
      </c>
      <c r="L940" s="334" t="s">
        <v>3612</v>
      </c>
      <c r="M940" s="335"/>
      <c r="N940" s="348" t="s">
        <v>1223</v>
      </c>
      <c r="O940" s="351"/>
      <c r="P940" s="349" t="s">
        <v>2206</v>
      </c>
      <c r="Q940" s="351"/>
      <c r="R940" s="351"/>
      <c r="S940" s="335"/>
      <c r="T940" s="351">
        <v>9403208000</v>
      </c>
      <c r="U940" s="336">
        <v>0</v>
      </c>
      <c r="V940" s="351">
        <v>45</v>
      </c>
      <c r="W940" s="351">
        <v>45</v>
      </c>
      <c r="X940" s="351"/>
      <c r="Y940" s="351" t="s">
        <v>1706</v>
      </c>
      <c r="Z940" s="338">
        <f t="shared" si="1177"/>
        <v>852.4888248017304</v>
      </c>
      <c r="AA940" s="338"/>
      <c r="AB940" s="339">
        <f t="shared" si="1178"/>
        <v>719.80056980056986</v>
      </c>
      <c r="AC940" s="339"/>
      <c r="AD940" s="340">
        <f t="shared" si="1179"/>
        <v>0.05</v>
      </c>
      <c r="AE940" s="340">
        <v>0.05</v>
      </c>
      <c r="AF940" s="352">
        <v>0.25</v>
      </c>
      <c r="AG940" s="337" t="s">
        <v>9</v>
      </c>
      <c r="AH940" s="353">
        <f t="shared" si="1180"/>
        <v>719.80056980056986</v>
      </c>
      <c r="AI940" s="354">
        <f t="shared" si="1181"/>
        <v>0.25</v>
      </c>
      <c r="AJ940" s="444"/>
      <c r="AK940" s="342">
        <f t="shared" si="1182"/>
        <v>622.31684210526316</v>
      </c>
      <c r="AL940" s="355">
        <f t="shared" si="1183"/>
        <v>568.26360773729198</v>
      </c>
      <c r="AM940" s="356">
        <f t="shared" si="1184"/>
        <v>0.27</v>
      </c>
      <c r="AN940" s="356">
        <f t="shared" si="1185"/>
        <v>0.21052631578947367</v>
      </c>
      <c r="AP940" s="357" t="s">
        <v>1267</v>
      </c>
      <c r="AQ940" s="358"/>
      <c r="AR940" s="358"/>
      <c r="AS940" s="359"/>
      <c r="AT940" s="360"/>
      <c r="AU940" s="360"/>
      <c r="AV940" s="361"/>
      <c r="AW940" s="362">
        <v>505.3</v>
      </c>
      <c r="AX940" s="346">
        <f t="shared" si="1176"/>
        <v>539.85042735042737</v>
      </c>
      <c r="AY940" s="363"/>
      <c r="AZ940" s="364"/>
      <c r="BB940" s="339"/>
      <c r="BC940" s="339"/>
      <c r="BD940" s="339"/>
      <c r="BE940" s="339"/>
      <c r="BF940" s="129"/>
    </row>
    <row r="941" spans="1:58" s="347" customFormat="1" hidden="1">
      <c r="A941" s="333" t="s">
        <v>1276</v>
      </c>
      <c r="B941" s="333" t="s">
        <v>1846</v>
      </c>
      <c r="C941" s="333" t="s">
        <v>1318</v>
      </c>
      <c r="D941" s="333" t="s">
        <v>1102</v>
      </c>
      <c r="E941" s="348" t="s">
        <v>1844</v>
      </c>
      <c r="F941" s="349" t="s">
        <v>2207</v>
      </c>
      <c r="G941" s="335" t="s">
        <v>2641</v>
      </c>
      <c r="H941" s="335" t="s">
        <v>3604</v>
      </c>
      <c r="I941" s="350" t="s">
        <v>3600</v>
      </c>
      <c r="J941" s="350"/>
      <c r="K941" s="348" t="s">
        <v>3616</v>
      </c>
      <c r="L941" s="334" t="s">
        <v>3615</v>
      </c>
      <c r="M941" s="335"/>
      <c r="N941" s="348" t="s">
        <v>1223</v>
      </c>
      <c r="O941" s="351"/>
      <c r="P941" s="349" t="s">
        <v>2206</v>
      </c>
      <c r="Q941" s="351"/>
      <c r="R941" s="351"/>
      <c r="S941" s="335"/>
      <c r="T941" s="351">
        <v>9403208000</v>
      </c>
      <c r="U941" s="336">
        <v>0</v>
      </c>
      <c r="V941" s="351">
        <v>45</v>
      </c>
      <c r="W941" s="351">
        <v>45</v>
      </c>
      <c r="X941" s="351"/>
      <c r="Y941" s="351" t="s">
        <v>1706</v>
      </c>
      <c r="Z941" s="338">
        <f t="shared" si="1177"/>
        <v>893.65392934390775</v>
      </c>
      <c r="AA941" s="338"/>
      <c r="AB941" s="339">
        <f t="shared" si="1178"/>
        <v>754.55840455840462</v>
      </c>
      <c r="AC941" s="339"/>
      <c r="AD941" s="340">
        <f t="shared" si="1179"/>
        <v>0.05</v>
      </c>
      <c r="AE941" s="340">
        <v>0.05</v>
      </c>
      <c r="AF941" s="352">
        <v>0.25</v>
      </c>
      <c r="AG941" s="337" t="s">
        <v>9</v>
      </c>
      <c r="AH941" s="353">
        <f t="shared" si="1180"/>
        <v>754.55840455840462</v>
      </c>
      <c r="AI941" s="354">
        <f t="shared" si="1181"/>
        <v>0.25</v>
      </c>
      <c r="AJ941" s="444"/>
      <c r="AK941" s="342">
        <f t="shared" si="1182"/>
        <v>652.36736842105267</v>
      </c>
      <c r="AL941" s="355">
        <f t="shared" si="1183"/>
        <v>595.70400359874054</v>
      </c>
      <c r="AM941" s="356">
        <f t="shared" si="1184"/>
        <v>0.27</v>
      </c>
      <c r="AN941" s="356">
        <f t="shared" si="1185"/>
        <v>0.21052631578947356</v>
      </c>
      <c r="AP941" s="357" t="s">
        <v>1267</v>
      </c>
      <c r="AQ941" s="358"/>
      <c r="AR941" s="358"/>
      <c r="AS941" s="359"/>
      <c r="AT941" s="360"/>
      <c r="AU941" s="360"/>
      <c r="AV941" s="361"/>
      <c r="AW941" s="362">
        <v>529.70000000000005</v>
      </c>
      <c r="AX941" s="346">
        <f t="shared" si="1176"/>
        <v>565.91880341880346</v>
      </c>
      <c r="AY941" s="363"/>
      <c r="AZ941" s="364"/>
      <c r="BB941" s="339"/>
      <c r="BC941" s="339"/>
      <c r="BD941" s="339"/>
      <c r="BE941" s="339"/>
      <c r="BF941" s="129"/>
    </row>
    <row r="942" spans="1:58" s="347" customFormat="1" hidden="1">
      <c r="A942" s="333" t="s">
        <v>1276</v>
      </c>
      <c r="B942" s="333" t="s">
        <v>1846</v>
      </c>
      <c r="C942" s="333" t="s">
        <v>1318</v>
      </c>
      <c r="D942" s="333" t="s">
        <v>1102</v>
      </c>
      <c r="E942" s="348" t="s">
        <v>1844</v>
      </c>
      <c r="F942" s="349" t="s">
        <v>2207</v>
      </c>
      <c r="G942" s="335" t="s">
        <v>2639</v>
      </c>
      <c r="H942" s="335" t="s">
        <v>3604</v>
      </c>
      <c r="I942" s="350" t="s">
        <v>3601</v>
      </c>
      <c r="J942" s="350"/>
      <c r="K942" s="348" t="s">
        <v>3605</v>
      </c>
      <c r="L942" s="334" t="s">
        <v>3608</v>
      </c>
      <c r="M942" s="335"/>
      <c r="N942" s="348" t="s">
        <v>1223</v>
      </c>
      <c r="O942" s="351"/>
      <c r="P942" s="349" t="s">
        <v>2206</v>
      </c>
      <c r="Q942" s="351"/>
      <c r="R942" s="351"/>
      <c r="S942" s="335"/>
      <c r="T942" s="351">
        <v>9403208000</v>
      </c>
      <c r="U942" s="336">
        <v>0</v>
      </c>
      <c r="V942" s="351">
        <v>45</v>
      </c>
      <c r="W942" s="351">
        <v>45</v>
      </c>
      <c r="X942" s="351"/>
      <c r="Y942" s="351" t="s">
        <v>1706</v>
      </c>
      <c r="Z942" s="338">
        <f t="shared" si="1177"/>
        <v>839.4981975486661</v>
      </c>
      <c r="AA942" s="338"/>
      <c r="AB942" s="339">
        <f t="shared" si="1178"/>
        <v>708.83190883190889</v>
      </c>
      <c r="AC942" s="339"/>
      <c r="AD942" s="340">
        <f t="shared" si="1179"/>
        <v>0.05</v>
      </c>
      <c r="AE942" s="340">
        <v>0.05</v>
      </c>
      <c r="AF942" s="352">
        <v>0.25</v>
      </c>
      <c r="AG942" s="337" t="s">
        <v>9</v>
      </c>
      <c r="AH942" s="353">
        <f t="shared" si="1180"/>
        <v>708.83190883190889</v>
      </c>
      <c r="AI942" s="354">
        <f t="shared" si="1181"/>
        <v>0.25</v>
      </c>
      <c r="AJ942" s="444"/>
      <c r="AK942" s="342">
        <f t="shared" si="1182"/>
        <v>612.83368421052626</v>
      </c>
      <c r="AL942" s="355">
        <f t="shared" si="1183"/>
        <v>559.60413855150705</v>
      </c>
      <c r="AM942" s="356">
        <f t="shared" si="1184"/>
        <v>0.27</v>
      </c>
      <c r="AN942" s="356">
        <f t="shared" si="1185"/>
        <v>0.21052631578947367</v>
      </c>
      <c r="AP942" s="357" t="s">
        <v>1267</v>
      </c>
      <c r="AQ942" s="358"/>
      <c r="AR942" s="358"/>
      <c r="AS942" s="359"/>
      <c r="AT942" s="360"/>
      <c r="AU942" s="360"/>
      <c r="AV942" s="361"/>
      <c r="AW942" s="362">
        <v>497.6</v>
      </c>
      <c r="AX942" s="346">
        <f t="shared" si="1176"/>
        <v>531.62393162393164</v>
      </c>
      <c r="AY942" s="363"/>
      <c r="AZ942" s="364"/>
      <c r="BB942" s="339"/>
      <c r="BC942" s="339"/>
      <c r="BD942" s="339"/>
      <c r="BE942" s="339"/>
      <c r="BF942" s="129"/>
    </row>
    <row r="943" spans="1:58" s="347" customFormat="1" hidden="1">
      <c r="A943" s="333" t="s">
        <v>1276</v>
      </c>
      <c r="B943" s="333" t="s">
        <v>1846</v>
      </c>
      <c r="C943" s="333" t="s">
        <v>1318</v>
      </c>
      <c r="D943" s="333" t="s">
        <v>1102</v>
      </c>
      <c r="E943" s="348" t="s">
        <v>1844</v>
      </c>
      <c r="F943" s="349" t="s">
        <v>2207</v>
      </c>
      <c r="G943" s="335" t="s">
        <v>2640</v>
      </c>
      <c r="H943" s="335" t="s">
        <v>3604</v>
      </c>
      <c r="I943" s="350" t="s">
        <v>3602</v>
      </c>
      <c r="J943" s="350"/>
      <c r="K943" s="348" t="s">
        <v>3606</v>
      </c>
      <c r="L943" s="334" t="s">
        <v>3609</v>
      </c>
      <c r="M943" s="335"/>
      <c r="N943" s="348" t="s">
        <v>1223</v>
      </c>
      <c r="O943" s="351"/>
      <c r="P943" s="349" t="s">
        <v>2206</v>
      </c>
      <c r="Q943" s="351"/>
      <c r="R943" s="351"/>
      <c r="S943" s="335"/>
      <c r="T943" s="351">
        <v>9403208000</v>
      </c>
      <c r="U943" s="336">
        <v>0</v>
      </c>
      <c r="V943" s="351">
        <v>45</v>
      </c>
      <c r="W943" s="351">
        <v>45</v>
      </c>
      <c r="X943" s="351"/>
      <c r="Y943" s="351" t="s">
        <v>1706</v>
      </c>
      <c r="Z943" s="338">
        <f t="shared" si="1177"/>
        <v>912.88680605623665</v>
      </c>
      <c r="AA943" s="338"/>
      <c r="AB943" s="339">
        <f t="shared" si="1178"/>
        <v>770.7977207977209</v>
      </c>
      <c r="AC943" s="339"/>
      <c r="AD943" s="340">
        <f t="shared" si="1179"/>
        <v>0.05</v>
      </c>
      <c r="AE943" s="340">
        <v>0.05</v>
      </c>
      <c r="AF943" s="352">
        <v>0.25</v>
      </c>
      <c r="AG943" s="337" t="s">
        <v>9</v>
      </c>
      <c r="AH943" s="353">
        <f t="shared" si="1180"/>
        <v>770.7977207977209</v>
      </c>
      <c r="AI943" s="354">
        <f t="shared" si="1181"/>
        <v>0.25</v>
      </c>
      <c r="AJ943" s="444"/>
      <c r="AK943" s="342">
        <f t="shared" si="1182"/>
        <v>666.40736842105275</v>
      </c>
      <c r="AL943" s="355">
        <f t="shared" si="1183"/>
        <v>608.52451641925336</v>
      </c>
      <c r="AM943" s="356">
        <f t="shared" si="1184"/>
        <v>0.27</v>
      </c>
      <c r="AN943" s="356">
        <f t="shared" si="1185"/>
        <v>0.21052631578947367</v>
      </c>
      <c r="AP943" s="357" t="s">
        <v>1267</v>
      </c>
      <c r="AQ943" s="358"/>
      <c r="AR943" s="358"/>
      <c r="AS943" s="359"/>
      <c r="AT943" s="360"/>
      <c r="AU943" s="360"/>
      <c r="AV943" s="361"/>
      <c r="AW943" s="362">
        <v>541.1</v>
      </c>
      <c r="AX943" s="346">
        <f t="shared" si="1176"/>
        <v>578.09829059829065</v>
      </c>
      <c r="AY943" s="363"/>
      <c r="AZ943" s="364"/>
      <c r="BB943" s="339"/>
      <c r="BC943" s="339"/>
      <c r="BD943" s="339"/>
      <c r="BE943" s="339"/>
      <c r="BF943" s="129"/>
    </row>
    <row r="944" spans="1:58" s="347" customFormat="1" hidden="1">
      <c r="A944" s="333" t="s">
        <v>1276</v>
      </c>
      <c r="B944" s="333" t="s">
        <v>1846</v>
      </c>
      <c r="C944" s="333" t="s">
        <v>1318</v>
      </c>
      <c r="D944" s="333" t="s">
        <v>1102</v>
      </c>
      <c r="E944" s="348" t="s">
        <v>1844</v>
      </c>
      <c r="F944" s="349" t="s">
        <v>2207</v>
      </c>
      <c r="G944" s="335" t="s">
        <v>2641</v>
      </c>
      <c r="H944" s="335" t="s">
        <v>3604</v>
      </c>
      <c r="I944" s="350" t="s">
        <v>3603</v>
      </c>
      <c r="J944" s="350"/>
      <c r="K944" s="348" t="s">
        <v>3607</v>
      </c>
      <c r="L944" s="334" t="s">
        <v>3610</v>
      </c>
      <c r="M944" s="335"/>
      <c r="N944" s="348" t="s">
        <v>1223</v>
      </c>
      <c r="O944" s="351"/>
      <c r="P944" s="349" t="s">
        <v>2206</v>
      </c>
      <c r="Q944" s="351"/>
      <c r="R944" s="351"/>
      <c r="S944" s="335"/>
      <c r="T944" s="351">
        <v>9403208000</v>
      </c>
      <c r="U944" s="336">
        <v>0</v>
      </c>
      <c r="V944" s="351">
        <v>45</v>
      </c>
      <c r="W944" s="351">
        <v>45</v>
      </c>
      <c r="X944" s="351"/>
      <c r="Y944" s="351" t="s">
        <v>1706</v>
      </c>
      <c r="Z944" s="338">
        <f t="shared" si="1177"/>
        <v>953.88320115356873</v>
      </c>
      <c r="AA944" s="338"/>
      <c r="AB944" s="339">
        <f t="shared" si="1178"/>
        <v>805.41310541310543</v>
      </c>
      <c r="AC944" s="339"/>
      <c r="AD944" s="340">
        <f t="shared" si="1179"/>
        <v>0.05</v>
      </c>
      <c r="AE944" s="340">
        <v>0.05</v>
      </c>
      <c r="AF944" s="352">
        <v>0.25</v>
      </c>
      <c r="AG944" s="337" t="s">
        <v>9</v>
      </c>
      <c r="AH944" s="353">
        <f t="shared" si="1180"/>
        <v>805.41310541310543</v>
      </c>
      <c r="AI944" s="354">
        <f t="shared" si="1181"/>
        <v>0.25</v>
      </c>
      <c r="AJ944" s="444"/>
      <c r="AK944" s="342">
        <f t="shared" si="1182"/>
        <v>696.33473684210514</v>
      </c>
      <c r="AL944" s="355">
        <f t="shared" si="1183"/>
        <v>635.85245164192543</v>
      </c>
      <c r="AM944" s="356">
        <f t="shared" si="1184"/>
        <v>0.27</v>
      </c>
      <c r="AN944" s="356">
        <f t="shared" si="1185"/>
        <v>0.21052631578947356</v>
      </c>
      <c r="AP944" s="357" t="s">
        <v>1267</v>
      </c>
      <c r="AQ944" s="358"/>
      <c r="AR944" s="358"/>
      <c r="AS944" s="359"/>
      <c r="AT944" s="360"/>
      <c r="AU944" s="360"/>
      <c r="AV944" s="361"/>
      <c r="AW944" s="362">
        <v>565.4</v>
      </c>
      <c r="AX944" s="346">
        <f t="shared" si="1176"/>
        <v>604.0598290598291</v>
      </c>
      <c r="AY944" s="363"/>
      <c r="AZ944" s="364"/>
      <c r="BB944" s="339"/>
      <c r="BC944" s="339"/>
      <c r="BD944" s="339"/>
      <c r="BE944" s="339"/>
      <c r="BF944" s="129"/>
    </row>
    <row r="945" spans="1:57" s="129" customFormat="1" hidden="1">
      <c r="A945" s="88" t="s">
        <v>1276</v>
      </c>
      <c r="B945" s="88" t="s">
        <v>1846</v>
      </c>
      <c r="C945" s="88" t="s">
        <v>1317</v>
      </c>
      <c r="D945" s="88" t="s">
        <v>1102</v>
      </c>
      <c r="E945" s="91" t="s">
        <v>1844</v>
      </c>
      <c r="F945" s="90" t="s">
        <v>2208</v>
      </c>
      <c r="G945" s="92" t="s">
        <v>2640</v>
      </c>
      <c r="H945" s="92" t="s">
        <v>3258</v>
      </c>
      <c r="I945" s="132" t="s">
        <v>1941</v>
      </c>
      <c r="J945" s="132" t="str">
        <f>_xlfn.XLOOKUP(I945,[1]Sheet1!$A:$A,[1]Sheet1!$B:$B,"")</f>
        <v>U1405002</v>
      </c>
      <c r="K945" s="91" t="s">
        <v>2060</v>
      </c>
      <c r="L945" s="89" t="s">
        <v>2180</v>
      </c>
      <c r="M945" s="92"/>
      <c r="N945" s="91" t="s">
        <v>1223</v>
      </c>
      <c r="O945" s="131"/>
      <c r="P945" s="90" t="s">
        <v>2206</v>
      </c>
      <c r="Q945" s="131"/>
      <c r="R945" s="131"/>
      <c r="S945" s="92"/>
      <c r="T945" s="131">
        <v>9403208000</v>
      </c>
      <c r="U945" s="155">
        <v>0</v>
      </c>
      <c r="V945" s="131">
        <v>45</v>
      </c>
      <c r="W945" s="131">
        <v>45</v>
      </c>
      <c r="X945" s="131"/>
      <c r="Y945" s="131" t="s">
        <v>1706</v>
      </c>
      <c r="Z945" s="133">
        <f t="shared" si="1177"/>
        <v>711.19347664936993</v>
      </c>
      <c r="AA945" s="133"/>
      <c r="AB945" s="161">
        <f t="shared" si="1178"/>
        <v>600.04683292354537</v>
      </c>
      <c r="AC945" s="161"/>
      <c r="AD945" s="213">
        <f t="shared" si="1179"/>
        <v>0.05</v>
      </c>
      <c r="AE945" s="213">
        <v>0.05</v>
      </c>
      <c r="AF945" s="219">
        <v>0.27</v>
      </c>
      <c r="AG945" s="218" t="s">
        <v>9</v>
      </c>
      <c r="AH945" s="148">
        <f t="shared" si="1180"/>
        <v>600.04683292354537</v>
      </c>
      <c r="AI945" s="206">
        <f t="shared" si="1181"/>
        <v>0.27</v>
      </c>
      <c r="AJ945" s="444"/>
      <c r="AK945" s="150">
        <f t="shared" si="1182"/>
        <v>504.94736842105266</v>
      </c>
      <c r="AL945" s="202">
        <f t="shared" si="1183"/>
        <v>461.0886189833559</v>
      </c>
      <c r="AM945" s="208">
        <f t="shared" si="1184"/>
        <v>0.29000000000000004</v>
      </c>
      <c r="AN945" s="208">
        <f t="shared" si="1185"/>
        <v>0.23157894736842111</v>
      </c>
      <c r="AP945" s="170" t="s">
        <v>1267</v>
      </c>
      <c r="AQ945" s="204"/>
      <c r="AR945" s="204"/>
      <c r="AS945" s="197"/>
      <c r="AT945" s="162"/>
      <c r="AU945" s="162"/>
      <c r="AV945" s="173"/>
      <c r="AW945" s="203">
        <v>410</v>
      </c>
      <c r="AX945" s="126">
        <f>AW945/$F$6*1.25+AW945*U945</f>
        <v>438.03418803418811</v>
      </c>
      <c r="AY945" s="163"/>
      <c r="AZ945" s="19"/>
      <c r="BB945" s="168">
        <f t="shared" si="1165"/>
        <v>2000.1561097451513</v>
      </c>
      <c r="BC945" s="168">
        <f t="shared" si="1166"/>
        <v>1200.0936658470907</v>
      </c>
      <c r="BD945" s="168">
        <f t="shared" si="1167"/>
        <v>1000.0780548725756</v>
      </c>
      <c r="BE945" s="168">
        <f t="shared" si="1168"/>
        <v>800.06244389806056</v>
      </c>
    </row>
    <row r="946" spans="1:57" s="129" customFormat="1" hidden="1">
      <c r="A946" s="88" t="s">
        <v>1276</v>
      </c>
      <c r="B946" s="88" t="s">
        <v>1846</v>
      </c>
      <c r="C946" s="88" t="s">
        <v>1317</v>
      </c>
      <c r="D946" s="88" t="s">
        <v>1102</v>
      </c>
      <c r="E946" s="91" t="s">
        <v>1844</v>
      </c>
      <c r="F946" s="90" t="s">
        <v>2208</v>
      </c>
      <c r="G946" s="92" t="s">
        <v>2640</v>
      </c>
      <c r="H946" s="92" t="s">
        <v>3258</v>
      </c>
      <c r="I946" s="132" t="s">
        <v>1942</v>
      </c>
      <c r="J946" s="132" t="str">
        <f>_xlfn.XLOOKUP(I946,[1]Sheet1!$A:$A,[1]Sheet1!$B:$B,"")</f>
        <v>U1405003</v>
      </c>
      <c r="K946" s="91" t="s">
        <v>2061</v>
      </c>
      <c r="L946" s="89" t="s">
        <v>2181</v>
      </c>
      <c r="M946" s="92"/>
      <c r="N946" s="91" t="s">
        <v>1223</v>
      </c>
      <c r="O946" s="131"/>
      <c r="P946" s="90" t="s">
        <v>2206</v>
      </c>
      <c r="Q946" s="131"/>
      <c r="R946" s="131"/>
      <c r="S946" s="92"/>
      <c r="T946" s="131">
        <v>9403208000</v>
      </c>
      <c r="U946" s="155">
        <v>0</v>
      </c>
      <c r="V946" s="131">
        <v>45</v>
      </c>
      <c r="W946" s="131">
        <v>45</v>
      </c>
      <c r="X946" s="131"/>
      <c r="Y946" s="131" t="s">
        <v>2436</v>
      </c>
      <c r="Z946" s="133">
        <f t="shared" si="1170"/>
        <v>607.23684210526312</v>
      </c>
      <c r="AA946" s="133"/>
      <c r="AB946" s="161">
        <f t="shared" si="1171"/>
        <v>512.53176253176264</v>
      </c>
      <c r="AC946" s="161"/>
      <c r="AD946" s="213">
        <f t="shared" si="1163"/>
        <v>0.05</v>
      </c>
      <c r="AE946" s="213">
        <v>0.05</v>
      </c>
      <c r="AF946" s="219">
        <v>0.26</v>
      </c>
      <c r="AG946" s="218" t="s">
        <v>9</v>
      </c>
      <c r="AH946" s="148">
        <f t="shared" si="1162"/>
        <v>512.53176253176264</v>
      </c>
      <c r="AI946" s="206">
        <f t="shared" si="1172"/>
        <v>0.26</v>
      </c>
      <c r="AJ946" s="444"/>
      <c r="AK946" s="150">
        <f t="shared" si="1169"/>
        <v>437.21052631578942</v>
      </c>
      <c r="AL946" s="202">
        <f t="shared" si="1173"/>
        <v>399.23526765632039</v>
      </c>
      <c r="AM946" s="208">
        <f t="shared" si="1174"/>
        <v>0.28000000000000003</v>
      </c>
      <c r="AN946" s="208">
        <f t="shared" si="1175"/>
        <v>0.22105263157894728</v>
      </c>
      <c r="AP946" s="170" t="s">
        <v>1267</v>
      </c>
      <c r="AQ946" s="204"/>
      <c r="AR946" s="204"/>
      <c r="AS946" s="197"/>
      <c r="AT946" s="162"/>
      <c r="AU946" s="162"/>
      <c r="AV946" s="173"/>
      <c r="AW946" s="203">
        <v>355</v>
      </c>
      <c r="AX946" s="126">
        <f t="shared" si="1176"/>
        <v>379.27350427350433</v>
      </c>
      <c r="AY946" s="163"/>
      <c r="AZ946" s="19"/>
      <c r="BB946" s="168">
        <f t="shared" si="1165"/>
        <v>1708.4392084392089</v>
      </c>
      <c r="BC946" s="168">
        <f t="shared" si="1166"/>
        <v>1025.0635250635253</v>
      </c>
      <c r="BD946" s="168">
        <f t="shared" si="1167"/>
        <v>854.21960421960443</v>
      </c>
      <c r="BE946" s="168">
        <f t="shared" si="1168"/>
        <v>683.37568337568359</v>
      </c>
    </row>
    <row r="947" spans="1:57" s="129" customFormat="1" hidden="1">
      <c r="A947" s="88" t="s">
        <v>1276</v>
      </c>
      <c r="B947" s="88" t="s">
        <v>1846</v>
      </c>
      <c r="C947" s="88" t="s">
        <v>1317</v>
      </c>
      <c r="D947" s="88" t="s">
        <v>1102</v>
      </c>
      <c r="E947" s="91" t="s">
        <v>1844</v>
      </c>
      <c r="F947" s="90" t="s">
        <v>2208</v>
      </c>
      <c r="G947" s="92" t="s">
        <v>2640</v>
      </c>
      <c r="H947" s="92" t="s">
        <v>3254</v>
      </c>
      <c r="I947" s="132" t="s">
        <v>1943</v>
      </c>
      <c r="J947" s="132" t="str">
        <f>_xlfn.XLOOKUP(I947,[1]Sheet1!$A:$A,[1]Sheet1!$B:$B,"")</f>
        <v>U1405004</v>
      </c>
      <c r="K947" s="91" t="s">
        <v>2062</v>
      </c>
      <c r="L947" s="89" t="s">
        <v>2182</v>
      </c>
      <c r="M947" s="92"/>
      <c r="N947" s="91" t="s">
        <v>1223</v>
      </c>
      <c r="O947" s="131"/>
      <c r="P947" s="90" t="s">
        <v>2206</v>
      </c>
      <c r="Q947" s="131"/>
      <c r="R947" s="131"/>
      <c r="S947" s="92"/>
      <c r="T947" s="131">
        <v>9403208000</v>
      </c>
      <c r="U947" s="155">
        <v>0</v>
      </c>
      <c r="V947" s="131">
        <v>45</v>
      </c>
      <c r="W947" s="131">
        <v>45</v>
      </c>
      <c r="X947" s="131"/>
      <c r="Y947" s="131" t="s">
        <v>2436</v>
      </c>
      <c r="Z947" s="133">
        <f t="shared" si="1170"/>
        <v>530.26315789473688</v>
      </c>
      <c r="AA947" s="133"/>
      <c r="AB947" s="161">
        <f t="shared" si="1171"/>
        <v>447.56294756294756</v>
      </c>
      <c r="AC947" s="161"/>
      <c r="AD947" s="213">
        <f t="shared" si="1163"/>
        <v>0.05</v>
      </c>
      <c r="AE947" s="213">
        <v>0.05</v>
      </c>
      <c r="AF947" s="219">
        <v>0.26</v>
      </c>
      <c r="AG947" s="218" t="s">
        <v>9</v>
      </c>
      <c r="AH947" s="148">
        <f t="shared" si="1162"/>
        <v>447.56294756294756</v>
      </c>
      <c r="AI947" s="206">
        <f t="shared" si="1172"/>
        <v>0.26</v>
      </c>
      <c r="AJ947" s="444"/>
      <c r="AK947" s="150">
        <f t="shared" si="1169"/>
        <v>381.78947368421052</v>
      </c>
      <c r="AL947" s="202">
        <f t="shared" si="1173"/>
        <v>348.62798020692759</v>
      </c>
      <c r="AM947" s="208">
        <f t="shared" si="1174"/>
        <v>0.28000000000000003</v>
      </c>
      <c r="AN947" s="208">
        <f t="shared" si="1175"/>
        <v>0.22105263157894728</v>
      </c>
      <c r="AP947" s="170" t="s">
        <v>1267</v>
      </c>
      <c r="AQ947" s="204"/>
      <c r="AR947" s="204"/>
      <c r="AS947" s="197"/>
      <c r="AT947" s="162"/>
      <c r="AU947" s="162"/>
      <c r="AV947" s="173"/>
      <c r="AW947" s="203">
        <v>310</v>
      </c>
      <c r="AX947" s="126">
        <f t="shared" si="1176"/>
        <v>331.19658119658118</v>
      </c>
      <c r="AY947" s="163"/>
      <c r="AZ947" s="19"/>
      <c r="BB947" s="168">
        <f t="shared" si="1165"/>
        <v>1491.8764918764919</v>
      </c>
      <c r="BC947" s="168">
        <f t="shared" si="1166"/>
        <v>895.12589512589511</v>
      </c>
      <c r="BD947" s="168">
        <f t="shared" si="1167"/>
        <v>745.93824593824593</v>
      </c>
      <c r="BE947" s="168">
        <f t="shared" si="1168"/>
        <v>596.75059675059674</v>
      </c>
    </row>
    <row r="948" spans="1:57" s="129" customFormat="1" hidden="1">
      <c r="A948" s="88" t="s">
        <v>1276</v>
      </c>
      <c r="B948" s="88" t="s">
        <v>1846</v>
      </c>
      <c r="C948" s="88" t="s">
        <v>1317</v>
      </c>
      <c r="D948" s="88" t="s">
        <v>1102</v>
      </c>
      <c r="E948" s="91" t="s">
        <v>1844</v>
      </c>
      <c r="F948" s="90" t="s">
        <v>2208</v>
      </c>
      <c r="G948" s="92" t="s">
        <v>2640</v>
      </c>
      <c r="H948" s="92" t="s">
        <v>3254</v>
      </c>
      <c r="I948" s="132" t="s">
        <v>1944</v>
      </c>
      <c r="J948" s="132" t="str">
        <f>_xlfn.XLOOKUP(I948,[1]Sheet1!$A:$A,[1]Sheet1!$B:$B,"")</f>
        <v>U1405005</v>
      </c>
      <c r="K948" s="91" t="s">
        <v>2063</v>
      </c>
      <c r="L948" s="89" t="s">
        <v>2183</v>
      </c>
      <c r="M948" s="92"/>
      <c r="N948" s="91" t="s">
        <v>1223</v>
      </c>
      <c r="O948" s="131"/>
      <c r="P948" s="90" t="s">
        <v>2206</v>
      </c>
      <c r="Q948" s="131"/>
      <c r="R948" s="131"/>
      <c r="S948" s="92"/>
      <c r="T948" s="131">
        <v>9403208000</v>
      </c>
      <c r="U948" s="155">
        <v>0</v>
      </c>
      <c r="V948" s="131">
        <v>45</v>
      </c>
      <c r="W948" s="131">
        <v>45</v>
      </c>
      <c r="X948" s="131"/>
      <c r="Y948" s="131" t="s">
        <v>2436</v>
      </c>
      <c r="Z948" s="133">
        <f t="shared" si="1170"/>
        <v>436.18421052631578</v>
      </c>
      <c r="AA948" s="133"/>
      <c r="AB948" s="161">
        <f t="shared" si="1171"/>
        <v>368.15661815661821</v>
      </c>
      <c r="AC948" s="161"/>
      <c r="AD948" s="213">
        <f t="shared" si="1163"/>
        <v>0.05</v>
      </c>
      <c r="AE948" s="213">
        <v>0.05</v>
      </c>
      <c r="AF948" s="219">
        <v>0.26</v>
      </c>
      <c r="AG948" s="218" t="s">
        <v>9</v>
      </c>
      <c r="AH948" s="148">
        <f t="shared" si="1162"/>
        <v>368.15661815661821</v>
      </c>
      <c r="AI948" s="206">
        <f t="shared" si="1172"/>
        <v>0.26</v>
      </c>
      <c r="AJ948" s="444"/>
      <c r="AK948" s="150">
        <f t="shared" si="1169"/>
        <v>314.05263157894734</v>
      </c>
      <c r="AL948" s="202">
        <f t="shared" si="1173"/>
        <v>286.77462887989208</v>
      </c>
      <c r="AM948" s="208">
        <f t="shared" si="1174"/>
        <v>0.28000000000000003</v>
      </c>
      <c r="AN948" s="208">
        <f t="shared" si="1175"/>
        <v>0.22105263157894739</v>
      </c>
      <c r="AP948" s="170" t="s">
        <v>1267</v>
      </c>
      <c r="AQ948" s="204"/>
      <c r="AR948" s="204"/>
      <c r="AS948" s="197"/>
      <c r="AT948" s="162"/>
      <c r="AU948" s="162"/>
      <c r="AV948" s="173"/>
      <c r="AW948" s="203">
        <v>255</v>
      </c>
      <c r="AX948" s="126">
        <f t="shared" si="1176"/>
        <v>272.43589743589746</v>
      </c>
      <c r="AY948" s="163"/>
      <c r="AZ948" s="19"/>
      <c r="BB948" s="168">
        <f t="shared" si="1165"/>
        <v>1227.1887271887274</v>
      </c>
      <c r="BC948" s="168">
        <f t="shared" si="1166"/>
        <v>736.31323631323642</v>
      </c>
      <c r="BD948" s="168">
        <f t="shared" si="1167"/>
        <v>613.5943635943637</v>
      </c>
      <c r="BE948" s="168">
        <f t="shared" si="1168"/>
        <v>490.87549087549098</v>
      </c>
    </row>
    <row r="949" spans="1:57" s="129" customFormat="1" hidden="1">
      <c r="A949" s="88" t="s">
        <v>1276</v>
      </c>
      <c r="B949" s="88" t="s">
        <v>1846</v>
      </c>
      <c r="C949" s="88" t="s">
        <v>1317</v>
      </c>
      <c r="D949" s="88" t="s">
        <v>1102</v>
      </c>
      <c r="E949" s="91" t="s">
        <v>1844</v>
      </c>
      <c r="F949" s="90" t="s">
        <v>2208</v>
      </c>
      <c r="G949" s="92" t="s">
        <v>2640</v>
      </c>
      <c r="H949" s="92" t="s">
        <v>3255</v>
      </c>
      <c r="I949" s="132" t="s">
        <v>1945</v>
      </c>
      <c r="J949" s="132" t="str">
        <f>_xlfn.XLOOKUP(I949,[1]Sheet1!$A:$A,[1]Sheet1!$B:$B,"")</f>
        <v>U1405006</v>
      </c>
      <c r="K949" s="91" t="s">
        <v>2064</v>
      </c>
      <c r="L949" s="89" t="s">
        <v>2184</v>
      </c>
      <c r="M949" s="92"/>
      <c r="N949" s="91" t="s">
        <v>1223</v>
      </c>
      <c r="O949" s="131"/>
      <c r="P949" s="90" t="s">
        <v>2206</v>
      </c>
      <c r="Q949" s="131"/>
      <c r="R949" s="131"/>
      <c r="S949" s="92"/>
      <c r="T949" s="131">
        <v>9403208000</v>
      </c>
      <c r="U949" s="155">
        <v>0</v>
      </c>
      <c r="V949" s="131">
        <v>45</v>
      </c>
      <c r="W949" s="131">
        <v>45</v>
      </c>
      <c r="X949" s="131"/>
      <c r="Y949" s="131" t="s">
        <v>2436</v>
      </c>
      <c r="Z949" s="133">
        <f t="shared" si="1170"/>
        <v>564.47368421052636</v>
      </c>
      <c r="AA949" s="133"/>
      <c r="AB949" s="161">
        <f t="shared" si="1171"/>
        <v>476.43797643797643</v>
      </c>
      <c r="AC949" s="161"/>
      <c r="AD949" s="213">
        <f t="shared" si="1163"/>
        <v>0.05</v>
      </c>
      <c r="AE949" s="213">
        <v>0.05</v>
      </c>
      <c r="AF949" s="219">
        <v>0.26</v>
      </c>
      <c r="AG949" s="218" t="s">
        <v>9</v>
      </c>
      <c r="AH949" s="148">
        <f t="shared" si="1162"/>
        <v>476.43797643797643</v>
      </c>
      <c r="AI949" s="206">
        <f t="shared" si="1172"/>
        <v>0.26</v>
      </c>
      <c r="AJ949" s="444"/>
      <c r="AK949" s="150">
        <f t="shared" si="1169"/>
        <v>406.42105263157896</v>
      </c>
      <c r="AL949" s="202">
        <f t="shared" si="1173"/>
        <v>371.12010796221324</v>
      </c>
      <c r="AM949" s="208">
        <f t="shared" si="1174"/>
        <v>0.28000000000000003</v>
      </c>
      <c r="AN949" s="208">
        <f t="shared" si="1175"/>
        <v>0.22105263157894728</v>
      </c>
      <c r="AP949" s="170" t="s">
        <v>1267</v>
      </c>
      <c r="AQ949" s="204"/>
      <c r="AR949" s="204"/>
      <c r="AS949" s="197"/>
      <c r="AT949" s="162"/>
      <c r="AU949" s="162"/>
      <c r="AV949" s="173"/>
      <c r="AW949" s="203">
        <v>330</v>
      </c>
      <c r="AX949" s="126">
        <f t="shared" si="1176"/>
        <v>352.56410256410254</v>
      </c>
      <c r="AY949" s="163"/>
      <c r="AZ949" s="19"/>
      <c r="BB949" s="168">
        <f t="shared" si="1165"/>
        <v>1588.1265881265881</v>
      </c>
      <c r="BC949" s="168">
        <f t="shared" si="1166"/>
        <v>952.87595287595286</v>
      </c>
      <c r="BD949" s="168">
        <f t="shared" si="1167"/>
        <v>794.06329406329405</v>
      </c>
      <c r="BE949" s="168">
        <f t="shared" si="1168"/>
        <v>635.25063525063524</v>
      </c>
    </row>
    <row r="950" spans="1:57" s="129" customFormat="1" hidden="1">
      <c r="A950" s="88" t="s">
        <v>1276</v>
      </c>
      <c r="B950" s="88" t="s">
        <v>1846</v>
      </c>
      <c r="C950" s="88" t="s">
        <v>1317</v>
      </c>
      <c r="D950" s="88" t="s">
        <v>1102</v>
      </c>
      <c r="E950" s="91" t="s">
        <v>1844</v>
      </c>
      <c r="F950" s="90" t="s">
        <v>2208</v>
      </c>
      <c r="G950" s="92" t="s">
        <v>2640</v>
      </c>
      <c r="H950" s="92" t="s">
        <v>3255</v>
      </c>
      <c r="I950" s="132" t="s">
        <v>1946</v>
      </c>
      <c r="J950" s="132" t="str">
        <f>_xlfn.XLOOKUP(I950,[1]Sheet1!$A:$A,[1]Sheet1!$B:$B,"")</f>
        <v>U1405007</v>
      </c>
      <c r="K950" s="91" t="s">
        <v>2065</v>
      </c>
      <c r="L950" s="89" t="s">
        <v>2185</v>
      </c>
      <c r="M950" s="92"/>
      <c r="N950" s="91" t="s">
        <v>1223</v>
      </c>
      <c r="O950" s="131"/>
      <c r="P950" s="90" t="s">
        <v>2206</v>
      </c>
      <c r="Q950" s="131"/>
      <c r="R950" s="131"/>
      <c r="S950" s="92"/>
      <c r="T950" s="131">
        <v>9403208000</v>
      </c>
      <c r="U950" s="155">
        <v>0</v>
      </c>
      <c r="V950" s="131">
        <v>45</v>
      </c>
      <c r="W950" s="131">
        <v>45</v>
      </c>
      <c r="X950" s="131"/>
      <c r="Y950" s="131" t="s">
        <v>2436</v>
      </c>
      <c r="Z950" s="133">
        <f t="shared" si="1170"/>
        <v>459.67383246849528</v>
      </c>
      <c r="AA950" s="133"/>
      <c r="AB950" s="161">
        <f t="shared" si="1171"/>
        <v>387.83514810912072</v>
      </c>
      <c r="AC950" s="161"/>
      <c r="AD950" s="213">
        <f t="shared" si="1163"/>
        <v>0.05</v>
      </c>
      <c r="AE950" s="213">
        <v>0.05</v>
      </c>
      <c r="AF950" s="219">
        <v>0.27</v>
      </c>
      <c r="AG950" s="218" t="s">
        <v>9</v>
      </c>
      <c r="AH950" s="148">
        <f t="shared" si="1162"/>
        <v>387.83514810912072</v>
      </c>
      <c r="AI950" s="206">
        <f t="shared" si="1172"/>
        <v>0.27</v>
      </c>
      <c r="AJ950" s="444"/>
      <c r="AK950" s="150">
        <f t="shared" si="1169"/>
        <v>326.36842105263162</v>
      </c>
      <c r="AL950" s="202">
        <f t="shared" si="1173"/>
        <v>298.0206927575349</v>
      </c>
      <c r="AM950" s="208">
        <f t="shared" si="1174"/>
        <v>0.29000000000000004</v>
      </c>
      <c r="AN950" s="208">
        <f t="shared" si="1175"/>
        <v>0.231578947368421</v>
      </c>
      <c r="AP950" s="170" t="s">
        <v>1267</v>
      </c>
      <c r="AQ950" s="204"/>
      <c r="AR950" s="204"/>
      <c r="AS950" s="197"/>
      <c r="AT950" s="162"/>
      <c r="AU950" s="162"/>
      <c r="AV950" s="173"/>
      <c r="AW950" s="203">
        <v>265</v>
      </c>
      <c r="AX950" s="126">
        <f t="shared" si="1176"/>
        <v>283.11965811965814</v>
      </c>
      <c r="AY950" s="163"/>
      <c r="AZ950" s="19"/>
      <c r="BB950" s="168">
        <f t="shared" si="1165"/>
        <v>1292.7838270304026</v>
      </c>
      <c r="BC950" s="168">
        <f t="shared" si="1166"/>
        <v>775.67029621824156</v>
      </c>
      <c r="BD950" s="168">
        <f t="shared" si="1167"/>
        <v>646.39191351520128</v>
      </c>
      <c r="BE950" s="168">
        <f t="shared" si="1168"/>
        <v>517.113530812161</v>
      </c>
    </row>
    <row r="951" spans="1:57" s="129" customFormat="1" hidden="1">
      <c r="A951" s="88" t="s">
        <v>1276</v>
      </c>
      <c r="B951" s="88" t="s">
        <v>1846</v>
      </c>
      <c r="C951" s="88" t="s">
        <v>1317</v>
      </c>
      <c r="D951" s="88" t="s">
        <v>1102</v>
      </c>
      <c r="E951" s="91" t="s">
        <v>1844</v>
      </c>
      <c r="F951" s="90" t="s">
        <v>2208</v>
      </c>
      <c r="G951" s="92" t="s">
        <v>2640</v>
      </c>
      <c r="H951" s="92" t="s">
        <v>3259</v>
      </c>
      <c r="I951" s="132" t="s">
        <v>1947</v>
      </c>
      <c r="J951" s="132" t="str">
        <f>_xlfn.XLOOKUP(I951,[1]Sheet1!$A:$A,[1]Sheet1!$B:$B,"")</f>
        <v>U1405008</v>
      </c>
      <c r="K951" s="91" t="s">
        <v>2066</v>
      </c>
      <c r="L951" s="89" t="s">
        <v>2186</v>
      </c>
      <c r="M951" s="92"/>
      <c r="N951" s="91" t="s">
        <v>1223</v>
      </c>
      <c r="O951" s="131"/>
      <c r="P951" s="90" t="s">
        <v>2206</v>
      </c>
      <c r="Q951" s="131"/>
      <c r="R951" s="131"/>
      <c r="S951" s="92"/>
      <c r="T951" s="131">
        <v>9403208000</v>
      </c>
      <c r="U951" s="155">
        <v>0</v>
      </c>
      <c r="V951" s="131">
        <v>45</v>
      </c>
      <c r="W951" s="131">
        <v>45</v>
      </c>
      <c r="X951" s="131"/>
      <c r="Y951" s="131" t="s">
        <v>2436</v>
      </c>
      <c r="Z951" s="133">
        <f t="shared" si="1170"/>
        <v>761.18421052631584</v>
      </c>
      <c r="AA951" s="133"/>
      <c r="AB951" s="161">
        <f t="shared" si="1171"/>
        <v>642.46939246939257</v>
      </c>
      <c r="AC951" s="161"/>
      <c r="AD951" s="213">
        <f t="shared" si="1163"/>
        <v>0.05</v>
      </c>
      <c r="AE951" s="213">
        <v>0.05</v>
      </c>
      <c r="AF951" s="219">
        <v>0.26</v>
      </c>
      <c r="AG951" s="218" t="s">
        <v>9</v>
      </c>
      <c r="AH951" s="148">
        <f t="shared" si="1162"/>
        <v>642.46939246939257</v>
      </c>
      <c r="AI951" s="206">
        <f t="shared" si="1172"/>
        <v>0.26000000000000012</v>
      </c>
      <c r="AJ951" s="444"/>
      <c r="AK951" s="150">
        <f t="shared" si="1169"/>
        <v>548.0526315789474</v>
      </c>
      <c r="AL951" s="202">
        <f t="shared" si="1173"/>
        <v>500.44984255510576</v>
      </c>
      <c r="AM951" s="208">
        <f t="shared" si="1174"/>
        <v>0.28000000000000003</v>
      </c>
      <c r="AN951" s="208">
        <f t="shared" si="1175"/>
        <v>0.22105263157894739</v>
      </c>
      <c r="AP951" s="170" t="s">
        <v>1267</v>
      </c>
      <c r="AQ951" s="204"/>
      <c r="AR951" s="204"/>
      <c r="AS951" s="197"/>
      <c r="AT951" s="162"/>
      <c r="AU951" s="162"/>
      <c r="AV951" s="173"/>
      <c r="AW951" s="203">
        <v>445</v>
      </c>
      <c r="AX951" s="126">
        <f t="shared" si="1176"/>
        <v>475.42735042735046</v>
      </c>
      <c r="AY951" s="163"/>
      <c r="AZ951" s="19"/>
      <c r="BB951" s="168">
        <f t="shared" si="1165"/>
        <v>2141.564641564642</v>
      </c>
      <c r="BC951" s="168">
        <f t="shared" si="1166"/>
        <v>1284.9387849387851</v>
      </c>
      <c r="BD951" s="168">
        <f t="shared" si="1167"/>
        <v>1070.782320782321</v>
      </c>
      <c r="BE951" s="168">
        <f t="shared" si="1168"/>
        <v>856.62585662585684</v>
      </c>
    </row>
    <row r="952" spans="1:57" s="129" customFormat="1" hidden="1">
      <c r="A952" s="88" t="s">
        <v>1276</v>
      </c>
      <c r="B952" s="88" t="s">
        <v>1846</v>
      </c>
      <c r="C952" s="88" t="s">
        <v>1317</v>
      </c>
      <c r="D952" s="88" t="s">
        <v>1102</v>
      </c>
      <c r="E952" s="91" t="s">
        <v>1844</v>
      </c>
      <c r="F952" s="90" t="s">
        <v>2208</v>
      </c>
      <c r="G952" s="92" t="s">
        <v>2640</v>
      </c>
      <c r="H952" s="92" t="s">
        <v>3259</v>
      </c>
      <c r="I952" s="132" t="s">
        <v>1948</v>
      </c>
      <c r="J952" s="132" t="str">
        <f>_xlfn.XLOOKUP(I952,[1]Sheet1!$A:$A,[1]Sheet1!$B:$B,"")</f>
        <v>U1405009</v>
      </c>
      <c r="K952" s="91" t="s">
        <v>2067</v>
      </c>
      <c r="L952" s="89" t="s">
        <v>2187</v>
      </c>
      <c r="M952" s="92"/>
      <c r="N952" s="91" t="s">
        <v>1223</v>
      </c>
      <c r="O952" s="131"/>
      <c r="P952" s="90" t="s">
        <v>2206</v>
      </c>
      <c r="Q952" s="131"/>
      <c r="R952" s="131"/>
      <c r="S952" s="92"/>
      <c r="T952" s="131">
        <v>9403208000</v>
      </c>
      <c r="U952" s="155">
        <v>0</v>
      </c>
      <c r="V952" s="131">
        <v>45</v>
      </c>
      <c r="W952" s="131">
        <v>45</v>
      </c>
      <c r="X952" s="131"/>
      <c r="Y952" s="131" t="s">
        <v>2436</v>
      </c>
      <c r="Z952" s="133">
        <f t="shared" si="1170"/>
        <v>632.89473684210532</v>
      </c>
      <c r="AA952" s="133"/>
      <c r="AB952" s="161">
        <f t="shared" si="1171"/>
        <v>534.18803418803429</v>
      </c>
      <c r="AC952" s="161"/>
      <c r="AD952" s="213">
        <f t="shared" si="1163"/>
        <v>0.05</v>
      </c>
      <c r="AE952" s="213">
        <v>0.05</v>
      </c>
      <c r="AF952" s="219">
        <v>0.26</v>
      </c>
      <c r="AG952" s="218" t="s">
        <v>9</v>
      </c>
      <c r="AH952" s="148">
        <f t="shared" si="1162"/>
        <v>534.18803418803429</v>
      </c>
      <c r="AI952" s="206">
        <f t="shared" si="1172"/>
        <v>0.26</v>
      </c>
      <c r="AJ952" s="444"/>
      <c r="AK952" s="150">
        <f t="shared" si="1169"/>
        <v>455.68421052631584</v>
      </c>
      <c r="AL952" s="202">
        <f t="shared" si="1173"/>
        <v>416.10436347278466</v>
      </c>
      <c r="AM952" s="208">
        <f t="shared" si="1174"/>
        <v>0.28000000000000003</v>
      </c>
      <c r="AN952" s="208">
        <f t="shared" si="1175"/>
        <v>0.22105263157894728</v>
      </c>
      <c r="AP952" s="170" t="s">
        <v>1267</v>
      </c>
      <c r="AQ952" s="204"/>
      <c r="AR952" s="204"/>
      <c r="AS952" s="197"/>
      <c r="AT952" s="162"/>
      <c r="AU952" s="162"/>
      <c r="AV952" s="173"/>
      <c r="AW952" s="203">
        <v>370</v>
      </c>
      <c r="AX952" s="126">
        <f t="shared" si="1176"/>
        <v>395.29914529914538</v>
      </c>
      <c r="AY952" s="163"/>
      <c r="AZ952" s="19"/>
      <c r="BB952" s="168">
        <f t="shared" si="1165"/>
        <v>1780.6267806267811</v>
      </c>
      <c r="BC952" s="168">
        <f t="shared" si="1166"/>
        <v>1068.3760683760686</v>
      </c>
      <c r="BD952" s="168">
        <f t="shared" si="1167"/>
        <v>890.31339031339053</v>
      </c>
      <c r="BE952" s="168">
        <f t="shared" si="1168"/>
        <v>712.25071225071247</v>
      </c>
    </row>
    <row r="953" spans="1:57" s="129" customFormat="1" hidden="1">
      <c r="A953" s="88" t="s">
        <v>1276</v>
      </c>
      <c r="B953" s="88" t="s">
        <v>1846</v>
      </c>
      <c r="C953" s="88" t="s">
        <v>1317</v>
      </c>
      <c r="D953" s="88" t="s">
        <v>1102</v>
      </c>
      <c r="E953" s="91" t="s">
        <v>1844</v>
      </c>
      <c r="F953" s="90" t="s">
        <v>2208</v>
      </c>
      <c r="G953" s="92" t="s">
        <v>2641</v>
      </c>
      <c r="H953" s="92" t="s">
        <v>3258</v>
      </c>
      <c r="I953" s="132" t="s">
        <v>1949</v>
      </c>
      <c r="J953" s="132" t="str">
        <f>_xlfn.XLOOKUP(I953,[1]Sheet1!$A:$A,[1]Sheet1!$B:$B,"")</f>
        <v>U1405010</v>
      </c>
      <c r="K953" s="91" t="s">
        <v>2068</v>
      </c>
      <c r="L953" s="89" t="s">
        <v>2188</v>
      </c>
      <c r="M953" s="92"/>
      <c r="N953" s="91" t="s">
        <v>1223</v>
      </c>
      <c r="O953" s="131"/>
      <c r="P953" s="90" t="s">
        <v>2206</v>
      </c>
      <c r="Q953" s="131"/>
      <c r="R953" s="131"/>
      <c r="S953" s="92"/>
      <c r="T953" s="131">
        <v>9403208000</v>
      </c>
      <c r="U953" s="155">
        <v>0</v>
      </c>
      <c r="V953" s="131">
        <v>45</v>
      </c>
      <c r="W953" s="131">
        <v>45</v>
      </c>
      <c r="X953" s="131"/>
      <c r="Y953" s="131" t="s">
        <v>2436</v>
      </c>
      <c r="Z953" s="133">
        <f t="shared" si="1170"/>
        <v>769.73684210526324</v>
      </c>
      <c r="AA953" s="133"/>
      <c r="AB953" s="161">
        <f t="shared" si="1171"/>
        <v>649.68814968814979</v>
      </c>
      <c r="AC953" s="161"/>
      <c r="AD953" s="213">
        <f t="shared" si="1163"/>
        <v>0.05</v>
      </c>
      <c r="AE953" s="213">
        <v>0.05</v>
      </c>
      <c r="AF953" s="219">
        <v>0.26</v>
      </c>
      <c r="AG953" s="218" t="s">
        <v>9</v>
      </c>
      <c r="AH953" s="148">
        <f t="shared" si="1162"/>
        <v>649.68814968814979</v>
      </c>
      <c r="AI953" s="206">
        <f t="shared" si="1172"/>
        <v>0.26</v>
      </c>
      <c r="AJ953" s="444"/>
      <c r="AK953" s="150">
        <f t="shared" si="1169"/>
        <v>554.21052631578948</v>
      </c>
      <c r="AL953" s="202">
        <f t="shared" si="1173"/>
        <v>506.0728744939272</v>
      </c>
      <c r="AM953" s="208">
        <f t="shared" si="1174"/>
        <v>0.28000000000000003</v>
      </c>
      <c r="AN953" s="208">
        <f t="shared" si="1175"/>
        <v>0.22105263157894739</v>
      </c>
      <c r="AP953" s="170" t="s">
        <v>1267</v>
      </c>
      <c r="AQ953" s="204"/>
      <c r="AR953" s="204"/>
      <c r="AS953" s="197"/>
      <c r="AT953" s="162"/>
      <c r="AU953" s="162"/>
      <c r="AV953" s="173"/>
      <c r="AW953" s="203">
        <v>450</v>
      </c>
      <c r="AX953" s="126">
        <f t="shared" si="1176"/>
        <v>480.76923076923083</v>
      </c>
      <c r="AY953" s="163"/>
      <c r="AZ953" s="19"/>
      <c r="BB953" s="168">
        <f t="shared" si="1165"/>
        <v>2165.6271656271661</v>
      </c>
      <c r="BC953" s="168">
        <f t="shared" si="1166"/>
        <v>1299.3762993762996</v>
      </c>
      <c r="BD953" s="168">
        <f t="shared" si="1167"/>
        <v>1082.813582813583</v>
      </c>
      <c r="BE953" s="168">
        <f t="shared" si="1168"/>
        <v>866.25086625086647</v>
      </c>
    </row>
    <row r="954" spans="1:57" s="129" customFormat="1" hidden="1">
      <c r="A954" s="88" t="s">
        <v>1276</v>
      </c>
      <c r="B954" s="88" t="s">
        <v>1846</v>
      </c>
      <c r="C954" s="88" t="s">
        <v>1317</v>
      </c>
      <c r="D954" s="88" t="s">
        <v>1102</v>
      </c>
      <c r="E954" s="91" t="s">
        <v>1844</v>
      </c>
      <c r="F954" s="90" t="s">
        <v>2208</v>
      </c>
      <c r="G954" s="92" t="s">
        <v>2641</v>
      </c>
      <c r="H954" s="92" t="s">
        <v>3258</v>
      </c>
      <c r="I954" s="132" t="s">
        <v>1950</v>
      </c>
      <c r="J954" s="132" t="str">
        <f>_xlfn.XLOOKUP(I954,[1]Sheet1!$A:$A,[1]Sheet1!$B:$B,"")</f>
        <v>U1405011</v>
      </c>
      <c r="K954" s="91" t="s">
        <v>2069</v>
      </c>
      <c r="L954" s="89" t="s">
        <v>2189</v>
      </c>
      <c r="M954" s="92"/>
      <c r="N954" s="91" t="s">
        <v>1223</v>
      </c>
      <c r="O954" s="131"/>
      <c r="P954" s="90" t="s">
        <v>2206</v>
      </c>
      <c r="Q954" s="131"/>
      <c r="R954" s="131"/>
      <c r="S954" s="92"/>
      <c r="T954" s="131">
        <v>9403208000</v>
      </c>
      <c r="U954" s="155">
        <v>0</v>
      </c>
      <c r="V954" s="131">
        <v>45</v>
      </c>
      <c r="W954" s="131">
        <v>45</v>
      </c>
      <c r="X954" s="131"/>
      <c r="Y954" s="131" t="s">
        <v>2436</v>
      </c>
      <c r="Z954" s="133">
        <f t="shared" si="1170"/>
        <v>667.1052631578948</v>
      </c>
      <c r="AA954" s="133"/>
      <c r="AB954" s="161">
        <f t="shared" si="1171"/>
        <v>563.06306306306317</v>
      </c>
      <c r="AC954" s="161"/>
      <c r="AD954" s="213">
        <f t="shared" si="1163"/>
        <v>0.05</v>
      </c>
      <c r="AE954" s="213">
        <v>0.05</v>
      </c>
      <c r="AF954" s="219">
        <v>0.26</v>
      </c>
      <c r="AG954" s="218" t="s">
        <v>9</v>
      </c>
      <c r="AH954" s="148">
        <f t="shared" si="1162"/>
        <v>563.06306306306317</v>
      </c>
      <c r="AI954" s="206">
        <f t="shared" si="1172"/>
        <v>0.26</v>
      </c>
      <c r="AJ954" s="444"/>
      <c r="AK954" s="150">
        <f t="shared" si="1169"/>
        <v>480.31578947368422</v>
      </c>
      <c r="AL954" s="202">
        <f t="shared" si="1173"/>
        <v>438.59649122807025</v>
      </c>
      <c r="AM954" s="208">
        <f t="shared" si="1174"/>
        <v>0.28000000000000003</v>
      </c>
      <c r="AN954" s="208">
        <f t="shared" si="1175"/>
        <v>0.22105263157894739</v>
      </c>
      <c r="AP954" s="170" t="s">
        <v>1267</v>
      </c>
      <c r="AQ954" s="204"/>
      <c r="AR954" s="204"/>
      <c r="AS954" s="197"/>
      <c r="AT954" s="162"/>
      <c r="AU954" s="162"/>
      <c r="AV954" s="173"/>
      <c r="AW954" s="203">
        <v>390</v>
      </c>
      <c r="AX954" s="126">
        <f t="shared" si="1176"/>
        <v>416.66666666666674</v>
      </c>
      <c r="AY954" s="163"/>
      <c r="AZ954" s="19"/>
      <c r="BB954" s="168">
        <f t="shared" si="1165"/>
        <v>1876.8768768768773</v>
      </c>
      <c r="BC954" s="168">
        <f t="shared" si="1166"/>
        <v>1126.1261261261263</v>
      </c>
      <c r="BD954" s="168">
        <f t="shared" si="1167"/>
        <v>938.43843843843865</v>
      </c>
      <c r="BE954" s="168">
        <f t="shared" si="1168"/>
        <v>750.75075075075097</v>
      </c>
    </row>
    <row r="955" spans="1:57" s="129" customFormat="1" hidden="1">
      <c r="A955" s="88" t="s">
        <v>1276</v>
      </c>
      <c r="B955" s="88" t="s">
        <v>1846</v>
      </c>
      <c r="C955" s="88" t="s">
        <v>1317</v>
      </c>
      <c r="D955" s="88" t="s">
        <v>1102</v>
      </c>
      <c r="E955" s="91" t="s">
        <v>1844</v>
      </c>
      <c r="F955" s="90" t="s">
        <v>2208</v>
      </c>
      <c r="G955" s="92" t="s">
        <v>2641</v>
      </c>
      <c r="H955" s="92" t="s">
        <v>3259</v>
      </c>
      <c r="I955" s="132" t="s">
        <v>1951</v>
      </c>
      <c r="J955" s="132" t="str">
        <f>_xlfn.XLOOKUP(I955,[1]Sheet1!$A:$A,[1]Sheet1!$B:$B,"")</f>
        <v>U1405012</v>
      </c>
      <c r="K955" s="91" t="s">
        <v>2070</v>
      </c>
      <c r="L955" s="89" t="s">
        <v>2190</v>
      </c>
      <c r="M955" s="92"/>
      <c r="N955" s="91" t="s">
        <v>1223</v>
      </c>
      <c r="O955" s="131"/>
      <c r="P955" s="90" t="s">
        <v>2206</v>
      </c>
      <c r="Q955" s="131"/>
      <c r="R955" s="131"/>
      <c r="S955" s="92"/>
      <c r="T955" s="131">
        <v>9403208000</v>
      </c>
      <c r="U955" s="155">
        <v>0</v>
      </c>
      <c r="V955" s="131">
        <v>45</v>
      </c>
      <c r="W955" s="131">
        <v>45</v>
      </c>
      <c r="X955" s="131"/>
      <c r="Y955" s="131" t="s">
        <v>2436</v>
      </c>
      <c r="Z955" s="133">
        <f t="shared" si="1170"/>
        <v>804.63157894736833</v>
      </c>
      <c r="AA955" s="133"/>
      <c r="AB955" s="161">
        <f t="shared" si="1171"/>
        <v>679.87567987567991</v>
      </c>
      <c r="AC955" s="161"/>
      <c r="AD955" s="213">
        <f t="shared" si="1163"/>
        <v>0.05</v>
      </c>
      <c r="AE955" s="213">
        <v>0.05</v>
      </c>
      <c r="AF955" s="219">
        <v>0.23</v>
      </c>
      <c r="AG955" s="218" t="s">
        <v>9</v>
      </c>
      <c r="AH955" s="148">
        <f t="shared" si="1162"/>
        <v>679.87567987567991</v>
      </c>
      <c r="AI955" s="206">
        <f t="shared" si="1172"/>
        <v>0.22999999999999998</v>
      </c>
      <c r="AJ955" s="444"/>
      <c r="AK955" s="150">
        <f t="shared" si="1169"/>
        <v>603.47368421052624</v>
      </c>
      <c r="AL955" s="202">
        <f t="shared" si="1173"/>
        <v>551.0571300044985</v>
      </c>
      <c r="AM955" s="208">
        <f t="shared" si="1174"/>
        <v>0.25</v>
      </c>
      <c r="AN955" s="208">
        <f t="shared" si="1175"/>
        <v>0.18947368421052624</v>
      </c>
      <c r="AP955" s="170" t="s">
        <v>1267</v>
      </c>
      <c r="AQ955" s="204"/>
      <c r="AR955" s="204"/>
      <c r="AS955" s="197"/>
      <c r="AT955" s="162"/>
      <c r="AU955" s="162"/>
      <c r="AV955" s="173"/>
      <c r="AW955" s="203">
        <v>490</v>
      </c>
      <c r="AX955" s="126">
        <f t="shared" si="1176"/>
        <v>523.50427350427356</v>
      </c>
      <c r="AY955" s="163"/>
      <c r="AZ955" s="19"/>
      <c r="BB955" s="168">
        <f t="shared" si="1165"/>
        <v>2266.2522662522665</v>
      </c>
      <c r="BC955" s="168">
        <f t="shared" si="1166"/>
        <v>1359.7513597513598</v>
      </c>
      <c r="BD955" s="168">
        <f t="shared" si="1167"/>
        <v>1133.1261331261333</v>
      </c>
      <c r="BE955" s="168">
        <f t="shared" si="1168"/>
        <v>906.50090650090669</v>
      </c>
    </row>
    <row r="956" spans="1:57" s="129" customFormat="1" hidden="1">
      <c r="A956" s="88" t="s">
        <v>1276</v>
      </c>
      <c r="B956" s="88" t="s">
        <v>1846</v>
      </c>
      <c r="C956" s="88" t="s">
        <v>1317</v>
      </c>
      <c r="D956" s="88" t="s">
        <v>1102</v>
      </c>
      <c r="E956" s="91" t="s">
        <v>1844</v>
      </c>
      <c r="F956" s="90" t="s">
        <v>2208</v>
      </c>
      <c r="G956" s="92" t="s">
        <v>2641</v>
      </c>
      <c r="H956" s="92" t="s">
        <v>3259</v>
      </c>
      <c r="I956" s="132" t="s">
        <v>1952</v>
      </c>
      <c r="J956" s="132" t="str">
        <f>_xlfn.XLOOKUP(I956,[1]Sheet1!$A:$A,[1]Sheet1!$B:$B,"")</f>
        <v>U1405013</v>
      </c>
      <c r="K956" s="91" t="s">
        <v>2071</v>
      </c>
      <c r="L956" s="89" t="s">
        <v>2191</v>
      </c>
      <c r="M956" s="92"/>
      <c r="N956" s="91" t="s">
        <v>1223</v>
      </c>
      <c r="O956" s="131"/>
      <c r="P956" s="90" t="s">
        <v>2206</v>
      </c>
      <c r="Q956" s="131"/>
      <c r="R956" s="131"/>
      <c r="S956" s="92"/>
      <c r="T956" s="131">
        <v>9403208000</v>
      </c>
      <c r="U956" s="155">
        <v>0</v>
      </c>
      <c r="V956" s="131">
        <v>45</v>
      </c>
      <c r="W956" s="131">
        <v>45</v>
      </c>
      <c r="X956" s="131"/>
      <c r="Y956" s="131" t="s">
        <v>2436</v>
      </c>
      <c r="Z956" s="133">
        <f t="shared" si="1170"/>
        <v>681.47368421052636</v>
      </c>
      <c r="AA956" s="133"/>
      <c r="AB956" s="161">
        <f t="shared" si="1171"/>
        <v>575.8130758130759</v>
      </c>
      <c r="AC956" s="161"/>
      <c r="AD956" s="213">
        <f t="shared" si="1163"/>
        <v>0.05</v>
      </c>
      <c r="AE956" s="213">
        <v>0.05</v>
      </c>
      <c r="AF956" s="219">
        <v>0.23</v>
      </c>
      <c r="AG956" s="218" t="s">
        <v>9</v>
      </c>
      <c r="AH956" s="148">
        <f t="shared" si="1162"/>
        <v>575.8130758130759</v>
      </c>
      <c r="AI956" s="206">
        <f t="shared" si="1172"/>
        <v>0.23000000000000009</v>
      </c>
      <c r="AJ956" s="444"/>
      <c r="AK956" s="150">
        <f t="shared" si="1169"/>
        <v>511.10526315789474</v>
      </c>
      <c r="AL956" s="202">
        <f t="shared" si="1173"/>
        <v>466.71165092217728</v>
      </c>
      <c r="AM956" s="208">
        <f t="shared" si="1174"/>
        <v>0.25</v>
      </c>
      <c r="AN956" s="208">
        <f t="shared" si="1175"/>
        <v>0.18947368421052635</v>
      </c>
      <c r="AP956" s="170" t="s">
        <v>1267</v>
      </c>
      <c r="AQ956" s="204"/>
      <c r="AR956" s="204"/>
      <c r="AS956" s="197"/>
      <c r="AT956" s="162"/>
      <c r="AU956" s="162"/>
      <c r="AV956" s="173"/>
      <c r="AW956" s="203">
        <v>415</v>
      </c>
      <c r="AX956" s="126">
        <f t="shared" si="1176"/>
        <v>443.37606837606842</v>
      </c>
      <c r="AY956" s="163"/>
      <c r="AZ956" s="19"/>
      <c r="BB956" s="168">
        <f t="shared" si="1165"/>
        <v>1919.3769193769197</v>
      </c>
      <c r="BC956" s="168">
        <f t="shared" si="1166"/>
        <v>1151.6261516261518</v>
      </c>
      <c r="BD956" s="168">
        <f t="shared" si="1167"/>
        <v>959.68845968845983</v>
      </c>
      <c r="BE956" s="168">
        <f t="shared" si="1168"/>
        <v>767.75076775076786</v>
      </c>
    </row>
    <row r="957" spans="1:57" s="129" customFormat="1" ht="15" hidden="1">
      <c r="A957" s="88" t="s">
        <v>1276</v>
      </c>
      <c r="B957" s="88" t="s">
        <v>1846</v>
      </c>
      <c r="C957" s="88" t="s">
        <v>1318</v>
      </c>
      <c r="D957" s="88" t="s">
        <v>1102</v>
      </c>
      <c r="E957" s="91" t="s">
        <v>1844</v>
      </c>
      <c r="F957" s="90" t="s">
        <v>3972</v>
      </c>
      <c r="G957" s="92" t="s">
        <v>2640</v>
      </c>
      <c r="H957" s="92" t="s">
        <v>3258</v>
      </c>
      <c r="I957" s="132" t="s">
        <v>3973</v>
      </c>
      <c r="J957" s="132" t="str">
        <f>_xlfn.XLOOKUP(I957,[1]Sheet1!$A:$A,[1]Sheet1!$B:$B,"")</f>
        <v>U1405001</v>
      </c>
      <c r="K957" s="91" t="s">
        <v>3974</v>
      </c>
      <c r="L957" t="s">
        <v>3975</v>
      </c>
      <c r="M957" s="92"/>
      <c r="N957" s="91" t="s">
        <v>1223</v>
      </c>
      <c r="O957" s="131"/>
      <c r="P957" s="90" t="s">
        <v>2206</v>
      </c>
      <c r="Q957" s="131"/>
      <c r="R957" s="131"/>
      <c r="S957" s="92"/>
      <c r="T957" s="131">
        <v>9403208000</v>
      </c>
      <c r="U957" s="324">
        <v>0</v>
      </c>
      <c r="V957" s="131">
        <v>45</v>
      </c>
      <c r="W957" s="131">
        <v>45</v>
      </c>
      <c r="X957" s="131"/>
      <c r="Y957" s="131" t="s">
        <v>1706</v>
      </c>
      <c r="Z957" s="133">
        <f>AK957/(1-(AF957+2%))</f>
        <v>649.53136265320848</v>
      </c>
      <c r="AA957" s="133"/>
      <c r="AB957" s="161">
        <f>AX957/(1-AF957)</f>
        <v>548.4330484330485</v>
      </c>
      <c r="AC957" s="161"/>
      <c r="AD957" s="213">
        <f>AE957</f>
        <v>0.05</v>
      </c>
      <c r="AE957" s="213">
        <v>0.05</v>
      </c>
      <c r="AF957" s="219">
        <v>0.25</v>
      </c>
      <c r="AG957" s="218" t="s">
        <v>9</v>
      </c>
      <c r="AH957" s="148">
        <f>AB957</f>
        <v>548.4330484330485</v>
      </c>
      <c r="AI957" s="565">
        <f>1-(AX957/AH957)</f>
        <v>0.25</v>
      </c>
      <c r="AJ957" s="444"/>
      <c r="AK957" s="150">
        <f>AW957/(1-AD957)*$F$6</f>
        <v>474.15789473684214</v>
      </c>
      <c r="AL957" s="202">
        <f>AX957/(1-AE957)</f>
        <v>432.97345928924881</v>
      </c>
      <c r="AM957" s="566">
        <f>1-(AK957/Z957)</f>
        <v>0.27000000000000013</v>
      </c>
      <c r="AN957" s="566">
        <f>1-(AL957/AB957)</f>
        <v>0.21052631578947367</v>
      </c>
      <c r="AP957" s="170" t="s">
        <v>1267</v>
      </c>
      <c r="AQ957" s="204"/>
      <c r="AR957" s="204"/>
      <c r="AS957" s="197"/>
      <c r="AT957" s="162"/>
      <c r="AU957" s="162"/>
      <c r="AV957" s="173"/>
      <c r="AW957" s="203">
        <v>385</v>
      </c>
      <c r="AX957" s="126">
        <f>AW957/$F$6*1.25+AW957*U957</f>
        <v>411.32478632478637</v>
      </c>
      <c r="AY957" s="163"/>
      <c r="AZ957" s="19"/>
      <c r="BB957" s="168">
        <f>AB957/0.3</f>
        <v>1828.1101614434951</v>
      </c>
      <c r="BC957" s="168">
        <f>BB957*0.6</f>
        <v>1096.866096866097</v>
      </c>
      <c r="BD957" s="168">
        <f>BB957*0.5</f>
        <v>914.05508072174757</v>
      </c>
      <c r="BE957" s="168">
        <f>BB957*0.4</f>
        <v>731.24406457739815</v>
      </c>
    </row>
    <row r="958" spans="1:57" s="129" customFormat="1" hidden="1">
      <c r="A958" s="88" t="s">
        <v>1276</v>
      </c>
      <c r="B958" s="88" t="s">
        <v>1318</v>
      </c>
      <c r="C958" s="88" t="s">
        <v>1318</v>
      </c>
      <c r="D958" s="88" t="s">
        <v>1102</v>
      </c>
      <c r="E958" s="91" t="s">
        <v>2209</v>
      </c>
      <c r="F958" s="90" t="s">
        <v>2207</v>
      </c>
      <c r="G958" s="92" t="s">
        <v>2642</v>
      </c>
      <c r="H958" s="92"/>
      <c r="I958" s="132" t="s">
        <v>1953</v>
      </c>
      <c r="J958" s="132" t="str">
        <f>_xlfn.XLOOKUP(I958,[1]Sheet1!$A:$A,[1]Sheet1!$B:$B,"")</f>
        <v>U1503001</v>
      </c>
      <c r="K958" s="91" t="s">
        <v>2072</v>
      </c>
      <c r="L958" s="89" t="s">
        <v>2192</v>
      </c>
      <c r="M958" s="92"/>
      <c r="N958" s="91" t="s">
        <v>1223</v>
      </c>
      <c r="O958" s="131"/>
      <c r="P958" s="90" t="s">
        <v>2206</v>
      </c>
      <c r="Q958" s="131"/>
      <c r="R958" s="131"/>
      <c r="S958" s="92"/>
      <c r="T958" s="131">
        <v>9403208000</v>
      </c>
      <c r="U958" s="155">
        <v>0</v>
      </c>
      <c r="V958" s="131">
        <v>45</v>
      </c>
      <c r="W958" s="131">
        <v>45</v>
      </c>
      <c r="X958" s="131"/>
      <c r="Y958" s="131" t="s">
        <v>2436</v>
      </c>
      <c r="Z958" s="133">
        <f t="shared" si="1170"/>
        <v>131.3986068111455</v>
      </c>
      <c r="AA958" s="133"/>
      <c r="AB958" s="161">
        <f t="shared" si="1171"/>
        <v>110.72954822954824</v>
      </c>
      <c r="AC958" s="161"/>
      <c r="AD958" s="213">
        <f t="shared" si="1163"/>
        <v>0.05</v>
      </c>
      <c r="AE958" s="213">
        <v>0.05</v>
      </c>
      <c r="AF958" s="219">
        <v>0.3</v>
      </c>
      <c r="AG958" s="218" t="s">
        <v>9</v>
      </c>
      <c r="AH958" s="148">
        <f t="shared" si="1162"/>
        <v>110.72954822954824</v>
      </c>
      <c r="AI958" s="206">
        <f t="shared" si="1172"/>
        <v>0.30000000000000004</v>
      </c>
      <c r="AJ958" s="444"/>
      <c r="AK958" s="150">
        <f t="shared" si="1169"/>
        <v>89.351052631578938</v>
      </c>
      <c r="AL958" s="202">
        <f t="shared" si="1173"/>
        <v>81.590193432298705</v>
      </c>
      <c r="AM958" s="208">
        <f t="shared" si="1174"/>
        <v>0.32000000000000006</v>
      </c>
      <c r="AN958" s="208">
        <f t="shared" si="1175"/>
        <v>0.26315789473684215</v>
      </c>
      <c r="AP958" s="170" t="s">
        <v>1267</v>
      </c>
      <c r="AQ958" s="204"/>
      <c r="AR958" s="204"/>
      <c r="AS958" s="197"/>
      <c r="AT958" s="162"/>
      <c r="AU958" s="162"/>
      <c r="AV958" s="173"/>
      <c r="AW958" s="203">
        <v>72.55</v>
      </c>
      <c r="AX958" s="126">
        <f t="shared" si="1176"/>
        <v>77.510683760683762</v>
      </c>
      <c r="AY958" s="163"/>
      <c r="AZ958" s="19"/>
      <c r="BB958" s="168">
        <f t="shared" si="1165"/>
        <v>369.09849409849414</v>
      </c>
      <c r="BC958" s="168">
        <f t="shared" si="1166"/>
        <v>221.45909645909649</v>
      </c>
      <c r="BD958" s="168">
        <f t="shared" si="1167"/>
        <v>184.54924704924707</v>
      </c>
      <c r="BE958" s="168">
        <f t="shared" si="1168"/>
        <v>147.63939763939766</v>
      </c>
    </row>
    <row r="959" spans="1:57" s="129" customFormat="1" hidden="1">
      <c r="A959" s="88" t="s">
        <v>1276</v>
      </c>
      <c r="B959" s="88" t="s">
        <v>1318</v>
      </c>
      <c r="C959" s="88" t="s">
        <v>1318</v>
      </c>
      <c r="D959" s="88" t="s">
        <v>1102</v>
      </c>
      <c r="E959" s="91" t="s">
        <v>2209</v>
      </c>
      <c r="F959" s="90" t="s">
        <v>2207</v>
      </c>
      <c r="G959" s="92" t="s">
        <v>2643</v>
      </c>
      <c r="H959" s="92"/>
      <c r="I959" s="132" t="s">
        <v>1954</v>
      </c>
      <c r="J959" s="132" t="str">
        <f>_xlfn.XLOOKUP(I959,[1]Sheet1!$A:$A,[1]Sheet1!$B:$B,"")</f>
        <v>U1503002</v>
      </c>
      <c r="K959" s="91" t="s">
        <v>2073</v>
      </c>
      <c r="L959" s="89" t="s">
        <v>2193</v>
      </c>
      <c r="M959" s="92"/>
      <c r="N959" s="91" t="s">
        <v>1223</v>
      </c>
      <c r="O959" s="131"/>
      <c r="P959" s="90" t="s">
        <v>2206</v>
      </c>
      <c r="Q959" s="131"/>
      <c r="R959" s="131"/>
      <c r="S959" s="92"/>
      <c r="T959" s="131">
        <v>9403208000</v>
      </c>
      <c r="U959" s="155">
        <v>0</v>
      </c>
      <c r="V959" s="131">
        <v>45</v>
      </c>
      <c r="W959" s="131">
        <v>45</v>
      </c>
      <c r="X959" s="131"/>
      <c r="Y959" s="131" t="s">
        <v>2436</v>
      </c>
      <c r="Z959" s="133">
        <f t="shared" si="1170"/>
        <v>144.43885448916407</v>
      </c>
      <c r="AA959" s="133"/>
      <c r="AB959" s="161">
        <f t="shared" si="1171"/>
        <v>121.71855921855925</v>
      </c>
      <c r="AC959" s="161"/>
      <c r="AD959" s="213">
        <f t="shared" si="1163"/>
        <v>0.05</v>
      </c>
      <c r="AE959" s="213">
        <v>0.05</v>
      </c>
      <c r="AF959" s="219">
        <v>0.3</v>
      </c>
      <c r="AG959" s="218" t="s">
        <v>9</v>
      </c>
      <c r="AH959" s="148">
        <f t="shared" si="1162"/>
        <v>121.71855921855925</v>
      </c>
      <c r="AI959" s="206">
        <f t="shared" si="1172"/>
        <v>0.30000000000000004</v>
      </c>
      <c r="AJ959" s="444"/>
      <c r="AK959" s="150">
        <f t="shared" si="1169"/>
        <v>98.21842105263157</v>
      </c>
      <c r="AL959" s="202">
        <f t="shared" si="1173"/>
        <v>89.687359424201546</v>
      </c>
      <c r="AM959" s="208">
        <f t="shared" si="1174"/>
        <v>0.31999999999999995</v>
      </c>
      <c r="AN959" s="208">
        <f t="shared" si="1175"/>
        <v>0.26315789473684215</v>
      </c>
      <c r="AP959" s="170" t="s">
        <v>1267</v>
      </c>
      <c r="AQ959" s="204"/>
      <c r="AR959" s="204"/>
      <c r="AS959" s="197"/>
      <c r="AT959" s="162"/>
      <c r="AU959" s="162"/>
      <c r="AV959" s="173"/>
      <c r="AW959" s="203">
        <v>79.75</v>
      </c>
      <c r="AX959" s="126">
        <f t="shared" si="1176"/>
        <v>85.202991452991469</v>
      </c>
      <c r="AY959" s="163"/>
      <c r="AZ959" s="19"/>
      <c r="BB959" s="168">
        <f t="shared" si="1165"/>
        <v>405.72853072853087</v>
      </c>
      <c r="BC959" s="168">
        <f t="shared" si="1166"/>
        <v>243.4371184371185</v>
      </c>
      <c r="BD959" s="168">
        <f t="shared" si="1167"/>
        <v>202.86426536426544</v>
      </c>
      <c r="BE959" s="168">
        <f t="shared" si="1168"/>
        <v>162.29141229141237</v>
      </c>
    </row>
    <row r="960" spans="1:57" s="129" customFormat="1" hidden="1">
      <c r="A960" s="88" t="s">
        <v>1276</v>
      </c>
      <c r="B960" s="88" t="s">
        <v>1318</v>
      </c>
      <c r="C960" s="88" t="s">
        <v>1318</v>
      </c>
      <c r="D960" s="88" t="s">
        <v>1102</v>
      </c>
      <c r="E960" s="91" t="s">
        <v>2209</v>
      </c>
      <c r="F960" s="90" t="s">
        <v>2207</v>
      </c>
      <c r="G960" s="92" t="s">
        <v>2643</v>
      </c>
      <c r="H960" s="92"/>
      <c r="I960" s="132" t="s">
        <v>1955</v>
      </c>
      <c r="J960" s="132" t="str">
        <f>_xlfn.XLOOKUP(I960,[1]Sheet1!$A:$A,[1]Sheet1!$B:$B,"")</f>
        <v>U1503003</v>
      </c>
      <c r="K960" s="91" t="s">
        <v>2074</v>
      </c>
      <c r="L960" s="89" t="s">
        <v>2194</v>
      </c>
      <c r="M960" s="92"/>
      <c r="N960" s="91" t="s">
        <v>1223</v>
      </c>
      <c r="O960" s="131"/>
      <c r="P960" s="90" t="s">
        <v>2206</v>
      </c>
      <c r="Q960" s="131"/>
      <c r="R960" s="131"/>
      <c r="S960" s="92"/>
      <c r="T960" s="131">
        <v>9403208000</v>
      </c>
      <c r="U960" s="155">
        <v>0</v>
      </c>
      <c r="V960" s="131">
        <v>45</v>
      </c>
      <c r="W960" s="131">
        <v>45</v>
      </c>
      <c r="X960" s="131"/>
      <c r="Y960" s="131" t="s">
        <v>2436</v>
      </c>
      <c r="Z960" s="133">
        <f t="shared" si="1170"/>
        <v>147.15557275541795</v>
      </c>
      <c r="AA960" s="133"/>
      <c r="AB960" s="161">
        <f t="shared" si="1171"/>
        <v>124.00793650793652</v>
      </c>
      <c r="AC960" s="161"/>
      <c r="AD960" s="213">
        <f t="shared" si="1163"/>
        <v>0.05</v>
      </c>
      <c r="AE960" s="213">
        <v>0.05</v>
      </c>
      <c r="AF960" s="219">
        <v>0.3</v>
      </c>
      <c r="AG960" s="218" t="s">
        <v>9</v>
      </c>
      <c r="AH960" s="148">
        <f t="shared" si="1162"/>
        <v>124.00793650793652</v>
      </c>
      <c r="AI960" s="206">
        <f t="shared" si="1172"/>
        <v>0.30000000000000004</v>
      </c>
      <c r="AJ960" s="444"/>
      <c r="AK960" s="150">
        <f t="shared" si="1169"/>
        <v>100.06578947368421</v>
      </c>
      <c r="AL960" s="202">
        <f t="shared" si="1173"/>
        <v>91.374269005847964</v>
      </c>
      <c r="AM960" s="208">
        <f t="shared" si="1174"/>
        <v>0.31999999999999995</v>
      </c>
      <c r="AN960" s="208">
        <f t="shared" si="1175"/>
        <v>0.26315789473684215</v>
      </c>
      <c r="AP960" s="170" t="s">
        <v>1267</v>
      </c>
      <c r="AQ960" s="204"/>
      <c r="AR960" s="204"/>
      <c r="AS960" s="197"/>
      <c r="AT960" s="162"/>
      <c r="AU960" s="162"/>
      <c r="AV960" s="173"/>
      <c r="AW960" s="203">
        <v>81.25</v>
      </c>
      <c r="AX960" s="126">
        <f t="shared" si="1176"/>
        <v>86.805555555555557</v>
      </c>
      <c r="AY960" s="163"/>
      <c r="AZ960" s="19"/>
      <c r="BB960" s="168">
        <f t="shared" si="1165"/>
        <v>413.35978835978841</v>
      </c>
      <c r="BC960" s="168">
        <f t="shared" si="1166"/>
        <v>248.01587301587304</v>
      </c>
      <c r="BD960" s="168">
        <f t="shared" si="1167"/>
        <v>206.67989417989421</v>
      </c>
      <c r="BE960" s="168">
        <f t="shared" si="1168"/>
        <v>165.34391534391537</v>
      </c>
    </row>
    <row r="961" spans="1:57" s="129" customFormat="1" hidden="1">
      <c r="A961" s="88" t="s">
        <v>1276</v>
      </c>
      <c r="B961" s="88" t="s">
        <v>1318</v>
      </c>
      <c r="C961" s="88" t="s">
        <v>1318</v>
      </c>
      <c r="D961" s="88" t="s">
        <v>1102</v>
      </c>
      <c r="E961" s="91" t="s">
        <v>2209</v>
      </c>
      <c r="F961" s="90" t="s">
        <v>2207</v>
      </c>
      <c r="G961" s="92" t="s">
        <v>2643</v>
      </c>
      <c r="H961" s="92"/>
      <c r="I961" s="132" t="s">
        <v>1956</v>
      </c>
      <c r="J961" s="132" t="str">
        <f>_xlfn.XLOOKUP(I961,[1]Sheet1!$A:$A,[1]Sheet1!$B:$B,"")</f>
        <v>U1503004</v>
      </c>
      <c r="K961" s="91" t="s">
        <v>2075</v>
      </c>
      <c r="L961" s="89" t="s">
        <v>2195</v>
      </c>
      <c r="M961" s="92"/>
      <c r="N961" s="91" t="s">
        <v>1223</v>
      </c>
      <c r="O961" s="131"/>
      <c r="P961" s="90" t="s">
        <v>2206</v>
      </c>
      <c r="Q961" s="131"/>
      <c r="R961" s="131"/>
      <c r="S961" s="92"/>
      <c r="T961" s="131">
        <v>9403208000</v>
      </c>
      <c r="U961" s="155">
        <v>0</v>
      </c>
      <c r="V961" s="131">
        <v>45</v>
      </c>
      <c r="W961" s="131">
        <v>45</v>
      </c>
      <c r="X961" s="131"/>
      <c r="Y961" s="131" t="s">
        <v>2436</v>
      </c>
      <c r="Z961" s="133">
        <f t="shared" si="1170"/>
        <v>169.79489164086689</v>
      </c>
      <c r="AA961" s="133"/>
      <c r="AB961" s="161">
        <f t="shared" si="1171"/>
        <v>143.08608058608061</v>
      </c>
      <c r="AC961" s="161"/>
      <c r="AD961" s="213">
        <f t="shared" si="1163"/>
        <v>0.05</v>
      </c>
      <c r="AE961" s="213">
        <v>0.05</v>
      </c>
      <c r="AF961" s="219">
        <v>0.3</v>
      </c>
      <c r="AG961" s="218" t="s">
        <v>9</v>
      </c>
      <c r="AH961" s="148">
        <f t="shared" si="1162"/>
        <v>143.08608058608061</v>
      </c>
      <c r="AI961" s="206">
        <f t="shared" si="1172"/>
        <v>0.30000000000000004</v>
      </c>
      <c r="AJ961" s="444"/>
      <c r="AK961" s="150">
        <f t="shared" si="1169"/>
        <v>115.46052631578948</v>
      </c>
      <c r="AL961" s="202">
        <f t="shared" si="1173"/>
        <v>105.43184885290151</v>
      </c>
      <c r="AM961" s="208">
        <f t="shared" si="1174"/>
        <v>0.32000000000000006</v>
      </c>
      <c r="AN961" s="208">
        <f t="shared" si="1175"/>
        <v>0.26315789473684204</v>
      </c>
      <c r="AP961" s="170" t="s">
        <v>1267</v>
      </c>
      <c r="AQ961" s="204"/>
      <c r="AR961" s="204"/>
      <c r="AS961" s="197"/>
      <c r="AT961" s="162"/>
      <c r="AU961" s="162"/>
      <c r="AV961" s="173"/>
      <c r="AW961" s="203">
        <v>93.75</v>
      </c>
      <c r="AX961" s="126">
        <f t="shared" si="1176"/>
        <v>100.16025641025642</v>
      </c>
      <c r="AY961" s="163"/>
      <c r="AZ961" s="19"/>
      <c r="BB961" s="168">
        <f t="shared" si="1165"/>
        <v>476.95360195360206</v>
      </c>
      <c r="BC961" s="168">
        <f t="shared" si="1166"/>
        <v>286.17216117216122</v>
      </c>
      <c r="BD961" s="168">
        <f t="shared" si="1167"/>
        <v>238.47680097680103</v>
      </c>
      <c r="BE961" s="168">
        <f t="shared" si="1168"/>
        <v>190.78144078144084</v>
      </c>
    </row>
    <row r="962" spans="1:57" s="129" customFormat="1" hidden="1">
      <c r="A962" s="88" t="s">
        <v>1276</v>
      </c>
      <c r="B962" s="88" t="s">
        <v>1318</v>
      </c>
      <c r="C962" s="88" t="s">
        <v>1318</v>
      </c>
      <c r="D962" s="88" t="s">
        <v>1102</v>
      </c>
      <c r="E962" s="91" t="s">
        <v>2209</v>
      </c>
      <c r="F962" s="90" t="s">
        <v>2207</v>
      </c>
      <c r="G962" s="92" t="s">
        <v>2643</v>
      </c>
      <c r="H962" s="92"/>
      <c r="I962" s="132" t="s">
        <v>1957</v>
      </c>
      <c r="J962" s="132" t="str">
        <f>_xlfn.XLOOKUP(I962,[1]Sheet1!$A:$A,[1]Sheet1!$B:$B,"")</f>
        <v>U1503005</v>
      </c>
      <c r="K962" s="91" t="s">
        <v>2076</v>
      </c>
      <c r="L962" s="89" t="s">
        <v>2196</v>
      </c>
      <c r="M962" s="92"/>
      <c r="N962" s="91" t="s">
        <v>1223</v>
      </c>
      <c r="O962" s="131"/>
      <c r="P962" s="90" t="s">
        <v>2206</v>
      </c>
      <c r="Q962" s="131"/>
      <c r="R962" s="131"/>
      <c r="S962" s="92"/>
      <c r="T962" s="131" t="s">
        <v>3863</v>
      </c>
      <c r="U962" s="155">
        <v>0</v>
      </c>
      <c r="V962" s="131">
        <v>45</v>
      </c>
      <c r="W962" s="131">
        <v>45</v>
      </c>
      <c r="X962" s="131"/>
      <c r="Y962" s="131" t="s">
        <v>2436</v>
      </c>
      <c r="Z962" s="133">
        <f t="shared" si="1170"/>
        <v>38.215170278637778</v>
      </c>
      <c r="AA962" s="133"/>
      <c r="AB962" s="161">
        <f t="shared" si="1171"/>
        <v>32.203907203907214</v>
      </c>
      <c r="AC962" s="161"/>
      <c r="AD962" s="213">
        <f t="shared" si="1163"/>
        <v>0.05</v>
      </c>
      <c r="AE962" s="213">
        <v>0.05</v>
      </c>
      <c r="AF962" s="219">
        <v>0.3</v>
      </c>
      <c r="AG962" s="218" t="s">
        <v>9</v>
      </c>
      <c r="AH962" s="148">
        <f t="shared" si="1162"/>
        <v>32.203907203907214</v>
      </c>
      <c r="AI962" s="206">
        <f t="shared" si="1172"/>
        <v>0.30000000000000016</v>
      </c>
      <c r="AJ962" s="444"/>
      <c r="AK962" s="150">
        <f t="shared" si="1169"/>
        <v>25.986315789473686</v>
      </c>
      <c r="AL962" s="202">
        <f t="shared" si="1173"/>
        <v>23.729194781826365</v>
      </c>
      <c r="AM962" s="208">
        <f t="shared" si="1174"/>
        <v>0.32000000000000006</v>
      </c>
      <c r="AN962" s="208">
        <f t="shared" si="1175"/>
        <v>0.26315789473684215</v>
      </c>
      <c r="AP962" s="170" t="s">
        <v>1267</v>
      </c>
      <c r="AQ962" s="204"/>
      <c r="AR962" s="204"/>
      <c r="AS962" s="197"/>
      <c r="AT962" s="162"/>
      <c r="AU962" s="162"/>
      <c r="AV962" s="173"/>
      <c r="AW962" s="203">
        <v>21.1</v>
      </c>
      <c r="AX962" s="126">
        <f t="shared" si="1176"/>
        <v>22.542735042735046</v>
      </c>
      <c r="AY962" s="163"/>
      <c r="AZ962" s="19"/>
      <c r="BB962" s="168">
        <f t="shared" si="1165"/>
        <v>107.34635734635738</v>
      </c>
      <c r="BC962" s="168">
        <f t="shared" si="1166"/>
        <v>64.407814407814428</v>
      </c>
      <c r="BD962" s="168">
        <f t="shared" si="1167"/>
        <v>53.67317867317869</v>
      </c>
      <c r="BE962" s="168">
        <f t="shared" si="1168"/>
        <v>42.938542938542952</v>
      </c>
    </row>
    <row r="963" spans="1:57" s="129" customFormat="1" hidden="1">
      <c r="A963" s="88" t="s">
        <v>1276</v>
      </c>
      <c r="B963" s="88" t="s">
        <v>1318</v>
      </c>
      <c r="C963" s="88" t="s">
        <v>1318</v>
      </c>
      <c r="D963" s="88" t="s">
        <v>1102</v>
      </c>
      <c r="E963" s="91" t="s">
        <v>2209</v>
      </c>
      <c r="F963" s="90" t="s">
        <v>2207</v>
      </c>
      <c r="G963" s="92" t="s">
        <v>2643</v>
      </c>
      <c r="H963" s="92"/>
      <c r="I963" s="132" t="s">
        <v>1958</v>
      </c>
      <c r="J963" s="132" t="str">
        <f>_xlfn.XLOOKUP(I963,[1]Sheet1!$A:$A,[1]Sheet1!$B:$B,"")</f>
        <v>U1503006</v>
      </c>
      <c r="K963" s="91" t="s">
        <v>2077</v>
      </c>
      <c r="L963" s="89" t="s">
        <v>2197</v>
      </c>
      <c r="M963" s="92"/>
      <c r="N963" s="91" t="s">
        <v>1223</v>
      </c>
      <c r="O963" s="131"/>
      <c r="P963" s="90" t="s">
        <v>2206</v>
      </c>
      <c r="Q963" s="131"/>
      <c r="R963" s="131"/>
      <c r="S963" s="92"/>
      <c r="T963" s="131" t="s">
        <v>3863</v>
      </c>
      <c r="U963" s="155">
        <v>0</v>
      </c>
      <c r="V963" s="131">
        <v>45</v>
      </c>
      <c r="W963" s="131">
        <v>45</v>
      </c>
      <c r="X963" s="131"/>
      <c r="Y963" s="131" t="s">
        <v>2436</v>
      </c>
      <c r="Z963" s="133">
        <f t="shared" si="1170"/>
        <v>28.797213622291022</v>
      </c>
      <c r="AA963" s="133"/>
      <c r="AB963" s="161">
        <f t="shared" si="1171"/>
        <v>24.26739926739927</v>
      </c>
      <c r="AC963" s="161"/>
      <c r="AD963" s="213">
        <f t="shared" si="1163"/>
        <v>0.05</v>
      </c>
      <c r="AE963" s="213">
        <v>0.05</v>
      </c>
      <c r="AF963" s="219">
        <v>0.3</v>
      </c>
      <c r="AG963" s="218" t="s">
        <v>9</v>
      </c>
      <c r="AH963" s="148">
        <f t="shared" si="1162"/>
        <v>24.26739926739927</v>
      </c>
      <c r="AI963" s="206">
        <f t="shared" si="1172"/>
        <v>0.30000000000000004</v>
      </c>
      <c r="AJ963" s="444"/>
      <c r="AK963" s="150">
        <f t="shared" si="1169"/>
        <v>19.582105263157892</v>
      </c>
      <c r="AL963" s="202">
        <f t="shared" si="1173"/>
        <v>17.881241565452093</v>
      </c>
      <c r="AM963" s="208">
        <f t="shared" si="1174"/>
        <v>0.32000000000000006</v>
      </c>
      <c r="AN963" s="208">
        <f t="shared" si="1175"/>
        <v>0.26315789473684215</v>
      </c>
      <c r="AP963" s="170" t="s">
        <v>1267</v>
      </c>
      <c r="AQ963" s="204"/>
      <c r="AR963" s="204"/>
      <c r="AS963" s="197"/>
      <c r="AT963" s="162"/>
      <c r="AU963" s="162"/>
      <c r="AV963" s="173"/>
      <c r="AW963" s="203">
        <v>15.9</v>
      </c>
      <c r="AX963" s="126">
        <f t="shared" si="1176"/>
        <v>16.987179487179489</v>
      </c>
      <c r="AY963" s="163"/>
      <c r="AZ963" s="19"/>
      <c r="BB963" s="168">
        <f t="shared" si="1165"/>
        <v>80.891330891330909</v>
      </c>
      <c r="BC963" s="168">
        <f t="shared" si="1166"/>
        <v>48.534798534798547</v>
      </c>
      <c r="BD963" s="168">
        <f t="shared" si="1167"/>
        <v>40.445665445665455</v>
      </c>
      <c r="BE963" s="168">
        <f t="shared" si="1168"/>
        <v>32.356532356532362</v>
      </c>
    </row>
    <row r="964" spans="1:57" s="129" customFormat="1" hidden="1">
      <c r="A964" s="88" t="s">
        <v>1276</v>
      </c>
      <c r="B964" s="88" t="s">
        <v>1318</v>
      </c>
      <c r="C964" s="88" t="s">
        <v>1318</v>
      </c>
      <c r="D964" s="88" t="s">
        <v>1102</v>
      </c>
      <c r="E964" s="91" t="s">
        <v>2209</v>
      </c>
      <c r="F964" s="90" t="s">
        <v>2207</v>
      </c>
      <c r="G964" s="92" t="s">
        <v>2636</v>
      </c>
      <c r="H964" s="92"/>
      <c r="I964" s="132" t="s">
        <v>1959</v>
      </c>
      <c r="J964" s="132" t="str">
        <f>_xlfn.XLOOKUP(I964,[1]Sheet1!$A:$A,[1]Sheet1!$B:$B,"")</f>
        <v>U1503007</v>
      </c>
      <c r="K964" s="91" t="s">
        <v>2078</v>
      </c>
      <c r="L964" s="89" t="s">
        <v>2198</v>
      </c>
      <c r="M964" s="92"/>
      <c r="N964" s="91" t="s">
        <v>1223</v>
      </c>
      <c r="O964" s="131"/>
      <c r="P964" s="90" t="s">
        <v>2206</v>
      </c>
      <c r="Q964" s="131"/>
      <c r="R964" s="131"/>
      <c r="S964" s="92"/>
      <c r="T964" s="131">
        <v>9403208000</v>
      </c>
      <c r="U964" s="155">
        <v>0</v>
      </c>
      <c r="V964" s="131">
        <v>45</v>
      </c>
      <c r="W964" s="131">
        <v>45</v>
      </c>
      <c r="X964" s="131"/>
      <c r="Y964" s="131" t="s">
        <v>2436</v>
      </c>
      <c r="Z964" s="133">
        <f t="shared" si="1170"/>
        <v>167.83885448916411</v>
      </c>
      <c r="AA964" s="133"/>
      <c r="AB964" s="161">
        <f t="shared" si="1171"/>
        <v>141.43772893772893</v>
      </c>
      <c r="AC964" s="161"/>
      <c r="AD964" s="213">
        <f t="shared" si="1163"/>
        <v>0.05</v>
      </c>
      <c r="AE964" s="213">
        <v>0.05</v>
      </c>
      <c r="AF964" s="219">
        <v>0.3</v>
      </c>
      <c r="AG964" s="218" t="s">
        <v>9</v>
      </c>
      <c r="AH964" s="148">
        <f t="shared" si="1162"/>
        <v>141.43772893772893</v>
      </c>
      <c r="AI964" s="206">
        <f t="shared" si="1172"/>
        <v>0.30000000000000004</v>
      </c>
      <c r="AJ964" s="444"/>
      <c r="AK964" s="150">
        <f t="shared" si="1169"/>
        <v>114.13042105263158</v>
      </c>
      <c r="AL964" s="202">
        <f t="shared" si="1173"/>
        <v>104.21727395411605</v>
      </c>
      <c r="AM964" s="208">
        <f t="shared" si="1174"/>
        <v>0.32000000000000006</v>
      </c>
      <c r="AN964" s="208">
        <f t="shared" si="1175"/>
        <v>0.26315789473684215</v>
      </c>
      <c r="AP964" s="170" t="s">
        <v>1267</v>
      </c>
      <c r="AQ964" s="204"/>
      <c r="AR964" s="204"/>
      <c r="AS964" s="197"/>
      <c r="AT964" s="162"/>
      <c r="AU964" s="162"/>
      <c r="AV964" s="173"/>
      <c r="AW964" s="203">
        <v>92.67</v>
      </c>
      <c r="AX964" s="126">
        <f t="shared" si="1176"/>
        <v>99.006410256410248</v>
      </c>
      <c r="AY964" s="163"/>
      <c r="AZ964" s="19"/>
      <c r="BB964" s="168">
        <f t="shared" si="1165"/>
        <v>471.45909645909649</v>
      </c>
      <c r="BC964" s="168">
        <f t="shared" si="1166"/>
        <v>282.87545787545787</v>
      </c>
      <c r="BD964" s="168">
        <f t="shared" si="1167"/>
        <v>235.72954822954824</v>
      </c>
      <c r="BE964" s="168">
        <f t="shared" si="1168"/>
        <v>188.58363858363862</v>
      </c>
    </row>
    <row r="965" spans="1:57" s="129" customFormat="1" hidden="1">
      <c r="A965" s="88" t="s">
        <v>1276</v>
      </c>
      <c r="B965" s="88" t="s">
        <v>1318</v>
      </c>
      <c r="C965" s="88" t="s">
        <v>1318</v>
      </c>
      <c r="D965" s="88" t="s">
        <v>1102</v>
      </c>
      <c r="E965" s="91" t="s">
        <v>2209</v>
      </c>
      <c r="F965" s="90" t="s">
        <v>2207</v>
      </c>
      <c r="G965" s="92" t="s">
        <v>2636</v>
      </c>
      <c r="H965" s="92"/>
      <c r="I965" s="132" t="s">
        <v>1960</v>
      </c>
      <c r="J965" s="132" t="str">
        <f>_xlfn.XLOOKUP(I965,[1]Sheet1!$A:$A,[1]Sheet1!$B:$B,"")</f>
        <v>U1503008</v>
      </c>
      <c r="K965" s="91" t="s">
        <v>2079</v>
      </c>
      <c r="L965" s="89" t="s">
        <v>2199</v>
      </c>
      <c r="M965" s="92"/>
      <c r="N965" s="91" t="s">
        <v>1223</v>
      </c>
      <c r="O965" s="131"/>
      <c r="P965" s="90" t="s">
        <v>2206</v>
      </c>
      <c r="Q965" s="131"/>
      <c r="R965" s="131"/>
      <c r="S965" s="92"/>
      <c r="T965" s="131">
        <v>9403208000</v>
      </c>
      <c r="U965" s="155">
        <v>0</v>
      </c>
      <c r="V965" s="131">
        <v>45</v>
      </c>
      <c r="W965" s="131">
        <v>45</v>
      </c>
      <c r="X965" s="131"/>
      <c r="Y965" s="131" t="s">
        <v>2436</v>
      </c>
      <c r="Z965" s="133">
        <f t="shared" si="1170"/>
        <v>170.55557275541798</v>
      </c>
      <c r="AA965" s="133"/>
      <c r="AB965" s="161">
        <f t="shared" si="1171"/>
        <v>143.72710622710625</v>
      </c>
      <c r="AC965" s="161"/>
      <c r="AD965" s="213">
        <f t="shared" si="1163"/>
        <v>0.05</v>
      </c>
      <c r="AE965" s="213">
        <v>0.05</v>
      </c>
      <c r="AF965" s="219">
        <v>0.3</v>
      </c>
      <c r="AG965" s="218" t="s">
        <v>9</v>
      </c>
      <c r="AH965" s="148">
        <f t="shared" si="1162"/>
        <v>143.72710622710625</v>
      </c>
      <c r="AI965" s="206">
        <f t="shared" si="1172"/>
        <v>0.30000000000000004</v>
      </c>
      <c r="AJ965" s="444"/>
      <c r="AK965" s="150">
        <f t="shared" si="1169"/>
        <v>115.97778947368421</v>
      </c>
      <c r="AL965" s="202">
        <f t="shared" si="1173"/>
        <v>105.9041835357625</v>
      </c>
      <c r="AM965" s="208">
        <f t="shared" si="1174"/>
        <v>0.32000000000000006</v>
      </c>
      <c r="AN965" s="208">
        <f t="shared" si="1175"/>
        <v>0.26315789473684215</v>
      </c>
      <c r="AP965" s="170" t="s">
        <v>1267</v>
      </c>
      <c r="AQ965" s="204"/>
      <c r="AR965" s="204"/>
      <c r="AS965" s="197"/>
      <c r="AT965" s="162"/>
      <c r="AU965" s="162"/>
      <c r="AV965" s="173"/>
      <c r="AW965" s="203">
        <v>94.17</v>
      </c>
      <c r="AX965" s="126">
        <f t="shared" si="1176"/>
        <v>100.60897435897436</v>
      </c>
      <c r="AY965" s="163"/>
      <c r="AZ965" s="19"/>
      <c r="BB965" s="168">
        <f t="shared" si="1165"/>
        <v>479.0903540903542</v>
      </c>
      <c r="BC965" s="168">
        <f t="shared" si="1166"/>
        <v>287.4542124542125</v>
      </c>
      <c r="BD965" s="168">
        <f t="shared" si="1167"/>
        <v>239.5451770451771</v>
      </c>
      <c r="BE965" s="168">
        <f t="shared" si="1168"/>
        <v>191.6361416361417</v>
      </c>
    </row>
    <row r="966" spans="1:57" s="129" customFormat="1" hidden="1">
      <c r="A966" s="88" t="s">
        <v>1276</v>
      </c>
      <c r="B966" s="88" t="s">
        <v>1318</v>
      </c>
      <c r="C966" s="88" t="s">
        <v>1318</v>
      </c>
      <c r="D966" s="88" t="s">
        <v>1102</v>
      </c>
      <c r="E966" s="91" t="s">
        <v>2209</v>
      </c>
      <c r="F966" s="90" t="s">
        <v>2207</v>
      </c>
      <c r="G966" s="92" t="s">
        <v>2636</v>
      </c>
      <c r="H966" s="92"/>
      <c r="I966" s="132" t="s">
        <v>1961</v>
      </c>
      <c r="J966" s="132" t="str">
        <f>_xlfn.XLOOKUP(I966,[1]Sheet1!$A:$A,[1]Sheet1!$B:$B,"")</f>
        <v>U1503009</v>
      </c>
      <c r="K966" s="91" t="s">
        <v>2080</v>
      </c>
      <c r="L966" s="89" t="s">
        <v>2200</v>
      </c>
      <c r="M966" s="92"/>
      <c r="N966" s="91" t="s">
        <v>1223</v>
      </c>
      <c r="O966" s="131"/>
      <c r="P966" s="90" t="s">
        <v>2206</v>
      </c>
      <c r="Q966" s="131"/>
      <c r="R966" s="131"/>
      <c r="S966" s="92"/>
      <c r="T966" s="131">
        <v>9403208000</v>
      </c>
      <c r="U966" s="155">
        <v>0</v>
      </c>
      <c r="V966" s="131">
        <v>45</v>
      </c>
      <c r="W966" s="131">
        <v>45</v>
      </c>
      <c r="X966" s="131"/>
      <c r="Y966" s="131" t="s">
        <v>2436</v>
      </c>
      <c r="Z966" s="133">
        <f t="shared" si="1170"/>
        <v>190.17027863777088</v>
      </c>
      <c r="AA966" s="133"/>
      <c r="AB966" s="161">
        <f t="shared" si="1171"/>
        <v>160.25641025641028</v>
      </c>
      <c r="AC966" s="161"/>
      <c r="AD966" s="213">
        <f t="shared" si="1163"/>
        <v>0.05</v>
      </c>
      <c r="AE966" s="213">
        <v>0.05</v>
      </c>
      <c r="AF966" s="219">
        <v>0.3</v>
      </c>
      <c r="AG966" s="218" t="s">
        <v>9</v>
      </c>
      <c r="AH966" s="148">
        <f t="shared" ref="AH966:AH1028" si="1186">AB966</f>
        <v>160.25641025641028</v>
      </c>
      <c r="AI966" s="206">
        <f t="shared" si="1172"/>
        <v>0.30000000000000004</v>
      </c>
      <c r="AJ966" s="444"/>
      <c r="AK966" s="150">
        <f t="shared" si="1169"/>
        <v>129.31578947368419</v>
      </c>
      <c r="AL966" s="202">
        <f t="shared" si="1173"/>
        <v>118.08367071524967</v>
      </c>
      <c r="AM966" s="208">
        <f t="shared" si="1174"/>
        <v>0.32000000000000006</v>
      </c>
      <c r="AN966" s="208">
        <f t="shared" si="1175"/>
        <v>0.26315789473684215</v>
      </c>
      <c r="AP966" s="170" t="s">
        <v>1267</v>
      </c>
      <c r="AQ966" s="204"/>
      <c r="AR966" s="204"/>
      <c r="AS966" s="197"/>
      <c r="AT966" s="162"/>
      <c r="AU966" s="162"/>
      <c r="AV966" s="173"/>
      <c r="AW966" s="203">
        <v>105</v>
      </c>
      <c r="AX966" s="126">
        <f t="shared" si="1176"/>
        <v>112.17948717948718</v>
      </c>
      <c r="AY966" s="163"/>
      <c r="AZ966" s="19"/>
      <c r="BB966" s="168">
        <f t="shared" si="1165"/>
        <v>534.18803418803429</v>
      </c>
      <c r="BC966" s="168">
        <f t="shared" si="1166"/>
        <v>320.51282051282055</v>
      </c>
      <c r="BD966" s="168">
        <f t="shared" si="1167"/>
        <v>267.09401709401715</v>
      </c>
      <c r="BE966" s="168">
        <f t="shared" si="1168"/>
        <v>213.67521367521374</v>
      </c>
    </row>
    <row r="967" spans="1:57" s="129" customFormat="1" hidden="1">
      <c r="A967" s="88" t="s">
        <v>1276</v>
      </c>
      <c r="B967" s="88" t="s">
        <v>1318</v>
      </c>
      <c r="C967" s="88" t="s">
        <v>1318</v>
      </c>
      <c r="D967" s="88" t="s">
        <v>1102</v>
      </c>
      <c r="E967" s="91" t="s">
        <v>2209</v>
      </c>
      <c r="F967" s="90" t="s">
        <v>2207</v>
      </c>
      <c r="G967" s="92" t="s">
        <v>2636</v>
      </c>
      <c r="H967" s="92"/>
      <c r="I967" s="132" t="s">
        <v>1962</v>
      </c>
      <c r="J967" s="132" t="str">
        <f>_xlfn.XLOOKUP(I967,[1]Sheet1!$A:$A,[1]Sheet1!$B:$B,"")</f>
        <v>U1503010</v>
      </c>
      <c r="K967" s="91" t="s">
        <v>2081</v>
      </c>
      <c r="L967" s="89" t="s">
        <v>2201</v>
      </c>
      <c r="M967" s="92"/>
      <c r="N967" s="91" t="s">
        <v>1223</v>
      </c>
      <c r="O967" s="131"/>
      <c r="P967" s="90" t="s">
        <v>2206</v>
      </c>
      <c r="Q967" s="131"/>
      <c r="R967" s="131"/>
      <c r="S967" s="92"/>
      <c r="T967" s="131">
        <v>9403208000</v>
      </c>
      <c r="U967" s="155">
        <v>0</v>
      </c>
      <c r="V967" s="131">
        <v>45</v>
      </c>
      <c r="W967" s="131">
        <v>45</v>
      </c>
      <c r="X967" s="131"/>
      <c r="Y967" s="131" t="s">
        <v>2436</v>
      </c>
      <c r="Z967" s="133">
        <f t="shared" si="1170"/>
        <v>196.72662538699694</v>
      </c>
      <c r="AA967" s="133"/>
      <c r="AB967" s="161">
        <f t="shared" si="1171"/>
        <v>165.78144078144078</v>
      </c>
      <c r="AC967" s="161"/>
      <c r="AD967" s="213">
        <f t="shared" ref="AD967:AD971" si="1187">AE967</f>
        <v>0.05</v>
      </c>
      <c r="AE967" s="213">
        <v>0.05</v>
      </c>
      <c r="AF967" s="219">
        <v>0.3</v>
      </c>
      <c r="AG967" s="218" t="s">
        <v>9</v>
      </c>
      <c r="AH967" s="148">
        <f t="shared" si="1186"/>
        <v>165.78144078144078</v>
      </c>
      <c r="AI967" s="206">
        <f t="shared" si="1172"/>
        <v>0.30000000000000004</v>
      </c>
      <c r="AJ967" s="444"/>
      <c r="AK967" s="150">
        <f t="shared" si="1169"/>
        <v>133.77410526315791</v>
      </c>
      <c r="AL967" s="202">
        <f t="shared" si="1173"/>
        <v>122.15474583895637</v>
      </c>
      <c r="AM967" s="208">
        <f t="shared" si="1174"/>
        <v>0.32000000000000006</v>
      </c>
      <c r="AN967" s="208">
        <f t="shared" si="1175"/>
        <v>0.26315789473684204</v>
      </c>
      <c r="AP967" s="170" t="s">
        <v>1267</v>
      </c>
      <c r="AQ967" s="204"/>
      <c r="AR967" s="204"/>
      <c r="AS967" s="197"/>
      <c r="AT967" s="162"/>
      <c r="AU967" s="162"/>
      <c r="AV967" s="173"/>
      <c r="AW967" s="203">
        <v>108.62</v>
      </c>
      <c r="AX967" s="126">
        <f t="shared" si="1176"/>
        <v>116.04700854700855</v>
      </c>
      <c r="AY967" s="163"/>
      <c r="AZ967" s="19"/>
      <c r="BB967" s="168">
        <f t="shared" si="1165"/>
        <v>552.60480260480267</v>
      </c>
      <c r="BC967" s="168">
        <f t="shared" si="1166"/>
        <v>331.56288156288161</v>
      </c>
      <c r="BD967" s="168">
        <f t="shared" si="1167"/>
        <v>276.30240130240134</v>
      </c>
      <c r="BE967" s="168">
        <f t="shared" si="1168"/>
        <v>221.04192104192109</v>
      </c>
    </row>
    <row r="968" spans="1:57" s="129" customFormat="1" hidden="1">
      <c r="A968" s="88" t="s">
        <v>1276</v>
      </c>
      <c r="B968" s="88" t="s">
        <v>1318</v>
      </c>
      <c r="C968" s="88" t="s">
        <v>1318</v>
      </c>
      <c r="D968" s="88" t="s">
        <v>1102</v>
      </c>
      <c r="E968" s="91" t="s">
        <v>2209</v>
      </c>
      <c r="F968" s="90" t="s">
        <v>2207</v>
      </c>
      <c r="G968" s="92" t="s">
        <v>2636</v>
      </c>
      <c r="H968" s="92"/>
      <c r="I968" s="132" t="s">
        <v>1963</v>
      </c>
      <c r="J968" s="132" t="str">
        <f>_xlfn.XLOOKUP(I968,[1]Sheet1!$A:$A,[1]Sheet1!$B:$B,"")</f>
        <v>U1503011</v>
      </c>
      <c r="K968" s="91" t="s">
        <v>2082</v>
      </c>
      <c r="L968" s="89" t="s">
        <v>2202</v>
      </c>
      <c r="M968" s="92"/>
      <c r="N968" s="91" t="s">
        <v>1223</v>
      </c>
      <c r="O968" s="131"/>
      <c r="P968" s="90" t="s">
        <v>2206</v>
      </c>
      <c r="Q968" s="131"/>
      <c r="R968" s="131"/>
      <c r="S968" s="92"/>
      <c r="T968" s="131">
        <v>9403208000</v>
      </c>
      <c r="U968" s="155">
        <v>0</v>
      </c>
      <c r="V968" s="131">
        <v>45</v>
      </c>
      <c r="W968" s="131">
        <v>45</v>
      </c>
      <c r="X968" s="131"/>
      <c r="Y968" s="131" t="s">
        <v>2436</v>
      </c>
      <c r="Z968" s="133">
        <f t="shared" si="1170"/>
        <v>199.22600619195049</v>
      </c>
      <c r="AA968" s="133"/>
      <c r="AB968" s="161">
        <f t="shared" si="1171"/>
        <v>167.8876678876679</v>
      </c>
      <c r="AC968" s="161"/>
      <c r="AD968" s="213">
        <f t="shared" si="1187"/>
        <v>0.05</v>
      </c>
      <c r="AE968" s="213">
        <v>0.05</v>
      </c>
      <c r="AF968" s="219">
        <v>0.3</v>
      </c>
      <c r="AG968" s="218" t="s">
        <v>9</v>
      </c>
      <c r="AH968" s="148">
        <f t="shared" si="1186"/>
        <v>167.8876678876679</v>
      </c>
      <c r="AI968" s="206">
        <f t="shared" si="1172"/>
        <v>0.30000000000000004</v>
      </c>
      <c r="AJ968" s="444"/>
      <c r="AK968" s="150">
        <f t="shared" si="1169"/>
        <v>135.47368421052633</v>
      </c>
      <c r="AL968" s="202">
        <f t="shared" si="1173"/>
        <v>123.70670265407108</v>
      </c>
      <c r="AM968" s="208">
        <f t="shared" si="1174"/>
        <v>0.32000000000000006</v>
      </c>
      <c r="AN968" s="208">
        <f t="shared" si="1175"/>
        <v>0.26315789473684215</v>
      </c>
      <c r="AP968" s="170" t="s">
        <v>1267</v>
      </c>
      <c r="AQ968" s="204"/>
      <c r="AR968" s="204"/>
      <c r="AS968" s="197"/>
      <c r="AT968" s="162"/>
      <c r="AU968" s="162"/>
      <c r="AV968" s="173"/>
      <c r="AW968" s="203">
        <v>110</v>
      </c>
      <c r="AX968" s="126">
        <f t="shared" si="1176"/>
        <v>117.52136752136752</v>
      </c>
      <c r="AY968" s="163"/>
      <c r="AZ968" s="19"/>
      <c r="BB968" s="168">
        <f t="shared" si="1165"/>
        <v>559.62555962555973</v>
      </c>
      <c r="BC968" s="168">
        <f t="shared" si="1166"/>
        <v>335.7753357753358</v>
      </c>
      <c r="BD968" s="168">
        <f t="shared" si="1167"/>
        <v>279.81277981277987</v>
      </c>
      <c r="BE968" s="168">
        <f t="shared" si="1168"/>
        <v>223.8502238502239</v>
      </c>
    </row>
    <row r="969" spans="1:57" s="129" customFormat="1" hidden="1">
      <c r="A969" s="88" t="s">
        <v>1276</v>
      </c>
      <c r="B969" s="88" t="s">
        <v>1318</v>
      </c>
      <c r="C969" s="88" t="s">
        <v>1318</v>
      </c>
      <c r="D969" s="88" t="s">
        <v>1102</v>
      </c>
      <c r="E969" s="91" t="s">
        <v>2209</v>
      </c>
      <c r="F969" s="90" t="s">
        <v>2207</v>
      </c>
      <c r="G969" s="92" t="s">
        <v>2636</v>
      </c>
      <c r="H969" s="92"/>
      <c r="I969" s="132" t="s">
        <v>1964</v>
      </c>
      <c r="J969" s="132" t="str">
        <f>_xlfn.XLOOKUP(I969,[1]Sheet1!$A:$A,[1]Sheet1!$B:$B,"")</f>
        <v>U1503012</v>
      </c>
      <c r="K969" s="91" t="s">
        <v>2083</v>
      </c>
      <c r="L969" s="89" t="s">
        <v>2203</v>
      </c>
      <c r="M969" s="92"/>
      <c r="N969" s="91" t="s">
        <v>1223</v>
      </c>
      <c r="O969" s="131"/>
      <c r="P969" s="90" t="s">
        <v>2206</v>
      </c>
      <c r="Q969" s="131"/>
      <c r="R969" s="131"/>
      <c r="S969" s="92"/>
      <c r="T969" s="131">
        <v>9403208000</v>
      </c>
      <c r="U969" s="155">
        <v>0</v>
      </c>
      <c r="V969" s="131">
        <v>45</v>
      </c>
      <c r="W969" s="131">
        <v>45</v>
      </c>
      <c r="X969" s="131"/>
      <c r="Y969" s="131" t="s">
        <v>2436</v>
      </c>
      <c r="Z969" s="133">
        <f t="shared" si="1170"/>
        <v>219.36594427244586</v>
      </c>
      <c r="AA969" s="133"/>
      <c r="AB969" s="161">
        <f t="shared" si="1171"/>
        <v>184.85958485958488</v>
      </c>
      <c r="AC969" s="161"/>
      <c r="AD969" s="213">
        <f t="shared" si="1187"/>
        <v>0.05</v>
      </c>
      <c r="AE969" s="213">
        <v>0.05</v>
      </c>
      <c r="AF969" s="219">
        <v>0.3</v>
      </c>
      <c r="AG969" s="218" t="s">
        <v>9</v>
      </c>
      <c r="AH969" s="148">
        <f t="shared" si="1186"/>
        <v>184.85958485958488</v>
      </c>
      <c r="AI969" s="206">
        <f t="shared" si="1172"/>
        <v>0.30000000000000004</v>
      </c>
      <c r="AJ969" s="444"/>
      <c r="AK969" s="150">
        <f t="shared" si="1169"/>
        <v>149.16884210526317</v>
      </c>
      <c r="AL969" s="202">
        <f t="shared" si="1173"/>
        <v>136.2123256860099</v>
      </c>
      <c r="AM969" s="208">
        <f t="shared" si="1174"/>
        <v>0.32000000000000006</v>
      </c>
      <c r="AN969" s="208">
        <f t="shared" si="1175"/>
        <v>0.26315789473684215</v>
      </c>
      <c r="AP969" s="170" t="s">
        <v>1267</v>
      </c>
      <c r="AQ969" s="204"/>
      <c r="AR969" s="204"/>
      <c r="AS969" s="197"/>
      <c r="AT969" s="162"/>
      <c r="AU969" s="162"/>
      <c r="AV969" s="173"/>
      <c r="AW969" s="203">
        <v>121.12</v>
      </c>
      <c r="AX969" s="126">
        <f t="shared" si="1176"/>
        <v>129.40170940170941</v>
      </c>
      <c r="AY969" s="163"/>
      <c r="AZ969" s="19"/>
      <c r="BB969" s="168">
        <f t="shared" si="1165"/>
        <v>616.19861619861626</v>
      </c>
      <c r="BC969" s="168">
        <f t="shared" si="1166"/>
        <v>369.71916971916977</v>
      </c>
      <c r="BD969" s="168">
        <f t="shared" si="1167"/>
        <v>308.09930809930813</v>
      </c>
      <c r="BE969" s="168">
        <f t="shared" si="1168"/>
        <v>246.47944647944652</v>
      </c>
    </row>
    <row r="970" spans="1:57" s="129" customFormat="1" hidden="1">
      <c r="A970" s="88" t="s">
        <v>1276</v>
      </c>
      <c r="B970" s="88" t="s">
        <v>1318</v>
      </c>
      <c r="C970" s="88" t="s">
        <v>1318</v>
      </c>
      <c r="D970" s="88" t="s">
        <v>1102</v>
      </c>
      <c r="E970" s="91" t="s">
        <v>2209</v>
      </c>
      <c r="F970" s="90" t="s">
        <v>2207</v>
      </c>
      <c r="G970" s="92" t="s">
        <v>2636</v>
      </c>
      <c r="H970" s="92"/>
      <c r="I970" s="132" t="s">
        <v>1965</v>
      </c>
      <c r="J970" s="132" t="str">
        <f>_xlfn.XLOOKUP(I970,[1]Sheet1!$A:$A,[1]Sheet1!$B:$B,"")</f>
        <v>U1503013</v>
      </c>
      <c r="K970" s="91" t="s">
        <v>2084</v>
      </c>
      <c r="L970" s="89" t="s">
        <v>2204</v>
      </c>
      <c r="M970" s="92"/>
      <c r="N970" s="91" t="s">
        <v>1223</v>
      </c>
      <c r="O970" s="131"/>
      <c r="P970" s="90" t="s">
        <v>2206</v>
      </c>
      <c r="Q970" s="131"/>
      <c r="R970" s="131"/>
      <c r="S970" s="92"/>
      <c r="T970" s="131" t="s">
        <v>3863</v>
      </c>
      <c r="U970" s="155">
        <v>0</v>
      </c>
      <c r="V970" s="131">
        <v>45</v>
      </c>
      <c r="W970" s="131">
        <v>45</v>
      </c>
      <c r="X970" s="131"/>
      <c r="Y970" s="131" t="s">
        <v>2436</v>
      </c>
      <c r="Z970" s="133">
        <f t="shared" si="1170"/>
        <v>41.11300309597523</v>
      </c>
      <c r="AA970" s="133"/>
      <c r="AB970" s="161">
        <f t="shared" si="1171"/>
        <v>34.645909645909654</v>
      </c>
      <c r="AC970" s="161"/>
      <c r="AD970" s="213">
        <f t="shared" si="1187"/>
        <v>0.05</v>
      </c>
      <c r="AE970" s="213">
        <v>0.05</v>
      </c>
      <c r="AF970" s="219">
        <v>0.3</v>
      </c>
      <c r="AG970" s="218" t="s">
        <v>9</v>
      </c>
      <c r="AH970" s="148">
        <f t="shared" si="1186"/>
        <v>34.645909645909654</v>
      </c>
      <c r="AI970" s="206">
        <f t="shared" si="1172"/>
        <v>0.30000000000000004</v>
      </c>
      <c r="AJ970" s="444"/>
      <c r="AK970" s="150">
        <f t="shared" si="1169"/>
        <v>27.956842105263156</v>
      </c>
      <c r="AL970" s="202">
        <f t="shared" si="1173"/>
        <v>25.52856500224922</v>
      </c>
      <c r="AM970" s="208">
        <f t="shared" si="1174"/>
        <v>0.32000000000000006</v>
      </c>
      <c r="AN970" s="208">
        <f t="shared" si="1175"/>
        <v>0.26315789473684204</v>
      </c>
      <c r="AP970" s="170" t="s">
        <v>1267</v>
      </c>
      <c r="AQ970" s="204"/>
      <c r="AR970" s="204"/>
      <c r="AS970" s="197"/>
      <c r="AT970" s="162"/>
      <c r="AU970" s="162"/>
      <c r="AV970" s="173"/>
      <c r="AW970" s="203">
        <v>22.7</v>
      </c>
      <c r="AX970" s="126">
        <f t="shared" si="1176"/>
        <v>24.252136752136757</v>
      </c>
      <c r="AY970" s="163"/>
      <c r="AZ970" s="19"/>
      <c r="BB970" s="168">
        <f t="shared" si="1165"/>
        <v>115.48636548636551</v>
      </c>
      <c r="BC970" s="168">
        <f t="shared" si="1166"/>
        <v>69.291819291819309</v>
      </c>
      <c r="BD970" s="168">
        <f t="shared" si="1167"/>
        <v>57.743182743182757</v>
      </c>
      <c r="BE970" s="168">
        <f t="shared" si="1168"/>
        <v>46.194546194546206</v>
      </c>
    </row>
    <row r="971" spans="1:57" s="129" customFormat="1" hidden="1">
      <c r="A971" s="88" t="s">
        <v>1276</v>
      </c>
      <c r="B971" s="88" t="s">
        <v>1318</v>
      </c>
      <c r="C971" s="88" t="s">
        <v>1318</v>
      </c>
      <c r="D971" s="88" t="s">
        <v>1102</v>
      </c>
      <c r="E971" s="91" t="s">
        <v>2209</v>
      </c>
      <c r="F971" s="90" t="s">
        <v>2207</v>
      </c>
      <c r="G971" s="92" t="s">
        <v>2636</v>
      </c>
      <c r="H971" s="92"/>
      <c r="I971" s="132" t="s">
        <v>1966</v>
      </c>
      <c r="J971" s="132" t="str">
        <f>_xlfn.XLOOKUP(I971,[1]Sheet1!$A:$A,[1]Sheet1!$B:$B,"")</f>
        <v>U1503014</v>
      </c>
      <c r="K971" s="91" t="s">
        <v>2085</v>
      </c>
      <c r="L971" s="89" t="s">
        <v>2205</v>
      </c>
      <c r="M971" s="92"/>
      <c r="N971" s="91" t="s">
        <v>1223</v>
      </c>
      <c r="O971" s="131"/>
      <c r="P971" s="90" t="s">
        <v>2206</v>
      </c>
      <c r="Q971" s="131"/>
      <c r="R971" s="131"/>
      <c r="S971" s="92"/>
      <c r="T971" s="131" t="s">
        <v>3863</v>
      </c>
      <c r="U971" s="155">
        <v>0</v>
      </c>
      <c r="V971" s="131">
        <v>45</v>
      </c>
      <c r="W971" s="131">
        <v>45</v>
      </c>
      <c r="X971" s="131"/>
      <c r="Y971" s="131" t="s">
        <v>2436</v>
      </c>
      <c r="Z971" s="133">
        <f t="shared" si="1170"/>
        <v>54.877708978328172</v>
      </c>
      <c r="AA971" s="133"/>
      <c r="AB971" s="161">
        <f t="shared" si="1171"/>
        <v>46.245421245421255</v>
      </c>
      <c r="AC971" s="161"/>
      <c r="AD971" s="213">
        <f t="shared" si="1187"/>
        <v>0.05</v>
      </c>
      <c r="AE971" s="213">
        <v>0.05</v>
      </c>
      <c r="AF971" s="219">
        <v>0.3</v>
      </c>
      <c r="AG971" s="218" t="s">
        <v>9</v>
      </c>
      <c r="AH971" s="148">
        <f t="shared" si="1186"/>
        <v>46.245421245421255</v>
      </c>
      <c r="AI971" s="206">
        <f t="shared" si="1172"/>
        <v>0.30000000000000004</v>
      </c>
      <c r="AJ971" s="444"/>
      <c r="AK971" s="150">
        <f t="shared" si="1169"/>
        <v>37.316842105263156</v>
      </c>
      <c r="AL971" s="202">
        <f t="shared" si="1173"/>
        <v>34.075573549257768</v>
      </c>
      <c r="AM971" s="208">
        <f t="shared" si="1174"/>
        <v>0.32000000000000006</v>
      </c>
      <c r="AN971" s="208">
        <f t="shared" si="1175"/>
        <v>0.26315789473684204</v>
      </c>
      <c r="AP971" s="170" t="s">
        <v>1267</v>
      </c>
      <c r="AQ971" s="204"/>
      <c r="AR971" s="204"/>
      <c r="AS971" s="197"/>
      <c r="AT971" s="162"/>
      <c r="AU971" s="162"/>
      <c r="AV971" s="173"/>
      <c r="AW971" s="203">
        <v>30.3</v>
      </c>
      <c r="AX971" s="126">
        <f t="shared" si="1176"/>
        <v>32.371794871794876</v>
      </c>
      <c r="AY971" s="163"/>
      <c r="AZ971" s="19"/>
      <c r="BB971" s="168">
        <f t="shared" si="1165"/>
        <v>154.15140415140419</v>
      </c>
      <c r="BC971" s="168">
        <f t="shared" si="1166"/>
        <v>92.49084249084251</v>
      </c>
      <c r="BD971" s="168">
        <f t="shared" si="1167"/>
        <v>77.075702075702097</v>
      </c>
      <c r="BE971" s="168">
        <f t="shared" si="1168"/>
        <v>61.660561660561683</v>
      </c>
    </row>
    <row r="972" spans="1:57" s="129" customFormat="1" ht="15" hidden="1">
      <c r="A972" s="88" t="s">
        <v>1276</v>
      </c>
      <c r="B972" s="88" t="s">
        <v>1318</v>
      </c>
      <c r="C972" s="88" t="s">
        <v>1318</v>
      </c>
      <c r="D972" s="88" t="s">
        <v>1102</v>
      </c>
      <c r="E972" s="91" t="s">
        <v>2209</v>
      </c>
      <c r="F972" s="90" t="s">
        <v>2445</v>
      </c>
      <c r="G972" s="92" t="s">
        <v>2644</v>
      </c>
      <c r="H972" s="92"/>
      <c r="I972" s="233" t="s">
        <v>2446</v>
      </c>
      <c r="J972" s="132" t="s">
        <v>3694</v>
      </c>
      <c r="K972" s="91" t="s">
        <v>2678</v>
      </c>
      <c r="L972" s="89" t="s">
        <v>2685</v>
      </c>
      <c r="M972" s="92"/>
      <c r="N972" s="91" t="s">
        <v>1223</v>
      </c>
      <c r="O972" s="131"/>
      <c r="P972" s="90" t="s">
        <v>2206</v>
      </c>
      <c r="Q972" s="131"/>
      <c r="R972" s="131"/>
      <c r="S972" s="92"/>
      <c r="T972" s="131">
        <v>9403208000</v>
      </c>
      <c r="U972" s="155">
        <v>0</v>
      </c>
      <c r="V972" s="131">
        <v>45</v>
      </c>
      <c r="W972" s="131">
        <v>45</v>
      </c>
      <c r="X972" s="131"/>
      <c r="Y972" s="131" t="s">
        <v>1706</v>
      </c>
      <c r="Z972" s="133">
        <f t="shared" ref="Z972:Z1018" si="1188">AK972/(1-(AF972+2%))</f>
        <v>184.73684210526315</v>
      </c>
      <c r="AA972" s="133"/>
      <c r="AB972" s="161">
        <f t="shared" ref="AB972:AB1018" si="1189">AX972/(1-AF972)</f>
        <v>156.34771732332706</v>
      </c>
      <c r="AC972" s="161"/>
      <c r="AD972" s="213">
        <f t="shared" ref="AD972:AD1017" si="1190">AE972</f>
        <v>0.05</v>
      </c>
      <c r="AE972" s="213">
        <v>0.05</v>
      </c>
      <c r="AF972" s="219">
        <v>0.18</v>
      </c>
      <c r="AG972" s="218" t="s">
        <v>9</v>
      </c>
      <c r="AH972" s="148">
        <f t="shared" si="1186"/>
        <v>156.34771732332706</v>
      </c>
      <c r="AI972" s="206">
        <f>1-(AX972/AH972)</f>
        <v>0.17999999999999994</v>
      </c>
      <c r="AJ972" s="444"/>
      <c r="AK972" s="150">
        <f t="shared" si="1169"/>
        <v>147.78947368421052</v>
      </c>
      <c r="AL972" s="202">
        <f t="shared" ref="AL972:AL1018" si="1191">AX972/(1-AE972)</f>
        <v>134.95276653171391</v>
      </c>
      <c r="AM972" s="208">
        <f t="shared" ref="AM972:AM1018" si="1192">1-(AK972/Z972)</f>
        <v>0.19999999999999996</v>
      </c>
      <c r="AN972" s="208">
        <f t="shared" ref="AN972:AN1018" si="1193">1-(AL972/AB972)</f>
        <v>0.13684210526315777</v>
      </c>
      <c r="AP972" s="170" t="s">
        <v>1267</v>
      </c>
      <c r="AQ972" s="204"/>
      <c r="AR972" s="204"/>
      <c r="AS972" s="197"/>
      <c r="AT972" s="162"/>
      <c r="AU972" s="162"/>
      <c r="AV972" s="173"/>
      <c r="AW972" s="203">
        <f>VLOOKUP(I972,'[6]RACKS &amp; OPEN RACKS'!$B$6:$J$60,9,FALSE)</f>
        <v>120</v>
      </c>
      <c r="AX972" s="126">
        <f t="shared" si="1176"/>
        <v>128.2051282051282</v>
      </c>
      <c r="AY972" s="163"/>
      <c r="AZ972" s="19"/>
      <c r="BB972" s="168">
        <f t="shared" si="1165"/>
        <v>521.15905774442354</v>
      </c>
      <c r="BC972" s="168">
        <f t="shared" si="1166"/>
        <v>312.69543464665412</v>
      </c>
      <c r="BD972" s="168">
        <f t="shared" si="1167"/>
        <v>260.57952887221177</v>
      </c>
      <c r="BE972" s="168">
        <f t="shared" si="1168"/>
        <v>208.46362309776941</v>
      </c>
    </row>
    <row r="973" spans="1:57" s="129" customFormat="1" ht="15" hidden="1">
      <c r="A973" s="88" t="s">
        <v>1276</v>
      </c>
      <c r="B973" s="88" t="s">
        <v>1318</v>
      </c>
      <c r="C973" s="88" t="s">
        <v>1318</v>
      </c>
      <c r="D973" s="88" t="s">
        <v>1102</v>
      </c>
      <c r="E973" s="91" t="s">
        <v>2209</v>
      </c>
      <c r="F973" s="90" t="s">
        <v>2445</v>
      </c>
      <c r="G973" s="92" t="s">
        <v>2642</v>
      </c>
      <c r="H973" s="92"/>
      <c r="I973" s="233" t="s">
        <v>2447</v>
      </c>
      <c r="J973" s="132"/>
      <c r="K973" s="91" t="s">
        <v>2679</v>
      </c>
      <c r="L973" s="89" t="s">
        <v>2686</v>
      </c>
      <c r="M973" s="92"/>
      <c r="N973" s="91" t="s">
        <v>1223</v>
      </c>
      <c r="O973" s="131"/>
      <c r="P973" s="90" t="s">
        <v>2206</v>
      </c>
      <c r="Q973" s="131"/>
      <c r="R973" s="131"/>
      <c r="S973" s="92"/>
      <c r="T973" s="131">
        <v>9403208000</v>
      </c>
      <c r="U973" s="155">
        <v>0</v>
      </c>
      <c r="V973" s="131">
        <v>45</v>
      </c>
      <c r="W973" s="131">
        <v>45</v>
      </c>
      <c r="X973" s="131"/>
      <c r="Y973" s="131" t="s">
        <v>1706</v>
      </c>
      <c r="Z973" s="133">
        <f t="shared" si="1188"/>
        <v>200.13157894736838</v>
      </c>
      <c r="AA973" s="133"/>
      <c r="AB973" s="161">
        <f t="shared" si="1189"/>
        <v>169.37669376693765</v>
      </c>
      <c r="AC973" s="161"/>
      <c r="AD973" s="213">
        <f t="shared" si="1190"/>
        <v>0.05</v>
      </c>
      <c r="AE973" s="213">
        <v>0.05</v>
      </c>
      <c r="AF973" s="219">
        <v>0.18</v>
      </c>
      <c r="AG973" s="218" t="s">
        <v>9</v>
      </c>
      <c r="AH973" s="148">
        <f t="shared" si="1186"/>
        <v>169.37669376693765</v>
      </c>
      <c r="AI973" s="206">
        <f t="shared" ref="AI973:AI1018" si="1194">1-(AX973/AH973)</f>
        <v>0.17999999999999994</v>
      </c>
      <c r="AJ973" s="444"/>
      <c r="AK973" s="150">
        <f t="shared" si="1169"/>
        <v>160.10526315789471</v>
      </c>
      <c r="AL973" s="202">
        <f t="shared" si="1191"/>
        <v>146.19883040935673</v>
      </c>
      <c r="AM973" s="208">
        <f t="shared" si="1192"/>
        <v>0.19999999999999996</v>
      </c>
      <c r="AN973" s="208">
        <f t="shared" si="1193"/>
        <v>0.13684210526315777</v>
      </c>
      <c r="AP973" s="170" t="s">
        <v>1267</v>
      </c>
      <c r="AQ973" s="204"/>
      <c r="AR973" s="204"/>
      <c r="AS973" s="197"/>
      <c r="AT973" s="162"/>
      <c r="AU973" s="162"/>
      <c r="AV973" s="173"/>
      <c r="AW973" s="203">
        <f>VLOOKUP(I973,'[6]RACKS &amp; OPEN RACKS'!$B$6:$J$60,9,FALSE)</f>
        <v>130</v>
      </c>
      <c r="AX973" s="126">
        <f t="shared" si="1176"/>
        <v>138.88888888888889</v>
      </c>
      <c r="AY973" s="163"/>
      <c r="AZ973" s="19"/>
      <c r="BB973" s="168">
        <f t="shared" si="1165"/>
        <v>564.58897922312553</v>
      </c>
      <c r="BC973" s="168">
        <f t="shared" si="1166"/>
        <v>338.7533875338753</v>
      </c>
      <c r="BD973" s="168">
        <f t="shared" si="1167"/>
        <v>282.29448961156277</v>
      </c>
      <c r="BE973" s="168">
        <f t="shared" si="1168"/>
        <v>225.83559168925024</v>
      </c>
    </row>
    <row r="974" spans="1:57" s="129" customFormat="1" ht="15" hidden="1">
      <c r="A974" s="88" t="s">
        <v>1276</v>
      </c>
      <c r="B974" s="88" t="s">
        <v>1318</v>
      </c>
      <c r="C974" s="88" t="s">
        <v>1318</v>
      </c>
      <c r="D974" s="88" t="s">
        <v>1102</v>
      </c>
      <c r="E974" s="91" t="s">
        <v>2209</v>
      </c>
      <c r="F974" s="90" t="s">
        <v>2445</v>
      </c>
      <c r="G974" s="92" t="s">
        <v>2643</v>
      </c>
      <c r="H974" s="92"/>
      <c r="I974" s="233" t="s">
        <v>2448</v>
      </c>
      <c r="J974" s="132"/>
      <c r="K974" s="91" t="s">
        <v>2680</v>
      </c>
      <c r="L974" s="89" t="s">
        <v>2687</v>
      </c>
      <c r="M974" s="92"/>
      <c r="N974" s="91" t="s">
        <v>1223</v>
      </c>
      <c r="O974" s="131"/>
      <c r="P974" s="90" t="s">
        <v>2206</v>
      </c>
      <c r="Q974" s="131"/>
      <c r="R974" s="131"/>
      <c r="S974" s="92"/>
      <c r="T974" s="131">
        <v>9403208000</v>
      </c>
      <c r="U974" s="155">
        <v>0</v>
      </c>
      <c r="V974" s="131">
        <v>45</v>
      </c>
      <c r="W974" s="131">
        <v>45</v>
      </c>
      <c r="X974" s="131"/>
      <c r="Y974" s="131" t="s">
        <v>1706</v>
      </c>
      <c r="Z974" s="133">
        <f t="shared" si="1188"/>
        <v>215.5263157894737</v>
      </c>
      <c r="AA974" s="133"/>
      <c r="AB974" s="161">
        <f t="shared" si="1189"/>
        <v>182.40567021054824</v>
      </c>
      <c r="AC974" s="161"/>
      <c r="AD974" s="213">
        <f t="shared" si="1190"/>
        <v>0.05</v>
      </c>
      <c r="AE974" s="213">
        <v>0.05</v>
      </c>
      <c r="AF974" s="219">
        <v>0.18</v>
      </c>
      <c r="AG974" s="218" t="s">
        <v>9</v>
      </c>
      <c r="AH974" s="148">
        <f t="shared" si="1186"/>
        <v>182.40567021054824</v>
      </c>
      <c r="AI974" s="206">
        <f t="shared" si="1194"/>
        <v>0.17999999999999994</v>
      </c>
      <c r="AJ974" s="444"/>
      <c r="AK974" s="150">
        <f t="shared" si="1169"/>
        <v>172.42105263157896</v>
      </c>
      <c r="AL974" s="202">
        <f t="shared" si="1191"/>
        <v>157.44489428699956</v>
      </c>
      <c r="AM974" s="208">
        <f t="shared" si="1192"/>
        <v>0.19999999999999996</v>
      </c>
      <c r="AN974" s="208">
        <f t="shared" si="1193"/>
        <v>0.13684210526315777</v>
      </c>
      <c r="AP974" s="170" t="s">
        <v>1267</v>
      </c>
      <c r="AQ974" s="204"/>
      <c r="AR974" s="204"/>
      <c r="AS974" s="197"/>
      <c r="AT974" s="162"/>
      <c r="AU974" s="162"/>
      <c r="AV974" s="173"/>
      <c r="AW974" s="203">
        <f>VLOOKUP(I974,'[6]RACKS &amp; OPEN RACKS'!$B$6:$J$60,9,FALSE)</f>
        <v>140</v>
      </c>
      <c r="AX974" s="126">
        <f t="shared" si="1176"/>
        <v>149.57264957264957</v>
      </c>
      <c r="AY974" s="163"/>
      <c r="AZ974" s="19"/>
      <c r="BB974" s="168">
        <f t="shared" si="1165"/>
        <v>608.01890070182753</v>
      </c>
      <c r="BC974" s="168">
        <f t="shared" si="1166"/>
        <v>364.81134042109653</v>
      </c>
      <c r="BD974" s="168">
        <f t="shared" si="1167"/>
        <v>304.00945035091377</v>
      </c>
      <c r="BE974" s="168">
        <f t="shared" si="1168"/>
        <v>243.20756028073103</v>
      </c>
    </row>
    <row r="975" spans="1:57" s="129" customFormat="1" ht="15" hidden="1">
      <c r="A975" s="88" t="s">
        <v>1276</v>
      </c>
      <c r="B975" s="88" t="s">
        <v>1318</v>
      </c>
      <c r="C975" s="88" t="s">
        <v>1318</v>
      </c>
      <c r="D975" s="88" t="s">
        <v>1102</v>
      </c>
      <c r="E975" s="91" t="s">
        <v>2209</v>
      </c>
      <c r="F975" s="90" t="s">
        <v>2445</v>
      </c>
      <c r="G975" s="92" t="s">
        <v>2645</v>
      </c>
      <c r="H975" s="92"/>
      <c r="I975" s="233" t="s">
        <v>2449</v>
      </c>
      <c r="J975" s="132"/>
      <c r="K975" s="91" t="s">
        <v>2682</v>
      </c>
      <c r="L975" s="89" t="s">
        <v>2688</v>
      </c>
      <c r="M975" s="92"/>
      <c r="N975" s="91" t="s">
        <v>1223</v>
      </c>
      <c r="O975" s="131"/>
      <c r="P975" s="90" t="s">
        <v>2206</v>
      </c>
      <c r="Q975" s="131"/>
      <c r="R975" s="131"/>
      <c r="S975" s="92"/>
      <c r="T975" s="131">
        <v>9403208000</v>
      </c>
      <c r="U975" s="155">
        <v>0</v>
      </c>
      <c r="V975" s="131">
        <v>45</v>
      </c>
      <c r="W975" s="131">
        <v>45</v>
      </c>
      <c r="X975" s="131"/>
      <c r="Y975" s="131" t="s">
        <v>1706</v>
      </c>
      <c r="Z975" s="133">
        <f t="shared" si="1188"/>
        <v>246.31578947368419</v>
      </c>
      <c r="AA975" s="133"/>
      <c r="AB975" s="161">
        <f t="shared" si="1189"/>
        <v>208.46362309776941</v>
      </c>
      <c r="AC975" s="161"/>
      <c r="AD975" s="213">
        <f t="shared" si="1190"/>
        <v>0.05</v>
      </c>
      <c r="AE975" s="213">
        <v>0.05</v>
      </c>
      <c r="AF975" s="219">
        <v>0.18</v>
      </c>
      <c r="AG975" s="218" t="s">
        <v>9</v>
      </c>
      <c r="AH975" s="148">
        <f t="shared" si="1186"/>
        <v>208.46362309776941</v>
      </c>
      <c r="AI975" s="206">
        <f t="shared" si="1194"/>
        <v>0.17999999999999994</v>
      </c>
      <c r="AJ975" s="444"/>
      <c r="AK975" s="150">
        <f t="shared" si="1169"/>
        <v>197.05263157894737</v>
      </c>
      <c r="AL975" s="202">
        <f t="shared" si="1191"/>
        <v>179.93702204228521</v>
      </c>
      <c r="AM975" s="208">
        <f t="shared" si="1192"/>
        <v>0.19999999999999996</v>
      </c>
      <c r="AN975" s="208">
        <f t="shared" si="1193"/>
        <v>0.13684210526315777</v>
      </c>
      <c r="AP975" s="170" t="s">
        <v>1267</v>
      </c>
      <c r="AQ975" s="204"/>
      <c r="AR975" s="204"/>
      <c r="AS975" s="197"/>
      <c r="AT975" s="162"/>
      <c r="AU975" s="162"/>
      <c r="AV975" s="173"/>
      <c r="AW975" s="203">
        <f>VLOOKUP(I975,'[6]RACKS &amp; OPEN RACKS'!$B$6:$J$60,9,FALSE)</f>
        <v>160</v>
      </c>
      <c r="AX975" s="126">
        <f t="shared" ref="AX975:AX1006" si="1195">AW975/$F$6*1.25+AW975*U975</f>
        <v>170.94017094017093</v>
      </c>
      <c r="AY975" s="163"/>
      <c r="AZ975" s="19"/>
      <c r="BB975" s="168">
        <f t="shared" ref="BB975:BB1028" si="1196">AB975/0.3</f>
        <v>694.87874365923142</v>
      </c>
      <c r="BC975" s="168">
        <f t="shared" ref="BC975:BC1028" si="1197">BB975*0.6</f>
        <v>416.92724619553883</v>
      </c>
      <c r="BD975" s="168">
        <f t="shared" ref="BD975:BD1028" si="1198">BB975*0.5</f>
        <v>347.43937182961571</v>
      </c>
      <c r="BE975" s="168">
        <f t="shared" ref="BE975:BE1028" si="1199">BB975*0.4</f>
        <v>277.95149746369259</v>
      </c>
    </row>
    <row r="976" spans="1:57" s="129" customFormat="1" ht="15" hidden="1">
      <c r="A976" s="88" t="s">
        <v>1276</v>
      </c>
      <c r="B976" s="88" t="s">
        <v>1318</v>
      </c>
      <c r="C976" s="88" t="s">
        <v>1318</v>
      </c>
      <c r="D976" s="88" t="s">
        <v>1102</v>
      </c>
      <c r="E976" s="91" t="s">
        <v>2209</v>
      </c>
      <c r="F976" s="90" t="s">
        <v>2445</v>
      </c>
      <c r="G976" s="92" t="s">
        <v>2646</v>
      </c>
      <c r="H976" s="92"/>
      <c r="I976" s="233" t="s">
        <v>2450</v>
      </c>
      <c r="J976" s="132"/>
      <c r="K976" s="91" t="s">
        <v>2681</v>
      </c>
      <c r="L976" s="89" t="s">
        <v>2689</v>
      </c>
      <c r="M976" s="92"/>
      <c r="N976" s="91" t="s">
        <v>1223</v>
      </c>
      <c r="O976" s="131"/>
      <c r="P976" s="90" t="s">
        <v>2206</v>
      </c>
      <c r="Q976" s="131"/>
      <c r="R976" s="131"/>
      <c r="S976" s="92"/>
      <c r="T976" s="131">
        <v>9403208000</v>
      </c>
      <c r="U976" s="155">
        <v>0</v>
      </c>
      <c r="V976" s="131">
        <v>45</v>
      </c>
      <c r="W976" s="131">
        <v>45</v>
      </c>
      <c r="X976" s="131"/>
      <c r="Y976" s="131" t="s">
        <v>1706</v>
      </c>
      <c r="Z976" s="133">
        <f t="shared" si="1188"/>
        <v>261.71052631578942</v>
      </c>
      <c r="AA976" s="133"/>
      <c r="AB976" s="161">
        <f t="shared" si="1189"/>
        <v>221.49259954138</v>
      </c>
      <c r="AC976" s="161"/>
      <c r="AD976" s="213">
        <f t="shared" si="1190"/>
        <v>0.05</v>
      </c>
      <c r="AE976" s="213">
        <v>0.05</v>
      </c>
      <c r="AF976" s="219">
        <v>0.18</v>
      </c>
      <c r="AG976" s="218" t="s">
        <v>9</v>
      </c>
      <c r="AH976" s="148">
        <f t="shared" si="1186"/>
        <v>221.49259954138</v>
      </c>
      <c r="AI976" s="206">
        <f t="shared" si="1194"/>
        <v>0.17999999999999994</v>
      </c>
      <c r="AJ976" s="444"/>
      <c r="AK976" s="150">
        <f t="shared" si="1169"/>
        <v>209.36842105263156</v>
      </c>
      <c r="AL976" s="202">
        <f t="shared" si="1191"/>
        <v>191.18308591992803</v>
      </c>
      <c r="AM976" s="208">
        <f t="shared" si="1192"/>
        <v>0.19999999999999996</v>
      </c>
      <c r="AN976" s="208">
        <f t="shared" si="1193"/>
        <v>0.13684210526315777</v>
      </c>
      <c r="AP976" s="170" t="s">
        <v>1267</v>
      </c>
      <c r="AQ976" s="204"/>
      <c r="AR976" s="204"/>
      <c r="AS976" s="197"/>
      <c r="AT976" s="162"/>
      <c r="AU976" s="162"/>
      <c r="AV976" s="173"/>
      <c r="AW976" s="203">
        <f>VLOOKUP(I976,'[6]RACKS &amp; OPEN RACKS'!$B$6:$J$60,9,FALSE)</f>
        <v>170</v>
      </c>
      <c r="AX976" s="126">
        <f t="shared" si="1195"/>
        <v>181.62393162393161</v>
      </c>
      <c r="AY976" s="163"/>
      <c r="AZ976" s="19"/>
      <c r="BB976" s="168">
        <f t="shared" si="1196"/>
        <v>738.30866513793342</v>
      </c>
      <c r="BC976" s="168">
        <f t="shared" si="1197"/>
        <v>442.98519908276006</v>
      </c>
      <c r="BD976" s="168">
        <f t="shared" si="1198"/>
        <v>369.15433256896671</v>
      </c>
      <c r="BE976" s="168">
        <f t="shared" si="1199"/>
        <v>295.32346605517336</v>
      </c>
    </row>
    <row r="977" spans="1:57" s="129" customFormat="1" ht="15" hidden="1">
      <c r="A977" s="88" t="s">
        <v>1276</v>
      </c>
      <c r="B977" s="88" t="s">
        <v>1318</v>
      </c>
      <c r="C977" s="88" t="s">
        <v>1318</v>
      </c>
      <c r="D977" s="88" t="s">
        <v>1102</v>
      </c>
      <c r="E977" s="91" t="s">
        <v>2209</v>
      </c>
      <c r="F977" s="90" t="s">
        <v>2445</v>
      </c>
      <c r="G977" s="92" t="s">
        <v>2647</v>
      </c>
      <c r="H977" s="92"/>
      <c r="I977" s="233" t="s">
        <v>2451</v>
      </c>
      <c r="J977" s="132"/>
      <c r="K977" s="91" t="s">
        <v>2684</v>
      </c>
      <c r="L977" s="89" t="s">
        <v>2690</v>
      </c>
      <c r="M977" s="92"/>
      <c r="N977" s="91" t="s">
        <v>1223</v>
      </c>
      <c r="O977" s="131"/>
      <c r="P977" s="90" t="s">
        <v>2206</v>
      </c>
      <c r="Q977" s="131"/>
      <c r="R977" s="131"/>
      <c r="S977" s="92"/>
      <c r="T977" s="131">
        <v>9403208000</v>
      </c>
      <c r="U977" s="155">
        <v>0</v>
      </c>
      <c r="V977" s="131">
        <v>45</v>
      </c>
      <c r="W977" s="131">
        <v>45</v>
      </c>
      <c r="X977" s="131"/>
      <c r="Y977" s="131" t="s">
        <v>1706</v>
      </c>
      <c r="Z977" s="133">
        <f t="shared" si="1188"/>
        <v>277.10526315789468</v>
      </c>
      <c r="AA977" s="133"/>
      <c r="AB977" s="161">
        <f t="shared" si="1189"/>
        <v>234.52157598499062</v>
      </c>
      <c r="AC977" s="161"/>
      <c r="AD977" s="213">
        <f t="shared" si="1190"/>
        <v>0.05</v>
      </c>
      <c r="AE977" s="213">
        <v>0.05</v>
      </c>
      <c r="AF977" s="219">
        <v>0.18</v>
      </c>
      <c r="AG977" s="218" t="s">
        <v>9</v>
      </c>
      <c r="AH977" s="148">
        <f t="shared" si="1186"/>
        <v>234.52157598499062</v>
      </c>
      <c r="AI977" s="206">
        <f t="shared" si="1194"/>
        <v>0.17999999999999994</v>
      </c>
      <c r="AJ977" s="444"/>
      <c r="AK977" s="150">
        <f t="shared" si="1169"/>
        <v>221.68421052631578</v>
      </c>
      <c r="AL977" s="202">
        <f t="shared" si="1191"/>
        <v>202.42914979757089</v>
      </c>
      <c r="AM977" s="208">
        <f t="shared" si="1192"/>
        <v>0.19999999999999984</v>
      </c>
      <c r="AN977" s="208">
        <f t="shared" si="1193"/>
        <v>0.13684210526315777</v>
      </c>
      <c r="AP977" s="170" t="s">
        <v>1267</v>
      </c>
      <c r="AQ977" s="204"/>
      <c r="AR977" s="204"/>
      <c r="AS977" s="197"/>
      <c r="AT977" s="162"/>
      <c r="AU977" s="162"/>
      <c r="AV977" s="173"/>
      <c r="AW977" s="203">
        <f>VLOOKUP(I977,'[6]RACKS &amp; OPEN RACKS'!$B$6:$J$60,9,FALSE)</f>
        <v>180</v>
      </c>
      <c r="AX977" s="126">
        <f t="shared" si="1195"/>
        <v>192.30769230769232</v>
      </c>
      <c r="AY977" s="163"/>
      <c r="AZ977" s="19"/>
      <c r="BB977" s="168">
        <f t="shared" si="1196"/>
        <v>781.73858661663542</v>
      </c>
      <c r="BC977" s="168">
        <f t="shared" si="1197"/>
        <v>469.04315196998124</v>
      </c>
      <c r="BD977" s="168">
        <f t="shared" si="1198"/>
        <v>390.86929330831771</v>
      </c>
      <c r="BE977" s="168">
        <f t="shared" si="1199"/>
        <v>312.69543464665418</v>
      </c>
    </row>
    <row r="978" spans="1:57" s="129" customFormat="1" ht="15" hidden="1">
      <c r="A978" s="88" t="s">
        <v>1276</v>
      </c>
      <c r="B978" s="88" t="s">
        <v>1318</v>
      </c>
      <c r="C978" s="88" t="s">
        <v>1318</v>
      </c>
      <c r="D978" s="88" t="s">
        <v>1102</v>
      </c>
      <c r="E978" s="91" t="s">
        <v>2209</v>
      </c>
      <c r="F978" s="90" t="s">
        <v>2445</v>
      </c>
      <c r="G978" s="92" t="s">
        <v>2636</v>
      </c>
      <c r="H978" s="92"/>
      <c r="I978" s="233" t="s">
        <v>2452</v>
      </c>
      <c r="J978" s="132"/>
      <c r="K978" s="91" t="s">
        <v>2683</v>
      </c>
      <c r="L978" s="89" t="s">
        <v>2691</v>
      </c>
      <c r="M978" s="92"/>
      <c r="N978" s="91" t="s">
        <v>1223</v>
      </c>
      <c r="O978" s="131"/>
      <c r="P978" s="90" t="s">
        <v>2206</v>
      </c>
      <c r="Q978" s="131"/>
      <c r="R978" s="131"/>
      <c r="S978" s="92"/>
      <c r="T978" s="131">
        <v>9403208000</v>
      </c>
      <c r="U978" s="155">
        <v>0</v>
      </c>
      <c r="V978" s="131">
        <v>45</v>
      </c>
      <c r="W978" s="131">
        <v>45</v>
      </c>
      <c r="X978" s="131"/>
      <c r="Y978" s="131" t="s">
        <v>1706</v>
      </c>
      <c r="Z978" s="133">
        <f t="shared" si="1188"/>
        <v>307.89473684210526</v>
      </c>
      <c r="AA978" s="133"/>
      <c r="AB978" s="161">
        <f t="shared" si="1189"/>
        <v>260.57952887221177</v>
      </c>
      <c r="AC978" s="161"/>
      <c r="AD978" s="213">
        <f t="shared" si="1190"/>
        <v>0.05</v>
      </c>
      <c r="AE978" s="213">
        <v>0.05</v>
      </c>
      <c r="AF978" s="219">
        <v>0.18</v>
      </c>
      <c r="AG978" s="218" t="s">
        <v>9</v>
      </c>
      <c r="AH978" s="148">
        <f t="shared" si="1186"/>
        <v>260.57952887221177</v>
      </c>
      <c r="AI978" s="206">
        <f t="shared" si="1194"/>
        <v>0.17999999999999983</v>
      </c>
      <c r="AJ978" s="444"/>
      <c r="AK978" s="150">
        <f t="shared" si="1169"/>
        <v>246.31578947368422</v>
      </c>
      <c r="AL978" s="202">
        <f t="shared" si="1191"/>
        <v>224.92127755285651</v>
      </c>
      <c r="AM978" s="208">
        <f t="shared" si="1192"/>
        <v>0.19999999999999996</v>
      </c>
      <c r="AN978" s="208">
        <f t="shared" si="1193"/>
        <v>0.13684210526315777</v>
      </c>
      <c r="AP978" s="170" t="s">
        <v>1267</v>
      </c>
      <c r="AQ978" s="204"/>
      <c r="AR978" s="204"/>
      <c r="AS978" s="197"/>
      <c r="AT978" s="162"/>
      <c r="AU978" s="162"/>
      <c r="AV978" s="173"/>
      <c r="AW978" s="203">
        <f>VLOOKUP(I978,'[6]RACKS &amp; OPEN RACKS'!$B$6:$J$60,9,FALSE)</f>
        <v>200</v>
      </c>
      <c r="AX978" s="126">
        <f t="shared" si="1195"/>
        <v>213.67521367521368</v>
      </c>
      <c r="AY978" s="163"/>
      <c r="AZ978" s="19"/>
      <c r="BB978" s="168">
        <f t="shared" si="1196"/>
        <v>868.5984295740393</v>
      </c>
      <c r="BC978" s="168">
        <f t="shared" si="1197"/>
        <v>521.15905774442354</v>
      </c>
      <c r="BD978" s="168">
        <f t="shared" si="1198"/>
        <v>434.29921478701965</v>
      </c>
      <c r="BE978" s="168">
        <f t="shared" si="1199"/>
        <v>347.43937182961577</v>
      </c>
    </row>
    <row r="979" spans="1:57" s="129" customFormat="1" ht="15" hidden="1">
      <c r="A979" s="88" t="s">
        <v>1276</v>
      </c>
      <c r="B979" s="88" t="s">
        <v>3168</v>
      </c>
      <c r="C979" s="88" t="s">
        <v>1318</v>
      </c>
      <c r="D979" s="88" t="s">
        <v>1102</v>
      </c>
      <c r="E979" s="91" t="s">
        <v>2209</v>
      </c>
      <c r="F979" s="90" t="s">
        <v>2445</v>
      </c>
      <c r="G979" s="92" t="s">
        <v>2644</v>
      </c>
      <c r="H979" s="92"/>
      <c r="I979" s="233" t="s">
        <v>2453</v>
      </c>
      <c r="J979" s="132" t="s">
        <v>3695</v>
      </c>
      <c r="K979" s="91" t="s">
        <v>2692</v>
      </c>
      <c r="L979" s="89" t="s">
        <v>2699</v>
      </c>
      <c r="M979" s="92"/>
      <c r="N979" s="91" t="s">
        <v>1223</v>
      </c>
      <c r="O979" s="131"/>
      <c r="P979" s="90" t="s">
        <v>2206</v>
      </c>
      <c r="Q979" s="131"/>
      <c r="R979" s="131"/>
      <c r="S979" s="92"/>
      <c r="T979" s="131">
        <v>9403208000</v>
      </c>
      <c r="U979" s="155">
        <v>0</v>
      </c>
      <c r="V979" s="131">
        <v>45</v>
      </c>
      <c r="W979" s="131">
        <v>45</v>
      </c>
      <c r="X979" s="131"/>
      <c r="Y979" s="131" t="s">
        <v>1706</v>
      </c>
      <c r="Z979" s="133">
        <f t="shared" si="1188"/>
        <v>284.8026315789474</v>
      </c>
      <c r="AA979" s="133"/>
      <c r="AB979" s="161">
        <f t="shared" si="1189"/>
        <v>241.03606420679594</v>
      </c>
      <c r="AC979" s="161"/>
      <c r="AD979" s="213">
        <f t="shared" si="1190"/>
        <v>0.05</v>
      </c>
      <c r="AE979" s="213">
        <v>0.05</v>
      </c>
      <c r="AF979" s="219">
        <v>0.18</v>
      </c>
      <c r="AG979" s="218" t="s">
        <v>9</v>
      </c>
      <c r="AH979" s="148">
        <f t="shared" si="1186"/>
        <v>241.03606420679594</v>
      </c>
      <c r="AI979" s="206">
        <f t="shared" si="1194"/>
        <v>0.17999999999999994</v>
      </c>
      <c r="AJ979" s="444"/>
      <c r="AK979" s="150">
        <f t="shared" si="1169"/>
        <v>227.84210526315792</v>
      </c>
      <c r="AL979" s="202">
        <f t="shared" si="1191"/>
        <v>208.05218173639233</v>
      </c>
      <c r="AM979" s="208">
        <f t="shared" si="1192"/>
        <v>0.19999999999999996</v>
      </c>
      <c r="AN979" s="208">
        <f t="shared" si="1193"/>
        <v>0.13684210526315777</v>
      </c>
      <c r="AP979" s="170" t="s">
        <v>1267</v>
      </c>
      <c r="AQ979" s="204"/>
      <c r="AR979" s="204"/>
      <c r="AS979" s="197"/>
      <c r="AT979" s="162"/>
      <c r="AU979" s="162"/>
      <c r="AV979" s="173"/>
      <c r="AW979" s="203">
        <f>VLOOKUP(I979,'[6]RACKS &amp; OPEN RACKS'!$B$6:$J$60,9,FALSE)</f>
        <v>185</v>
      </c>
      <c r="AX979" s="126">
        <f t="shared" si="1195"/>
        <v>197.64957264957269</v>
      </c>
      <c r="AY979" s="163"/>
      <c r="AZ979" s="19"/>
      <c r="BB979" s="168">
        <f t="shared" si="1196"/>
        <v>803.45354735598653</v>
      </c>
      <c r="BC979" s="168">
        <f t="shared" si="1197"/>
        <v>482.07212841359188</v>
      </c>
      <c r="BD979" s="168">
        <f t="shared" si="1198"/>
        <v>401.72677367799326</v>
      </c>
      <c r="BE979" s="168">
        <f t="shared" si="1199"/>
        <v>321.38141894239465</v>
      </c>
    </row>
    <row r="980" spans="1:57" s="129" customFormat="1" ht="15" hidden="1">
      <c r="A980" s="88" t="s">
        <v>1276</v>
      </c>
      <c r="B980" s="88" t="s">
        <v>3168</v>
      </c>
      <c r="C980" s="88" t="s">
        <v>1318</v>
      </c>
      <c r="D980" s="88" t="s">
        <v>1102</v>
      </c>
      <c r="E980" s="91" t="s">
        <v>2209</v>
      </c>
      <c r="F980" s="90" t="s">
        <v>2445</v>
      </c>
      <c r="G980" s="92" t="s">
        <v>2642</v>
      </c>
      <c r="H980" s="92"/>
      <c r="I980" s="233" t="s">
        <v>2454</v>
      </c>
      <c r="J980" s="132"/>
      <c r="K980" s="91" t="s">
        <v>2693</v>
      </c>
      <c r="L980" s="89" t="s">
        <v>2700</v>
      </c>
      <c r="M980" s="92"/>
      <c r="N980" s="91" t="s">
        <v>1223</v>
      </c>
      <c r="O980" s="131"/>
      <c r="P980" s="90" t="s">
        <v>2206</v>
      </c>
      <c r="Q980" s="131"/>
      <c r="R980" s="131"/>
      <c r="S980" s="92"/>
      <c r="T980" s="131">
        <v>9403208000</v>
      </c>
      <c r="U980" s="155">
        <v>0</v>
      </c>
      <c r="V980" s="131">
        <v>45</v>
      </c>
      <c r="W980" s="131">
        <v>45</v>
      </c>
      <c r="X980" s="131"/>
      <c r="Y980" s="131" t="s">
        <v>1706</v>
      </c>
      <c r="Z980" s="133">
        <f t="shared" si="1188"/>
        <v>300.1973684210526</v>
      </c>
      <c r="AA980" s="133"/>
      <c r="AB980" s="161">
        <f t="shared" si="1189"/>
        <v>254.06504065040653</v>
      </c>
      <c r="AC980" s="161"/>
      <c r="AD980" s="213">
        <f t="shared" si="1190"/>
        <v>0.05</v>
      </c>
      <c r="AE980" s="213">
        <v>0.05</v>
      </c>
      <c r="AF980" s="219">
        <v>0.18</v>
      </c>
      <c r="AG980" s="218" t="s">
        <v>9</v>
      </c>
      <c r="AH980" s="148">
        <f t="shared" si="1186"/>
        <v>254.06504065040653</v>
      </c>
      <c r="AI980" s="206">
        <f t="shared" si="1194"/>
        <v>0.17999999999999994</v>
      </c>
      <c r="AJ980" s="444"/>
      <c r="AK980" s="150">
        <f t="shared" ref="AK980:AK1020" si="1200">AW980/(1-AD980)*$F$6</f>
        <v>240.15789473684211</v>
      </c>
      <c r="AL980" s="202">
        <f t="shared" si="1191"/>
        <v>219.29824561403512</v>
      </c>
      <c r="AM980" s="208">
        <f t="shared" si="1192"/>
        <v>0.19999999999999996</v>
      </c>
      <c r="AN980" s="208">
        <f t="shared" si="1193"/>
        <v>0.13684210526315788</v>
      </c>
      <c r="AP980" s="170" t="s">
        <v>1267</v>
      </c>
      <c r="AQ980" s="204"/>
      <c r="AR980" s="204"/>
      <c r="AS980" s="197"/>
      <c r="AT980" s="162"/>
      <c r="AU980" s="162"/>
      <c r="AV980" s="173"/>
      <c r="AW980" s="203">
        <f>VLOOKUP(I980,'[6]RACKS &amp; OPEN RACKS'!$B$6:$J$60,9,FALSE)</f>
        <v>195</v>
      </c>
      <c r="AX980" s="126">
        <f t="shared" si="1195"/>
        <v>208.33333333333337</v>
      </c>
      <c r="AY980" s="163"/>
      <c r="AZ980" s="19"/>
      <c r="BB980" s="168">
        <f t="shared" si="1196"/>
        <v>846.88346883468841</v>
      </c>
      <c r="BC980" s="168">
        <f t="shared" si="1197"/>
        <v>508.130081300813</v>
      </c>
      <c r="BD980" s="168">
        <f t="shared" si="1198"/>
        <v>423.44173441734421</v>
      </c>
      <c r="BE980" s="168">
        <f t="shared" si="1199"/>
        <v>338.75338753387541</v>
      </c>
    </row>
    <row r="981" spans="1:57" s="129" customFormat="1" ht="15" hidden="1">
      <c r="A981" s="88" t="s">
        <v>1276</v>
      </c>
      <c r="B981" s="88" t="s">
        <v>3168</v>
      </c>
      <c r="C981" s="88" t="s">
        <v>1318</v>
      </c>
      <c r="D981" s="88" t="s">
        <v>1102</v>
      </c>
      <c r="E981" s="91" t="s">
        <v>2209</v>
      </c>
      <c r="F981" s="90" t="s">
        <v>2445</v>
      </c>
      <c r="G981" s="92" t="s">
        <v>2643</v>
      </c>
      <c r="H981" s="92"/>
      <c r="I981" s="233" t="s">
        <v>2455</v>
      </c>
      <c r="J981" s="132"/>
      <c r="K981" s="91" t="s">
        <v>2694</v>
      </c>
      <c r="L981" s="89" t="s">
        <v>2701</v>
      </c>
      <c r="M981" s="92"/>
      <c r="N981" s="91" t="s">
        <v>1223</v>
      </c>
      <c r="O981" s="131"/>
      <c r="P981" s="90" t="s">
        <v>2206</v>
      </c>
      <c r="Q981" s="131"/>
      <c r="R981" s="131"/>
      <c r="S981" s="92"/>
      <c r="T981" s="131">
        <v>9403208000</v>
      </c>
      <c r="U981" s="155">
        <v>0</v>
      </c>
      <c r="V981" s="131">
        <v>45</v>
      </c>
      <c r="W981" s="131">
        <v>45</v>
      </c>
      <c r="X981" s="131"/>
      <c r="Y981" s="131" t="s">
        <v>1706</v>
      </c>
      <c r="Z981" s="133">
        <f t="shared" si="1188"/>
        <v>323.28947368421046</v>
      </c>
      <c r="AA981" s="133"/>
      <c r="AB981" s="161">
        <f t="shared" si="1189"/>
        <v>273.60850531582236</v>
      </c>
      <c r="AC981" s="161"/>
      <c r="AD981" s="213">
        <f t="shared" si="1190"/>
        <v>0.05</v>
      </c>
      <c r="AE981" s="213">
        <v>0.05</v>
      </c>
      <c r="AF981" s="219">
        <v>0.18</v>
      </c>
      <c r="AG981" s="218" t="s">
        <v>9</v>
      </c>
      <c r="AH981" s="148">
        <f t="shared" si="1186"/>
        <v>273.60850531582236</v>
      </c>
      <c r="AI981" s="206">
        <f t="shared" si="1194"/>
        <v>0.17999999999999983</v>
      </c>
      <c r="AJ981" s="444"/>
      <c r="AK981" s="150">
        <f t="shared" si="1200"/>
        <v>258.63157894736838</v>
      </c>
      <c r="AL981" s="202">
        <f t="shared" si="1191"/>
        <v>236.16734143049933</v>
      </c>
      <c r="AM981" s="208">
        <f t="shared" si="1192"/>
        <v>0.19999999999999996</v>
      </c>
      <c r="AN981" s="208">
        <f t="shared" si="1193"/>
        <v>0.13684210526315777</v>
      </c>
      <c r="AP981" s="170" t="s">
        <v>1267</v>
      </c>
      <c r="AQ981" s="204"/>
      <c r="AR981" s="204"/>
      <c r="AS981" s="197"/>
      <c r="AT981" s="162"/>
      <c r="AU981" s="162"/>
      <c r="AV981" s="173"/>
      <c r="AW981" s="203">
        <f>VLOOKUP(I981,'[6]RACKS &amp; OPEN RACKS'!$B$6:$J$60,9,FALSE)</f>
        <v>210</v>
      </c>
      <c r="AX981" s="126">
        <f t="shared" si="1195"/>
        <v>224.35897435897436</v>
      </c>
      <c r="AY981" s="163"/>
      <c r="AZ981" s="19"/>
      <c r="BB981" s="168">
        <f t="shared" si="1196"/>
        <v>912.02835105274119</v>
      </c>
      <c r="BC981" s="168">
        <f t="shared" si="1197"/>
        <v>547.21701063164471</v>
      </c>
      <c r="BD981" s="168">
        <f t="shared" si="1198"/>
        <v>456.01417552637059</v>
      </c>
      <c r="BE981" s="168">
        <f t="shared" si="1199"/>
        <v>364.81134042109647</v>
      </c>
    </row>
    <row r="982" spans="1:57" s="129" customFormat="1" ht="15" hidden="1">
      <c r="A982" s="88" t="s">
        <v>1276</v>
      </c>
      <c r="B982" s="88" t="s">
        <v>3168</v>
      </c>
      <c r="C982" s="88" t="s">
        <v>1318</v>
      </c>
      <c r="D982" s="88" t="s">
        <v>1102</v>
      </c>
      <c r="E982" s="91" t="s">
        <v>2209</v>
      </c>
      <c r="F982" s="90" t="s">
        <v>2445</v>
      </c>
      <c r="G982" s="92" t="s">
        <v>2645</v>
      </c>
      <c r="H982" s="92"/>
      <c r="I982" s="233" t="s">
        <v>2456</v>
      </c>
      <c r="J982" s="132"/>
      <c r="K982" s="91" t="s">
        <v>2695</v>
      </c>
      <c r="L982" s="89" t="s">
        <v>2702</v>
      </c>
      <c r="M982" s="92"/>
      <c r="N982" s="91" t="s">
        <v>1223</v>
      </c>
      <c r="O982" s="131"/>
      <c r="P982" s="90" t="s">
        <v>2206</v>
      </c>
      <c r="Q982" s="131"/>
      <c r="R982" s="131"/>
      <c r="S982" s="92"/>
      <c r="T982" s="131">
        <v>9403208000</v>
      </c>
      <c r="U982" s="155">
        <v>0</v>
      </c>
      <c r="V982" s="131">
        <v>45</v>
      </c>
      <c r="W982" s="131">
        <v>45</v>
      </c>
      <c r="X982" s="131"/>
      <c r="Y982" s="131" t="s">
        <v>1706</v>
      </c>
      <c r="Z982" s="133">
        <f t="shared" si="1188"/>
        <v>346.38157894736838</v>
      </c>
      <c r="AA982" s="133"/>
      <c r="AB982" s="161">
        <f t="shared" si="1189"/>
        <v>293.15196998123827</v>
      </c>
      <c r="AC982" s="161"/>
      <c r="AD982" s="213">
        <f t="shared" si="1190"/>
        <v>0.05</v>
      </c>
      <c r="AE982" s="213">
        <v>0.05</v>
      </c>
      <c r="AF982" s="219">
        <v>0.18</v>
      </c>
      <c r="AG982" s="218" t="s">
        <v>9</v>
      </c>
      <c r="AH982" s="148">
        <f t="shared" si="1186"/>
        <v>293.15196998123827</v>
      </c>
      <c r="AI982" s="206">
        <f t="shared" si="1194"/>
        <v>0.17999999999999983</v>
      </c>
      <c r="AJ982" s="444"/>
      <c r="AK982" s="150">
        <f t="shared" si="1200"/>
        <v>277.10526315789474</v>
      </c>
      <c r="AL982" s="202">
        <f t="shared" si="1191"/>
        <v>253.0364372469636</v>
      </c>
      <c r="AM982" s="208">
        <f t="shared" si="1192"/>
        <v>0.19999999999999996</v>
      </c>
      <c r="AN982" s="208">
        <f t="shared" si="1193"/>
        <v>0.13684210526315777</v>
      </c>
      <c r="AP982" s="170" t="s">
        <v>1267</v>
      </c>
      <c r="AQ982" s="204"/>
      <c r="AR982" s="204"/>
      <c r="AS982" s="197"/>
      <c r="AT982" s="162"/>
      <c r="AU982" s="162"/>
      <c r="AV982" s="173"/>
      <c r="AW982" s="203">
        <f>VLOOKUP(I982,'[6]RACKS &amp; OPEN RACKS'!$B$6:$J$60,9,FALSE)</f>
        <v>225</v>
      </c>
      <c r="AX982" s="126">
        <f t="shared" si="1195"/>
        <v>240.38461538461542</v>
      </c>
      <c r="AY982" s="163"/>
      <c r="AZ982" s="19"/>
      <c r="BB982" s="168">
        <f t="shared" si="1196"/>
        <v>977.1732332707943</v>
      </c>
      <c r="BC982" s="168">
        <f t="shared" si="1197"/>
        <v>586.30393996247653</v>
      </c>
      <c r="BD982" s="168">
        <f t="shared" si="1198"/>
        <v>488.58661663539715</v>
      </c>
      <c r="BE982" s="168">
        <f t="shared" si="1199"/>
        <v>390.86929330831776</v>
      </c>
    </row>
    <row r="983" spans="1:57" s="129" customFormat="1" ht="15" hidden="1">
      <c r="A983" s="88" t="s">
        <v>1276</v>
      </c>
      <c r="B983" s="88" t="s">
        <v>3168</v>
      </c>
      <c r="C983" s="88" t="s">
        <v>1318</v>
      </c>
      <c r="D983" s="88" t="s">
        <v>1102</v>
      </c>
      <c r="E983" s="91" t="s">
        <v>2209</v>
      </c>
      <c r="F983" s="90" t="s">
        <v>2445</v>
      </c>
      <c r="G983" s="92" t="s">
        <v>2646</v>
      </c>
      <c r="H983" s="92"/>
      <c r="I983" s="233" t="s">
        <v>2457</v>
      </c>
      <c r="J983" s="132"/>
      <c r="K983" s="91" t="s">
        <v>2696</v>
      </c>
      <c r="L983" s="89" t="s">
        <v>2703</v>
      </c>
      <c r="M983" s="92"/>
      <c r="N983" s="91" t="s">
        <v>1223</v>
      </c>
      <c r="O983" s="131"/>
      <c r="P983" s="90" t="s">
        <v>2206</v>
      </c>
      <c r="Q983" s="131"/>
      <c r="R983" s="131"/>
      <c r="S983" s="92"/>
      <c r="T983" s="131">
        <v>9403208000</v>
      </c>
      <c r="U983" s="155">
        <v>0</v>
      </c>
      <c r="V983" s="131">
        <v>45</v>
      </c>
      <c r="W983" s="131">
        <v>45</v>
      </c>
      <c r="X983" s="131"/>
      <c r="Y983" s="131" t="s">
        <v>1706</v>
      </c>
      <c r="Z983" s="133">
        <f t="shared" si="1188"/>
        <v>384.86842105263156</v>
      </c>
      <c r="AA983" s="133"/>
      <c r="AB983" s="161">
        <f t="shared" si="1189"/>
        <v>325.72441109026471</v>
      </c>
      <c r="AC983" s="161"/>
      <c r="AD983" s="213">
        <f t="shared" si="1190"/>
        <v>0.05</v>
      </c>
      <c r="AE983" s="213">
        <v>0.05</v>
      </c>
      <c r="AF983" s="219">
        <v>0.18</v>
      </c>
      <c r="AG983" s="218" t="s">
        <v>9</v>
      </c>
      <c r="AH983" s="148">
        <f t="shared" si="1186"/>
        <v>325.72441109026471</v>
      </c>
      <c r="AI983" s="206">
        <f t="shared" si="1194"/>
        <v>0.17999999999999994</v>
      </c>
      <c r="AJ983" s="444"/>
      <c r="AK983" s="150">
        <f t="shared" si="1200"/>
        <v>307.89473684210526</v>
      </c>
      <c r="AL983" s="202">
        <f t="shared" si="1191"/>
        <v>281.15159694107064</v>
      </c>
      <c r="AM983" s="208">
        <f t="shared" si="1192"/>
        <v>0.19999999999999996</v>
      </c>
      <c r="AN983" s="208">
        <f t="shared" si="1193"/>
        <v>0.13684210526315777</v>
      </c>
      <c r="AP983" s="170" t="s">
        <v>1267</v>
      </c>
      <c r="AQ983" s="204"/>
      <c r="AR983" s="204"/>
      <c r="AS983" s="197"/>
      <c r="AT983" s="162"/>
      <c r="AU983" s="162"/>
      <c r="AV983" s="173"/>
      <c r="AW983" s="203">
        <f>VLOOKUP(I983,'[6]RACKS &amp; OPEN RACKS'!$B$6:$J$60,9,FALSE)</f>
        <v>250</v>
      </c>
      <c r="AX983" s="126">
        <f t="shared" si="1195"/>
        <v>267.09401709401709</v>
      </c>
      <c r="AY983" s="163"/>
      <c r="AZ983" s="19"/>
      <c r="BB983" s="168">
        <f t="shared" si="1196"/>
        <v>1085.7480369675491</v>
      </c>
      <c r="BC983" s="168">
        <f t="shared" si="1197"/>
        <v>651.44882218052942</v>
      </c>
      <c r="BD983" s="168">
        <f t="shared" si="1198"/>
        <v>542.87401848377453</v>
      </c>
      <c r="BE983" s="168">
        <f t="shared" si="1199"/>
        <v>434.29921478701965</v>
      </c>
    </row>
    <row r="984" spans="1:57" s="129" customFormat="1" ht="15" hidden="1">
      <c r="A984" s="88" t="s">
        <v>1276</v>
      </c>
      <c r="B984" s="88" t="s">
        <v>3168</v>
      </c>
      <c r="C984" s="88" t="s">
        <v>1318</v>
      </c>
      <c r="D984" s="88" t="s">
        <v>1102</v>
      </c>
      <c r="E984" s="91" t="s">
        <v>2209</v>
      </c>
      <c r="F984" s="90" t="s">
        <v>2445</v>
      </c>
      <c r="G984" s="92" t="s">
        <v>2647</v>
      </c>
      <c r="H984" s="92"/>
      <c r="I984" s="233" t="s">
        <v>2458</v>
      </c>
      <c r="J984" s="132"/>
      <c r="K984" s="91" t="s">
        <v>2697</v>
      </c>
      <c r="L984" s="89" t="s">
        <v>2704</v>
      </c>
      <c r="M984" s="92"/>
      <c r="N984" s="91" t="s">
        <v>1223</v>
      </c>
      <c r="O984" s="131"/>
      <c r="P984" s="90" t="s">
        <v>2206</v>
      </c>
      <c r="Q984" s="131"/>
      <c r="R984" s="131"/>
      <c r="S984" s="92"/>
      <c r="T984" s="131">
        <v>9403208000</v>
      </c>
      <c r="U984" s="155">
        <v>0</v>
      </c>
      <c r="V984" s="131">
        <v>45</v>
      </c>
      <c r="W984" s="131">
        <v>45</v>
      </c>
      <c r="X984" s="131"/>
      <c r="Y984" s="131" t="s">
        <v>1706</v>
      </c>
      <c r="Z984" s="133">
        <f t="shared" si="1188"/>
        <v>415.65789473684208</v>
      </c>
      <c r="AA984" s="133"/>
      <c r="AB984" s="161">
        <f t="shared" si="1189"/>
        <v>351.78236397748589</v>
      </c>
      <c r="AC984" s="161"/>
      <c r="AD984" s="213">
        <f t="shared" si="1190"/>
        <v>0.05</v>
      </c>
      <c r="AE984" s="213">
        <v>0.05</v>
      </c>
      <c r="AF984" s="219">
        <v>0.18</v>
      </c>
      <c r="AG984" s="218" t="s">
        <v>9</v>
      </c>
      <c r="AH984" s="148">
        <f t="shared" si="1186"/>
        <v>351.78236397748589</v>
      </c>
      <c r="AI984" s="206">
        <f t="shared" si="1194"/>
        <v>0.17999999999999994</v>
      </c>
      <c r="AJ984" s="444"/>
      <c r="AK984" s="150">
        <f t="shared" si="1200"/>
        <v>332.5263157894737</v>
      </c>
      <c r="AL984" s="202">
        <f t="shared" si="1191"/>
        <v>303.64372469635629</v>
      </c>
      <c r="AM984" s="208">
        <f t="shared" si="1192"/>
        <v>0.19999999999999996</v>
      </c>
      <c r="AN984" s="208">
        <f t="shared" si="1193"/>
        <v>0.13684210526315777</v>
      </c>
      <c r="AP984" s="170" t="s">
        <v>1267</v>
      </c>
      <c r="AQ984" s="204"/>
      <c r="AR984" s="204"/>
      <c r="AS984" s="197"/>
      <c r="AT984" s="162"/>
      <c r="AU984" s="162"/>
      <c r="AV984" s="173"/>
      <c r="AW984" s="203">
        <f>VLOOKUP(I984,'[6]RACKS &amp; OPEN RACKS'!$B$6:$J$60,9,FALSE)</f>
        <v>270</v>
      </c>
      <c r="AX984" s="126">
        <f t="shared" si="1195"/>
        <v>288.46153846153845</v>
      </c>
      <c r="AY984" s="163"/>
      <c r="AZ984" s="19"/>
      <c r="BB984" s="168">
        <f t="shared" si="1196"/>
        <v>1172.6078799249531</v>
      </c>
      <c r="BC984" s="168">
        <f t="shared" si="1197"/>
        <v>703.56472795497177</v>
      </c>
      <c r="BD984" s="168">
        <f t="shared" si="1198"/>
        <v>586.30393996247653</v>
      </c>
      <c r="BE984" s="168">
        <f t="shared" si="1199"/>
        <v>469.04315196998124</v>
      </c>
    </row>
    <row r="985" spans="1:57" s="129" customFormat="1" ht="15" hidden="1">
      <c r="A985" s="88" t="s">
        <v>1276</v>
      </c>
      <c r="B985" s="88" t="s">
        <v>3168</v>
      </c>
      <c r="C985" s="88" t="s">
        <v>1318</v>
      </c>
      <c r="D985" s="88" t="s">
        <v>1102</v>
      </c>
      <c r="E985" s="91" t="s">
        <v>2209</v>
      </c>
      <c r="F985" s="90" t="s">
        <v>2445</v>
      </c>
      <c r="G985" s="92" t="s">
        <v>2636</v>
      </c>
      <c r="H985" s="92"/>
      <c r="I985" s="233" t="s">
        <v>2459</v>
      </c>
      <c r="J985" s="132"/>
      <c r="K985" s="91" t="s">
        <v>2698</v>
      </c>
      <c r="L985" s="89" t="s">
        <v>2705</v>
      </c>
      <c r="M985" s="92"/>
      <c r="N985" s="91" t="s">
        <v>1223</v>
      </c>
      <c r="O985" s="131"/>
      <c r="P985" s="90" t="s">
        <v>2206</v>
      </c>
      <c r="Q985" s="131"/>
      <c r="R985" s="131"/>
      <c r="S985" s="92"/>
      <c r="T985" s="131">
        <v>9403208000</v>
      </c>
      <c r="U985" s="155">
        <v>0</v>
      </c>
      <c r="V985" s="131">
        <v>45</v>
      </c>
      <c r="W985" s="131">
        <v>45</v>
      </c>
      <c r="X985" s="131"/>
      <c r="Y985" s="131" t="s">
        <v>1706</v>
      </c>
      <c r="Z985" s="133">
        <f t="shared" si="1188"/>
        <v>431.0526315789474</v>
      </c>
      <c r="AA985" s="133"/>
      <c r="AB985" s="161">
        <f t="shared" si="1189"/>
        <v>364.81134042109647</v>
      </c>
      <c r="AC985" s="161"/>
      <c r="AD985" s="213">
        <f t="shared" si="1190"/>
        <v>0.05</v>
      </c>
      <c r="AE985" s="213">
        <v>0.05</v>
      </c>
      <c r="AF985" s="219">
        <v>0.18</v>
      </c>
      <c r="AG985" s="218" t="s">
        <v>9</v>
      </c>
      <c r="AH985" s="148">
        <f t="shared" si="1186"/>
        <v>364.81134042109647</v>
      </c>
      <c r="AI985" s="206">
        <f t="shared" si="1194"/>
        <v>0.17999999999999994</v>
      </c>
      <c r="AJ985" s="444"/>
      <c r="AK985" s="150">
        <f t="shared" si="1200"/>
        <v>344.84210526315792</v>
      </c>
      <c r="AL985" s="202">
        <f t="shared" si="1191"/>
        <v>314.88978857399911</v>
      </c>
      <c r="AM985" s="208">
        <f t="shared" si="1192"/>
        <v>0.19999999999999996</v>
      </c>
      <c r="AN985" s="208">
        <f t="shared" si="1193"/>
        <v>0.13684210526315777</v>
      </c>
      <c r="AP985" s="170" t="s">
        <v>1267</v>
      </c>
      <c r="AQ985" s="204"/>
      <c r="AR985" s="204"/>
      <c r="AS985" s="197"/>
      <c r="AT985" s="162"/>
      <c r="AU985" s="162"/>
      <c r="AV985" s="173"/>
      <c r="AW985" s="203">
        <f>VLOOKUP(I985,'[6]RACKS &amp; OPEN RACKS'!$B$6:$J$60,9,FALSE)</f>
        <v>280</v>
      </c>
      <c r="AX985" s="126">
        <f t="shared" si="1195"/>
        <v>299.14529914529913</v>
      </c>
      <c r="AY985" s="163"/>
      <c r="AZ985" s="19"/>
      <c r="BB985" s="168">
        <f t="shared" si="1196"/>
        <v>1216.0378014036551</v>
      </c>
      <c r="BC985" s="168">
        <f t="shared" si="1197"/>
        <v>729.62268084219306</v>
      </c>
      <c r="BD985" s="168">
        <f t="shared" si="1198"/>
        <v>608.01890070182753</v>
      </c>
      <c r="BE985" s="168">
        <f t="shared" si="1199"/>
        <v>486.41512056146206</v>
      </c>
    </row>
    <row r="986" spans="1:57" s="129" customFormat="1" ht="15" hidden="1">
      <c r="A986" s="88" t="s">
        <v>1276</v>
      </c>
      <c r="B986" s="88" t="s">
        <v>3168</v>
      </c>
      <c r="C986" s="88" t="s">
        <v>1317</v>
      </c>
      <c r="D986" s="88" t="s">
        <v>1102</v>
      </c>
      <c r="E986" s="91" t="s">
        <v>2209</v>
      </c>
      <c r="F986" s="90" t="s">
        <v>2445</v>
      </c>
      <c r="G986" s="92" t="s">
        <v>2644</v>
      </c>
      <c r="H986" s="92"/>
      <c r="I986" s="233" t="s">
        <v>2460</v>
      </c>
      <c r="J986" s="132"/>
      <c r="K986" s="91" t="s">
        <v>2706</v>
      </c>
      <c r="L986" s="89" t="s">
        <v>2713</v>
      </c>
      <c r="M986" s="92"/>
      <c r="N986" s="91" t="s">
        <v>1223</v>
      </c>
      <c r="O986" s="131"/>
      <c r="P986" s="90" t="s">
        <v>2206</v>
      </c>
      <c r="Q986" s="131"/>
      <c r="R986" s="131"/>
      <c r="S986" s="92"/>
      <c r="T986" s="131">
        <v>9403208000</v>
      </c>
      <c r="U986" s="155">
        <v>0</v>
      </c>
      <c r="V986" s="131">
        <v>45</v>
      </c>
      <c r="W986" s="131">
        <v>45</v>
      </c>
      <c r="X986" s="131"/>
      <c r="Y986" s="131" t="s">
        <v>1706</v>
      </c>
      <c r="Z986" s="133">
        <f t="shared" si="1188"/>
        <v>300.1973684210526</v>
      </c>
      <c r="AA986" s="133"/>
      <c r="AB986" s="161">
        <f t="shared" si="1189"/>
        <v>254.06504065040653</v>
      </c>
      <c r="AC986" s="161"/>
      <c r="AD986" s="213">
        <f t="shared" si="1190"/>
        <v>0.05</v>
      </c>
      <c r="AE986" s="213">
        <v>0.05</v>
      </c>
      <c r="AF986" s="219">
        <v>0.18</v>
      </c>
      <c r="AG986" s="218" t="s">
        <v>9</v>
      </c>
      <c r="AH986" s="148">
        <f t="shared" si="1186"/>
        <v>254.06504065040653</v>
      </c>
      <c r="AI986" s="206">
        <f t="shared" si="1194"/>
        <v>0.17999999999999994</v>
      </c>
      <c r="AJ986" s="444"/>
      <c r="AK986" s="150">
        <f t="shared" si="1200"/>
        <v>240.15789473684211</v>
      </c>
      <c r="AL986" s="202">
        <f t="shared" si="1191"/>
        <v>219.29824561403512</v>
      </c>
      <c r="AM986" s="208">
        <f t="shared" si="1192"/>
        <v>0.19999999999999996</v>
      </c>
      <c r="AN986" s="208">
        <f t="shared" si="1193"/>
        <v>0.13684210526315788</v>
      </c>
      <c r="AP986" s="170" t="s">
        <v>1267</v>
      </c>
      <c r="AQ986" s="204"/>
      <c r="AR986" s="204"/>
      <c r="AS986" s="197"/>
      <c r="AT986" s="162"/>
      <c r="AU986" s="162"/>
      <c r="AV986" s="173"/>
      <c r="AW986" s="203">
        <f>VLOOKUP(I986,'[6]RACKS &amp; OPEN RACKS'!$B$6:$J$60,9,FALSE)</f>
        <v>195</v>
      </c>
      <c r="AX986" s="126">
        <f t="shared" si="1195"/>
        <v>208.33333333333337</v>
      </c>
      <c r="AY986" s="163"/>
      <c r="AZ986" s="19"/>
      <c r="BB986" s="168">
        <f t="shared" si="1196"/>
        <v>846.88346883468841</v>
      </c>
      <c r="BC986" s="168">
        <f t="shared" si="1197"/>
        <v>508.130081300813</v>
      </c>
      <c r="BD986" s="168">
        <f t="shared" si="1198"/>
        <v>423.44173441734421</v>
      </c>
      <c r="BE986" s="168">
        <f t="shared" si="1199"/>
        <v>338.75338753387541</v>
      </c>
    </row>
    <row r="987" spans="1:57" s="129" customFormat="1" ht="15" hidden="1">
      <c r="A987" s="88" t="s">
        <v>1276</v>
      </c>
      <c r="B987" s="88" t="s">
        <v>3168</v>
      </c>
      <c r="C987" s="88" t="s">
        <v>1317</v>
      </c>
      <c r="D987" s="88" t="s">
        <v>1102</v>
      </c>
      <c r="E987" s="91" t="s">
        <v>2209</v>
      </c>
      <c r="F987" s="90" t="s">
        <v>2445</v>
      </c>
      <c r="G987" s="92" t="s">
        <v>2642</v>
      </c>
      <c r="H987" s="92"/>
      <c r="I987" s="233" t="s">
        <v>2461</v>
      </c>
      <c r="J987" s="132"/>
      <c r="K987" s="91" t="s">
        <v>2707</v>
      </c>
      <c r="L987" s="89" t="s">
        <v>2714</v>
      </c>
      <c r="M987" s="92"/>
      <c r="N987" s="91" t="s">
        <v>1223</v>
      </c>
      <c r="O987" s="131"/>
      <c r="P987" s="90" t="s">
        <v>2206</v>
      </c>
      <c r="Q987" s="131"/>
      <c r="R987" s="131"/>
      <c r="S987" s="92"/>
      <c r="T987" s="131">
        <v>9403208000</v>
      </c>
      <c r="U987" s="155">
        <v>0</v>
      </c>
      <c r="V987" s="131">
        <v>45</v>
      </c>
      <c r="W987" s="131">
        <v>45</v>
      </c>
      <c r="X987" s="131"/>
      <c r="Y987" s="131" t="s">
        <v>1706</v>
      </c>
      <c r="Z987" s="133">
        <f t="shared" si="1188"/>
        <v>315.59210526315792</v>
      </c>
      <c r="AA987" s="133"/>
      <c r="AB987" s="161">
        <f t="shared" si="1189"/>
        <v>267.09401709401709</v>
      </c>
      <c r="AC987" s="161"/>
      <c r="AD987" s="213">
        <f t="shared" si="1190"/>
        <v>0.05</v>
      </c>
      <c r="AE987" s="213">
        <v>0.05</v>
      </c>
      <c r="AF987" s="219">
        <v>0.18</v>
      </c>
      <c r="AG987" s="218" t="s">
        <v>9</v>
      </c>
      <c r="AH987" s="148">
        <f t="shared" si="1186"/>
        <v>267.09401709401709</v>
      </c>
      <c r="AI987" s="206">
        <f t="shared" si="1194"/>
        <v>0.17999999999999983</v>
      </c>
      <c r="AJ987" s="444"/>
      <c r="AK987" s="150">
        <f t="shared" si="1200"/>
        <v>252.47368421052633</v>
      </c>
      <c r="AL987" s="202">
        <f t="shared" si="1191"/>
        <v>230.54430949167795</v>
      </c>
      <c r="AM987" s="208">
        <f t="shared" si="1192"/>
        <v>0.20000000000000007</v>
      </c>
      <c r="AN987" s="208">
        <f t="shared" si="1193"/>
        <v>0.13684210526315777</v>
      </c>
      <c r="AP987" s="170" t="s">
        <v>1267</v>
      </c>
      <c r="AQ987" s="204"/>
      <c r="AR987" s="204"/>
      <c r="AS987" s="197"/>
      <c r="AT987" s="162"/>
      <c r="AU987" s="162"/>
      <c r="AV987" s="173"/>
      <c r="AW987" s="203">
        <f>VLOOKUP(I987,'[6]RACKS &amp; OPEN RACKS'!$B$6:$J$60,9,FALSE)</f>
        <v>205</v>
      </c>
      <c r="AX987" s="126">
        <f t="shared" si="1195"/>
        <v>219.01709401709405</v>
      </c>
      <c r="AY987" s="163"/>
      <c r="AZ987" s="19"/>
      <c r="BB987" s="168">
        <f t="shared" si="1196"/>
        <v>890.3133903133903</v>
      </c>
      <c r="BC987" s="168">
        <f t="shared" si="1197"/>
        <v>534.18803418803418</v>
      </c>
      <c r="BD987" s="168">
        <f t="shared" si="1198"/>
        <v>445.15669515669515</v>
      </c>
      <c r="BE987" s="168">
        <f t="shared" si="1199"/>
        <v>356.12535612535612</v>
      </c>
    </row>
    <row r="988" spans="1:57" s="129" customFormat="1" ht="15" hidden="1">
      <c r="A988" s="88" t="s">
        <v>1276</v>
      </c>
      <c r="B988" s="88" t="s">
        <v>3168</v>
      </c>
      <c r="C988" s="88" t="s">
        <v>1317</v>
      </c>
      <c r="D988" s="88" t="s">
        <v>1102</v>
      </c>
      <c r="E988" s="91" t="s">
        <v>2209</v>
      </c>
      <c r="F988" s="90" t="s">
        <v>2445</v>
      </c>
      <c r="G988" s="92" t="s">
        <v>2643</v>
      </c>
      <c r="H988" s="92"/>
      <c r="I988" s="233" t="s">
        <v>2462</v>
      </c>
      <c r="J988" s="132"/>
      <c r="K988" s="91" t="s">
        <v>2708</v>
      </c>
      <c r="L988" s="89" t="s">
        <v>2715</v>
      </c>
      <c r="M988" s="92"/>
      <c r="N988" s="91" t="s">
        <v>1223</v>
      </c>
      <c r="O988" s="131"/>
      <c r="P988" s="90" t="s">
        <v>2206</v>
      </c>
      <c r="Q988" s="131"/>
      <c r="R988" s="131"/>
      <c r="S988" s="92"/>
      <c r="T988" s="131">
        <v>9403208000</v>
      </c>
      <c r="U988" s="155">
        <v>0</v>
      </c>
      <c r="V988" s="131">
        <v>45</v>
      </c>
      <c r="W988" s="131">
        <v>45</v>
      </c>
      <c r="X988" s="131"/>
      <c r="Y988" s="131" t="s">
        <v>1706</v>
      </c>
      <c r="Z988" s="133">
        <f t="shared" si="1188"/>
        <v>338.68421052631578</v>
      </c>
      <c r="AA988" s="133"/>
      <c r="AB988" s="161">
        <f t="shared" si="1189"/>
        <v>286.63748175943294</v>
      </c>
      <c r="AC988" s="161"/>
      <c r="AD988" s="213">
        <f t="shared" si="1190"/>
        <v>0.05</v>
      </c>
      <c r="AE988" s="213">
        <v>0.05</v>
      </c>
      <c r="AF988" s="219">
        <v>0.18</v>
      </c>
      <c r="AG988" s="218" t="s">
        <v>9</v>
      </c>
      <c r="AH988" s="148">
        <f t="shared" si="1186"/>
        <v>286.63748175943294</v>
      </c>
      <c r="AI988" s="206">
        <f t="shared" si="1194"/>
        <v>0.17999999999999994</v>
      </c>
      <c r="AJ988" s="444"/>
      <c r="AK988" s="150">
        <f t="shared" si="1200"/>
        <v>270.94736842105266</v>
      </c>
      <c r="AL988" s="202">
        <f t="shared" si="1191"/>
        <v>247.41340530814216</v>
      </c>
      <c r="AM988" s="208">
        <f t="shared" si="1192"/>
        <v>0.19999999999999984</v>
      </c>
      <c r="AN988" s="208">
        <f t="shared" si="1193"/>
        <v>0.13684210526315777</v>
      </c>
      <c r="AP988" s="170" t="s">
        <v>1267</v>
      </c>
      <c r="AQ988" s="204"/>
      <c r="AR988" s="204"/>
      <c r="AS988" s="197"/>
      <c r="AT988" s="162"/>
      <c r="AU988" s="162"/>
      <c r="AV988" s="173"/>
      <c r="AW988" s="203">
        <f>VLOOKUP(I988,'[6]RACKS &amp; OPEN RACKS'!$B$6:$J$60,9,FALSE)</f>
        <v>220</v>
      </c>
      <c r="AX988" s="126">
        <f t="shared" si="1195"/>
        <v>235.04273504273505</v>
      </c>
      <c r="AY988" s="163"/>
      <c r="AZ988" s="19"/>
      <c r="BB988" s="168">
        <f t="shared" si="1196"/>
        <v>955.45827253144319</v>
      </c>
      <c r="BC988" s="168">
        <f t="shared" si="1197"/>
        <v>573.27496351886589</v>
      </c>
      <c r="BD988" s="168">
        <f t="shared" si="1198"/>
        <v>477.72913626572159</v>
      </c>
      <c r="BE988" s="168">
        <f t="shared" si="1199"/>
        <v>382.1833090125773</v>
      </c>
    </row>
    <row r="989" spans="1:57" s="129" customFormat="1" ht="15" hidden="1">
      <c r="A989" s="88" t="s">
        <v>1276</v>
      </c>
      <c r="B989" s="88" t="s">
        <v>3168</v>
      </c>
      <c r="C989" s="88" t="s">
        <v>1317</v>
      </c>
      <c r="D989" s="88" t="s">
        <v>1102</v>
      </c>
      <c r="E989" s="91" t="s">
        <v>2209</v>
      </c>
      <c r="F989" s="90" t="s">
        <v>2445</v>
      </c>
      <c r="G989" s="92" t="s">
        <v>2645</v>
      </c>
      <c r="H989" s="92"/>
      <c r="I989" s="233" t="s">
        <v>2463</v>
      </c>
      <c r="J989" s="132"/>
      <c r="K989" s="91" t="s">
        <v>2709</v>
      </c>
      <c r="L989" s="89" t="s">
        <v>2716</v>
      </c>
      <c r="M989" s="92"/>
      <c r="N989" s="91" t="s">
        <v>1223</v>
      </c>
      <c r="O989" s="131"/>
      <c r="P989" s="90" t="s">
        <v>2206</v>
      </c>
      <c r="Q989" s="131"/>
      <c r="R989" s="131"/>
      <c r="S989" s="92"/>
      <c r="T989" s="131">
        <v>9403208000</v>
      </c>
      <c r="U989" s="155">
        <v>0</v>
      </c>
      <c r="V989" s="131">
        <v>45</v>
      </c>
      <c r="W989" s="131">
        <v>45</v>
      </c>
      <c r="X989" s="131"/>
      <c r="Y989" s="131" t="s">
        <v>1706</v>
      </c>
      <c r="Z989" s="133">
        <f t="shared" si="1188"/>
        <v>361.7763157894737</v>
      </c>
      <c r="AA989" s="133"/>
      <c r="AB989" s="161">
        <f t="shared" si="1189"/>
        <v>306.18094642484886</v>
      </c>
      <c r="AC989" s="161"/>
      <c r="AD989" s="213">
        <f t="shared" si="1190"/>
        <v>0.05</v>
      </c>
      <c r="AE989" s="213">
        <v>0.05</v>
      </c>
      <c r="AF989" s="219">
        <v>0.18</v>
      </c>
      <c r="AG989" s="218" t="s">
        <v>9</v>
      </c>
      <c r="AH989" s="148">
        <f t="shared" si="1186"/>
        <v>306.18094642484886</v>
      </c>
      <c r="AI989" s="206">
        <f t="shared" si="1194"/>
        <v>0.17999999999999994</v>
      </c>
      <c r="AJ989" s="444"/>
      <c r="AK989" s="150">
        <f t="shared" si="1200"/>
        <v>289.42105263157896</v>
      </c>
      <c r="AL989" s="202">
        <f t="shared" si="1191"/>
        <v>264.28250112460643</v>
      </c>
      <c r="AM989" s="208">
        <f t="shared" si="1192"/>
        <v>0.19999999999999996</v>
      </c>
      <c r="AN989" s="208">
        <f t="shared" si="1193"/>
        <v>0.13684210526315777</v>
      </c>
      <c r="AP989" s="170" t="s">
        <v>1267</v>
      </c>
      <c r="AQ989" s="204"/>
      <c r="AR989" s="204"/>
      <c r="AS989" s="197"/>
      <c r="AT989" s="162"/>
      <c r="AU989" s="162"/>
      <c r="AV989" s="173"/>
      <c r="AW989" s="203">
        <f>VLOOKUP(I989,'[6]RACKS &amp; OPEN RACKS'!$B$6:$J$60,9,FALSE)</f>
        <v>235</v>
      </c>
      <c r="AX989" s="126">
        <f t="shared" si="1195"/>
        <v>251.0683760683761</v>
      </c>
      <c r="AY989" s="163"/>
      <c r="AZ989" s="19"/>
      <c r="BB989" s="168">
        <f t="shared" si="1196"/>
        <v>1020.6031547494962</v>
      </c>
      <c r="BC989" s="168">
        <f t="shared" si="1197"/>
        <v>612.36189284969771</v>
      </c>
      <c r="BD989" s="168">
        <f t="shared" si="1198"/>
        <v>510.30157737474809</v>
      </c>
      <c r="BE989" s="168">
        <f t="shared" si="1199"/>
        <v>408.24126189979847</v>
      </c>
    </row>
    <row r="990" spans="1:57" s="129" customFormat="1" ht="15" hidden="1">
      <c r="A990" s="88" t="s">
        <v>1276</v>
      </c>
      <c r="B990" s="88" t="s">
        <v>3168</v>
      </c>
      <c r="C990" s="88" t="s">
        <v>1317</v>
      </c>
      <c r="D990" s="88" t="s">
        <v>1102</v>
      </c>
      <c r="E990" s="91" t="s">
        <v>2209</v>
      </c>
      <c r="F990" s="90" t="s">
        <v>2445</v>
      </c>
      <c r="G990" s="92" t="s">
        <v>2646</v>
      </c>
      <c r="H990" s="92"/>
      <c r="I990" s="233" t="s">
        <v>2464</v>
      </c>
      <c r="J990" s="132"/>
      <c r="K990" s="91" t="s">
        <v>2710</v>
      </c>
      <c r="L990" s="89" t="s">
        <v>2717</v>
      </c>
      <c r="M990" s="92"/>
      <c r="N990" s="91" t="s">
        <v>1223</v>
      </c>
      <c r="O990" s="131"/>
      <c r="P990" s="90" t="s">
        <v>2206</v>
      </c>
      <c r="Q990" s="131"/>
      <c r="R990" s="131"/>
      <c r="S990" s="92"/>
      <c r="T990" s="131">
        <v>9403208000</v>
      </c>
      <c r="U990" s="155">
        <v>0</v>
      </c>
      <c r="V990" s="131">
        <v>45</v>
      </c>
      <c r="W990" s="131">
        <v>45</v>
      </c>
      <c r="X990" s="131"/>
      <c r="Y990" s="131" t="s">
        <v>1706</v>
      </c>
      <c r="Z990" s="133">
        <f t="shared" si="1188"/>
        <v>400.26315789473676</v>
      </c>
      <c r="AA990" s="133"/>
      <c r="AB990" s="161">
        <f t="shared" si="1189"/>
        <v>338.7533875338753</v>
      </c>
      <c r="AC990" s="161"/>
      <c r="AD990" s="213">
        <f t="shared" si="1190"/>
        <v>0.05</v>
      </c>
      <c r="AE990" s="213">
        <v>0.05</v>
      </c>
      <c r="AF990" s="219">
        <v>0.18</v>
      </c>
      <c r="AG990" s="218" t="s">
        <v>9</v>
      </c>
      <c r="AH990" s="148">
        <f t="shared" si="1186"/>
        <v>338.7533875338753</v>
      </c>
      <c r="AI990" s="206">
        <f t="shared" si="1194"/>
        <v>0.17999999999999994</v>
      </c>
      <c r="AJ990" s="444"/>
      <c r="AK990" s="150">
        <f t="shared" si="1200"/>
        <v>320.21052631578942</v>
      </c>
      <c r="AL990" s="202">
        <f t="shared" si="1191"/>
        <v>292.39766081871346</v>
      </c>
      <c r="AM990" s="208">
        <f t="shared" si="1192"/>
        <v>0.19999999999999996</v>
      </c>
      <c r="AN990" s="208">
        <f t="shared" si="1193"/>
        <v>0.13684210526315777</v>
      </c>
      <c r="AP990" s="170" t="s">
        <v>1267</v>
      </c>
      <c r="AQ990" s="204"/>
      <c r="AR990" s="204"/>
      <c r="AS990" s="197"/>
      <c r="AT990" s="162"/>
      <c r="AU990" s="162"/>
      <c r="AV990" s="173"/>
      <c r="AW990" s="203">
        <f>VLOOKUP(I990,'[6]RACKS &amp; OPEN RACKS'!$B$6:$J$60,9,FALSE)</f>
        <v>260</v>
      </c>
      <c r="AX990" s="126">
        <f t="shared" si="1195"/>
        <v>277.77777777777777</v>
      </c>
      <c r="AY990" s="163"/>
      <c r="AZ990" s="19"/>
      <c r="BB990" s="168">
        <f t="shared" si="1196"/>
        <v>1129.1779584462511</v>
      </c>
      <c r="BC990" s="168">
        <f t="shared" si="1197"/>
        <v>677.5067750677506</v>
      </c>
      <c r="BD990" s="168">
        <f t="shared" si="1198"/>
        <v>564.58897922312553</v>
      </c>
      <c r="BE990" s="168">
        <f t="shared" si="1199"/>
        <v>451.67118337850047</v>
      </c>
    </row>
    <row r="991" spans="1:57" s="129" customFormat="1" ht="15" hidden="1">
      <c r="A991" s="88" t="s">
        <v>1276</v>
      </c>
      <c r="B991" s="88" t="s">
        <v>3168</v>
      </c>
      <c r="C991" s="88" t="s">
        <v>1317</v>
      </c>
      <c r="D991" s="88" t="s">
        <v>1102</v>
      </c>
      <c r="E991" s="91" t="s">
        <v>2209</v>
      </c>
      <c r="F991" s="90" t="s">
        <v>2445</v>
      </c>
      <c r="G991" s="92" t="s">
        <v>2647</v>
      </c>
      <c r="H991" s="92"/>
      <c r="I991" s="233" t="s">
        <v>2465</v>
      </c>
      <c r="J991" s="132"/>
      <c r="K991" s="91" t="s">
        <v>2711</v>
      </c>
      <c r="L991" s="89" t="s">
        <v>2718</v>
      </c>
      <c r="M991" s="92"/>
      <c r="N991" s="91" t="s">
        <v>1223</v>
      </c>
      <c r="O991" s="131"/>
      <c r="P991" s="90" t="s">
        <v>2206</v>
      </c>
      <c r="Q991" s="131"/>
      <c r="R991" s="131"/>
      <c r="S991" s="92"/>
      <c r="T991" s="131">
        <v>9403208000</v>
      </c>
      <c r="U991" s="155">
        <v>0</v>
      </c>
      <c r="V991" s="131">
        <v>45</v>
      </c>
      <c r="W991" s="131">
        <v>45</v>
      </c>
      <c r="X991" s="131"/>
      <c r="Y991" s="131" t="s">
        <v>1706</v>
      </c>
      <c r="Z991" s="133">
        <f t="shared" si="1188"/>
        <v>431.0526315789474</v>
      </c>
      <c r="AA991" s="133"/>
      <c r="AB991" s="161">
        <f t="shared" si="1189"/>
        <v>364.81134042109647</v>
      </c>
      <c r="AC991" s="161"/>
      <c r="AD991" s="213">
        <f t="shared" si="1190"/>
        <v>0.05</v>
      </c>
      <c r="AE991" s="213">
        <v>0.05</v>
      </c>
      <c r="AF991" s="219">
        <v>0.18</v>
      </c>
      <c r="AG991" s="218" t="s">
        <v>9</v>
      </c>
      <c r="AH991" s="148">
        <f t="shared" si="1186"/>
        <v>364.81134042109647</v>
      </c>
      <c r="AI991" s="206">
        <f t="shared" si="1194"/>
        <v>0.17999999999999994</v>
      </c>
      <c r="AJ991" s="444"/>
      <c r="AK991" s="150">
        <f t="shared" si="1200"/>
        <v>344.84210526315792</v>
      </c>
      <c r="AL991" s="202">
        <f t="shared" si="1191"/>
        <v>314.88978857399911</v>
      </c>
      <c r="AM991" s="208">
        <f t="shared" si="1192"/>
        <v>0.19999999999999996</v>
      </c>
      <c r="AN991" s="208">
        <f t="shared" si="1193"/>
        <v>0.13684210526315777</v>
      </c>
      <c r="AP991" s="170" t="s">
        <v>1267</v>
      </c>
      <c r="AQ991" s="204"/>
      <c r="AR991" s="204"/>
      <c r="AS991" s="197"/>
      <c r="AT991" s="162"/>
      <c r="AU991" s="162"/>
      <c r="AV991" s="173"/>
      <c r="AW991" s="203">
        <f>VLOOKUP(I991,'[6]RACKS &amp; OPEN RACKS'!$B$6:$J$60,9,FALSE)</f>
        <v>280</v>
      </c>
      <c r="AX991" s="126">
        <f t="shared" si="1195"/>
        <v>299.14529914529913</v>
      </c>
      <c r="AY991" s="163"/>
      <c r="AZ991" s="19"/>
      <c r="BB991" s="168">
        <f t="shared" si="1196"/>
        <v>1216.0378014036551</v>
      </c>
      <c r="BC991" s="168">
        <f t="shared" si="1197"/>
        <v>729.62268084219306</v>
      </c>
      <c r="BD991" s="168">
        <f t="shared" si="1198"/>
        <v>608.01890070182753</v>
      </c>
      <c r="BE991" s="168">
        <f t="shared" si="1199"/>
        <v>486.41512056146206</v>
      </c>
    </row>
    <row r="992" spans="1:57" s="129" customFormat="1" ht="15" hidden="1">
      <c r="A992" s="88" t="s">
        <v>1276</v>
      </c>
      <c r="B992" s="88" t="s">
        <v>3168</v>
      </c>
      <c r="C992" s="88" t="s">
        <v>1317</v>
      </c>
      <c r="D992" s="88" t="s">
        <v>1102</v>
      </c>
      <c r="E992" s="91" t="s">
        <v>2209</v>
      </c>
      <c r="F992" s="90" t="s">
        <v>2445</v>
      </c>
      <c r="G992" s="92" t="s">
        <v>2636</v>
      </c>
      <c r="H992" s="92"/>
      <c r="I992" s="233" t="s">
        <v>2466</v>
      </c>
      <c r="J992" s="132"/>
      <c r="K992" s="91" t="s">
        <v>2712</v>
      </c>
      <c r="L992" s="89" t="s">
        <v>2719</v>
      </c>
      <c r="M992" s="92"/>
      <c r="N992" s="91" t="s">
        <v>1223</v>
      </c>
      <c r="O992" s="131"/>
      <c r="P992" s="90" t="s">
        <v>2206</v>
      </c>
      <c r="Q992" s="131"/>
      <c r="R992" s="131"/>
      <c r="S992" s="92"/>
      <c r="T992" s="131">
        <v>9403208000</v>
      </c>
      <c r="U992" s="155">
        <v>0</v>
      </c>
      <c r="V992" s="131">
        <v>45</v>
      </c>
      <c r="W992" s="131">
        <v>45</v>
      </c>
      <c r="X992" s="131"/>
      <c r="Y992" s="131" t="s">
        <v>1706</v>
      </c>
      <c r="Z992" s="133">
        <f t="shared" si="1188"/>
        <v>446.44736842105266</v>
      </c>
      <c r="AA992" s="133"/>
      <c r="AB992" s="161">
        <f t="shared" si="1189"/>
        <v>377.84031686470712</v>
      </c>
      <c r="AC992" s="161"/>
      <c r="AD992" s="213">
        <f t="shared" si="1190"/>
        <v>0.05</v>
      </c>
      <c r="AE992" s="213">
        <v>0.05</v>
      </c>
      <c r="AF992" s="219">
        <v>0.18</v>
      </c>
      <c r="AG992" s="218" t="s">
        <v>9</v>
      </c>
      <c r="AH992" s="148">
        <f t="shared" si="1186"/>
        <v>377.84031686470712</v>
      </c>
      <c r="AI992" s="206">
        <f t="shared" si="1194"/>
        <v>0.17999999999999994</v>
      </c>
      <c r="AJ992" s="444"/>
      <c r="AK992" s="150">
        <f t="shared" si="1200"/>
        <v>357.15789473684214</v>
      </c>
      <c r="AL992" s="202">
        <f t="shared" si="1191"/>
        <v>326.13585245164199</v>
      </c>
      <c r="AM992" s="208">
        <f t="shared" si="1192"/>
        <v>0.19999999999999996</v>
      </c>
      <c r="AN992" s="208">
        <f t="shared" si="1193"/>
        <v>0.13684210526315777</v>
      </c>
      <c r="AP992" s="170" t="s">
        <v>1267</v>
      </c>
      <c r="AQ992" s="204"/>
      <c r="AR992" s="204"/>
      <c r="AS992" s="197"/>
      <c r="AT992" s="162"/>
      <c r="AU992" s="162"/>
      <c r="AV992" s="173"/>
      <c r="AW992" s="203">
        <f>VLOOKUP(I992,'[6]RACKS &amp; OPEN RACKS'!$B$6:$J$60,9,FALSE)</f>
        <v>290</v>
      </c>
      <c r="AX992" s="126">
        <f t="shared" si="1195"/>
        <v>309.82905982905987</v>
      </c>
      <c r="AY992" s="163"/>
      <c r="AZ992" s="19"/>
      <c r="BB992" s="168">
        <f t="shared" si="1196"/>
        <v>1259.4677228823571</v>
      </c>
      <c r="BC992" s="168">
        <f t="shared" si="1197"/>
        <v>755.68063372941424</v>
      </c>
      <c r="BD992" s="168">
        <f t="shared" si="1198"/>
        <v>629.73386144117853</v>
      </c>
      <c r="BE992" s="168">
        <f t="shared" si="1199"/>
        <v>503.78708915294283</v>
      </c>
    </row>
    <row r="993" spans="1:57" s="129" customFormat="1" ht="15" hidden="1">
      <c r="A993" s="88" t="s">
        <v>1276</v>
      </c>
      <c r="B993" s="88" t="s">
        <v>3168</v>
      </c>
      <c r="C993" s="88" t="s">
        <v>1317</v>
      </c>
      <c r="D993" s="88" t="s">
        <v>1102</v>
      </c>
      <c r="E993" s="91" t="s">
        <v>2209</v>
      </c>
      <c r="F993" s="90" t="s">
        <v>2445</v>
      </c>
      <c r="G993" s="92" t="s">
        <v>2644</v>
      </c>
      <c r="H993" s="92"/>
      <c r="I993" s="233" t="s">
        <v>2467</v>
      </c>
      <c r="J993" s="132"/>
      <c r="K993" s="91" t="s">
        <v>2720</v>
      </c>
      <c r="L993" s="89" t="s">
        <v>2721</v>
      </c>
      <c r="M993" s="92"/>
      <c r="N993" s="91" t="s">
        <v>1223</v>
      </c>
      <c r="O993" s="131"/>
      <c r="P993" s="90" t="s">
        <v>2206</v>
      </c>
      <c r="Q993" s="131"/>
      <c r="R993" s="131"/>
      <c r="S993" s="92"/>
      <c r="T993" s="131">
        <v>9403208000</v>
      </c>
      <c r="U993" s="155">
        <v>0</v>
      </c>
      <c r="V993" s="131">
        <v>45</v>
      </c>
      <c r="W993" s="131">
        <v>45</v>
      </c>
      <c r="X993" s="131"/>
      <c r="Y993" s="131" t="s">
        <v>1706</v>
      </c>
      <c r="Z993" s="133">
        <f t="shared" si="1188"/>
        <v>315.59210526315792</v>
      </c>
      <c r="AA993" s="133"/>
      <c r="AB993" s="161">
        <f t="shared" si="1189"/>
        <v>267.09401709401709</v>
      </c>
      <c r="AC993" s="161"/>
      <c r="AD993" s="213">
        <f t="shared" si="1190"/>
        <v>0.05</v>
      </c>
      <c r="AE993" s="213">
        <v>0.05</v>
      </c>
      <c r="AF993" s="219">
        <v>0.18</v>
      </c>
      <c r="AG993" s="218" t="s">
        <v>9</v>
      </c>
      <c r="AH993" s="148">
        <f t="shared" si="1186"/>
        <v>267.09401709401709</v>
      </c>
      <c r="AI993" s="206">
        <f t="shared" si="1194"/>
        <v>0.17999999999999983</v>
      </c>
      <c r="AJ993" s="444"/>
      <c r="AK993" s="150">
        <f t="shared" si="1200"/>
        <v>252.47368421052633</v>
      </c>
      <c r="AL993" s="202">
        <f t="shared" si="1191"/>
        <v>230.54430949167795</v>
      </c>
      <c r="AM993" s="208">
        <f t="shared" si="1192"/>
        <v>0.20000000000000007</v>
      </c>
      <c r="AN993" s="208">
        <f t="shared" si="1193"/>
        <v>0.13684210526315777</v>
      </c>
      <c r="AP993" s="170" t="s">
        <v>1267</v>
      </c>
      <c r="AQ993" s="204"/>
      <c r="AR993" s="204"/>
      <c r="AS993" s="197"/>
      <c r="AT993" s="162"/>
      <c r="AU993" s="162"/>
      <c r="AV993" s="173"/>
      <c r="AW993" s="203">
        <f>VLOOKUP(I993,'[6]RACKS &amp; OPEN RACKS'!$B$6:$J$60,9,FALSE)</f>
        <v>205</v>
      </c>
      <c r="AX993" s="126">
        <f t="shared" si="1195"/>
        <v>219.01709401709405</v>
      </c>
      <c r="AY993" s="163"/>
      <c r="AZ993" s="19"/>
      <c r="BB993" s="168">
        <f t="shared" si="1196"/>
        <v>890.3133903133903</v>
      </c>
      <c r="BC993" s="168">
        <f t="shared" si="1197"/>
        <v>534.18803418803418</v>
      </c>
      <c r="BD993" s="168">
        <f t="shared" si="1198"/>
        <v>445.15669515669515</v>
      </c>
      <c r="BE993" s="168">
        <f t="shared" si="1199"/>
        <v>356.12535612535612</v>
      </c>
    </row>
    <row r="994" spans="1:57" s="129" customFormat="1" ht="15" hidden="1">
      <c r="A994" s="88" t="s">
        <v>1276</v>
      </c>
      <c r="B994" s="88" t="s">
        <v>1317</v>
      </c>
      <c r="C994" s="88" t="s">
        <v>1317</v>
      </c>
      <c r="D994" s="88" t="s">
        <v>1102</v>
      </c>
      <c r="E994" s="91" t="s">
        <v>2209</v>
      </c>
      <c r="F994" s="90" t="s">
        <v>2445</v>
      </c>
      <c r="G994" s="92" t="s">
        <v>2642</v>
      </c>
      <c r="H994" s="92"/>
      <c r="I994" s="233" t="s">
        <v>2468</v>
      </c>
      <c r="J994" s="132"/>
      <c r="K994" s="91" t="s">
        <v>2722</v>
      </c>
      <c r="L994" s="89" t="s">
        <v>2723</v>
      </c>
      <c r="M994" s="92"/>
      <c r="N994" s="91" t="s">
        <v>1223</v>
      </c>
      <c r="O994" s="131"/>
      <c r="P994" s="90" t="s">
        <v>2206</v>
      </c>
      <c r="Q994" s="131"/>
      <c r="R994" s="131"/>
      <c r="S994" s="92"/>
      <c r="T994" s="131">
        <v>9403208000</v>
      </c>
      <c r="U994" s="155">
        <v>0</v>
      </c>
      <c r="V994" s="131">
        <v>45</v>
      </c>
      <c r="W994" s="131">
        <v>45</v>
      </c>
      <c r="X994" s="131"/>
      <c r="Y994" s="131" t="s">
        <v>1706</v>
      </c>
      <c r="Z994" s="133">
        <f t="shared" si="1188"/>
        <v>330.98684210526312</v>
      </c>
      <c r="AA994" s="133"/>
      <c r="AB994" s="161">
        <f t="shared" si="1189"/>
        <v>280.12299353762768</v>
      </c>
      <c r="AC994" s="161"/>
      <c r="AD994" s="213">
        <f t="shared" si="1190"/>
        <v>0.05</v>
      </c>
      <c r="AE994" s="213">
        <v>0.05</v>
      </c>
      <c r="AF994" s="219">
        <v>0.18</v>
      </c>
      <c r="AG994" s="218" t="s">
        <v>9</v>
      </c>
      <c r="AH994" s="148">
        <f t="shared" si="1186"/>
        <v>280.12299353762768</v>
      </c>
      <c r="AI994" s="206">
        <f t="shared" si="1194"/>
        <v>0.17999999999999983</v>
      </c>
      <c r="AJ994" s="444"/>
      <c r="AK994" s="150">
        <f t="shared" si="1200"/>
        <v>264.78947368421052</v>
      </c>
      <c r="AL994" s="202">
        <f t="shared" si="1191"/>
        <v>241.79037336932078</v>
      </c>
      <c r="AM994" s="208">
        <f t="shared" si="1192"/>
        <v>0.19999999999999996</v>
      </c>
      <c r="AN994" s="208">
        <f t="shared" si="1193"/>
        <v>0.13684210526315777</v>
      </c>
      <c r="AP994" s="170" t="s">
        <v>1267</v>
      </c>
      <c r="AQ994" s="204"/>
      <c r="AR994" s="204"/>
      <c r="AS994" s="197"/>
      <c r="AT994" s="162"/>
      <c r="AU994" s="162"/>
      <c r="AV994" s="173"/>
      <c r="AW994" s="203">
        <f>VLOOKUP(I994,'[6]RACKS &amp; OPEN RACKS'!$B$6:$J$60,9,FALSE)</f>
        <v>215</v>
      </c>
      <c r="AX994" s="126">
        <f t="shared" si="1195"/>
        <v>229.70085470085473</v>
      </c>
      <c r="AY994" s="163"/>
      <c r="AZ994" s="19"/>
      <c r="BB994" s="168">
        <f t="shared" si="1196"/>
        <v>933.7433117920923</v>
      </c>
      <c r="BC994" s="168">
        <f t="shared" si="1197"/>
        <v>560.24598707525536</v>
      </c>
      <c r="BD994" s="168">
        <f t="shared" si="1198"/>
        <v>466.87165589604615</v>
      </c>
      <c r="BE994" s="168">
        <f t="shared" si="1199"/>
        <v>373.49732471683694</v>
      </c>
    </row>
    <row r="995" spans="1:57" s="129" customFormat="1" ht="15" hidden="1">
      <c r="A995" s="88" t="s">
        <v>1276</v>
      </c>
      <c r="B995" s="88" t="s">
        <v>1317</v>
      </c>
      <c r="C995" s="88" t="s">
        <v>1317</v>
      </c>
      <c r="D995" s="88" t="s">
        <v>1102</v>
      </c>
      <c r="E995" s="91" t="s">
        <v>2209</v>
      </c>
      <c r="F995" s="90" t="s">
        <v>2445</v>
      </c>
      <c r="G995" s="92" t="s">
        <v>2643</v>
      </c>
      <c r="H995" s="92"/>
      <c r="I995" s="233" t="s">
        <v>2469</v>
      </c>
      <c r="J995" s="132"/>
      <c r="K995" s="91" t="s">
        <v>2724</v>
      </c>
      <c r="L995" s="89" t="s">
        <v>2725</v>
      </c>
      <c r="M995" s="92"/>
      <c r="N995" s="91" t="s">
        <v>1223</v>
      </c>
      <c r="O995" s="131"/>
      <c r="P995" s="90" t="s">
        <v>2206</v>
      </c>
      <c r="Q995" s="131"/>
      <c r="R995" s="131"/>
      <c r="S995" s="92"/>
      <c r="T995" s="131">
        <v>9403208000</v>
      </c>
      <c r="U995" s="155">
        <v>0</v>
      </c>
      <c r="V995" s="131">
        <v>45</v>
      </c>
      <c r="W995" s="131">
        <v>45</v>
      </c>
      <c r="X995" s="131"/>
      <c r="Y995" s="131" t="s">
        <v>1706</v>
      </c>
      <c r="Z995" s="133">
        <f t="shared" si="1188"/>
        <v>358.6973684210526</v>
      </c>
      <c r="AA995" s="133"/>
      <c r="AB995" s="161">
        <f t="shared" si="1189"/>
        <v>303.57515113612675</v>
      </c>
      <c r="AC995" s="161"/>
      <c r="AD995" s="213">
        <f t="shared" si="1190"/>
        <v>0.05</v>
      </c>
      <c r="AE995" s="213">
        <v>0.05</v>
      </c>
      <c r="AF995" s="219">
        <v>0.18</v>
      </c>
      <c r="AG995" s="218" t="s">
        <v>9</v>
      </c>
      <c r="AH995" s="148">
        <f t="shared" si="1186"/>
        <v>303.57515113612675</v>
      </c>
      <c r="AI995" s="206">
        <f t="shared" si="1194"/>
        <v>0.17999999999999994</v>
      </c>
      <c r="AJ995" s="444"/>
      <c r="AK995" s="150">
        <f t="shared" si="1200"/>
        <v>286.95789473684209</v>
      </c>
      <c r="AL995" s="202">
        <f t="shared" si="1191"/>
        <v>262.03328834907785</v>
      </c>
      <c r="AM995" s="208">
        <f t="shared" si="1192"/>
        <v>0.19999999999999996</v>
      </c>
      <c r="AN995" s="208">
        <f t="shared" si="1193"/>
        <v>0.13684210526315777</v>
      </c>
      <c r="AP995" s="170" t="s">
        <v>1267</v>
      </c>
      <c r="AQ995" s="204"/>
      <c r="AR995" s="204"/>
      <c r="AS995" s="197"/>
      <c r="AT995" s="162"/>
      <c r="AU995" s="162"/>
      <c r="AV995" s="173"/>
      <c r="AW995" s="203">
        <f>VLOOKUP(I995,'[6]RACKS &amp; OPEN RACKS'!$B$6:$J$60,9,FALSE)</f>
        <v>233</v>
      </c>
      <c r="AX995" s="126">
        <f t="shared" si="1195"/>
        <v>248.93162393162396</v>
      </c>
      <c r="AY995" s="163"/>
      <c r="AZ995" s="19"/>
      <c r="BB995" s="168">
        <f t="shared" si="1196"/>
        <v>1011.9171704537558</v>
      </c>
      <c r="BC995" s="168">
        <f t="shared" si="1197"/>
        <v>607.1503022722535</v>
      </c>
      <c r="BD995" s="168">
        <f t="shared" si="1198"/>
        <v>505.95858522687791</v>
      </c>
      <c r="BE995" s="168">
        <f t="shared" si="1199"/>
        <v>404.76686818150233</v>
      </c>
    </row>
    <row r="996" spans="1:57" s="129" customFormat="1" ht="15" hidden="1">
      <c r="A996" s="88" t="s">
        <v>1276</v>
      </c>
      <c r="B996" s="88" t="s">
        <v>1317</v>
      </c>
      <c r="C996" s="88" t="s">
        <v>1317</v>
      </c>
      <c r="D996" s="88" t="s">
        <v>1102</v>
      </c>
      <c r="E996" s="91" t="s">
        <v>2209</v>
      </c>
      <c r="F996" s="90" t="s">
        <v>2445</v>
      </c>
      <c r="G996" s="92" t="s">
        <v>2645</v>
      </c>
      <c r="H996" s="92"/>
      <c r="I996" s="233" t="s">
        <v>2470</v>
      </c>
      <c r="J996" s="132"/>
      <c r="K996" s="91" t="s">
        <v>2726</v>
      </c>
      <c r="L996" s="89" t="s">
        <v>2727</v>
      </c>
      <c r="M996" s="92"/>
      <c r="N996" s="91" t="s">
        <v>1223</v>
      </c>
      <c r="O996" s="131"/>
      <c r="P996" s="90" t="s">
        <v>2206</v>
      </c>
      <c r="Q996" s="131"/>
      <c r="R996" s="131"/>
      <c r="S996" s="92"/>
      <c r="T996" s="131">
        <v>9403208000</v>
      </c>
      <c r="U996" s="155">
        <v>0</v>
      </c>
      <c r="V996" s="131">
        <v>45</v>
      </c>
      <c r="W996" s="131">
        <v>45</v>
      </c>
      <c r="X996" s="131"/>
      <c r="Y996" s="131" t="s">
        <v>1706</v>
      </c>
      <c r="Z996" s="133">
        <f t="shared" si="1188"/>
        <v>384.86842105263156</v>
      </c>
      <c r="AA996" s="133"/>
      <c r="AB996" s="161">
        <f t="shared" si="1189"/>
        <v>325.72441109026471</v>
      </c>
      <c r="AC996" s="161"/>
      <c r="AD996" s="213">
        <f t="shared" si="1190"/>
        <v>0.05</v>
      </c>
      <c r="AE996" s="213">
        <v>0.05</v>
      </c>
      <c r="AF996" s="219">
        <v>0.18</v>
      </c>
      <c r="AG996" s="218" t="s">
        <v>9</v>
      </c>
      <c r="AH996" s="148">
        <f t="shared" si="1186"/>
        <v>325.72441109026471</v>
      </c>
      <c r="AI996" s="206">
        <f t="shared" si="1194"/>
        <v>0.17999999999999994</v>
      </c>
      <c r="AJ996" s="444"/>
      <c r="AK996" s="150">
        <f t="shared" si="1200"/>
        <v>307.89473684210526</v>
      </c>
      <c r="AL996" s="202">
        <f t="shared" si="1191"/>
        <v>281.15159694107064</v>
      </c>
      <c r="AM996" s="208">
        <f t="shared" si="1192"/>
        <v>0.19999999999999996</v>
      </c>
      <c r="AN996" s="208">
        <f t="shared" si="1193"/>
        <v>0.13684210526315777</v>
      </c>
      <c r="AP996" s="170" t="s">
        <v>1267</v>
      </c>
      <c r="AQ996" s="204"/>
      <c r="AR996" s="204"/>
      <c r="AS996" s="197"/>
      <c r="AT996" s="162"/>
      <c r="AU996" s="162"/>
      <c r="AV996" s="173"/>
      <c r="AW996" s="203">
        <f>VLOOKUP(I996,'[6]RACKS &amp; OPEN RACKS'!$B$6:$J$60,9,FALSE)</f>
        <v>250</v>
      </c>
      <c r="AX996" s="126">
        <f t="shared" si="1195"/>
        <v>267.09401709401709</v>
      </c>
      <c r="AY996" s="163"/>
      <c r="AZ996" s="19"/>
      <c r="BB996" s="168">
        <f t="shared" si="1196"/>
        <v>1085.7480369675491</v>
      </c>
      <c r="BC996" s="168">
        <f t="shared" si="1197"/>
        <v>651.44882218052942</v>
      </c>
      <c r="BD996" s="168">
        <f t="shared" si="1198"/>
        <v>542.87401848377453</v>
      </c>
      <c r="BE996" s="168">
        <f t="shared" si="1199"/>
        <v>434.29921478701965</v>
      </c>
    </row>
    <row r="997" spans="1:57" s="129" customFormat="1" ht="15" hidden="1">
      <c r="A997" s="88" t="s">
        <v>1276</v>
      </c>
      <c r="B997" s="88" t="s">
        <v>1317</v>
      </c>
      <c r="C997" s="88" t="s">
        <v>1317</v>
      </c>
      <c r="D997" s="88" t="s">
        <v>1102</v>
      </c>
      <c r="E997" s="91" t="s">
        <v>2209</v>
      </c>
      <c r="F997" s="90" t="s">
        <v>2445</v>
      </c>
      <c r="G997" s="92" t="s">
        <v>2646</v>
      </c>
      <c r="H997" s="92"/>
      <c r="I997" s="233" t="s">
        <v>2471</v>
      </c>
      <c r="J997" s="132"/>
      <c r="K997" s="91" t="s">
        <v>2728</v>
      </c>
      <c r="L997" s="89" t="s">
        <v>2729</v>
      </c>
      <c r="M997" s="92"/>
      <c r="N997" s="91" t="s">
        <v>1223</v>
      </c>
      <c r="O997" s="131"/>
      <c r="P997" s="90" t="s">
        <v>2206</v>
      </c>
      <c r="Q997" s="131"/>
      <c r="R997" s="131"/>
      <c r="S997" s="92"/>
      <c r="T997" s="131">
        <v>9403208000</v>
      </c>
      <c r="U997" s="155">
        <v>0</v>
      </c>
      <c r="V997" s="131">
        <v>45</v>
      </c>
      <c r="W997" s="131">
        <v>45</v>
      </c>
      <c r="X997" s="131"/>
      <c r="Y997" s="131" t="s">
        <v>1706</v>
      </c>
      <c r="Z997" s="133">
        <f t="shared" si="1188"/>
        <v>423.3552631578948</v>
      </c>
      <c r="AA997" s="133"/>
      <c r="AB997" s="161">
        <f t="shared" si="1189"/>
        <v>358.29685219929121</v>
      </c>
      <c r="AC997" s="161"/>
      <c r="AD997" s="213">
        <f t="shared" si="1190"/>
        <v>0.05</v>
      </c>
      <c r="AE997" s="213">
        <v>0.05</v>
      </c>
      <c r="AF997" s="219">
        <v>0.18</v>
      </c>
      <c r="AG997" s="218" t="s">
        <v>9</v>
      </c>
      <c r="AH997" s="148">
        <f t="shared" si="1186"/>
        <v>358.29685219929121</v>
      </c>
      <c r="AI997" s="206">
        <f t="shared" si="1194"/>
        <v>0.17999999999999994</v>
      </c>
      <c r="AJ997" s="444"/>
      <c r="AK997" s="150">
        <f t="shared" si="1200"/>
        <v>338.68421052631584</v>
      </c>
      <c r="AL997" s="202">
        <f t="shared" si="1191"/>
        <v>309.26675663517773</v>
      </c>
      <c r="AM997" s="208">
        <f t="shared" si="1192"/>
        <v>0.19999999999999996</v>
      </c>
      <c r="AN997" s="208">
        <f t="shared" si="1193"/>
        <v>0.13684210526315777</v>
      </c>
      <c r="AP997" s="170" t="s">
        <v>1267</v>
      </c>
      <c r="AQ997" s="204"/>
      <c r="AR997" s="204"/>
      <c r="AS997" s="197"/>
      <c r="AT997" s="162"/>
      <c r="AU997" s="162"/>
      <c r="AV997" s="173"/>
      <c r="AW997" s="203">
        <f>VLOOKUP(I997,'[6]RACKS &amp; OPEN RACKS'!$B$6:$J$60,9,FALSE)</f>
        <v>275</v>
      </c>
      <c r="AX997" s="126">
        <f t="shared" si="1195"/>
        <v>293.80341880341882</v>
      </c>
      <c r="AY997" s="163"/>
      <c r="AZ997" s="19"/>
      <c r="BB997" s="168">
        <f t="shared" si="1196"/>
        <v>1194.3228406643041</v>
      </c>
      <c r="BC997" s="168">
        <f t="shared" si="1197"/>
        <v>716.59370439858242</v>
      </c>
      <c r="BD997" s="168">
        <f t="shared" si="1198"/>
        <v>597.16142033215203</v>
      </c>
      <c r="BE997" s="168">
        <f t="shared" si="1199"/>
        <v>477.72913626572165</v>
      </c>
    </row>
    <row r="998" spans="1:57" s="129" customFormat="1" ht="15" hidden="1">
      <c r="A998" s="88" t="s">
        <v>1276</v>
      </c>
      <c r="B998" s="88" t="s">
        <v>1317</v>
      </c>
      <c r="C998" s="88" t="s">
        <v>1317</v>
      </c>
      <c r="D998" s="88" t="s">
        <v>1102</v>
      </c>
      <c r="E998" s="91" t="s">
        <v>2209</v>
      </c>
      <c r="F998" s="90" t="s">
        <v>2445</v>
      </c>
      <c r="G998" s="92" t="s">
        <v>2647</v>
      </c>
      <c r="H998" s="92"/>
      <c r="I998" s="233" t="s">
        <v>2472</v>
      </c>
      <c r="J998" s="132"/>
      <c r="K998" s="91" t="s">
        <v>2730</v>
      </c>
      <c r="L998" s="89" t="s">
        <v>2731</v>
      </c>
      <c r="M998" s="92"/>
      <c r="N998" s="91" t="s">
        <v>1223</v>
      </c>
      <c r="O998" s="131"/>
      <c r="P998" s="90" t="s">
        <v>2206</v>
      </c>
      <c r="Q998" s="131"/>
      <c r="R998" s="131"/>
      <c r="S998" s="92"/>
      <c r="T998" s="131">
        <v>9403208000</v>
      </c>
      <c r="U998" s="155">
        <v>0</v>
      </c>
      <c r="V998" s="131">
        <v>45</v>
      </c>
      <c r="W998" s="131">
        <v>45</v>
      </c>
      <c r="X998" s="131"/>
      <c r="Y998" s="131" t="s">
        <v>1706</v>
      </c>
      <c r="Z998" s="133">
        <f t="shared" si="1188"/>
        <v>454.14473684210526</v>
      </c>
      <c r="AA998" s="133"/>
      <c r="AB998" s="161">
        <f t="shared" si="1189"/>
        <v>384.35480508651239</v>
      </c>
      <c r="AC998" s="161"/>
      <c r="AD998" s="213">
        <f t="shared" si="1190"/>
        <v>0.05</v>
      </c>
      <c r="AE998" s="213">
        <v>0.05</v>
      </c>
      <c r="AF998" s="219">
        <v>0.18</v>
      </c>
      <c r="AG998" s="218" t="s">
        <v>9</v>
      </c>
      <c r="AH998" s="148">
        <f t="shared" si="1186"/>
        <v>384.35480508651239</v>
      </c>
      <c r="AI998" s="206">
        <f t="shared" si="1194"/>
        <v>0.17999999999999994</v>
      </c>
      <c r="AJ998" s="444"/>
      <c r="AK998" s="150">
        <f t="shared" si="1200"/>
        <v>363.31578947368422</v>
      </c>
      <c r="AL998" s="202">
        <f t="shared" si="1191"/>
        <v>331.75888439046338</v>
      </c>
      <c r="AM998" s="208">
        <f t="shared" si="1192"/>
        <v>0.19999999999999996</v>
      </c>
      <c r="AN998" s="208">
        <f t="shared" si="1193"/>
        <v>0.13684210526315777</v>
      </c>
      <c r="AP998" s="170" t="s">
        <v>1267</v>
      </c>
      <c r="AQ998" s="204"/>
      <c r="AR998" s="204"/>
      <c r="AS998" s="197"/>
      <c r="AT998" s="162"/>
      <c r="AU998" s="162"/>
      <c r="AV998" s="173"/>
      <c r="AW998" s="203">
        <f>VLOOKUP(I998,'[6]RACKS &amp; OPEN RACKS'!$B$6:$J$60,9,FALSE)</f>
        <v>295</v>
      </c>
      <c r="AX998" s="126">
        <f t="shared" si="1195"/>
        <v>315.17094017094018</v>
      </c>
      <c r="AY998" s="163"/>
      <c r="AZ998" s="19"/>
      <c r="BB998" s="168">
        <f t="shared" si="1196"/>
        <v>1281.1826836217081</v>
      </c>
      <c r="BC998" s="168">
        <f t="shared" si="1197"/>
        <v>768.70961017302477</v>
      </c>
      <c r="BD998" s="168">
        <f t="shared" si="1198"/>
        <v>640.59134181085403</v>
      </c>
      <c r="BE998" s="168">
        <f t="shared" si="1199"/>
        <v>512.47307344868329</v>
      </c>
    </row>
    <row r="999" spans="1:57" s="129" customFormat="1" ht="15" hidden="1">
      <c r="A999" s="88" t="s">
        <v>1276</v>
      </c>
      <c r="B999" s="88" t="s">
        <v>1317</v>
      </c>
      <c r="C999" s="88" t="s">
        <v>1317</v>
      </c>
      <c r="D999" s="88" t="s">
        <v>1102</v>
      </c>
      <c r="E999" s="91" t="s">
        <v>2209</v>
      </c>
      <c r="F999" s="90" t="s">
        <v>2445</v>
      </c>
      <c r="G999" s="92" t="s">
        <v>2636</v>
      </c>
      <c r="H999" s="92"/>
      <c r="I999" s="233" t="s">
        <v>2473</v>
      </c>
      <c r="J999" s="132"/>
      <c r="K999" s="91" t="s">
        <v>2732</v>
      </c>
      <c r="L999" s="89" t="s">
        <v>2733</v>
      </c>
      <c r="M999" s="92"/>
      <c r="N999" s="91" t="s">
        <v>1223</v>
      </c>
      <c r="O999" s="131"/>
      <c r="P999" s="90" t="s">
        <v>2206</v>
      </c>
      <c r="Q999" s="131"/>
      <c r="R999" s="131"/>
      <c r="S999" s="92"/>
      <c r="T999" s="131">
        <v>9403208000</v>
      </c>
      <c r="U999" s="155">
        <v>0</v>
      </c>
      <c r="V999" s="131">
        <v>45</v>
      </c>
      <c r="W999" s="131">
        <v>45</v>
      </c>
      <c r="X999" s="131"/>
      <c r="Y999" s="131" t="s">
        <v>1706</v>
      </c>
      <c r="Z999" s="133">
        <f t="shared" si="1188"/>
        <v>484.93421052631572</v>
      </c>
      <c r="AA999" s="133"/>
      <c r="AB999" s="161">
        <f t="shared" si="1189"/>
        <v>410.41275797373356</v>
      </c>
      <c r="AC999" s="161"/>
      <c r="AD999" s="213">
        <f t="shared" si="1190"/>
        <v>0.05</v>
      </c>
      <c r="AE999" s="213">
        <v>0.05</v>
      </c>
      <c r="AF999" s="219">
        <v>0.18</v>
      </c>
      <c r="AG999" s="218" t="s">
        <v>9</v>
      </c>
      <c r="AH999" s="148">
        <f t="shared" si="1186"/>
        <v>410.41275797373356</v>
      </c>
      <c r="AI999" s="206">
        <f t="shared" si="1194"/>
        <v>0.17999999999999994</v>
      </c>
      <c r="AJ999" s="444"/>
      <c r="AK999" s="150">
        <f t="shared" si="1200"/>
        <v>387.9473684210526</v>
      </c>
      <c r="AL999" s="202">
        <f t="shared" si="1191"/>
        <v>354.25101214574903</v>
      </c>
      <c r="AM999" s="208">
        <f t="shared" si="1192"/>
        <v>0.19999999999999996</v>
      </c>
      <c r="AN999" s="208">
        <f t="shared" si="1193"/>
        <v>0.13684210526315777</v>
      </c>
      <c r="AP999" s="170" t="s">
        <v>1267</v>
      </c>
      <c r="AQ999" s="204"/>
      <c r="AR999" s="204"/>
      <c r="AS999" s="197"/>
      <c r="AT999" s="162"/>
      <c r="AU999" s="162"/>
      <c r="AV999" s="173"/>
      <c r="AW999" s="203">
        <f>VLOOKUP(I999,'[6]RACKS &amp; OPEN RACKS'!$B$6:$J$60,9,FALSE)</f>
        <v>315</v>
      </c>
      <c r="AX999" s="126">
        <f t="shared" si="1195"/>
        <v>336.53846153846155</v>
      </c>
      <c r="AY999" s="163"/>
      <c r="AZ999" s="19"/>
      <c r="BB999" s="168">
        <f t="shared" si="1196"/>
        <v>1368.0425265791118</v>
      </c>
      <c r="BC999" s="168">
        <f t="shared" si="1197"/>
        <v>820.82551594746712</v>
      </c>
      <c r="BD999" s="168">
        <f t="shared" si="1198"/>
        <v>684.02126328955592</v>
      </c>
      <c r="BE999" s="168">
        <f t="shared" si="1199"/>
        <v>547.21701063164471</v>
      </c>
    </row>
    <row r="1000" spans="1:57" s="129" customFormat="1" ht="15" hidden="1">
      <c r="A1000" s="88" t="s">
        <v>1276</v>
      </c>
      <c r="B1000" s="88" t="s">
        <v>1317</v>
      </c>
      <c r="C1000" s="88" t="s">
        <v>1317</v>
      </c>
      <c r="D1000" s="88" t="s">
        <v>1102</v>
      </c>
      <c r="E1000" s="91" t="s">
        <v>2209</v>
      </c>
      <c r="F1000" s="90" t="s">
        <v>2445</v>
      </c>
      <c r="G1000" s="92" t="s">
        <v>2644</v>
      </c>
      <c r="H1000" s="92"/>
      <c r="I1000" s="233" t="s">
        <v>2474</v>
      </c>
      <c r="J1000" s="132"/>
      <c r="K1000" s="91" t="s">
        <v>2734</v>
      </c>
      <c r="L1000" s="89" t="s">
        <v>2735</v>
      </c>
      <c r="M1000" s="92"/>
      <c r="N1000" s="91" t="s">
        <v>1223</v>
      </c>
      <c r="O1000" s="131"/>
      <c r="P1000" s="90" t="s">
        <v>2206</v>
      </c>
      <c r="Q1000" s="131"/>
      <c r="R1000" s="131"/>
      <c r="S1000" s="92"/>
      <c r="T1000" s="131">
        <v>9403208000</v>
      </c>
      <c r="U1000" s="155">
        <v>0</v>
      </c>
      <c r="V1000" s="131">
        <v>45</v>
      </c>
      <c r="W1000" s="131">
        <v>45</v>
      </c>
      <c r="X1000" s="131"/>
      <c r="Y1000" s="131" t="s">
        <v>1706</v>
      </c>
      <c r="Z1000" s="133">
        <f t="shared" si="1188"/>
        <v>330.98684210526312</v>
      </c>
      <c r="AA1000" s="133"/>
      <c r="AB1000" s="161">
        <f t="shared" si="1189"/>
        <v>280.12299353762768</v>
      </c>
      <c r="AC1000" s="161"/>
      <c r="AD1000" s="213">
        <f t="shared" si="1190"/>
        <v>0.05</v>
      </c>
      <c r="AE1000" s="213">
        <v>0.05</v>
      </c>
      <c r="AF1000" s="219">
        <v>0.18</v>
      </c>
      <c r="AG1000" s="218" t="s">
        <v>9</v>
      </c>
      <c r="AH1000" s="148">
        <f t="shared" si="1186"/>
        <v>280.12299353762768</v>
      </c>
      <c r="AI1000" s="206">
        <f t="shared" si="1194"/>
        <v>0.17999999999999983</v>
      </c>
      <c r="AJ1000" s="444"/>
      <c r="AK1000" s="150">
        <f t="shared" si="1200"/>
        <v>264.78947368421052</v>
      </c>
      <c r="AL1000" s="202">
        <f t="shared" si="1191"/>
        <v>241.79037336932078</v>
      </c>
      <c r="AM1000" s="208">
        <f t="shared" si="1192"/>
        <v>0.19999999999999996</v>
      </c>
      <c r="AN1000" s="208">
        <f t="shared" si="1193"/>
        <v>0.13684210526315777</v>
      </c>
      <c r="AP1000" s="170" t="s">
        <v>1267</v>
      </c>
      <c r="AQ1000" s="204"/>
      <c r="AR1000" s="204"/>
      <c r="AS1000" s="197"/>
      <c r="AT1000" s="162"/>
      <c r="AU1000" s="162"/>
      <c r="AV1000" s="173"/>
      <c r="AW1000" s="203">
        <f>VLOOKUP(I1000,'[6]RACKS &amp; OPEN RACKS'!$B$6:$J$60,9,FALSE)</f>
        <v>215</v>
      </c>
      <c r="AX1000" s="126">
        <f t="shared" si="1195"/>
        <v>229.70085470085473</v>
      </c>
      <c r="AY1000" s="163"/>
      <c r="AZ1000" s="19"/>
      <c r="BB1000" s="168">
        <f t="shared" si="1196"/>
        <v>933.7433117920923</v>
      </c>
      <c r="BC1000" s="168">
        <f t="shared" si="1197"/>
        <v>560.24598707525536</v>
      </c>
      <c r="BD1000" s="168">
        <f t="shared" si="1198"/>
        <v>466.87165589604615</v>
      </c>
      <c r="BE1000" s="168">
        <f t="shared" si="1199"/>
        <v>373.49732471683694</v>
      </c>
    </row>
    <row r="1001" spans="1:57" s="129" customFormat="1" ht="15" hidden="1">
      <c r="A1001" s="88" t="s">
        <v>1276</v>
      </c>
      <c r="B1001" s="88" t="s">
        <v>1317</v>
      </c>
      <c r="C1001" s="88" t="s">
        <v>1317</v>
      </c>
      <c r="D1001" s="88" t="s">
        <v>1102</v>
      </c>
      <c r="E1001" s="91" t="s">
        <v>2209</v>
      </c>
      <c r="F1001" s="90" t="s">
        <v>2445</v>
      </c>
      <c r="G1001" s="92" t="s">
        <v>2642</v>
      </c>
      <c r="H1001" s="92"/>
      <c r="I1001" s="233" t="s">
        <v>2475</v>
      </c>
      <c r="J1001" s="132"/>
      <c r="K1001" s="91" t="s">
        <v>2736</v>
      </c>
      <c r="L1001" s="89" t="s">
        <v>2737</v>
      </c>
      <c r="M1001" s="92"/>
      <c r="N1001" s="91" t="s">
        <v>1223</v>
      </c>
      <c r="O1001" s="131"/>
      <c r="P1001" s="90" t="s">
        <v>2206</v>
      </c>
      <c r="Q1001" s="131"/>
      <c r="R1001" s="131"/>
      <c r="S1001" s="92"/>
      <c r="T1001" s="131">
        <v>9403208000</v>
      </c>
      <c r="U1001" s="155">
        <v>0</v>
      </c>
      <c r="V1001" s="131">
        <v>45</v>
      </c>
      <c r="W1001" s="131">
        <v>45</v>
      </c>
      <c r="X1001" s="131"/>
      <c r="Y1001" s="131" t="s">
        <v>1706</v>
      </c>
      <c r="Z1001" s="133">
        <f t="shared" si="1188"/>
        <v>346.38157894736838</v>
      </c>
      <c r="AA1001" s="133"/>
      <c r="AB1001" s="161">
        <f t="shared" si="1189"/>
        <v>293.15196998123827</v>
      </c>
      <c r="AC1001" s="161"/>
      <c r="AD1001" s="213">
        <f t="shared" si="1190"/>
        <v>0.05</v>
      </c>
      <c r="AE1001" s="213">
        <v>0.05</v>
      </c>
      <c r="AF1001" s="219">
        <v>0.18</v>
      </c>
      <c r="AG1001" s="218" t="s">
        <v>9</v>
      </c>
      <c r="AH1001" s="148">
        <f t="shared" si="1186"/>
        <v>293.15196998123827</v>
      </c>
      <c r="AI1001" s="206">
        <f t="shared" si="1194"/>
        <v>0.17999999999999983</v>
      </c>
      <c r="AJ1001" s="444"/>
      <c r="AK1001" s="150">
        <f t="shared" si="1200"/>
        <v>277.10526315789474</v>
      </c>
      <c r="AL1001" s="202">
        <f t="shared" si="1191"/>
        <v>253.0364372469636</v>
      </c>
      <c r="AM1001" s="208">
        <f t="shared" si="1192"/>
        <v>0.19999999999999996</v>
      </c>
      <c r="AN1001" s="208">
        <f t="shared" si="1193"/>
        <v>0.13684210526315777</v>
      </c>
      <c r="AP1001" s="170" t="s">
        <v>1267</v>
      </c>
      <c r="AQ1001" s="204"/>
      <c r="AR1001" s="204"/>
      <c r="AS1001" s="197"/>
      <c r="AT1001" s="162"/>
      <c r="AU1001" s="162"/>
      <c r="AV1001" s="173"/>
      <c r="AW1001" s="203">
        <f>VLOOKUP(I1001,'[6]RACKS &amp; OPEN RACKS'!$B$6:$J$60,9,FALSE)</f>
        <v>225</v>
      </c>
      <c r="AX1001" s="126">
        <f t="shared" si="1195"/>
        <v>240.38461538461542</v>
      </c>
      <c r="AY1001" s="163"/>
      <c r="AZ1001" s="19"/>
      <c r="BB1001" s="168">
        <f t="shared" si="1196"/>
        <v>977.1732332707943</v>
      </c>
      <c r="BC1001" s="168">
        <f t="shared" si="1197"/>
        <v>586.30393996247653</v>
      </c>
      <c r="BD1001" s="168">
        <f t="shared" si="1198"/>
        <v>488.58661663539715</v>
      </c>
      <c r="BE1001" s="168">
        <f t="shared" si="1199"/>
        <v>390.86929330831776</v>
      </c>
    </row>
    <row r="1002" spans="1:57" s="129" customFormat="1" ht="15" hidden="1">
      <c r="A1002" s="88" t="s">
        <v>1276</v>
      </c>
      <c r="B1002" s="88" t="s">
        <v>1317</v>
      </c>
      <c r="C1002" s="88" t="s">
        <v>1317</v>
      </c>
      <c r="D1002" s="88" t="s">
        <v>1102</v>
      </c>
      <c r="E1002" s="91" t="s">
        <v>2209</v>
      </c>
      <c r="F1002" s="90" t="s">
        <v>2445</v>
      </c>
      <c r="G1002" s="92" t="s">
        <v>2643</v>
      </c>
      <c r="H1002" s="92"/>
      <c r="I1002" s="233" t="s">
        <v>2476</v>
      </c>
      <c r="J1002" s="132"/>
      <c r="K1002" s="91" t="s">
        <v>2738</v>
      </c>
      <c r="L1002" s="89" t="s">
        <v>2739</v>
      </c>
      <c r="M1002" s="92"/>
      <c r="N1002" s="91" t="s">
        <v>1223</v>
      </c>
      <c r="O1002" s="131"/>
      <c r="P1002" s="90" t="s">
        <v>2206</v>
      </c>
      <c r="Q1002" s="131"/>
      <c r="R1002" s="131"/>
      <c r="S1002" s="92"/>
      <c r="T1002" s="131">
        <v>9403208000</v>
      </c>
      <c r="U1002" s="155">
        <v>0</v>
      </c>
      <c r="V1002" s="131">
        <v>45</v>
      </c>
      <c r="W1002" s="131">
        <v>45</v>
      </c>
      <c r="X1002" s="131"/>
      <c r="Y1002" s="131" t="s">
        <v>1706</v>
      </c>
      <c r="Z1002" s="133">
        <f t="shared" si="1188"/>
        <v>369.4736842105263</v>
      </c>
      <c r="AA1002" s="133"/>
      <c r="AB1002" s="161">
        <f t="shared" si="1189"/>
        <v>312.69543464665412</v>
      </c>
      <c r="AC1002" s="161"/>
      <c r="AD1002" s="213">
        <f t="shared" si="1190"/>
        <v>0.05</v>
      </c>
      <c r="AE1002" s="213">
        <v>0.05</v>
      </c>
      <c r="AF1002" s="219">
        <v>0.18</v>
      </c>
      <c r="AG1002" s="218" t="s">
        <v>9</v>
      </c>
      <c r="AH1002" s="148">
        <f t="shared" si="1186"/>
        <v>312.69543464665412</v>
      </c>
      <c r="AI1002" s="206">
        <f t="shared" si="1194"/>
        <v>0.17999999999999994</v>
      </c>
      <c r="AJ1002" s="444"/>
      <c r="AK1002" s="150">
        <f t="shared" si="1200"/>
        <v>295.57894736842104</v>
      </c>
      <c r="AL1002" s="202">
        <f t="shared" si="1191"/>
        <v>269.90553306342781</v>
      </c>
      <c r="AM1002" s="208">
        <f t="shared" si="1192"/>
        <v>0.19999999999999996</v>
      </c>
      <c r="AN1002" s="208">
        <f t="shared" si="1193"/>
        <v>0.13684210526315777</v>
      </c>
      <c r="AP1002" s="170" t="s">
        <v>1267</v>
      </c>
      <c r="AQ1002" s="204"/>
      <c r="AR1002" s="204"/>
      <c r="AS1002" s="197"/>
      <c r="AT1002" s="162"/>
      <c r="AU1002" s="162"/>
      <c r="AV1002" s="173"/>
      <c r="AW1002" s="203">
        <f>VLOOKUP(I1002,'[6]RACKS &amp; OPEN RACKS'!$B$6:$J$60,9,FALSE)</f>
        <v>240</v>
      </c>
      <c r="AX1002" s="126">
        <f t="shared" si="1195"/>
        <v>256.41025641025641</v>
      </c>
      <c r="AY1002" s="163"/>
      <c r="AZ1002" s="19"/>
      <c r="BB1002" s="168">
        <f t="shared" si="1196"/>
        <v>1042.3181154888471</v>
      </c>
      <c r="BC1002" s="168">
        <f t="shared" si="1197"/>
        <v>625.39086929330824</v>
      </c>
      <c r="BD1002" s="168">
        <f t="shared" si="1198"/>
        <v>521.15905774442354</v>
      </c>
      <c r="BE1002" s="168">
        <f t="shared" si="1199"/>
        <v>416.92724619553883</v>
      </c>
    </row>
    <row r="1003" spans="1:57" s="129" customFormat="1" ht="15" hidden="1">
      <c r="A1003" s="88" t="s">
        <v>1276</v>
      </c>
      <c r="B1003" s="88" t="s">
        <v>1317</v>
      </c>
      <c r="C1003" s="88" t="s">
        <v>1317</v>
      </c>
      <c r="D1003" s="88" t="s">
        <v>1102</v>
      </c>
      <c r="E1003" s="91" t="s">
        <v>2209</v>
      </c>
      <c r="F1003" s="90" t="s">
        <v>2445</v>
      </c>
      <c r="G1003" s="92" t="s">
        <v>2645</v>
      </c>
      <c r="H1003" s="92"/>
      <c r="I1003" s="233" t="s">
        <v>2477</v>
      </c>
      <c r="J1003" s="132"/>
      <c r="K1003" s="91" t="s">
        <v>2740</v>
      </c>
      <c r="L1003" s="89" t="s">
        <v>2741</v>
      </c>
      <c r="M1003" s="92"/>
      <c r="N1003" s="91" t="s">
        <v>1223</v>
      </c>
      <c r="O1003" s="131"/>
      <c r="P1003" s="90" t="s">
        <v>2206</v>
      </c>
      <c r="Q1003" s="131"/>
      <c r="R1003" s="131"/>
      <c r="S1003" s="92"/>
      <c r="T1003" s="131">
        <v>9403208000</v>
      </c>
      <c r="U1003" s="155">
        <v>0</v>
      </c>
      <c r="V1003" s="131">
        <v>45</v>
      </c>
      <c r="W1003" s="131">
        <v>45</v>
      </c>
      <c r="X1003" s="131"/>
      <c r="Y1003" s="131" t="s">
        <v>1706</v>
      </c>
      <c r="Z1003" s="133">
        <f t="shared" si="1188"/>
        <v>400.26315789473676</v>
      </c>
      <c r="AA1003" s="133"/>
      <c r="AB1003" s="161">
        <f t="shared" si="1189"/>
        <v>338.7533875338753</v>
      </c>
      <c r="AC1003" s="161"/>
      <c r="AD1003" s="213">
        <f t="shared" si="1190"/>
        <v>0.05</v>
      </c>
      <c r="AE1003" s="213">
        <v>0.05</v>
      </c>
      <c r="AF1003" s="219">
        <v>0.18</v>
      </c>
      <c r="AG1003" s="218" t="s">
        <v>9</v>
      </c>
      <c r="AH1003" s="148">
        <f t="shared" si="1186"/>
        <v>338.7533875338753</v>
      </c>
      <c r="AI1003" s="206">
        <f t="shared" si="1194"/>
        <v>0.17999999999999994</v>
      </c>
      <c r="AJ1003" s="444"/>
      <c r="AK1003" s="150">
        <f t="shared" si="1200"/>
        <v>320.21052631578942</v>
      </c>
      <c r="AL1003" s="202">
        <f t="shared" si="1191"/>
        <v>292.39766081871346</v>
      </c>
      <c r="AM1003" s="208">
        <f t="shared" si="1192"/>
        <v>0.19999999999999996</v>
      </c>
      <c r="AN1003" s="208">
        <f t="shared" si="1193"/>
        <v>0.13684210526315777</v>
      </c>
      <c r="AP1003" s="170" t="s">
        <v>1267</v>
      </c>
      <c r="AQ1003" s="204"/>
      <c r="AR1003" s="204"/>
      <c r="AS1003" s="197"/>
      <c r="AT1003" s="162"/>
      <c r="AU1003" s="162"/>
      <c r="AV1003" s="173"/>
      <c r="AW1003" s="203">
        <f>VLOOKUP(I1003,'[6]RACKS &amp; OPEN RACKS'!$B$6:$J$60,9,FALSE)</f>
        <v>260</v>
      </c>
      <c r="AX1003" s="126">
        <f t="shared" si="1195"/>
        <v>277.77777777777777</v>
      </c>
      <c r="AY1003" s="163"/>
      <c r="AZ1003" s="19"/>
      <c r="BB1003" s="168">
        <f t="shared" si="1196"/>
        <v>1129.1779584462511</v>
      </c>
      <c r="BC1003" s="168">
        <f t="shared" si="1197"/>
        <v>677.5067750677506</v>
      </c>
      <c r="BD1003" s="168">
        <f t="shared" si="1198"/>
        <v>564.58897922312553</v>
      </c>
      <c r="BE1003" s="168">
        <f t="shared" si="1199"/>
        <v>451.67118337850047</v>
      </c>
    </row>
    <row r="1004" spans="1:57" s="129" customFormat="1" ht="15" hidden="1">
      <c r="A1004" s="88" t="s">
        <v>1276</v>
      </c>
      <c r="B1004" s="88" t="s">
        <v>1317</v>
      </c>
      <c r="C1004" s="88" t="s">
        <v>1317</v>
      </c>
      <c r="D1004" s="88" t="s">
        <v>1102</v>
      </c>
      <c r="E1004" s="91" t="s">
        <v>2209</v>
      </c>
      <c r="F1004" s="90" t="s">
        <v>2445</v>
      </c>
      <c r="G1004" s="92" t="s">
        <v>2646</v>
      </c>
      <c r="H1004" s="92"/>
      <c r="I1004" s="233" t="s">
        <v>2478</v>
      </c>
      <c r="J1004" s="132"/>
      <c r="K1004" s="91" t="s">
        <v>2742</v>
      </c>
      <c r="L1004" s="89" t="s">
        <v>2743</v>
      </c>
      <c r="M1004" s="92"/>
      <c r="N1004" s="91" t="s">
        <v>1223</v>
      </c>
      <c r="O1004" s="131"/>
      <c r="P1004" s="90" t="s">
        <v>2206</v>
      </c>
      <c r="Q1004" s="131"/>
      <c r="R1004" s="131"/>
      <c r="S1004" s="92"/>
      <c r="T1004" s="131">
        <v>9403208000</v>
      </c>
      <c r="U1004" s="155">
        <v>0</v>
      </c>
      <c r="V1004" s="131">
        <v>45</v>
      </c>
      <c r="W1004" s="131">
        <v>45</v>
      </c>
      <c r="X1004" s="131"/>
      <c r="Y1004" s="131" t="s">
        <v>1706</v>
      </c>
      <c r="Z1004" s="133">
        <f t="shared" si="1188"/>
        <v>438.75</v>
      </c>
      <c r="AA1004" s="133"/>
      <c r="AB1004" s="161">
        <f t="shared" si="1189"/>
        <v>371.3258286429018</v>
      </c>
      <c r="AC1004" s="161"/>
      <c r="AD1004" s="213">
        <f t="shared" si="1190"/>
        <v>0.05</v>
      </c>
      <c r="AE1004" s="213">
        <v>0.05</v>
      </c>
      <c r="AF1004" s="219">
        <v>0.18</v>
      </c>
      <c r="AG1004" s="218" t="s">
        <v>9</v>
      </c>
      <c r="AH1004" s="148">
        <f t="shared" si="1186"/>
        <v>371.3258286429018</v>
      </c>
      <c r="AI1004" s="206">
        <f t="shared" si="1194"/>
        <v>0.17999999999999994</v>
      </c>
      <c r="AJ1004" s="444"/>
      <c r="AK1004" s="150">
        <f t="shared" si="1200"/>
        <v>351</v>
      </c>
      <c r="AL1004" s="202">
        <f t="shared" si="1191"/>
        <v>320.51282051282055</v>
      </c>
      <c r="AM1004" s="208">
        <f t="shared" si="1192"/>
        <v>0.19999999999999996</v>
      </c>
      <c r="AN1004" s="208">
        <f t="shared" si="1193"/>
        <v>0.13684210526315777</v>
      </c>
      <c r="AP1004" s="170" t="s">
        <v>1267</v>
      </c>
      <c r="AQ1004" s="204"/>
      <c r="AR1004" s="204"/>
      <c r="AS1004" s="197"/>
      <c r="AT1004" s="162"/>
      <c r="AU1004" s="162"/>
      <c r="AV1004" s="173"/>
      <c r="AW1004" s="203">
        <f>VLOOKUP(I1004,'[6]RACKS &amp; OPEN RACKS'!$B$6:$J$60,9,FALSE)</f>
        <v>285</v>
      </c>
      <c r="AX1004" s="126">
        <f t="shared" si="1195"/>
        <v>304.4871794871795</v>
      </c>
      <c r="AY1004" s="163"/>
      <c r="AZ1004" s="19"/>
      <c r="BB1004" s="168">
        <f t="shared" si="1196"/>
        <v>1237.7527621430061</v>
      </c>
      <c r="BC1004" s="168">
        <f t="shared" si="1197"/>
        <v>742.65165728580359</v>
      </c>
      <c r="BD1004" s="168">
        <f t="shared" si="1198"/>
        <v>618.87638107150303</v>
      </c>
      <c r="BE1004" s="168">
        <f t="shared" si="1199"/>
        <v>495.10110485720247</v>
      </c>
    </row>
    <row r="1005" spans="1:57" s="129" customFormat="1" ht="15" hidden="1">
      <c r="A1005" s="88" t="s">
        <v>1276</v>
      </c>
      <c r="B1005" s="88" t="s">
        <v>1317</v>
      </c>
      <c r="C1005" s="88" t="s">
        <v>1317</v>
      </c>
      <c r="D1005" s="88" t="s">
        <v>1102</v>
      </c>
      <c r="E1005" s="91" t="s">
        <v>2209</v>
      </c>
      <c r="F1005" s="90" t="s">
        <v>2445</v>
      </c>
      <c r="G1005" s="92" t="s">
        <v>2647</v>
      </c>
      <c r="H1005" s="92"/>
      <c r="I1005" s="233" t="s">
        <v>2479</v>
      </c>
      <c r="J1005" s="132"/>
      <c r="K1005" s="91" t="s">
        <v>2744</v>
      </c>
      <c r="L1005" s="89" t="s">
        <v>2745</v>
      </c>
      <c r="M1005" s="92"/>
      <c r="N1005" s="91" t="s">
        <v>1223</v>
      </c>
      <c r="O1005" s="131"/>
      <c r="P1005" s="90" t="s">
        <v>2206</v>
      </c>
      <c r="Q1005" s="131"/>
      <c r="R1005" s="131"/>
      <c r="S1005" s="92"/>
      <c r="T1005" s="131">
        <v>9403208000</v>
      </c>
      <c r="U1005" s="155">
        <v>0</v>
      </c>
      <c r="V1005" s="131">
        <v>45</v>
      </c>
      <c r="W1005" s="131">
        <v>45</v>
      </c>
      <c r="X1005" s="131"/>
      <c r="Y1005" s="131" t="s">
        <v>1706</v>
      </c>
      <c r="Z1005" s="133">
        <f t="shared" si="1188"/>
        <v>477.23684210526312</v>
      </c>
      <c r="AA1005" s="133"/>
      <c r="AB1005" s="161">
        <f t="shared" si="1189"/>
        <v>403.89826975192824</v>
      </c>
      <c r="AC1005" s="161"/>
      <c r="AD1005" s="213">
        <f t="shared" si="1190"/>
        <v>0.05</v>
      </c>
      <c r="AE1005" s="213">
        <v>0.05</v>
      </c>
      <c r="AF1005" s="219">
        <v>0.18</v>
      </c>
      <c r="AG1005" s="218" t="s">
        <v>9</v>
      </c>
      <c r="AH1005" s="148">
        <f t="shared" si="1186"/>
        <v>403.89826975192824</v>
      </c>
      <c r="AI1005" s="206">
        <f t="shared" si="1194"/>
        <v>0.17999999999999994</v>
      </c>
      <c r="AJ1005" s="444"/>
      <c r="AK1005" s="150">
        <f t="shared" si="1200"/>
        <v>381.78947368421052</v>
      </c>
      <c r="AL1005" s="202">
        <f t="shared" si="1191"/>
        <v>348.62798020692759</v>
      </c>
      <c r="AM1005" s="208">
        <f t="shared" si="1192"/>
        <v>0.19999999999999996</v>
      </c>
      <c r="AN1005" s="208">
        <f t="shared" si="1193"/>
        <v>0.13684210526315777</v>
      </c>
      <c r="AP1005" s="170" t="s">
        <v>1267</v>
      </c>
      <c r="AQ1005" s="204"/>
      <c r="AR1005" s="204"/>
      <c r="AS1005" s="197"/>
      <c r="AT1005" s="162"/>
      <c r="AU1005" s="162"/>
      <c r="AV1005" s="173"/>
      <c r="AW1005" s="203">
        <f>VLOOKUP(I1005,'[6]RACKS &amp; OPEN RACKS'!$B$6:$J$60,9,FALSE)</f>
        <v>310</v>
      </c>
      <c r="AX1005" s="126">
        <f t="shared" si="1195"/>
        <v>331.19658119658118</v>
      </c>
      <c r="AY1005" s="163"/>
      <c r="AZ1005" s="19"/>
      <c r="BB1005" s="168">
        <f t="shared" si="1196"/>
        <v>1346.3275658397608</v>
      </c>
      <c r="BC1005" s="168">
        <f t="shared" si="1197"/>
        <v>807.79653950385648</v>
      </c>
      <c r="BD1005" s="168">
        <f t="shared" si="1198"/>
        <v>673.16378291988042</v>
      </c>
      <c r="BE1005" s="168">
        <f t="shared" si="1199"/>
        <v>538.53102633590436</v>
      </c>
    </row>
    <row r="1006" spans="1:57" s="129" customFormat="1" ht="15" hidden="1">
      <c r="A1006" s="88" t="s">
        <v>1276</v>
      </c>
      <c r="B1006" s="88" t="s">
        <v>1317</v>
      </c>
      <c r="C1006" s="88" t="s">
        <v>1317</v>
      </c>
      <c r="D1006" s="88" t="s">
        <v>1102</v>
      </c>
      <c r="E1006" s="91" t="s">
        <v>2209</v>
      </c>
      <c r="F1006" s="90" t="s">
        <v>2445</v>
      </c>
      <c r="G1006" s="92" t="s">
        <v>2636</v>
      </c>
      <c r="H1006" s="92"/>
      <c r="I1006" s="233" t="s">
        <v>2480</v>
      </c>
      <c r="J1006" s="132"/>
      <c r="K1006" s="91" t="s">
        <v>2746</v>
      </c>
      <c r="L1006" s="89" t="s">
        <v>2747</v>
      </c>
      <c r="M1006" s="92"/>
      <c r="N1006" s="91" t="s">
        <v>1223</v>
      </c>
      <c r="O1006" s="131"/>
      <c r="P1006" s="90" t="s">
        <v>2206</v>
      </c>
      <c r="Q1006" s="131"/>
      <c r="R1006" s="131"/>
      <c r="S1006" s="92"/>
      <c r="T1006" s="131">
        <v>9403208000</v>
      </c>
      <c r="U1006" s="155">
        <v>0</v>
      </c>
      <c r="V1006" s="131">
        <v>45</v>
      </c>
      <c r="W1006" s="131">
        <v>45</v>
      </c>
      <c r="X1006" s="131"/>
      <c r="Y1006" s="131" t="s">
        <v>1706</v>
      </c>
      <c r="Z1006" s="133">
        <f t="shared" si="1188"/>
        <v>492.63157894736838</v>
      </c>
      <c r="AA1006" s="133"/>
      <c r="AB1006" s="161">
        <f t="shared" si="1189"/>
        <v>416.92724619553883</v>
      </c>
      <c r="AC1006" s="161"/>
      <c r="AD1006" s="213">
        <f t="shared" si="1190"/>
        <v>0.05</v>
      </c>
      <c r="AE1006" s="213">
        <v>0.05</v>
      </c>
      <c r="AF1006" s="219">
        <v>0.18</v>
      </c>
      <c r="AG1006" s="218" t="s">
        <v>9</v>
      </c>
      <c r="AH1006" s="148">
        <f t="shared" si="1186"/>
        <v>416.92724619553883</v>
      </c>
      <c r="AI1006" s="206">
        <f t="shared" si="1194"/>
        <v>0.17999999999999994</v>
      </c>
      <c r="AJ1006" s="444"/>
      <c r="AK1006" s="150">
        <f t="shared" si="1200"/>
        <v>394.10526315789474</v>
      </c>
      <c r="AL1006" s="202">
        <f t="shared" si="1191"/>
        <v>359.87404408457041</v>
      </c>
      <c r="AM1006" s="208">
        <f t="shared" si="1192"/>
        <v>0.19999999999999996</v>
      </c>
      <c r="AN1006" s="208">
        <f t="shared" si="1193"/>
        <v>0.13684210526315777</v>
      </c>
      <c r="AP1006" s="170" t="s">
        <v>1267</v>
      </c>
      <c r="AQ1006" s="204"/>
      <c r="AR1006" s="204"/>
      <c r="AS1006" s="197"/>
      <c r="AT1006" s="162"/>
      <c r="AU1006" s="162"/>
      <c r="AV1006" s="173"/>
      <c r="AW1006" s="203">
        <f>VLOOKUP(I1006,'[6]RACKS &amp; OPEN RACKS'!$B$6:$J$60,9,FALSE)</f>
        <v>320</v>
      </c>
      <c r="AX1006" s="126">
        <f t="shared" si="1195"/>
        <v>341.88034188034186</v>
      </c>
      <c r="AY1006" s="163"/>
      <c r="AZ1006" s="19"/>
      <c r="BB1006" s="168">
        <f t="shared" si="1196"/>
        <v>1389.7574873184628</v>
      </c>
      <c r="BC1006" s="168">
        <f t="shared" si="1197"/>
        <v>833.85449239107766</v>
      </c>
      <c r="BD1006" s="168">
        <f t="shared" si="1198"/>
        <v>694.87874365923142</v>
      </c>
      <c r="BE1006" s="168">
        <f t="shared" si="1199"/>
        <v>555.90299492738518</v>
      </c>
    </row>
    <row r="1007" spans="1:57" s="129" customFormat="1" ht="15" hidden="1">
      <c r="A1007" s="88" t="s">
        <v>1276</v>
      </c>
      <c r="B1007" s="88" t="s">
        <v>1318</v>
      </c>
      <c r="C1007" s="88" t="s">
        <v>1318</v>
      </c>
      <c r="D1007" s="88" t="s">
        <v>1102</v>
      </c>
      <c r="E1007" s="91" t="s">
        <v>2209</v>
      </c>
      <c r="F1007" s="90" t="s">
        <v>2207</v>
      </c>
      <c r="G1007" s="92" t="s">
        <v>2648</v>
      </c>
      <c r="H1007" s="92"/>
      <c r="I1007" s="233" t="s">
        <v>2481</v>
      </c>
      <c r="J1007" s="132"/>
      <c r="K1007" s="91" t="s">
        <v>2749</v>
      </c>
      <c r="L1007" s="89" t="s">
        <v>2748</v>
      </c>
      <c r="M1007" s="92"/>
      <c r="N1007" s="91" t="s">
        <v>1223</v>
      </c>
      <c r="O1007" s="131"/>
      <c r="P1007" s="90" t="s">
        <v>2206</v>
      </c>
      <c r="Q1007" s="131"/>
      <c r="R1007" s="131"/>
      <c r="S1007" s="92"/>
      <c r="T1007" s="131">
        <v>9403208000</v>
      </c>
      <c r="U1007" s="155">
        <v>0</v>
      </c>
      <c r="V1007" s="131">
        <v>45</v>
      </c>
      <c r="W1007" s="131">
        <v>45</v>
      </c>
      <c r="X1007" s="131"/>
      <c r="Y1007" s="131" t="s">
        <v>1706</v>
      </c>
      <c r="Z1007" s="133">
        <f t="shared" si="1188"/>
        <v>89.12742382271469</v>
      </c>
      <c r="AA1007" s="133"/>
      <c r="AB1007" s="161">
        <f t="shared" si="1189"/>
        <v>75.334209949594566</v>
      </c>
      <c r="AC1007" s="161"/>
      <c r="AD1007" s="213">
        <f t="shared" si="1190"/>
        <v>0.05</v>
      </c>
      <c r="AE1007" s="213">
        <v>0.05</v>
      </c>
      <c r="AF1007" s="219">
        <v>0.22</v>
      </c>
      <c r="AG1007" s="218" t="s">
        <v>9</v>
      </c>
      <c r="AH1007" s="148">
        <f t="shared" si="1186"/>
        <v>75.334209949594566</v>
      </c>
      <c r="AI1007" s="206">
        <f t="shared" si="1194"/>
        <v>0.21999999999999997</v>
      </c>
      <c r="AJ1007" s="444"/>
      <c r="AK1007" s="150">
        <f t="shared" si="1200"/>
        <v>67.736842105263165</v>
      </c>
      <c r="AL1007" s="202">
        <f t="shared" si="1191"/>
        <v>61.85335132703554</v>
      </c>
      <c r="AM1007" s="208">
        <f t="shared" si="1192"/>
        <v>0.24</v>
      </c>
      <c r="AN1007" s="208">
        <f t="shared" si="1193"/>
        <v>0.17894736842105263</v>
      </c>
      <c r="AP1007" s="170" t="s">
        <v>1267</v>
      </c>
      <c r="AQ1007" s="204"/>
      <c r="AR1007" s="204"/>
      <c r="AS1007" s="197"/>
      <c r="AT1007" s="162"/>
      <c r="AU1007" s="162"/>
      <c r="AV1007" s="173"/>
      <c r="AW1007" s="203">
        <f>VLOOKUP(I1007,'[6]RACKS &amp; OPEN RACKS'!$B$6:$J$60,9,FALSE)</f>
        <v>55</v>
      </c>
      <c r="AX1007" s="126">
        <f t="shared" ref="AX1007:AX1018" si="1201">AW1007/$F$6*1.25+AW1007*U1007</f>
        <v>58.760683760683762</v>
      </c>
      <c r="AY1007" s="163"/>
      <c r="AZ1007" s="19"/>
      <c r="BB1007" s="168">
        <f t="shared" si="1196"/>
        <v>251.11403316531522</v>
      </c>
      <c r="BC1007" s="168">
        <f t="shared" si="1197"/>
        <v>150.66841989918913</v>
      </c>
      <c r="BD1007" s="168">
        <f t="shared" si="1198"/>
        <v>125.55701658265761</v>
      </c>
      <c r="BE1007" s="168">
        <f t="shared" si="1199"/>
        <v>100.44561326612609</v>
      </c>
    </row>
    <row r="1008" spans="1:57" s="129" customFormat="1" ht="15" hidden="1">
      <c r="A1008" s="88" t="s">
        <v>1276</v>
      </c>
      <c r="B1008" s="88" t="s">
        <v>1318</v>
      </c>
      <c r="C1008" s="88" t="s">
        <v>1318</v>
      </c>
      <c r="D1008" s="88" t="s">
        <v>1102</v>
      </c>
      <c r="E1008" s="91" t="s">
        <v>2209</v>
      </c>
      <c r="F1008" s="90" t="s">
        <v>2207</v>
      </c>
      <c r="G1008" s="92" t="s">
        <v>2642</v>
      </c>
      <c r="H1008" s="92"/>
      <c r="I1008" s="233" t="s">
        <v>2482</v>
      </c>
      <c r="J1008" s="132"/>
      <c r="K1008" s="91" t="s">
        <v>2750</v>
      </c>
      <c r="L1008" s="89" t="s">
        <v>2755</v>
      </c>
      <c r="M1008" s="92"/>
      <c r="N1008" s="91" t="s">
        <v>1223</v>
      </c>
      <c r="O1008" s="131"/>
      <c r="P1008" s="90" t="s">
        <v>2206</v>
      </c>
      <c r="Q1008" s="131"/>
      <c r="R1008" s="131"/>
      <c r="S1008" s="92"/>
      <c r="T1008" s="131">
        <v>9403208000</v>
      </c>
      <c r="U1008" s="155">
        <v>0</v>
      </c>
      <c r="V1008" s="131">
        <v>45</v>
      </c>
      <c r="W1008" s="131">
        <v>45</v>
      </c>
      <c r="X1008" s="131"/>
      <c r="Y1008" s="131" t="s">
        <v>1706</v>
      </c>
      <c r="Z1008" s="133">
        <f t="shared" si="1188"/>
        <v>97.229916897506925</v>
      </c>
      <c r="AA1008" s="133"/>
      <c r="AB1008" s="161">
        <f t="shared" si="1189"/>
        <v>82.182774490466798</v>
      </c>
      <c r="AC1008" s="161"/>
      <c r="AD1008" s="213">
        <f t="shared" si="1190"/>
        <v>0.05</v>
      </c>
      <c r="AE1008" s="213">
        <v>0.05</v>
      </c>
      <c r="AF1008" s="219">
        <v>0.22</v>
      </c>
      <c r="AG1008" s="218" t="s">
        <v>9</v>
      </c>
      <c r="AH1008" s="148">
        <f t="shared" si="1186"/>
        <v>82.182774490466798</v>
      </c>
      <c r="AI1008" s="206">
        <f t="shared" si="1194"/>
        <v>0.21999999999999997</v>
      </c>
      <c r="AJ1008" s="444"/>
      <c r="AK1008" s="150">
        <f t="shared" si="1200"/>
        <v>73.89473684210526</v>
      </c>
      <c r="AL1008" s="202">
        <f t="shared" si="1191"/>
        <v>67.476383265856953</v>
      </c>
      <c r="AM1008" s="208">
        <f t="shared" si="1192"/>
        <v>0.24</v>
      </c>
      <c r="AN1008" s="208">
        <f t="shared" si="1193"/>
        <v>0.17894736842105263</v>
      </c>
      <c r="AP1008" s="170" t="s">
        <v>1267</v>
      </c>
      <c r="AQ1008" s="204"/>
      <c r="AR1008" s="204"/>
      <c r="AS1008" s="197"/>
      <c r="AT1008" s="162"/>
      <c r="AU1008" s="162"/>
      <c r="AV1008" s="173"/>
      <c r="AW1008" s="203">
        <f>VLOOKUP(I1008,'[6]RACKS &amp; OPEN RACKS'!$B$6:$J$60,9,FALSE)</f>
        <v>60</v>
      </c>
      <c r="AX1008" s="126">
        <f t="shared" si="1201"/>
        <v>64.102564102564102</v>
      </c>
      <c r="AY1008" s="163"/>
      <c r="AZ1008" s="19"/>
      <c r="BB1008" s="168">
        <f t="shared" si="1196"/>
        <v>273.94258163488934</v>
      </c>
      <c r="BC1008" s="168">
        <f t="shared" si="1197"/>
        <v>164.3655489809336</v>
      </c>
      <c r="BD1008" s="168">
        <f t="shared" si="1198"/>
        <v>136.97129081744467</v>
      </c>
      <c r="BE1008" s="168">
        <f t="shared" si="1199"/>
        <v>109.57703265395574</v>
      </c>
    </row>
    <row r="1009" spans="1:57" s="129" customFormat="1" ht="15" hidden="1">
      <c r="A1009" s="88" t="s">
        <v>1276</v>
      </c>
      <c r="B1009" s="88" t="s">
        <v>1318</v>
      </c>
      <c r="C1009" s="88" t="s">
        <v>1318</v>
      </c>
      <c r="D1009" s="88" t="s">
        <v>1102</v>
      </c>
      <c r="E1009" s="91" t="s">
        <v>2209</v>
      </c>
      <c r="F1009" s="90" t="s">
        <v>2207</v>
      </c>
      <c r="G1009" s="92" t="s">
        <v>2643</v>
      </c>
      <c r="H1009" s="92"/>
      <c r="I1009" s="233" t="s">
        <v>2483</v>
      </c>
      <c r="J1009" s="132"/>
      <c r="K1009" s="91" t="s">
        <v>2751</v>
      </c>
      <c r="L1009" s="89" t="s">
        <v>2756</v>
      </c>
      <c r="M1009" s="92"/>
      <c r="N1009" s="91" t="s">
        <v>1223</v>
      </c>
      <c r="O1009" s="131"/>
      <c r="P1009" s="90" t="s">
        <v>2206</v>
      </c>
      <c r="Q1009" s="131"/>
      <c r="R1009" s="131"/>
      <c r="S1009" s="92"/>
      <c r="T1009" s="131">
        <v>9403208000</v>
      </c>
      <c r="U1009" s="155">
        <v>0</v>
      </c>
      <c r="V1009" s="131">
        <v>45</v>
      </c>
      <c r="W1009" s="131">
        <v>45</v>
      </c>
      <c r="X1009" s="131"/>
      <c r="Y1009" s="131" t="s">
        <v>1706</v>
      </c>
      <c r="Z1009" s="133">
        <f t="shared" si="1188"/>
        <v>105.33240997229915</v>
      </c>
      <c r="AA1009" s="133"/>
      <c r="AB1009" s="161">
        <f t="shared" si="1189"/>
        <v>89.03133903133903</v>
      </c>
      <c r="AC1009" s="161"/>
      <c r="AD1009" s="213">
        <f t="shared" si="1190"/>
        <v>0.05</v>
      </c>
      <c r="AE1009" s="213">
        <v>0.05</v>
      </c>
      <c r="AF1009" s="219">
        <v>0.22</v>
      </c>
      <c r="AG1009" s="218" t="s">
        <v>9</v>
      </c>
      <c r="AH1009" s="148">
        <f t="shared" si="1186"/>
        <v>89.03133903133903</v>
      </c>
      <c r="AI1009" s="206">
        <f t="shared" si="1194"/>
        <v>0.21999999999999997</v>
      </c>
      <c r="AJ1009" s="444"/>
      <c r="AK1009" s="150">
        <f t="shared" si="1200"/>
        <v>80.052631578947356</v>
      </c>
      <c r="AL1009" s="202">
        <f t="shared" si="1191"/>
        <v>73.099415204678365</v>
      </c>
      <c r="AM1009" s="208">
        <f t="shared" si="1192"/>
        <v>0.24</v>
      </c>
      <c r="AN1009" s="208">
        <f t="shared" si="1193"/>
        <v>0.17894736842105263</v>
      </c>
      <c r="AP1009" s="170" t="s">
        <v>1267</v>
      </c>
      <c r="AQ1009" s="204"/>
      <c r="AR1009" s="204"/>
      <c r="AS1009" s="197"/>
      <c r="AT1009" s="162"/>
      <c r="AU1009" s="162"/>
      <c r="AV1009" s="173"/>
      <c r="AW1009" s="203">
        <f>VLOOKUP(I1009,'[6]RACKS &amp; OPEN RACKS'!$B$6:$J$60,9,FALSE)</f>
        <v>65</v>
      </c>
      <c r="AX1009" s="126">
        <f t="shared" si="1201"/>
        <v>69.444444444444443</v>
      </c>
      <c r="AY1009" s="163"/>
      <c r="AZ1009" s="19"/>
      <c r="BB1009" s="168">
        <f t="shared" si="1196"/>
        <v>296.77113010446345</v>
      </c>
      <c r="BC1009" s="168">
        <f t="shared" si="1197"/>
        <v>178.06267806267806</v>
      </c>
      <c r="BD1009" s="168">
        <f t="shared" si="1198"/>
        <v>148.38556505223173</v>
      </c>
      <c r="BE1009" s="168">
        <f t="shared" si="1199"/>
        <v>118.70845204178539</v>
      </c>
    </row>
    <row r="1010" spans="1:57" s="129" customFormat="1" ht="15" hidden="1">
      <c r="A1010" s="88" t="s">
        <v>1276</v>
      </c>
      <c r="B1010" s="88" t="s">
        <v>1318</v>
      </c>
      <c r="C1010" s="88" t="s">
        <v>1318</v>
      </c>
      <c r="D1010" s="88" t="s">
        <v>1102</v>
      </c>
      <c r="E1010" s="91" t="s">
        <v>2209</v>
      </c>
      <c r="F1010" s="90" t="s">
        <v>2207</v>
      </c>
      <c r="G1010" s="92" t="s">
        <v>2649</v>
      </c>
      <c r="H1010" s="92"/>
      <c r="I1010" s="233" t="s">
        <v>2484</v>
      </c>
      <c r="J1010" s="132"/>
      <c r="K1010" s="91" t="s">
        <v>2752</v>
      </c>
      <c r="L1010" s="89" t="s">
        <v>2757</v>
      </c>
      <c r="M1010" s="92"/>
      <c r="N1010" s="91" t="s">
        <v>1223</v>
      </c>
      <c r="O1010" s="131"/>
      <c r="P1010" s="90" t="s">
        <v>2206</v>
      </c>
      <c r="Q1010" s="131"/>
      <c r="R1010" s="131"/>
      <c r="S1010" s="92"/>
      <c r="T1010" s="131">
        <v>9403208000</v>
      </c>
      <c r="U1010" s="155">
        <v>0</v>
      </c>
      <c r="V1010" s="131">
        <v>45</v>
      </c>
      <c r="W1010" s="131">
        <v>45</v>
      </c>
      <c r="X1010" s="131"/>
      <c r="Y1010" s="131" t="s">
        <v>1706</v>
      </c>
      <c r="Z1010" s="133">
        <f t="shared" si="1188"/>
        <v>121.53739612188365</v>
      </c>
      <c r="AA1010" s="133"/>
      <c r="AB1010" s="161">
        <f t="shared" si="1189"/>
        <v>102.72846811308349</v>
      </c>
      <c r="AC1010" s="161"/>
      <c r="AD1010" s="213">
        <f t="shared" si="1190"/>
        <v>0.05</v>
      </c>
      <c r="AE1010" s="213">
        <v>0.05</v>
      </c>
      <c r="AF1010" s="219">
        <v>0.22</v>
      </c>
      <c r="AG1010" s="218" t="s">
        <v>9</v>
      </c>
      <c r="AH1010" s="148">
        <f t="shared" si="1186"/>
        <v>102.72846811308349</v>
      </c>
      <c r="AI1010" s="206">
        <f t="shared" si="1194"/>
        <v>0.21999999999999997</v>
      </c>
      <c r="AJ1010" s="444"/>
      <c r="AK1010" s="150">
        <f t="shared" si="1200"/>
        <v>92.368421052631575</v>
      </c>
      <c r="AL1010" s="202">
        <f t="shared" si="1191"/>
        <v>84.345479082321191</v>
      </c>
      <c r="AM1010" s="208">
        <f t="shared" si="1192"/>
        <v>0.24</v>
      </c>
      <c r="AN1010" s="208">
        <f t="shared" si="1193"/>
        <v>0.17894736842105252</v>
      </c>
      <c r="AP1010" s="170" t="s">
        <v>1267</v>
      </c>
      <c r="AQ1010" s="204"/>
      <c r="AR1010" s="204"/>
      <c r="AS1010" s="197"/>
      <c r="AT1010" s="162"/>
      <c r="AU1010" s="162"/>
      <c r="AV1010" s="173"/>
      <c r="AW1010" s="203">
        <f>VLOOKUP(I1010,'[6]RACKS &amp; OPEN RACKS'!$B$6:$J$60,9,FALSE)</f>
        <v>75</v>
      </c>
      <c r="AX1010" s="126">
        <f t="shared" si="1201"/>
        <v>80.128205128205124</v>
      </c>
      <c r="AY1010" s="163"/>
      <c r="AZ1010" s="19"/>
      <c r="BB1010" s="168">
        <f t="shared" si="1196"/>
        <v>342.42822704361168</v>
      </c>
      <c r="BC1010" s="168">
        <f t="shared" si="1197"/>
        <v>205.45693622616702</v>
      </c>
      <c r="BD1010" s="168">
        <f t="shared" si="1198"/>
        <v>171.21411352180584</v>
      </c>
      <c r="BE1010" s="168">
        <f t="shared" si="1199"/>
        <v>136.97129081744467</v>
      </c>
    </row>
    <row r="1011" spans="1:57" s="129" customFormat="1" ht="15" hidden="1">
      <c r="A1011" s="88" t="s">
        <v>1276</v>
      </c>
      <c r="B1011" s="88" t="s">
        <v>1318</v>
      </c>
      <c r="C1011" s="88" t="s">
        <v>1318</v>
      </c>
      <c r="D1011" s="88" t="s">
        <v>1102</v>
      </c>
      <c r="E1011" s="91" t="s">
        <v>2209</v>
      </c>
      <c r="F1011" s="90" t="s">
        <v>2207</v>
      </c>
      <c r="G1011" s="92" t="s">
        <v>2646</v>
      </c>
      <c r="H1011" s="92"/>
      <c r="I1011" s="233" t="s">
        <v>2485</v>
      </c>
      <c r="J1011" s="132"/>
      <c r="K1011" s="91" t="s">
        <v>2753</v>
      </c>
      <c r="L1011" s="89" t="s">
        <v>2758</v>
      </c>
      <c r="M1011" s="92"/>
      <c r="N1011" s="91" t="s">
        <v>1223</v>
      </c>
      <c r="O1011" s="131"/>
      <c r="P1011" s="90" t="s">
        <v>2206</v>
      </c>
      <c r="Q1011" s="131"/>
      <c r="R1011" s="131"/>
      <c r="S1011" s="92"/>
      <c r="T1011" s="131">
        <v>9403208000</v>
      </c>
      <c r="U1011" s="155">
        <v>0</v>
      </c>
      <c r="V1011" s="131">
        <v>45</v>
      </c>
      <c r="W1011" s="131">
        <v>45</v>
      </c>
      <c r="X1011" s="131"/>
      <c r="Y1011" s="131" t="s">
        <v>1706</v>
      </c>
      <c r="Z1011" s="133">
        <f t="shared" si="1188"/>
        <v>129.63988919667591</v>
      </c>
      <c r="AA1011" s="133"/>
      <c r="AB1011" s="161">
        <f t="shared" si="1189"/>
        <v>109.57703265395573</v>
      </c>
      <c r="AC1011" s="161"/>
      <c r="AD1011" s="213">
        <f t="shared" si="1190"/>
        <v>0.05</v>
      </c>
      <c r="AE1011" s="213">
        <v>0.05</v>
      </c>
      <c r="AF1011" s="219">
        <v>0.22</v>
      </c>
      <c r="AG1011" s="218" t="s">
        <v>9</v>
      </c>
      <c r="AH1011" s="148">
        <f t="shared" si="1186"/>
        <v>109.57703265395573</v>
      </c>
      <c r="AI1011" s="206">
        <f t="shared" si="1194"/>
        <v>0.21999999999999997</v>
      </c>
      <c r="AJ1011" s="444"/>
      <c r="AK1011" s="150">
        <f t="shared" si="1200"/>
        <v>98.526315789473685</v>
      </c>
      <c r="AL1011" s="202">
        <f t="shared" si="1191"/>
        <v>89.968511021142604</v>
      </c>
      <c r="AM1011" s="208">
        <f t="shared" si="1192"/>
        <v>0.2400000000000001</v>
      </c>
      <c r="AN1011" s="208">
        <f t="shared" si="1193"/>
        <v>0.17894736842105252</v>
      </c>
      <c r="AP1011" s="170" t="s">
        <v>1267</v>
      </c>
      <c r="AQ1011" s="204"/>
      <c r="AR1011" s="204"/>
      <c r="AS1011" s="197"/>
      <c r="AT1011" s="162"/>
      <c r="AU1011" s="162"/>
      <c r="AV1011" s="173"/>
      <c r="AW1011" s="203">
        <f>VLOOKUP(I1011,'[6]RACKS &amp; OPEN RACKS'!$B$6:$J$60,9,FALSE)</f>
        <v>80</v>
      </c>
      <c r="AX1011" s="126">
        <f t="shared" si="1201"/>
        <v>85.470085470085465</v>
      </c>
      <c r="AY1011" s="163"/>
      <c r="AZ1011" s="19"/>
      <c r="BB1011" s="168">
        <f t="shared" si="1196"/>
        <v>365.25677551318574</v>
      </c>
      <c r="BC1011" s="168">
        <f t="shared" si="1197"/>
        <v>219.15406530791145</v>
      </c>
      <c r="BD1011" s="168">
        <f t="shared" si="1198"/>
        <v>182.62838775659287</v>
      </c>
      <c r="BE1011" s="168">
        <f t="shared" si="1199"/>
        <v>146.10271020527429</v>
      </c>
    </row>
    <row r="1012" spans="1:57" s="129" customFormat="1" ht="15" hidden="1">
      <c r="A1012" s="88" t="s">
        <v>1276</v>
      </c>
      <c r="B1012" s="88" t="s">
        <v>1318</v>
      </c>
      <c r="C1012" s="88" t="s">
        <v>1318</v>
      </c>
      <c r="D1012" s="88" t="s">
        <v>1102</v>
      </c>
      <c r="E1012" s="91" t="s">
        <v>2209</v>
      </c>
      <c r="F1012" s="90" t="s">
        <v>2207</v>
      </c>
      <c r="G1012" s="92" t="s">
        <v>2636</v>
      </c>
      <c r="H1012" s="92"/>
      <c r="I1012" s="233" t="s">
        <v>2486</v>
      </c>
      <c r="J1012" s="132"/>
      <c r="K1012" s="91" t="s">
        <v>2754</v>
      </c>
      <c r="L1012" s="89" t="s">
        <v>2759</v>
      </c>
      <c r="M1012" s="92"/>
      <c r="N1012" s="91" t="s">
        <v>1223</v>
      </c>
      <c r="O1012" s="131"/>
      <c r="P1012" s="90" t="s">
        <v>2206</v>
      </c>
      <c r="Q1012" s="131"/>
      <c r="R1012" s="131"/>
      <c r="S1012" s="92"/>
      <c r="T1012" s="131">
        <v>9403208000</v>
      </c>
      <c r="U1012" s="155">
        <v>0</v>
      </c>
      <c r="V1012" s="131">
        <v>45</v>
      </c>
      <c r="W1012" s="131">
        <v>45</v>
      </c>
      <c r="X1012" s="131"/>
      <c r="Y1012" s="131" t="s">
        <v>1706</v>
      </c>
      <c r="Z1012" s="133">
        <f t="shared" si="1188"/>
        <v>145.84487534626038</v>
      </c>
      <c r="AA1012" s="133"/>
      <c r="AB1012" s="161">
        <f t="shared" si="1189"/>
        <v>123.2741617357002</v>
      </c>
      <c r="AC1012" s="161"/>
      <c r="AD1012" s="213">
        <f t="shared" si="1190"/>
        <v>0.05</v>
      </c>
      <c r="AE1012" s="213">
        <v>0.05</v>
      </c>
      <c r="AF1012" s="219">
        <v>0.22</v>
      </c>
      <c r="AG1012" s="218" t="s">
        <v>9</v>
      </c>
      <c r="AH1012" s="148">
        <f t="shared" si="1186"/>
        <v>123.2741617357002</v>
      </c>
      <c r="AI1012" s="206">
        <f t="shared" si="1194"/>
        <v>0.21999999999999997</v>
      </c>
      <c r="AJ1012" s="444"/>
      <c r="AK1012" s="150">
        <f t="shared" si="1200"/>
        <v>110.84210526315789</v>
      </c>
      <c r="AL1012" s="202">
        <f t="shared" si="1191"/>
        <v>101.21457489878544</v>
      </c>
      <c r="AM1012" s="208">
        <f t="shared" si="1192"/>
        <v>0.24</v>
      </c>
      <c r="AN1012" s="208">
        <f t="shared" si="1193"/>
        <v>0.17894736842105252</v>
      </c>
      <c r="AP1012" s="170" t="s">
        <v>1267</v>
      </c>
      <c r="AQ1012" s="204"/>
      <c r="AR1012" s="204"/>
      <c r="AS1012" s="197"/>
      <c r="AT1012" s="162"/>
      <c r="AU1012" s="162"/>
      <c r="AV1012" s="173"/>
      <c r="AW1012" s="203">
        <f>VLOOKUP(I1012,'[6]RACKS &amp; OPEN RACKS'!$B$6:$J$60,9,FALSE)</f>
        <v>90</v>
      </c>
      <c r="AX1012" s="126">
        <f t="shared" si="1201"/>
        <v>96.15384615384616</v>
      </c>
      <c r="AY1012" s="163"/>
      <c r="AZ1012" s="19"/>
      <c r="BB1012" s="168">
        <f t="shared" si="1196"/>
        <v>410.91387245233403</v>
      </c>
      <c r="BC1012" s="168">
        <f t="shared" si="1197"/>
        <v>246.54832347140041</v>
      </c>
      <c r="BD1012" s="168">
        <f t="shared" si="1198"/>
        <v>205.45693622616702</v>
      </c>
      <c r="BE1012" s="168">
        <f t="shared" si="1199"/>
        <v>164.36554898093362</v>
      </c>
    </row>
    <row r="1013" spans="1:57" s="129" customFormat="1" ht="15" hidden="1">
      <c r="A1013" s="88" t="s">
        <v>1276</v>
      </c>
      <c r="B1013" s="88" t="s">
        <v>1318</v>
      </c>
      <c r="C1013" s="88" t="s">
        <v>1318</v>
      </c>
      <c r="D1013" s="88" t="s">
        <v>1102</v>
      </c>
      <c r="E1013" s="91" t="s">
        <v>2209</v>
      </c>
      <c r="F1013" s="90" t="s">
        <v>2207</v>
      </c>
      <c r="G1013" s="92" t="s">
        <v>2648</v>
      </c>
      <c r="H1013" s="92"/>
      <c r="I1013" s="233" t="s">
        <v>2487</v>
      </c>
      <c r="J1013" s="132"/>
      <c r="K1013" s="91" t="s">
        <v>2760</v>
      </c>
      <c r="L1013" s="89" t="s">
        <v>2766</v>
      </c>
      <c r="M1013" s="92"/>
      <c r="N1013" s="91" t="s">
        <v>1223</v>
      </c>
      <c r="O1013" s="131"/>
      <c r="P1013" s="90" t="s">
        <v>2206</v>
      </c>
      <c r="Q1013" s="131"/>
      <c r="R1013" s="131"/>
      <c r="S1013" s="92"/>
      <c r="T1013" s="131">
        <v>9403208000</v>
      </c>
      <c r="U1013" s="155">
        <v>0</v>
      </c>
      <c r="V1013" s="131">
        <v>45</v>
      </c>
      <c r="W1013" s="131">
        <v>45</v>
      </c>
      <c r="X1013" s="131"/>
      <c r="Y1013" s="131" t="s">
        <v>1706</v>
      </c>
      <c r="Z1013" s="133">
        <f t="shared" si="1188"/>
        <v>97.229916897506925</v>
      </c>
      <c r="AA1013" s="133"/>
      <c r="AB1013" s="161">
        <f t="shared" si="1189"/>
        <v>82.182774490466798</v>
      </c>
      <c r="AC1013" s="161"/>
      <c r="AD1013" s="213">
        <f t="shared" si="1190"/>
        <v>0.05</v>
      </c>
      <c r="AE1013" s="213">
        <v>0.05</v>
      </c>
      <c r="AF1013" s="219">
        <v>0.22</v>
      </c>
      <c r="AG1013" s="218" t="s">
        <v>9</v>
      </c>
      <c r="AH1013" s="148">
        <f t="shared" si="1186"/>
        <v>82.182774490466798</v>
      </c>
      <c r="AI1013" s="206">
        <f t="shared" si="1194"/>
        <v>0.21999999999999997</v>
      </c>
      <c r="AJ1013" s="444"/>
      <c r="AK1013" s="150">
        <f t="shared" si="1200"/>
        <v>73.89473684210526</v>
      </c>
      <c r="AL1013" s="202">
        <f t="shared" si="1191"/>
        <v>67.476383265856953</v>
      </c>
      <c r="AM1013" s="208">
        <f t="shared" si="1192"/>
        <v>0.24</v>
      </c>
      <c r="AN1013" s="208">
        <f t="shared" si="1193"/>
        <v>0.17894736842105263</v>
      </c>
      <c r="AP1013" s="170" t="s">
        <v>1267</v>
      </c>
      <c r="AQ1013" s="204"/>
      <c r="AR1013" s="204"/>
      <c r="AS1013" s="197"/>
      <c r="AT1013" s="162"/>
      <c r="AU1013" s="162"/>
      <c r="AV1013" s="173"/>
      <c r="AW1013" s="203">
        <f>VLOOKUP(I1013,'[6]RACKS &amp; OPEN RACKS'!$B$6:$J$60,9,FALSE)</f>
        <v>60</v>
      </c>
      <c r="AX1013" s="126">
        <f t="shared" si="1201"/>
        <v>64.102564102564102</v>
      </c>
      <c r="AY1013" s="163"/>
      <c r="AZ1013" s="19"/>
      <c r="BB1013" s="168">
        <f t="shared" si="1196"/>
        <v>273.94258163488934</v>
      </c>
      <c r="BC1013" s="168">
        <f t="shared" si="1197"/>
        <v>164.3655489809336</v>
      </c>
      <c r="BD1013" s="168">
        <f t="shared" si="1198"/>
        <v>136.97129081744467</v>
      </c>
      <c r="BE1013" s="168">
        <f t="shared" si="1199"/>
        <v>109.57703265395574</v>
      </c>
    </row>
    <row r="1014" spans="1:57" s="129" customFormat="1" ht="15" hidden="1">
      <c r="A1014" s="88" t="s">
        <v>1276</v>
      </c>
      <c r="B1014" s="88" t="s">
        <v>1318</v>
      </c>
      <c r="C1014" s="88" t="s">
        <v>1318</v>
      </c>
      <c r="D1014" s="88" t="s">
        <v>1102</v>
      </c>
      <c r="E1014" s="91" t="s">
        <v>2209</v>
      </c>
      <c r="F1014" s="90" t="s">
        <v>2207</v>
      </c>
      <c r="G1014" s="92" t="s">
        <v>2642</v>
      </c>
      <c r="H1014" s="92"/>
      <c r="I1014" s="233" t="s">
        <v>2488</v>
      </c>
      <c r="J1014" s="132" t="s">
        <v>3693</v>
      </c>
      <c r="K1014" s="91" t="s">
        <v>2761</v>
      </c>
      <c r="L1014" s="89" t="s">
        <v>2767</v>
      </c>
      <c r="M1014" s="92"/>
      <c r="N1014" s="91" t="s">
        <v>1223</v>
      </c>
      <c r="O1014" s="131"/>
      <c r="P1014" s="90" t="s">
        <v>2206</v>
      </c>
      <c r="Q1014" s="131"/>
      <c r="R1014" s="131"/>
      <c r="S1014" s="92"/>
      <c r="T1014" s="131">
        <v>9403208000</v>
      </c>
      <c r="U1014" s="155">
        <v>0</v>
      </c>
      <c r="V1014" s="131">
        <v>45</v>
      </c>
      <c r="W1014" s="131">
        <v>45</v>
      </c>
      <c r="X1014" s="131"/>
      <c r="Y1014" s="131" t="s">
        <v>1706</v>
      </c>
      <c r="Z1014" s="133">
        <f t="shared" si="1188"/>
        <v>105.33240997229915</v>
      </c>
      <c r="AA1014" s="133"/>
      <c r="AB1014" s="161">
        <f t="shared" si="1189"/>
        <v>89.03133903133903</v>
      </c>
      <c r="AC1014" s="161"/>
      <c r="AD1014" s="213">
        <f t="shared" si="1190"/>
        <v>0.05</v>
      </c>
      <c r="AE1014" s="213">
        <v>0.05</v>
      </c>
      <c r="AF1014" s="219">
        <v>0.22</v>
      </c>
      <c r="AG1014" s="218" t="s">
        <v>9</v>
      </c>
      <c r="AH1014" s="148">
        <f t="shared" si="1186"/>
        <v>89.03133903133903</v>
      </c>
      <c r="AI1014" s="206">
        <f t="shared" si="1194"/>
        <v>0.21999999999999997</v>
      </c>
      <c r="AJ1014" s="444"/>
      <c r="AK1014" s="150">
        <f t="shared" si="1200"/>
        <v>80.052631578947356</v>
      </c>
      <c r="AL1014" s="202">
        <f t="shared" si="1191"/>
        <v>73.099415204678365</v>
      </c>
      <c r="AM1014" s="208">
        <f t="shared" si="1192"/>
        <v>0.24</v>
      </c>
      <c r="AN1014" s="208">
        <f t="shared" si="1193"/>
        <v>0.17894736842105263</v>
      </c>
      <c r="AP1014" s="170" t="s">
        <v>1267</v>
      </c>
      <c r="AQ1014" s="204"/>
      <c r="AR1014" s="204"/>
      <c r="AS1014" s="197"/>
      <c r="AT1014" s="162"/>
      <c r="AU1014" s="162"/>
      <c r="AV1014" s="173"/>
      <c r="AW1014" s="203">
        <f>VLOOKUP(I1014,'[6]RACKS &amp; OPEN RACKS'!$B$6:$J$60,9,FALSE)</f>
        <v>65</v>
      </c>
      <c r="AX1014" s="126">
        <f t="shared" si="1201"/>
        <v>69.444444444444443</v>
      </c>
      <c r="AY1014" s="163"/>
      <c r="AZ1014" s="19"/>
      <c r="BB1014" s="168">
        <f t="shared" si="1196"/>
        <v>296.77113010446345</v>
      </c>
      <c r="BC1014" s="168">
        <f t="shared" si="1197"/>
        <v>178.06267806267806</v>
      </c>
      <c r="BD1014" s="168">
        <f t="shared" si="1198"/>
        <v>148.38556505223173</v>
      </c>
      <c r="BE1014" s="168">
        <f t="shared" si="1199"/>
        <v>118.70845204178539</v>
      </c>
    </row>
    <row r="1015" spans="1:57" s="129" customFormat="1" ht="15" hidden="1">
      <c r="A1015" s="88" t="s">
        <v>1276</v>
      </c>
      <c r="B1015" s="88" t="s">
        <v>1318</v>
      </c>
      <c r="C1015" s="88" t="s">
        <v>1318</v>
      </c>
      <c r="D1015" s="88" t="s">
        <v>1102</v>
      </c>
      <c r="E1015" s="91" t="s">
        <v>2209</v>
      </c>
      <c r="F1015" s="90" t="s">
        <v>2207</v>
      </c>
      <c r="G1015" s="92" t="s">
        <v>2643</v>
      </c>
      <c r="H1015" s="92"/>
      <c r="I1015" s="233" t="s">
        <v>2489</v>
      </c>
      <c r="J1015" s="132"/>
      <c r="K1015" s="91" t="s">
        <v>2762</v>
      </c>
      <c r="L1015" s="89" t="s">
        <v>2768</v>
      </c>
      <c r="M1015" s="92"/>
      <c r="N1015" s="91" t="s">
        <v>1223</v>
      </c>
      <c r="O1015" s="131"/>
      <c r="P1015" s="90" t="s">
        <v>2206</v>
      </c>
      <c r="Q1015" s="131"/>
      <c r="R1015" s="131"/>
      <c r="S1015" s="92"/>
      <c r="T1015" s="131">
        <v>9403208000</v>
      </c>
      <c r="U1015" s="155">
        <v>0</v>
      </c>
      <c r="V1015" s="131">
        <v>45</v>
      </c>
      <c r="W1015" s="131">
        <v>45</v>
      </c>
      <c r="X1015" s="131"/>
      <c r="Y1015" s="131" t="s">
        <v>1706</v>
      </c>
      <c r="Z1015" s="133">
        <f t="shared" si="1188"/>
        <v>116.67590027700831</v>
      </c>
      <c r="AA1015" s="133"/>
      <c r="AB1015" s="161">
        <f t="shared" si="1189"/>
        <v>98.619329388560146</v>
      </c>
      <c r="AC1015" s="161"/>
      <c r="AD1015" s="213">
        <f t="shared" si="1190"/>
        <v>0.05</v>
      </c>
      <c r="AE1015" s="213">
        <v>0.05</v>
      </c>
      <c r="AF1015" s="219">
        <v>0.22</v>
      </c>
      <c r="AG1015" s="218" t="s">
        <v>9</v>
      </c>
      <c r="AH1015" s="148">
        <f t="shared" si="1186"/>
        <v>98.619329388560146</v>
      </c>
      <c r="AI1015" s="206">
        <f t="shared" si="1194"/>
        <v>0.21999999999999997</v>
      </c>
      <c r="AJ1015" s="444"/>
      <c r="AK1015" s="150">
        <f t="shared" si="1200"/>
        <v>88.673684210526318</v>
      </c>
      <c r="AL1015" s="202">
        <f t="shared" si="1191"/>
        <v>80.97165991902834</v>
      </c>
      <c r="AM1015" s="208">
        <f t="shared" si="1192"/>
        <v>0.24</v>
      </c>
      <c r="AN1015" s="208">
        <f t="shared" si="1193"/>
        <v>0.17894736842105252</v>
      </c>
      <c r="AP1015" s="170" t="s">
        <v>1267</v>
      </c>
      <c r="AQ1015" s="204"/>
      <c r="AR1015" s="204"/>
      <c r="AS1015" s="197"/>
      <c r="AT1015" s="162"/>
      <c r="AU1015" s="162"/>
      <c r="AV1015" s="173"/>
      <c r="AW1015" s="203">
        <f>VLOOKUP(I1015,'[6]RACKS &amp; OPEN RACKS'!$B$6:$J$60,9,FALSE)</f>
        <v>72</v>
      </c>
      <c r="AX1015" s="126">
        <f t="shared" si="1201"/>
        <v>76.92307692307692</v>
      </c>
      <c r="AY1015" s="163"/>
      <c r="AZ1015" s="19"/>
      <c r="BB1015" s="168">
        <f t="shared" si="1196"/>
        <v>328.73109796186719</v>
      </c>
      <c r="BC1015" s="168">
        <f t="shared" si="1197"/>
        <v>197.23865877712032</v>
      </c>
      <c r="BD1015" s="168">
        <f t="shared" si="1198"/>
        <v>164.3655489809336</v>
      </c>
      <c r="BE1015" s="168">
        <f t="shared" si="1199"/>
        <v>131.49243918474687</v>
      </c>
    </row>
    <row r="1016" spans="1:57" s="129" customFormat="1" ht="15" hidden="1">
      <c r="A1016" s="88" t="s">
        <v>1276</v>
      </c>
      <c r="B1016" s="88" t="s">
        <v>1318</v>
      </c>
      <c r="C1016" s="88" t="s">
        <v>1318</v>
      </c>
      <c r="D1016" s="88" t="s">
        <v>1102</v>
      </c>
      <c r="E1016" s="91" t="s">
        <v>2209</v>
      </c>
      <c r="F1016" s="90" t="s">
        <v>2207</v>
      </c>
      <c r="G1016" s="92" t="s">
        <v>2649</v>
      </c>
      <c r="H1016" s="92"/>
      <c r="I1016" s="233" t="s">
        <v>2490</v>
      </c>
      <c r="J1016" s="132"/>
      <c r="K1016" s="91" t="s">
        <v>2763</v>
      </c>
      <c r="L1016" s="89" t="s">
        <v>2769</v>
      </c>
      <c r="M1016" s="92"/>
      <c r="N1016" s="91" t="s">
        <v>1223</v>
      </c>
      <c r="O1016" s="131"/>
      <c r="P1016" s="90" t="s">
        <v>2206</v>
      </c>
      <c r="Q1016" s="131"/>
      <c r="R1016" s="131"/>
      <c r="S1016" s="92"/>
      <c r="T1016" s="131">
        <v>9403208000</v>
      </c>
      <c r="U1016" s="155">
        <v>0</v>
      </c>
      <c r="V1016" s="131">
        <v>45</v>
      </c>
      <c r="W1016" s="131">
        <v>45</v>
      </c>
      <c r="X1016" s="131"/>
      <c r="Y1016" s="131" t="s">
        <v>1706</v>
      </c>
      <c r="Z1016" s="133">
        <f t="shared" si="1188"/>
        <v>129.63988919667591</v>
      </c>
      <c r="AA1016" s="133"/>
      <c r="AB1016" s="161">
        <f t="shared" si="1189"/>
        <v>109.57703265395573</v>
      </c>
      <c r="AC1016" s="161"/>
      <c r="AD1016" s="213">
        <f t="shared" si="1190"/>
        <v>0.05</v>
      </c>
      <c r="AE1016" s="213">
        <v>0.05</v>
      </c>
      <c r="AF1016" s="219">
        <v>0.22</v>
      </c>
      <c r="AG1016" s="218" t="s">
        <v>9</v>
      </c>
      <c r="AH1016" s="148">
        <f t="shared" si="1186"/>
        <v>109.57703265395573</v>
      </c>
      <c r="AI1016" s="206">
        <f t="shared" si="1194"/>
        <v>0.21999999999999997</v>
      </c>
      <c r="AJ1016" s="444"/>
      <c r="AK1016" s="150">
        <f t="shared" si="1200"/>
        <v>98.526315789473685</v>
      </c>
      <c r="AL1016" s="202">
        <f t="shared" si="1191"/>
        <v>89.968511021142604</v>
      </c>
      <c r="AM1016" s="208">
        <f t="shared" si="1192"/>
        <v>0.2400000000000001</v>
      </c>
      <c r="AN1016" s="208">
        <f t="shared" si="1193"/>
        <v>0.17894736842105252</v>
      </c>
      <c r="AP1016" s="170" t="s">
        <v>1267</v>
      </c>
      <c r="AQ1016" s="204"/>
      <c r="AR1016" s="204"/>
      <c r="AS1016" s="197"/>
      <c r="AT1016" s="162"/>
      <c r="AU1016" s="162"/>
      <c r="AV1016" s="173"/>
      <c r="AW1016" s="203">
        <f>VLOOKUP(I1016,'[6]RACKS &amp; OPEN RACKS'!$B$6:$J$60,9,FALSE)</f>
        <v>80</v>
      </c>
      <c r="AX1016" s="126">
        <f t="shared" si="1201"/>
        <v>85.470085470085465</v>
      </c>
      <c r="AY1016" s="163"/>
      <c r="AZ1016" s="19"/>
      <c r="BB1016" s="168">
        <f t="shared" si="1196"/>
        <v>365.25677551318574</v>
      </c>
      <c r="BC1016" s="168">
        <f t="shared" si="1197"/>
        <v>219.15406530791145</v>
      </c>
      <c r="BD1016" s="168">
        <f t="shared" si="1198"/>
        <v>182.62838775659287</v>
      </c>
      <c r="BE1016" s="168">
        <f t="shared" si="1199"/>
        <v>146.10271020527429</v>
      </c>
    </row>
    <row r="1017" spans="1:57" s="129" customFormat="1" ht="15" hidden="1">
      <c r="A1017" s="88" t="s">
        <v>1276</v>
      </c>
      <c r="B1017" s="88" t="s">
        <v>1318</v>
      </c>
      <c r="C1017" s="88" t="s">
        <v>1318</v>
      </c>
      <c r="D1017" s="88" t="s">
        <v>1102</v>
      </c>
      <c r="E1017" s="91" t="s">
        <v>2209</v>
      </c>
      <c r="F1017" s="90" t="s">
        <v>2207</v>
      </c>
      <c r="G1017" s="92" t="s">
        <v>2646</v>
      </c>
      <c r="H1017" s="92"/>
      <c r="I1017" s="233" t="s">
        <v>2491</v>
      </c>
      <c r="J1017" s="132"/>
      <c r="K1017" s="91" t="s">
        <v>2764</v>
      </c>
      <c r="L1017" s="89" t="s">
        <v>2770</v>
      </c>
      <c r="M1017" s="92"/>
      <c r="N1017" s="91" t="s">
        <v>1223</v>
      </c>
      <c r="O1017" s="131"/>
      <c r="P1017" s="90" t="s">
        <v>2206</v>
      </c>
      <c r="Q1017" s="131"/>
      <c r="R1017" s="131"/>
      <c r="S1017" s="92"/>
      <c r="T1017" s="131">
        <v>9403208000</v>
      </c>
      <c r="U1017" s="155">
        <v>0</v>
      </c>
      <c r="V1017" s="131">
        <v>45</v>
      </c>
      <c r="W1017" s="131">
        <v>45</v>
      </c>
      <c r="X1017" s="131"/>
      <c r="Y1017" s="131" t="s">
        <v>1706</v>
      </c>
      <c r="Z1017" s="133">
        <f t="shared" si="1188"/>
        <v>145.84487534626038</v>
      </c>
      <c r="AA1017" s="133"/>
      <c r="AB1017" s="161">
        <f t="shared" si="1189"/>
        <v>123.2741617357002</v>
      </c>
      <c r="AC1017" s="161"/>
      <c r="AD1017" s="213">
        <f t="shared" si="1190"/>
        <v>0.05</v>
      </c>
      <c r="AE1017" s="213">
        <v>0.05</v>
      </c>
      <c r="AF1017" s="219">
        <v>0.22</v>
      </c>
      <c r="AG1017" s="218" t="s">
        <v>9</v>
      </c>
      <c r="AH1017" s="148">
        <f t="shared" si="1186"/>
        <v>123.2741617357002</v>
      </c>
      <c r="AI1017" s="206">
        <f t="shared" si="1194"/>
        <v>0.21999999999999997</v>
      </c>
      <c r="AJ1017" s="444"/>
      <c r="AK1017" s="150">
        <f t="shared" si="1200"/>
        <v>110.84210526315789</v>
      </c>
      <c r="AL1017" s="202">
        <f t="shared" si="1191"/>
        <v>101.21457489878544</v>
      </c>
      <c r="AM1017" s="208">
        <f t="shared" si="1192"/>
        <v>0.24</v>
      </c>
      <c r="AN1017" s="208">
        <f t="shared" si="1193"/>
        <v>0.17894736842105252</v>
      </c>
      <c r="AP1017" s="170" t="s">
        <v>1267</v>
      </c>
      <c r="AQ1017" s="204"/>
      <c r="AR1017" s="204"/>
      <c r="AS1017" s="197"/>
      <c r="AT1017" s="162"/>
      <c r="AU1017" s="162"/>
      <c r="AV1017" s="173"/>
      <c r="AW1017" s="203">
        <f>VLOOKUP(I1017,'[6]RACKS &amp; OPEN RACKS'!$B$6:$J$60,9,FALSE)</f>
        <v>90</v>
      </c>
      <c r="AX1017" s="126">
        <f t="shared" si="1201"/>
        <v>96.15384615384616</v>
      </c>
      <c r="AY1017" s="163"/>
      <c r="AZ1017" s="19"/>
      <c r="BB1017" s="168">
        <f t="shared" si="1196"/>
        <v>410.91387245233403</v>
      </c>
      <c r="BC1017" s="168">
        <f t="shared" si="1197"/>
        <v>246.54832347140041</v>
      </c>
      <c r="BD1017" s="168">
        <f t="shared" si="1198"/>
        <v>205.45693622616702</v>
      </c>
      <c r="BE1017" s="168">
        <f t="shared" si="1199"/>
        <v>164.36554898093362</v>
      </c>
    </row>
    <row r="1018" spans="1:57" s="129" customFormat="1" ht="15" hidden="1">
      <c r="A1018" s="88" t="s">
        <v>1276</v>
      </c>
      <c r="B1018" s="88" t="s">
        <v>1318</v>
      </c>
      <c r="C1018" s="88" t="s">
        <v>1318</v>
      </c>
      <c r="D1018" s="88" t="s">
        <v>1102</v>
      </c>
      <c r="E1018" s="91" t="s">
        <v>2209</v>
      </c>
      <c r="F1018" s="90" t="s">
        <v>2207</v>
      </c>
      <c r="G1018" s="92" t="s">
        <v>2636</v>
      </c>
      <c r="H1018" s="92"/>
      <c r="I1018" s="233" t="s">
        <v>2492</v>
      </c>
      <c r="J1018" s="132"/>
      <c r="K1018" s="91" t="s">
        <v>2765</v>
      </c>
      <c r="L1018" s="89" t="s">
        <v>2771</v>
      </c>
      <c r="M1018" s="92"/>
      <c r="N1018" s="91" t="s">
        <v>1223</v>
      </c>
      <c r="O1018" s="131"/>
      <c r="P1018" s="90" t="s">
        <v>2206</v>
      </c>
      <c r="Q1018" s="131"/>
      <c r="R1018" s="131"/>
      <c r="S1018" s="92"/>
      <c r="T1018" s="131">
        <v>9403208000</v>
      </c>
      <c r="U1018" s="155">
        <v>0</v>
      </c>
      <c r="V1018" s="131">
        <v>45</v>
      </c>
      <c r="W1018" s="131">
        <v>45</v>
      </c>
      <c r="X1018" s="131"/>
      <c r="Y1018" s="131" t="s">
        <v>1706</v>
      </c>
      <c r="Z1018" s="133">
        <f t="shared" si="1188"/>
        <v>162.04986149584488</v>
      </c>
      <c r="AA1018" s="133"/>
      <c r="AB1018" s="161">
        <f t="shared" si="1189"/>
        <v>136.97129081744467</v>
      </c>
      <c r="AC1018" s="161"/>
      <c r="AD1018" s="213">
        <f>AE1018</f>
        <v>0.05</v>
      </c>
      <c r="AE1018" s="213">
        <v>0.05</v>
      </c>
      <c r="AF1018" s="219">
        <v>0.22</v>
      </c>
      <c r="AG1018" s="218" t="s">
        <v>9</v>
      </c>
      <c r="AH1018" s="148">
        <f>AB1018</f>
        <v>136.97129081744467</v>
      </c>
      <c r="AI1018" s="206">
        <f t="shared" si="1194"/>
        <v>0.21999999999999997</v>
      </c>
      <c r="AJ1018" s="444"/>
      <c r="AK1018" s="150">
        <f t="shared" si="1200"/>
        <v>123.15789473684211</v>
      </c>
      <c r="AL1018" s="202">
        <f t="shared" si="1191"/>
        <v>112.46063877642825</v>
      </c>
      <c r="AM1018" s="208">
        <f t="shared" si="1192"/>
        <v>0.24</v>
      </c>
      <c r="AN1018" s="208">
        <f t="shared" si="1193"/>
        <v>0.17894736842105263</v>
      </c>
      <c r="AP1018" s="170" t="s">
        <v>1267</v>
      </c>
      <c r="AQ1018" s="204"/>
      <c r="AR1018" s="204"/>
      <c r="AS1018" s="197"/>
      <c r="AT1018" s="162"/>
      <c r="AU1018" s="162"/>
      <c r="AV1018" s="173"/>
      <c r="AW1018" s="203">
        <f>VLOOKUP(I1018,'[6]RACKS &amp; OPEN RACKS'!$B$6:$J$60,9,FALSE)</f>
        <v>100</v>
      </c>
      <c r="AX1018" s="126">
        <f t="shared" si="1201"/>
        <v>106.83760683760684</v>
      </c>
      <c r="AY1018" s="163"/>
      <c r="AZ1018" s="19"/>
      <c r="BB1018" s="168">
        <f t="shared" si="1196"/>
        <v>456.57096939148227</v>
      </c>
      <c r="BC1018" s="168">
        <f t="shared" si="1197"/>
        <v>273.94258163488934</v>
      </c>
      <c r="BD1018" s="168">
        <f t="shared" si="1198"/>
        <v>228.28548469574113</v>
      </c>
      <c r="BE1018" s="168">
        <f t="shared" si="1199"/>
        <v>182.62838775659293</v>
      </c>
    </row>
    <row r="1019" spans="1:57" s="129" customFormat="1" ht="15" hidden="1">
      <c r="A1019" s="88" t="s">
        <v>1276</v>
      </c>
      <c r="B1019" s="88" t="s">
        <v>1846</v>
      </c>
      <c r="C1019" s="88" t="s">
        <v>1318</v>
      </c>
      <c r="D1019" s="88" t="s">
        <v>1102</v>
      </c>
      <c r="E1019" s="91" t="s">
        <v>2792</v>
      </c>
      <c r="F1019" s="90" t="s">
        <v>2793</v>
      </c>
      <c r="G1019" s="92"/>
      <c r="H1019" s="92" t="s">
        <v>3258</v>
      </c>
      <c r="I1019" s="233" t="s">
        <v>2772</v>
      </c>
      <c r="J1019" s="132" t="s">
        <v>3816</v>
      </c>
      <c r="K1019" s="89" t="s">
        <v>2815</v>
      </c>
      <c r="L1019" s="89" t="s">
        <v>2773</v>
      </c>
      <c r="M1019" s="92"/>
      <c r="N1019" s="91" t="s">
        <v>1223</v>
      </c>
      <c r="O1019" s="131"/>
      <c r="P1019" s="90" t="s">
        <v>2206</v>
      </c>
      <c r="Q1019" s="131"/>
      <c r="R1019" s="131"/>
      <c r="S1019" s="92"/>
      <c r="T1019" s="131">
        <v>9403208000</v>
      </c>
      <c r="U1019" s="155">
        <v>0</v>
      </c>
      <c r="V1019" s="131">
        <v>45</v>
      </c>
      <c r="W1019" s="131">
        <v>45</v>
      </c>
      <c r="X1019" s="131"/>
      <c r="Y1019" s="131" t="s">
        <v>1706</v>
      </c>
      <c r="Z1019" s="133">
        <f t="shared" ref="Z1019:Z1028" si="1202">AK1019/(1-(AF1019+2%))</f>
        <v>159.29767040552201</v>
      </c>
      <c r="AA1019" s="133"/>
      <c r="AB1019" s="161">
        <f t="shared" ref="AB1019:AB1020" si="1203">AX1019/(1-AF1019)</f>
        <v>133.80138380138382</v>
      </c>
      <c r="AC1019" s="161"/>
      <c r="AD1019" s="213">
        <f t="shared" ref="AD1019:AD1028" si="1204">AE1019</f>
        <v>0.05</v>
      </c>
      <c r="AE1019" s="213">
        <v>0.05</v>
      </c>
      <c r="AF1019" s="219">
        <v>0.37</v>
      </c>
      <c r="AG1019" s="218" t="s">
        <v>9</v>
      </c>
      <c r="AH1019" s="148">
        <f t="shared" si="1186"/>
        <v>133.80138380138382</v>
      </c>
      <c r="AI1019" s="206">
        <f t="shared" ref="AI1019:AI1020" si="1205">1-(AX1019/AH1019)</f>
        <v>0.37</v>
      </c>
      <c r="AJ1019" s="444"/>
      <c r="AK1019" s="150">
        <f t="shared" si="1200"/>
        <v>97.171578947368431</v>
      </c>
      <c r="AL1019" s="202">
        <f t="shared" ref="AL1019:AL1020" si="1206">AX1019/(1-AE1019)</f>
        <v>88.731443994601904</v>
      </c>
      <c r="AM1019" s="208">
        <f t="shared" ref="AM1019:AM1020" si="1207">1-(AK1019/Z1019)</f>
        <v>0.39</v>
      </c>
      <c r="AN1019" s="208">
        <f t="shared" ref="AN1019:AN1020" si="1208">1-(AL1019/AB1019)</f>
        <v>0.33684210526315783</v>
      </c>
      <c r="AP1019" s="170" t="s">
        <v>1267</v>
      </c>
      <c r="AQ1019" s="204"/>
      <c r="AR1019" s="204"/>
      <c r="AS1019" s="197"/>
      <c r="AT1019" s="162"/>
      <c r="AU1019" s="162"/>
      <c r="AV1019" s="173"/>
      <c r="AW1019" s="203">
        <f>VLOOKUP(I1019,'[7]EDF MARKET'!$C$25:$M$34,11,FALSE)</f>
        <v>78.900000000000006</v>
      </c>
      <c r="AX1019" s="126">
        <f t="shared" ref="AX1019:AX1020" si="1209">AW1019/$F$6*1.25+AW1019*U1019</f>
        <v>84.29487179487181</v>
      </c>
      <c r="AY1019" s="163"/>
      <c r="AZ1019" s="19"/>
      <c r="BB1019" s="168">
        <f t="shared" si="1196"/>
        <v>446.0046126712794</v>
      </c>
      <c r="BC1019" s="168">
        <f t="shared" si="1197"/>
        <v>267.60276760276764</v>
      </c>
      <c r="BD1019" s="168">
        <f t="shared" si="1198"/>
        <v>223.0023063356397</v>
      </c>
      <c r="BE1019" s="168">
        <f t="shared" si="1199"/>
        <v>178.40184506851176</v>
      </c>
    </row>
    <row r="1020" spans="1:57" s="129" customFormat="1" ht="15" hidden="1">
      <c r="A1020" s="88" t="s">
        <v>1276</v>
      </c>
      <c r="B1020" s="88" t="s">
        <v>1846</v>
      </c>
      <c r="C1020" s="88" t="s">
        <v>1318</v>
      </c>
      <c r="D1020" s="88" t="s">
        <v>1102</v>
      </c>
      <c r="E1020" s="91" t="s">
        <v>2792</v>
      </c>
      <c r="F1020" s="90" t="s">
        <v>2793</v>
      </c>
      <c r="G1020" s="92"/>
      <c r="H1020" s="92" t="s">
        <v>3258</v>
      </c>
      <c r="I1020" s="233" t="s">
        <v>2774</v>
      </c>
      <c r="J1020" s="132" t="s">
        <v>3817</v>
      </c>
      <c r="K1020" s="89" t="s">
        <v>2816</v>
      </c>
      <c r="L1020" s="89" t="s">
        <v>2775</v>
      </c>
      <c r="M1020" s="92"/>
      <c r="N1020" s="91" t="s">
        <v>1223</v>
      </c>
      <c r="O1020" s="131"/>
      <c r="P1020" s="90" t="s">
        <v>2206</v>
      </c>
      <c r="Q1020" s="131"/>
      <c r="R1020" s="131"/>
      <c r="S1020" s="92"/>
      <c r="T1020" s="131">
        <v>9403208000</v>
      </c>
      <c r="U1020" s="155">
        <v>0</v>
      </c>
      <c r="V1020" s="131">
        <v>45</v>
      </c>
      <c r="W1020" s="131">
        <v>45</v>
      </c>
      <c r="X1020" s="131"/>
      <c r="Y1020" s="131" t="s">
        <v>1706</v>
      </c>
      <c r="Z1020" s="133">
        <f t="shared" si="1202"/>
        <v>169.99827437446072</v>
      </c>
      <c r="AA1020" s="133"/>
      <c r="AB1020" s="161">
        <f t="shared" si="1203"/>
        <v>142.78930945597611</v>
      </c>
      <c r="AC1020" s="161"/>
      <c r="AD1020" s="213">
        <f t="shared" si="1204"/>
        <v>0.05</v>
      </c>
      <c r="AE1020" s="213">
        <v>0.05</v>
      </c>
      <c r="AF1020" s="219">
        <v>0.37</v>
      </c>
      <c r="AG1020" s="218" t="s">
        <v>9</v>
      </c>
      <c r="AH1020" s="148">
        <f t="shared" si="1186"/>
        <v>142.78930945597611</v>
      </c>
      <c r="AI1020" s="206">
        <f t="shared" si="1205"/>
        <v>0.37</v>
      </c>
      <c r="AJ1020" s="444"/>
      <c r="AK1020" s="150">
        <f t="shared" si="1200"/>
        <v>103.69894736842105</v>
      </c>
      <c r="AL1020" s="202">
        <f t="shared" si="1206"/>
        <v>94.691857849752594</v>
      </c>
      <c r="AM1020" s="208">
        <f t="shared" si="1207"/>
        <v>0.39</v>
      </c>
      <c r="AN1020" s="208">
        <f t="shared" si="1208"/>
        <v>0.33684210526315783</v>
      </c>
      <c r="AP1020" s="170" t="s">
        <v>1267</v>
      </c>
      <c r="AQ1020" s="204"/>
      <c r="AR1020" s="204"/>
      <c r="AS1020" s="197"/>
      <c r="AT1020" s="162"/>
      <c r="AU1020" s="162"/>
      <c r="AV1020" s="173"/>
      <c r="AW1020" s="203">
        <f>VLOOKUP(I1020,'[7]EDF MARKET'!$C$25:$M$34,11,FALSE)</f>
        <v>84.2</v>
      </c>
      <c r="AX1020" s="126">
        <f t="shared" si="1209"/>
        <v>89.957264957264954</v>
      </c>
      <c r="AY1020" s="163"/>
      <c r="AZ1020" s="19"/>
      <c r="BB1020" s="168">
        <f t="shared" si="1196"/>
        <v>475.9643648532537</v>
      </c>
      <c r="BC1020" s="168">
        <f t="shared" si="1197"/>
        <v>285.57861891195222</v>
      </c>
      <c r="BD1020" s="168">
        <f t="shared" si="1198"/>
        <v>237.98218242662685</v>
      </c>
      <c r="BE1020" s="168">
        <f t="shared" si="1199"/>
        <v>190.38574594130148</v>
      </c>
    </row>
    <row r="1021" spans="1:57" s="129" customFormat="1" ht="15" hidden="1">
      <c r="A1021" s="88" t="s">
        <v>1276</v>
      </c>
      <c r="B1021" s="88" t="s">
        <v>1846</v>
      </c>
      <c r="C1021" s="88" t="s">
        <v>1318</v>
      </c>
      <c r="D1021" s="88" t="s">
        <v>1102</v>
      </c>
      <c r="E1021" s="91" t="s">
        <v>2792</v>
      </c>
      <c r="F1021" s="90" t="s">
        <v>2793</v>
      </c>
      <c r="G1021" s="92"/>
      <c r="H1021" s="92" t="s">
        <v>3259</v>
      </c>
      <c r="I1021" s="233" t="s">
        <v>2776</v>
      </c>
      <c r="J1021" s="132" t="s">
        <v>3815</v>
      </c>
      <c r="K1021" s="89" t="s">
        <v>2817</v>
      </c>
      <c r="L1021" s="89" t="s">
        <v>2777</v>
      </c>
      <c r="M1021" s="92"/>
      <c r="N1021" s="91" t="s">
        <v>1223</v>
      </c>
      <c r="O1021" s="131"/>
      <c r="P1021" s="90" t="s">
        <v>2206</v>
      </c>
      <c r="Q1021" s="131"/>
      <c r="R1021" s="131"/>
      <c r="S1021" s="92"/>
      <c r="T1021" s="131">
        <v>9403208000</v>
      </c>
      <c r="U1021" s="155">
        <v>0</v>
      </c>
      <c r="V1021" s="131">
        <v>45</v>
      </c>
      <c r="W1021" s="131">
        <v>45</v>
      </c>
      <c r="X1021" s="131"/>
      <c r="Y1021" s="131" t="s">
        <v>1706</v>
      </c>
      <c r="Z1021" s="133">
        <f t="shared" si="1202"/>
        <v>151.16479723899911</v>
      </c>
      <c r="AA1021" s="133"/>
      <c r="AB1021" s="161">
        <f t="shared" ref="AB1021:AB1025" si="1210">AX1021/(1-AF1021)</f>
        <v>148.55514855514855</v>
      </c>
      <c r="AC1021" s="161"/>
      <c r="AD1021" s="213">
        <f t="shared" si="1204"/>
        <v>0.05</v>
      </c>
      <c r="AE1021" s="213">
        <v>0.05</v>
      </c>
      <c r="AF1021" s="219">
        <v>0.37</v>
      </c>
      <c r="AG1021" s="218" t="s">
        <v>9</v>
      </c>
      <c r="AH1021" s="148">
        <f t="shared" si="1186"/>
        <v>148.55514855514855</v>
      </c>
      <c r="AI1021" s="206">
        <f t="shared" ref="AI1021:AI1025" si="1211">1-(AX1021/AH1021)</f>
        <v>0.37</v>
      </c>
      <c r="AJ1021" s="444"/>
      <c r="AK1021" s="201">
        <f>AW1021/(1-AD1021)</f>
        <v>92.210526315789465</v>
      </c>
      <c r="AL1021" s="202">
        <f t="shared" ref="AL1021:AL1025" si="1212">AX1021/(1-AE1021)</f>
        <v>98.515519568151149</v>
      </c>
      <c r="AM1021" s="211">
        <f>1-(AK1021/Z1021)</f>
        <v>0.39</v>
      </c>
      <c r="AN1021" s="208">
        <f t="shared" ref="AN1021:AN1025" si="1213">1-(AL1021/AB1021)</f>
        <v>0.33684210526315783</v>
      </c>
      <c r="AP1021" s="170" t="s">
        <v>1267</v>
      </c>
      <c r="AQ1021" s="204"/>
      <c r="AR1021" s="204"/>
      <c r="AS1021" s="197"/>
      <c r="AT1021" s="162"/>
      <c r="AU1021" s="162"/>
      <c r="AV1021" s="173"/>
      <c r="AW1021" s="203">
        <f>VLOOKUP(I1021,'[7]EDF MARKET'!$C$25:$M$34,11,FALSE)</f>
        <v>87.6</v>
      </c>
      <c r="AX1021" s="126">
        <f t="shared" ref="AX1021:AX1025" si="1214">AW1021/$F$6*1.25+AW1021*U1021</f>
        <v>93.589743589743591</v>
      </c>
      <c r="AY1021" s="163"/>
      <c r="AZ1021" s="19"/>
      <c r="BB1021" s="168">
        <f t="shared" si="1196"/>
        <v>495.18382851716183</v>
      </c>
      <c r="BC1021" s="168">
        <f t="shared" si="1197"/>
        <v>297.1102971102971</v>
      </c>
      <c r="BD1021" s="168">
        <f t="shared" si="1198"/>
        <v>247.59191425858091</v>
      </c>
      <c r="BE1021" s="168">
        <f t="shared" si="1199"/>
        <v>198.07353140686473</v>
      </c>
    </row>
    <row r="1022" spans="1:57" s="129" customFormat="1" ht="15" hidden="1">
      <c r="A1022" s="88" t="s">
        <v>1276</v>
      </c>
      <c r="B1022" s="88" t="s">
        <v>1846</v>
      </c>
      <c r="C1022" s="88" t="s">
        <v>1318</v>
      </c>
      <c r="D1022" s="88" t="s">
        <v>1102</v>
      </c>
      <c r="E1022" s="91" t="s">
        <v>2792</v>
      </c>
      <c r="F1022" s="90" t="s">
        <v>2793</v>
      </c>
      <c r="G1022" s="92"/>
      <c r="H1022" s="92" t="s">
        <v>3259</v>
      </c>
      <c r="I1022" s="233" t="s">
        <v>2778</v>
      </c>
      <c r="J1022" s="132" t="s">
        <v>3818</v>
      </c>
      <c r="K1022" s="89" t="s">
        <v>2818</v>
      </c>
      <c r="L1022" s="89" t="s">
        <v>2779</v>
      </c>
      <c r="M1022" s="92"/>
      <c r="N1022" s="91" t="s">
        <v>1223</v>
      </c>
      <c r="O1022" s="131"/>
      <c r="P1022" s="90" t="s">
        <v>2206</v>
      </c>
      <c r="Q1022" s="131"/>
      <c r="R1022" s="131"/>
      <c r="S1022" s="92"/>
      <c r="T1022" s="131">
        <v>9403208000</v>
      </c>
      <c r="U1022" s="155">
        <v>0</v>
      </c>
      <c r="V1022" s="131">
        <v>45</v>
      </c>
      <c r="W1022" s="131">
        <v>45</v>
      </c>
      <c r="X1022" s="131"/>
      <c r="Y1022" s="131" t="s">
        <v>1706</v>
      </c>
      <c r="Z1022" s="133">
        <f t="shared" si="1202"/>
        <v>160.31061259706647</v>
      </c>
      <c r="AA1022" s="133"/>
      <c r="AB1022" s="161">
        <f t="shared" si="1210"/>
        <v>157.54307420974089</v>
      </c>
      <c r="AC1022" s="161"/>
      <c r="AD1022" s="213">
        <f t="shared" si="1204"/>
        <v>0.05</v>
      </c>
      <c r="AE1022" s="213">
        <v>0.05</v>
      </c>
      <c r="AF1022" s="219">
        <v>0.37</v>
      </c>
      <c r="AG1022" s="218" t="s">
        <v>9</v>
      </c>
      <c r="AH1022" s="148">
        <f t="shared" si="1186"/>
        <v>157.54307420974089</v>
      </c>
      <c r="AI1022" s="206">
        <f t="shared" si="1211"/>
        <v>0.37</v>
      </c>
      <c r="AJ1022" s="444"/>
      <c r="AK1022" s="201">
        <f t="shared" ref="AK1022:AK1025" si="1215">AW1022/(1-AD1022)</f>
        <v>97.789473684210535</v>
      </c>
      <c r="AL1022" s="202">
        <f t="shared" si="1212"/>
        <v>104.47593342330187</v>
      </c>
      <c r="AM1022" s="208">
        <f t="shared" ref="AM1022:AM1025" si="1216">1-(AK1022/Z1022)</f>
        <v>0.39</v>
      </c>
      <c r="AN1022" s="208">
        <f t="shared" si="1213"/>
        <v>0.33684210526315783</v>
      </c>
      <c r="AP1022" s="170" t="s">
        <v>1267</v>
      </c>
      <c r="AQ1022" s="204"/>
      <c r="AR1022" s="204"/>
      <c r="AS1022" s="197"/>
      <c r="AT1022" s="162"/>
      <c r="AU1022" s="162"/>
      <c r="AV1022" s="173"/>
      <c r="AW1022" s="203">
        <f>VLOOKUP(I1022,'[7]EDF MARKET'!$C$25:$M$34,11,FALSE)</f>
        <v>92.9</v>
      </c>
      <c r="AX1022" s="126">
        <f t="shared" si="1214"/>
        <v>99.252136752136764</v>
      </c>
      <c r="AY1022" s="163"/>
      <c r="AZ1022" s="19"/>
      <c r="BB1022" s="168">
        <f t="shared" si="1196"/>
        <v>525.14358069913635</v>
      </c>
      <c r="BC1022" s="168">
        <f t="shared" si="1197"/>
        <v>315.08614841948179</v>
      </c>
      <c r="BD1022" s="168">
        <f t="shared" si="1198"/>
        <v>262.57179034956818</v>
      </c>
      <c r="BE1022" s="168">
        <f t="shared" si="1199"/>
        <v>210.05743227965456</v>
      </c>
    </row>
    <row r="1023" spans="1:57" s="129" customFormat="1" ht="15" hidden="1">
      <c r="A1023" s="88" t="s">
        <v>1276</v>
      </c>
      <c r="B1023" s="88" t="s">
        <v>1846</v>
      </c>
      <c r="C1023" s="88" t="s">
        <v>1318</v>
      </c>
      <c r="D1023" s="88" t="s">
        <v>1102</v>
      </c>
      <c r="E1023" s="91" t="s">
        <v>2792</v>
      </c>
      <c r="F1023" s="90" t="s">
        <v>2793</v>
      </c>
      <c r="G1023" s="92"/>
      <c r="H1023" s="92" t="s">
        <v>3254</v>
      </c>
      <c r="I1023" s="233" t="s">
        <v>2780</v>
      </c>
      <c r="J1023" s="132" t="s">
        <v>3819</v>
      </c>
      <c r="K1023" s="89" t="s">
        <v>2819</v>
      </c>
      <c r="L1023" s="89" t="s">
        <v>2781</v>
      </c>
      <c r="M1023" s="92"/>
      <c r="N1023" s="91" t="s">
        <v>1223</v>
      </c>
      <c r="O1023" s="131"/>
      <c r="P1023" s="90" t="s">
        <v>2206</v>
      </c>
      <c r="Q1023" s="131"/>
      <c r="R1023" s="131"/>
      <c r="S1023" s="92"/>
      <c r="T1023" s="131">
        <v>9403208000</v>
      </c>
      <c r="U1023" s="155">
        <v>0</v>
      </c>
      <c r="V1023" s="131">
        <v>45</v>
      </c>
      <c r="W1023" s="131">
        <v>45</v>
      </c>
      <c r="X1023" s="131"/>
      <c r="Y1023" s="131" t="s">
        <v>1706</v>
      </c>
      <c r="Z1023" s="133">
        <f t="shared" si="1202"/>
        <v>112.85591026747198</v>
      </c>
      <c r="AA1023" s="133"/>
      <c r="AB1023" s="161">
        <f t="shared" si="1210"/>
        <v>110.90761090761092</v>
      </c>
      <c r="AC1023" s="161"/>
      <c r="AD1023" s="213">
        <f t="shared" si="1204"/>
        <v>0.05</v>
      </c>
      <c r="AE1023" s="213">
        <v>0.05</v>
      </c>
      <c r="AF1023" s="219">
        <v>0.37</v>
      </c>
      <c r="AG1023" s="218" t="s">
        <v>9</v>
      </c>
      <c r="AH1023" s="148">
        <f t="shared" si="1186"/>
        <v>110.90761090761092</v>
      </c>
      <c r="AI1023" s="206">
        <f t="shared" si="1211"/>
        <v>0.37</v>
      </c>
      <c r="AJ1023" s="444"/>
      <c r="AK1023" s="201">
        <f t="shared" si="1215"/>
        <v>68.842105263157904</v>
      </c>
      <c r="AL1023" s="202">
        <f t="shared" si="1212"/>
        <v>73.549257759784084</v>
      </c>
      <c r="AM1023" s="208">
        <f t="shared" si="1216"/>
        <v>0.39</v>
      </c>
      <c r="AN1023" s="208">
        <f t="shared" si="1213"/>
        <v>0.33684210526315783</v>
      </c>
      <c r="AP1023" s="170" t="s">
        <v>1267</v>
      </c>
      <c r="AQ1023" s="204"/>
      <c r="AR1023" s="204"/>
      <c r="AS1023" s="197"/>
      <c r="AT1023" s="162"/>
      <c r="AU1023" s="162"/>
      <c r="AV1023" s="173"/>
      <c r="AW1023" s="203">
        <f>VLOOKUP(I1023,'[7]EDF MARKET'!$C$25:$M$34,11,FALSE)</f>
        <v>65.400000000000006</v>
      </c>
      <c r="AX1023" s="126">
        <f t="shared" si="1214"/>
        <v>69.871794871794876</v>
      </c>
      <c r="AY1023" s="163"/>
      <c r="AZ1023" s="19"/>
      <c r="BB1023" s="168">
        <f t="shared" si="1196"/>
        <v>369.69203635870309</v>
      </c>
      <c r="BC1023" s="168">
        <f t="shared" si="1197"/>
        <v>221.81522181522186</v>
      </c>
      <c r="BD1023" s="168">
        <f t="shared" si="1198"/>
        <v>184.84601817935155</v>
      </c>
      <c r="BE1023" s="168">
        <f t="shared" si="1199"/>
        <v>147.87681454348123</v>
      </c>
    </row>
    <row r="1024" spans="1:57" s="129" customFormat="1" ht="15" hidden="1">
      <c r="A1024" s="88" t="s">
        <v>1276</v>
      </c>
      <c r="B1024" s="88" t="s">
        <v>1846</v>
      </c>
      <c r="C1024" s="88" t="s">
        <v>1318</v>
      </c>
      <c r="D1024" s="88" t="s">
        <v>1102</v>
      </c>
      <c r="E1024" s="91" t="s">
        <v>2792</v>
      </c>
      <c r="F1024" s="90" t="s">
        <v>2793</v>
      </c>
      <c r="G1024" s="92"/>
      <c r="H1024" s="92" t="s">
        <v>3254</v>
      </c>
      <c r="I1024" s="233" t="s">
        <v>2782</v>
      </c>
      <c r="J1024" s="132" t="s">
        <v>3820</v>
      </c>
      <c r="K1024" s="89" t="s">
        <v>2820</v>
      </c>
      <c r="L1024" s="89" t="s">
        <v>2783</v>
      </c>
      <c r="M1024" s="92"/>
      <c r="N1024" s="91" t="s">
        <v>1223</v>
      </c>
      <c r="O1024" s="131"/>
      <c r="P1024" s="90" t="s">
        <v>2206</v>
      </c>
      <c r="Q1024" s="131"/>
      <c r="R1024" s="131"/>
      <c r="S1024" s="92"/>
      <c r="T1024" s="131">
        <v>9403208000</v>
      </c>
      <c r="U1024" s="155">
        <v>0</v>
      </c>
      <c r="V1024" s="131">
        <v>45</v>
      </c>
      <c r="W1024" s="131">
        <v>45</v>
      </c>
      <c r="X1024" s="131"/>
      <c r="Y1024" s="131" t="s">
        <v>1706</v>
      </c>
      <c r="Z1024" s="133">
        <f t="shared" si="1202"/>
        <v>122.00172562553928</v>
      </c>
      <c r="AA1024" s="133"/>
      <c r="AB1024" s="161">
        <f t="shared" si="1210"/>
        <v>119.89553656220325</v>
      </c>
      <c r="AC1024" s="161"/>
      <c r="AD1024" s="213">
        <f t="shared" si="1204"/>
        <v>0.05</v>
      </c>
      <c r="AE1024" s="213">
        <v>0.05</v>
      </c>
      <c r="AF1024" s="219">
        <v>0.37</v>
      </c>
      <c r="AG1024" s="218" t="s">
        <v>9</v>
      </c>
      <c r="AH1024" s="148">
        <f t="shared" si="1186"/>
        <v>119.89553656220325</v>
      </c>
      <c r="AI1024" s="206">
        <f t="shared" si="1211"/>
        <v>0.37</v>
      </c>
      <c r="AJ1024" s="444"/>
      <c r="AK1024" s="201">
        <f t="shared" si="1215"/>
        <v>74.421052631578959</v>
      </c>
      <c r="AL1024" s="202">
        <f t="shared" si="1212"/>
        <v>79.509671614934788</v>
      </c>
      <c r="AM1024" s="208">
        <f t="shared" si="1216"/>
        <v>0.39</v>
      </c>
      <c r="AN1024" s="208">
        <f t="shared" si="1213"/>
        <v>0.33684210526315783</v>
      </c>
      <c r="AP1024" s="170" t="s">
        <v>1267</v>
      </c>
      <c r="AQ1024" s="204"/>
      <c r="AR1024" s="204"/>
      <c r="AS1024" s="197"/>
      <c r="AT1024" s="162"/>
      <c r="AU1024" s="162"/>
      <c r="AV1024" s="173"/>
      <c r="AW1024" s="203">
        <f>VLOOKUP(I1024,'[7]EDF MARKET'!$C$25:$M$34,11,FALSE)</f>
        <v>70.7</v>
      </c>
      <c r="AX1024" s="126">
        <f t="shared" si="1214"/>
        <v>75.534188034188048</v>
      </c>
      <c r="AY1024" s="163"/>
      <c r="AZ1024" s="19"/>
      <c r="BB1024" s="168">
        <f t="shared" si="1196"/>
        <v>399.6517885406775</v>
      </c>
      <c r="BC1024" s="168">
        <f t="shared" si="1197"/>
        <v>239.79107312440649</v>
      </c>
      <c r="BD1024" s="168">
        <f t="shared" si="1198"/>
        <v>199.82589427033875</v>
      </c>
      <c r="BE1024" s="168">
        <f t="shared" si="1199"/>
        <v>159.86071541627101</v>
      </c>
    </row>
    <row r="1025" spans="1:58" s="129" customFormat="1" ht="15" hidden="1">
      <c r="A1025" s="88" t="s">
        <v>1276</v>
      </c>
      <c r="B1025" s="88" t="s">
        <v>1846</v>
      </c>
      <c r="C1025" s="88" t="s">
        <v>1318</v>
      </c>
      <c r="D1025" s="88" t="s">
        <v>1102</v>
      </c>
      <c r="E1025" s="91" t="s">
        <v>2792</v>
      </c>
      <c r="F1025" s="90" t="s">
        <v>2793</v>
      </c>
      <c r="G1025" s="92"/>
      <c r="H1025" s="92" t="s">
        <v>3255</v>
      </c>
      <c r="I1025" s="233" t="s">
        <v>2784</v>
      </c>
      <c r="J1025" s="132"/>
      <c r="K1025" s="89" t="s">
        <v>2821</v>
      </c>
      <c r="L1025" s="89" t="s">
        <v>2785</v>
      </c>
      <c r="M1025" s="92"/>
      <c r="N1025" s="91" t="s">
        <v>1223</v>
      </c>
      <c r="O1025" s="131"/>
      <c r="P1025" s="90" t="s">
        <v>2206</v>
      </c>
      <c r="Q1025" s="131"/>
      <c r="R1025" s="131"/>
      <c r="S1025" s="92"/>
      <c r="T1025" s="131">
        <v>9403208000</v>
      </c>
      <c r="U1025" s="155">
        <v>0</v>
      </c>
      <c r="V1025" s="131">
        <v>45</v>
      </c>
      <c r="W1025" s="131">
        <v>45</v>
      </c>
      <c r="X1025" s="131"/>
      <c r="Y1025" s="131" t="s">
        <v>1706</v>
      </c>
      <c r="Z1025" s="133">
        <f t="shared" si="1202"/>
        <v>124.41760138050043</v>
      </c>
      <c r="AA1025" s="133"/>
      <c r="AB1025" s="161">
        <f t="shared" si="1210"/>
        <v>122.26970560303894</v>
      </c>
      <c r="AC1025" s="161"/>
      <c r="AD1025" s="213">
        <f t="shared" si="1204"/>
        <v>0.05</v>
      </c>
      <c r="AE1025" s="213">
        <v>0.05</v>
      </c>
      <c r="AF1025" s="219">
        <v>0.37</v>
      </c>
      <c r="AG1025" s="218" t="s">
        <v>9</v>
      </c>
      <c r="AH1025" s="148">
        <f t="shared" si="1186"/>
        <v>122.26970560303894</v>
      </c>
      <c r="AI1025" s="206">
        <f t="shared" si="1211"/>
        <v>0.37</v>
      </c>
      <c r="AJ1025" s="444"/>
      <c r="AK1025" s="201">
        <f t="shared" si="1215"/>
        <v>75.89473684210526</v>
      </c>
      <c r="AL1025" s="202">
        <f t="shared" si="1212"/>
        <v>81.084120557804781</v>
      </c>
      <c r="AM1025" s="208">
        <f t="shared" si="1216"/>
        <v>0.39</v>
      </c>
      <c r="AN1025" s="208">
        <f t="shared" si="1213"/>
        <v>0.33684210526315783</v>
      </c>
      <c r="AP1025" s="170" t="s">
        <v>1267</v>
      </c>
      <c r="AQ1025" s="204"/>
      <c r="AR1025" s="204"/>
      <c r="AS1025" s="197"/>
      <c r="AT1025" s="162"/>
      <c r="AU1025" s="162"/>
      <c r="AV1025" s="173"/>
      <c r="AW1025" s="203">
        <f>VLOOKUP(I1025,'[7]EDF MARKET'!$C$25:$M$34,11,FALSE)</f>
        <v>72.099999999999994</v>
      </c>
      <c r="AX1025" s="126">
        <f t="shared" si="1214"/>
        <v>77.029914529914535</v>
      </c>
      <c r="AY1025" s="163"/>
      <c r="AZ1025" s="19"/>
      <c r="BB1025" s="168">
        <f t="shared" si="1196"/>
        <v>407.56568534346314</v>
      </c>
      <c r="BC1025" s="168">
        <f t="shared" si="1197"/>
        <v>244.53941120607789</v>
      </c>
      <c r="BD1025" s="168">
        <f t="shared" si="1198"/>
        <v>203.78284267173157</v>
      </c>
      <c r="BE1025" s="168">
        <f t="shared" si="1199"/>
        <v>163.02627413738526</v>
      </c>
    </row>
    <row r="1026" spans="1:58" s="129" customFormat="1" ht="15" hidden="1">
      <c r="A1026" s="88" t="s">
        <v>1276</v>
      </c>
      <c r="B1026" s="88" t="s">
        <v>1846</v>
      </c>
      <c r="C1026" s="88" t="s">
        <v>1318</v>
      </c>
      <c r="D1026" s="88" t="s">
        <v>1102</v>
      </c>
      <c r="E1026" s="91" t="s">
        <v>2792</v>
      </c>
      <c r="F1026" s="90" t="s">
        <v>2793</v>
      </c>
      <c r="G1026" s="92"/>
      <c r="H1026" s="92" t="s">
        <v>3255</v>
      </c>
      <c r="I1026" s="233" t="s">
        <v>2786</v>
      </c>
      <c r="J1026" s="132"/>
      <c r="K1026" s="89" t="s">
        <v>2822</v>
      </c>
      <c r="L1026" s="89" t="s">
        <v>2787</v>
      </c>
      <c r="M1026" s="92"/>
      <c r="N1026" s="91" t="s">
        <v>1223</v>
      </c>
      <c r="O1026" s="131"/>
      <c r="P1026" s="90" t="s">
        <v>2206</v>
      </c>
      <c r="Q1026" s="131"/>
      <c r="R1026" s="131"/>
      <c r="S1026" s="92"/>
      <c r="T1026" s="131">
        <v>9403208000</v>
      </c>
      <c r="U1026" s="155">
        <v>0</v>
      </c>
      <c r="V1026" s="131">
        <v>45</v>
      </c>
      <c r="W1026" s="131">
        <v>45</v>
      </c>
      <c r="X1026" s="131"/>
      <c r="Y1026" s="131" t="s">
        <v>1706</v>
      </c>
      <c r="Z1026" s="133">
        <f t="shared" si="1202"/>
        <v>133.39085418464194</v>
      </c>
      <c r="AA1026" s="133"/>
      <c r="AB1026" s="161">
        <f t="shared" ref="AB1026:AB1028" si="1217">AX1026/(1-AF1026)</f>
        <v>131.08804775471444</v>
      </c>
      <c r="AC1026" s="161"/>
      <c r="AD1026" s="213">
        <f t="shared" si="1204"/>
        <v>0.05</v>
      </c>
      <c r="AE1026" s="213">
        <v>0.05</v>
      </c>
      <c r="AF1026" s="219">
        <v>0.37</v>
      </c>
      <c r="AG1026" s="218" t="s">
        <v>9</v>
      </c>
      <c r="AH1026" s="148">
        <f t="shared" si="1186"/>
        <v>131.08804775471444</v>
      </c>
      <c r="AI1026" s="206">
        <f t="shared" ref="AI1026:AI1028" si="1218">1-(AX1026/AH1026)</f>
        <v>0.37</v>
      </c>
      <c r="AJ1026" s="444"/>
      <c r="AK1026" s="201">
        <f t="shared" ref="AK1026:AK1028" si="1219">AW1026/(1-AD1026)</f>
        <v>81.368421052631575</v>
      </c>
      <c r="AL1026" s="202">
        <f t="shared" ref="AL1026:AL1028" si="1220">AX1026/(1-AE1026)</f>
        <v>86.932073774179045</v>
      </c>
      <c r="AM1026" s="208">
        <f t="shared" ref="AM1026:AM1028" si="1221">1-(AK1026/Z1026)</f>
        <v>0.39</v>
      </c>
      <c r="AN1026" s="208">
        <f t="shared" ref="AN1026:AN1028" si="1222">1-(AL1026/AB1026)</f>
        <v>0.33684210526315794</v>
      </c>
      <c r="AP1026" s="170" t="s">
        <v>1267</v>
      </c>
      <c r="AQ1026" s="204"/>
      <c r="AR1026" s="204"/>
      <c r="AS1026" s="197"/>
      <c r="AT1026" s="162"/>
      <c r="AU1026" s="162"/>
      <c r="AV1026" s="173"/>
      <c r="AW1026" s="203">
        <f>VLOOKUP(I1026,'[7]EDF MARKET'!$C$25:$M$34,11,FALSE)</f>
        <v>77.3</v>
      </c>
      <c r="AX1026" s="126">
        <f t="shared" ref="AX1026:AX1027" si="1223">AW1026/$F$6*1.25+AW1026*U1026</f>
        <v>82.585470085470092</v>
      </c>
      <c r="AY1026" s="163"/>
      <c r="AZ1026" s="19"/>
      <c r="BB1026" s="168">
        <f t="shared" si="1196"/>
        <v>436.96015918238146</v>
      </c>
      <c r="BC1026" s="168">
        <f t="shared" si="1197"/>
        <v>262.17609550942888</v>
      </c>
      <c r="BD1026" s="168">
        <f t="shared" si="1198"/>
        <v>218.48007959119073</v>
      </c>
      <c r="BE1026" s="168">
        <f t="shared" si="1199"/>
        <v>174.78406367295258</v>
      </c>
    </row>
    <row r="1027" spans="1:58" s="129" customFormat="1" ht="15" hidden="1">
      <c r="A1027" s="88" t="s">
        <v>1276</v>
      </c>
      <c r="B1027" s="88" t="s">
        <v>1846</v>
      </c>
      <c r="C1027" s="88" t="s">
        <v>1318</v>
      </c>
      <c r="D1027" s="88" t="s">
        <v>1102</v>
      </c>
      <c r="E1027" s="91" t="s">
        <v>2792</v>
      </c>
      <c r="F1027" s="90" t="s">
        <v>2793</v>
      </c>
      <c r="G1027" s="92"/>
      <c r="H1027" s="92" t="s">
        <v>3256</v>
      </c>
      <c r="I1027" s="233" t="s">
        <v>2788</v>
      </c>
      <c r="J1027" s="132"/>
      <c r="K1027" s="89" t="s">
        <v>2823</v>
      </c>
      <c r="L1027" s="89" t="s">
        <v>2789</v>
      </c>
      <c r="M1027" s="92"/>
      <c r="N1027" s="91" t="s">
        <v>1223</v>
      </c>
      <c r="O1027" s="131"/>
      <c r="P1027" s="90" t="s">
        <v>2206</v>
      </c>
      <c r="Q1027" s="131"/>
      <c r="R1027" s="131"/>
      <c r="S1027" s="92"/>
      <c r="T1027" s="131">
        <v>9403208000</v>
      </c>
      <c r="U1027" s="155">
        <v>0</v>
      </c>
      <c r="V1027" s="131">
        <v>45</v>
      </c>
      <c r="W1027" s="131">
        <v>45</v>
      </c>
      <c r="X1027" s="131"/>
      <c r="Y1027" s="131" t="s">
        <v>1706</v>
      </c>
      <c r="Z1027" s="133">
        <f t="shared" si="1202"/>
        <v>137.01466781708373</v>
      </c>
      <c r="AA1027" s="133"/>
      <c r="AB1027" s="161">
        <f t="shared" si="1217"/>
        <v>134.64930131596802</v>
      </c>
      <c r="AC1027" s="161"/>
      <c r="AD1027" s="213">
        <f t="shared" si="1204"/>
        <v>0.05</v>
      </c>
      <c r="AE1027" s="213">
        <v>0.05</v>
      </c>
      <c r="AF1027" s="219">
        <v>0.37</v>
      </c>
      <c r="AG1027" s="218" t="s">
        <v>9</v>
      </c>
      <c r="AH1027" s="148">
        <f t="shared" si="1186"/>
        <v>134.64930131596802</v>
      </c>
      <c r="AI1027" s="206">
        <f t="shared" si="1218"/>
        <v>0.37000000000000011</v>
      </c>
      <c r="AJ1027" s="444"/>
      <c r="AK1027" s="201">
        <f t="shared" si="1219"/>
        <v>83.578947368421069</v>
      </c>
      <c r="AL1027" s="202">
        <f t="shared" si="1220"/>
        <v>89.293747188484048</v>
      </c>
      <c r="AM1027" s="208">
        <f t="shared" si="1221"/>
        <v>0.39</v>
      </c>
      <c r="AN1027" s="208">
        <f t="shared" si="1222"/>
        <v>0.33684210526315794</v>
      </c>
      <c r="AP1027" s="170" t="s">
        <v>1267</v>
      </c>
      <c r="AQ1027" s="204"/>
      <c r="AR1027" s="204"/>
      <c r="AS1027" s="197"/>
      <c r="AT1027" s="162"/>
      <c r="AU1027" s="162"/>
      <c r="AV1027" s="173"/>
      <c r="AW1027" s="203">
        <f>VLOOKUP(I1027,'[7]EDF MARKET'!$C$25:$M$34,11,FALSE)</f>
        <v>79.400000000000006</v>
      </c>
      <c r="AX1027" s="126">
        <f t="shared" si="1223"/>
        <v>84.829059829059844</v>
      </c>
      <c r="AY1027" s="163"/>
      <c r="AZ1027" s="19"/>
      <c r="BB1027" s="168">
        <f t="shared" si="1196"/>
        <v>448.8310043865601</v>
      </c>
      <c r="BC1027" s="168">
        <f t="shared" si="1197"/>
        <v>269.29860263193603</v>
      </c>
      <c r="BD1027" s="168">
        <f t="shared" si="1198"/>
        <v>224.41550219328005</v>
      </c>
      <c r="BE1027" s="168">
        <f t="shared" si="1199"/>
        <v>179.53240175462406</v>
      </c>
    </row>
    <row r="1028" spans="1:58" s="129" customFormat="1" ht="15" hidden="1">
      <c r="A1028" s="88" t="s">
        <v>1276</v>
      </c>
      <c r="B1028" s="88" t="s">
        <v>1846</v>
      </c>
      <c r="C1028" s="88" t="s">
        <v>1318</v>
      </c>
      <c r="D1028" s="88" t="s">
        <v>1102</v>
      </c>
      <c r="E1028" s="91" t="s">
        <v>2792</v>
      </c>
      <c r="F1028" s="90" t="s">
        <v>2793</v>
      </c>
      <c r="G1028" s="92"/>
      <c r="H1028" s="92" t="s">
        <v>3262</v>
      </c>
      <c r="I1028" s="233" t="s">
        <v>2790</v>
      </c>
      <c r="J1028" s="132"/>
      <c r="K1028" s="89" t="s">
        <v>2824</v>
      </c>
      <c r="L1028" s="89" t="s">
        <v>2791</v>
      </c>
      <c r="M1028" s="92"/>
      <c r="N1028" s="91" t="s">
        <v>1223</v>
      </c>
      <c r="O1028" s="131"/>
      <c r="P1028" s="90" t="s">
        <v>2206</v>
      </c>
      <c r="Q1028" s="131"/>
      <c r="R1028" s="131"/>
      <c r="S1028" s="92"/>
      <c r="T1028" s="131">
        <v>9403208000</v>
      </c>
      <c r="U1028" s="155">
        <v>0</v>
      </c>
      <c r="V1028" s="131">
        <v>45</v>
      </c>
      <c r="W1028" s="131">
        <v>45</v>
      </c>
      <c r="X1028" s="131"/>
      <c r="Y1028" s="131" t="s">
        <v>1706</v>
      </c>
      <c r="Z1028" s="133">
        <f t="shared" si="1202"/>
        <v>146.33304572907682</v>
      </c>
      <c r="AA1028" s="133"/>
      <c r="AB1028" s="161">
        <f t="shared" si="1217"/>
        <v>143.80681047347713</v>
      </c>
      <c r="AC1028" s="161"/>
      <c r="AD1028" s="213">
        <f t="shared" si="1204"/>
        <v>0.05</v>
      </c>
      <c r="AE1028" s="213">
        <v>0.05</v>
      </c>
      <c r="AF1028" s="219">
        <v>0.37</v>
      </c>
      <c r="AG1028" s="218" t="s">
        <v>9</v>
      </c>
      <c r="AH1028" s="148">
        <f t="shared" si="1186"/>
        <v>143.80681047347713</v>
      </c>
      <c r="AI1028" s="206">
        <f t="shared" si="1218"/>
        <v>0.37</v>
      </c>
      <c r="AJ1028" s="444"/>
      <c r="AK1028" s="201">
        <f t="shared" si="1219"/>
        <v>89.26315789473685</v>
      </c>
      <c r="AL1028" s="202">
        <f t="shared" si="1220"/>
        <v>95.36662168241115</v>
      </c>
      <c r="AM1028" s="208">
        <f t="shared" si="1221"/>
        <v>0.39</v>
      </c>
      <c r="AN1028" s="208">
        <f t="shared" si="1222"/>
        <v>0.33684210526315783</v>
      </c>
      <c r="AP1028" s="170" t="s">
        <v>1267</v>
      </c>
      <c r="AQ1028" s="204"/>
      <c r="AR1028" s="204"/>
      <c r="AS1028" s="197"/>
      <c r="AT1028" s="162"/>
      <c r="AU1028" s="162"/>
      <c r="AV1028" s="173"/>
      <c r="AW1028" s="203">
        <f>VLOOKUP(I1028,'[7]EDF MARKET'!$C$25:$M$34,11,FALSE)</f>
        <v>84.8</v>
      </c>
      <c r="AX1028" s="126">
        <f>AW1028/$F$6*1.25+AW1028*U1028</f>
        <v>90.598290598290589</v>
      </c>
      <c r="AY1028" s="163"/>
      <c r="AZ1028" s="19"/>
      <c r="BB1028" s="168">
        <f t="shared" si="1196"/>
        <v>479.35603491159043</v>
      </c>
      <c r="BC1028" s="168">
        <f t="shared" si="1197"/>
        <v>287.61362094695426</v>
      </c>
      <c r="BD1028" s="168">
        <f t="shared" si="1198"/>
        <v>239.67801745579521</v>
      </c>
      <c r="BE1028" s="168">
        <f t="shared" si="1199"/>
        <v>191.74241396463617</v>
      </c>
    </row>
    <row r="1029" spans="1:58" ht="15" hidden="1">
      <c r="A1029" s="88" t="s">
        <v>1276</v>
      </c>
      <c r="B1029" s="88" t="s">
        <v>1846</v>
      </c>
      <c r="C1029" s="88" t="s">
        <v>1318</v>
      </c>
      <c r="D1029" s="88" t="s">
        <v>1102</v>
      </c>
      <c r="E1029" s="91" t="s">
        <v>2792</v>
      </c>
      <c r="F1029" s="90" t="s">
        <v>2793</v>
      </c>
      <c r="G1029" s="92"/>
      <c r="H1029" s="92"/>
      <c r="I1029" s="233" t="s">
        <v>3171</v>
      </c>
      <c r="J1029" s="132"/>
      <c r="K1029" s="89" t="s">
        <v>3198</v>
      </c>
      <c r="L1029" s="89" t="s">
        <v>3251</v>
      </c>
      <c r="M1029" s="92"/>
      <c r="N1029" s="91" t="s">
        <v>1223</v>
      </c>
      <c r="O1029" s="131"/>
      <c r="P1029" s="90" t="s">
        <v>2206</v>
      </c>
      <c r="Q1029" s="131"/>
      <c r="R1029" s="131"/>
      <c r="S1029" s="92"/>
      <c r="T1029" s="131">
        <v>9403208000</v>
      </c>
      <c r="U1029" s="155">
        <v>0</v>
      </c>
      <c r="V1029" s="131">
        <v>45</v>
      </c>
      <c r="W1029" s="131">
        <v>45</v>
      </c>
      <c r="X1029" s="131"/>
      <c r="Y1029" s="131" t="s">
        <v>1706</v>
      </c>
      <c r="Z1029" s="133">
        <f>AK1029/(1-(AF1029+2%))</f>
        <v>43.140638481449528</v>
      </c>
      <c r="AA1029" s="133"/>
      <c r="AB1029" s="161">
        <f t="shared" ref="AB1029" si="1224">AX1029/(1-AF1029)</f>
        <v>42.395875729209067</v>
      </c>
      <c r="AC1029" s="161"/>
      <c r="AD1029" s="213">
        <f t="shared" ref="AD1029" si="1225">AE1029</f>
        <v>0.05</v>
      </c>
      <c r="AE1029" s="213">
        <v>0.05</v>
      </c>
      <c r="AF1029" s="219">
        <v>0.37</v>
      </c>
      <c r="AG1029" s="218" t="s">
        <v>9</v>
      </c>
      <c r="AH1029" s="148">
        <f>AB1029</f>
        <v>42.395875729209067</v>
      </c>
      <c r="AI1029" s="206">
        <f t="shared" ref="AI1029" si="1226">1-(AX1029/AH1029)</f>
        <v>0.37</v>
      </c>
      <c r="AJ1029" s="444"/>
      <c r="AK1029" s="201">
        <f t="shared" ref="AK1029" si="1227">AW1029/(1-AD1029)</f>
        <v>26.315789473684212</v>
      </c>
      <c r="AL1029" s="202">
        <f t="shared" ref="AL1029" si="1228">AX1029/(1-AE1029)</f>
        <v>28.115159694107064</v>
      </c>
      <c r="AM1029" s="208">
        <f t="shared" ref="AM1029" si="1229">1-(AK1029/Z1029)</f>
        <v>0.39</v>
      </c>
      <c r="AN1029" s="208">
        <f t="shared" ref="AN1029" si="1230">1-(AL1029/AB1029)</f>
        <v>0.33684210526315794</v>
      </c>
      <c r="AO1029" s="129"/>
      <c r="AP1029" s="170" t="s">
        <v>1267</v>
      </c>
      <c r="AQ1029" s="204"/>
      <c r="AR1029" s="204"/>
      <c r="AS1029" s="197"/>
      <c r="AT1029" s="162"/>
      <c r="AU1029" s="162"/>
      <c r="AV1029" s="173"/>
      <c r="AW1029" s="203">
        <f>VLOOKUP(I1029,'[7]ACCESSORIES 19'!$C$5:$I$63,6,FALSE)</f>
        <v>25</v>
      </c>
      <c r="AX1029" s="126">
        <f>AW1029/$F$6*1.25+AW1029*U1029</f>
        <v>26.70940170940171</v>
      </c>
      <c r="BB1029" s="168">
        <f t="shared" ref="BB1029:BB1056" si="1231">AB1029/0.3</f>
        <v>141.31958576403022</v>
      </c>
      <c r="BC1029" s="168">
        <f t="shared" ref="BC1029:BC1056" si="1232">BB1029*0.6</f>
        <v>84.791751458418133</v>
      </c>
      <c r="BD1029" s="168">
        <f t="shared" ref="BD1029:BD1056" si="1233">BB1029*0.5</f>
        <v>70.659792882015111</v>
      </c>
      <c r="BE1029" s="168">
        <f t="shared" ref="BE1029:BE1056" si="1234">BB1029*0.4</f>
        <v>56.527834305612089</v>
      </c>
      <c r="BF1029" s="129"/>
    </row>
    <row r="1030" spans="1:58" ht="15" hidden="1">
      <c r="A1030" s="88" t="s">
        <v>1276</v>
      </c>
      <c r="B1030" s="88" t="s">
        <v>1846</v>
      </c>
      <c r="C1030" s="88" t="s">
        <v>1318</v>
      </c>
      <c r="D1030" s="88" t="s">
        <v>1102</v>
      </c>
      <c r="E1030" s="91" t="s">
        <v>2792</v>
      </c>
      <c r="F1030" s="90" t="s">
        <v>2793</v>
      </c>
      <c r="G1030" s="92"/>
      <c r="H1030" s="92"/>
      <c r="I1030" s="233" t="s">
        <v>3172</v>
      </c>
      <c r="J1030" s="132"/>
      <c r="K1030" s="89" t="s">
        <v>3199</v>
      </c>
      <c r="L1030" s="89" t="s">
        <v>3252</v>
      </c>
      <c r="M1030" s="92"/>
      <c r="N1030" s="91" t="s">
        <v>1223</v>
      </c>
      <c r="O1030" s="131"/>
      <c r="P1030" s="90" t="s">
        <v>2206</v>
      </c>
      <c r="Q1030" s="131"/>
      <c r="R1030" s="131"/>
      <c r="S1030" s="92"/>
      <c r="T1030" s="131">
        <v>9403208000</v>
      </c>
      <c r="U1030" s="155">
        <v>0</v>
      </c>
      <c r="V1030" s="131">
        <v>45</v>
      </c>
      <c r="W1030" s="131">
        <v>45</v>
      </c>
      <c r="X1030" s="131"/>
      <c r="Y1030" s="131" t="s">
        <v>1706</v>
      </c>
      <c r="Z1030" s="133">
        <f t="shared" ref="Z1030:Z1056" si="1235">AK1030/(1-(AF1030+2%))</f>
        <v>69.025021570319254</v>
      </c>
      <c r="AA1030" s="133"/>
      <c r="AB1030" s="161">
        <f t="shared" ref="AB1030:AB1056" si="1236">AX1030/(1-AF1030)</f>
        <v>67.83340116673449</v>
      </c>
      <c r="AC1030" s="161"/>
      <c r="AD1030" s="213">
        <f t="shared" ref="AD1030:AD1056" si="1237">AE1030</f>
        <v>0.05</v>
      </c>
      <c r="AE1030" s="213">
        <v>0.05</v>
      </c>
      <c r="AF1030" s="219">
        <v>0.37</v>
      </c>
      <c r="AG1030" s="218" t="s">
        <v>9</v>
      </c>
      <c r="AH1030" s="148">
        <f t="shared" ref="AH1030:AH1056" si="1238">AB1030</f>
        <v>67.83340116673449</v>
      </c>
      <c r="AI1030" s="206">
        <f t="shared" ref="AI1030:AI1056" si="1239">1-(AX1030/AH1030)</f>
        <v>0.37</v>
      </c>
      <c r="AJ1030" s="444"/>
      <c r="AK1030" s="201">
        <f t="shared" ref="AK1030:AK1056" si="1240">AW1030/(1-AD1030)</f>
        <v>42.10526315789474</v>
      </c>
      <c r="AL1030" s="202">
        <f t="shared" ref="AL1030:AL1056" si="1241">AX1030/(1-AE1030)</f>
        <v>44.984255510571302</v>
      </c>
      <c r="AM1030" s="208">
        <f t="shared" ref="AM1030:AM1056" si="1242">1-(AK1030/Z1030)</f>
        <v>0.39000000000000012</v>
      </c>
      <c r="AN1030" s="208">
        <f t="shared" ref="AN1030:AN1056" si="1243">1-(AL1030/AB1030)</f>
        <v>0.33684210526315772</v>
      </c>
      <c r="AO1030" s="129"/>
      <c r="AP1030" s="170" t="s">
        <v>1267</v>
      </c>
      <c r="AQ1030" s="204"/>
      <c r="AR1030" s="204"/>
      <c r="AS1030" s="197"/>
      <c r="AT1030" s="162"/>
      <c r="AU1030" s="162"/>
      <c r="AV1030" s="173"/>
      <c r="AW1030" s="203">
        <f>VLOOKUP(I1030,'[7]ACCESSORIES 19'!$C$5:$I$63,6,FALSE)</f>
        <v>40</v>
      </c>
      <c r="AX1030" s="126">
        <f t="shared" ref="AX1030:AX1056" si="1244">AW1030/$F$6*1.25+AW1030*U1030</f>
        <v>42.735042735042732</v>
      </c>
      <c r="BB1030" s="168">
        <f t="shared" si="1231"/>
        <v>226.1113372224483</v>
      </c>
      <c r="BC1030" s="168">
        <f t="shared" si="1232"/>
        <v>135.66680233346898</v>
      </c>
      <c r="BD1030" s="168">
        <f t="shared" si="1233"/>
        <v>113.05566861122415</v>
      </c>
      <c r="BE1030" s="168">
        <f t="shared" si="1234"/>
        <v>90.444534888979319</v>
      </c>
      <c r="BF1030" s="129"/>
    </row>
    <row r="1031" spans="1:58" ht="15" hidden="1">
      <c r="A1031" s="88" t="s">
        <v>1276</v>
      </c>
      <c r="B1031" s="88" t="s">
        <v>1846</v>
      </c>
      <c r="C1031" s="88" t="s">
        <v>1318</v>
      </c>
      <c r="D1031" s="88" t="s">
        <v>1102</v>
      </c>
      <c r="E1031" s="90" t="s">
        <v>1103</v>
      </c>
      <c r="F1031" s="90" t="s">
        <v>1103</v>
      </c>
      <c r="G1031" s="92"/>
      <c r="H1031" s="92"/>
      <c r="I1031" s="233" t="s">
        <v>3173</v>
      </c>
      <c r="J1031" s="132"/>
      <c r="K1031" s="89" t="s">
        <v>3213</v>
      </c>
      <c r="L1031" s="88" t="s">
        <v>3225</v>
      </c>
      <c r="M1031" s="92"/>
      <c r="N1031" s="91" t="s">
        <v>1223</v>
      </c>
      <c r="O1031" s="131"/>
      <c r="P1031" s="90" t="s">
        <v>2206</v>
      </c>
      <c r="Q1031" s="92" t="s">
        <v>3237</v>
      </c>
      <c r="R1031" s="131"/>
      <c r="S1031" s="92"/>
      <c r="T1031" s="131">
        <v>9403208000</v>
      </c>
      <c r="U1031" s="155">
        <v>0</v>
      </c>
      <c r="V1031" s="131">
        <v>45</v>
      </c>
      <c r="W1031" s="131">
        <v>45</v>
      </c>
      <c r="X1031" s="207">
        <v>55</v>
      </c>
      <c r="Y1031" s="131" t="s">
        <v>1706</v>
      </c>
      <c r="Z1031" s="133">
        <f t="shared" si="1235"/>
        <v>13.201035375323558</v>
      </c>
      <c r="AA1031" s="133"/>
      <c r="AB1031" s="161">
        <f t="shared" si="1236"/>
        <v>12.973137973137973</v>
      </c>
      <c r="AC1031" s="161"/>
      <c r="AD1031" s="213">
        <f t="shared" si="1237"/>
        <v>0.05</v>
      </c>
      <c r="AE1031" s="213">
        <v>0.05</v>
      </c>
      <c r="AF1031" s="219">
        <v>0.37</v>
      </c>
      <c r="AG1031" s="218" t="s">
        <v>9</v>
      </c>
      <c r="AH1031" s="148">
        <f t="shared" si="1238"/>
        <v>12.973137973137973</v>
      </c>
      <c r="AI1031" s="206">
        <f t="shared" si="1239"/>
        <v>0.37</v>
      </c>
      <c r="AJ1031" s="444"/>
      <c r="AK1031" s="201">
        <f t="shared" si="1240"/>
        <v>8.0526315789473699</v>
      </c>
      <c r="AL1031" s="202">
        <f t="shared" si="1241"/>
        <v>8.6032388663967616</v>
      </c>
      <c r="AM1031" s="208">
        <f t="shared" si="1242"/>
        <v>0.39</v>
      </c>
      <c r="AN1031" s="208">
        <f t="shared" si="1243"/>
        <v>0.33684210526315783</v>
      </c>
      <c r="AO1031" s="129"/>
      <c r="AP1031" s="170" t="s">
        <v>1267</v>
      </c>
      <c r="AQ1031" s="204"/>
      <c r="AR1031" s="204"/>
      <c r="AS1031" s="197"/>
      <c r="AT1031" s="162"/>
      <c r="AU1031" s="162"/>
      <c r="AV1031" s="173"/>
      <c r="AW1031" s="203">
        <f>VLOOKUP(I1031,'[7]ACCESSORIES 19'!$C$5:$I$63,6,FALSE)</f>
        <v>7.65</v>
      </c>
      <c r="AX1031" s="126">
        <f t="shared" si="1244"/>
        <v>8.1730769230769234</v>
      </c>
      <c r="BB1031" s="168">
        <f t="shared" si="1231"/>
        <v>43.243793243793249</v>
      </c>
      <c r="BC1031" s="168">
        <f t="shared" si="1232"/>
        <v>25.94627594627595</v>
      </c>
      <c r="BD1031" s="168">
        <f t="shared" si="1233"/>
        <v>21.621896621896624</v>
      </c>
      <c r="BE1031" s="168">
        <f t="shared" si="1234"/>
        <v>17.297517297517299</v>
      </c>
      <c r="BF1031" s="129"/>
    </row>
    <row r="1032" spans="1:58" ht="15" hidden="1">
      <c r="A1032" s="88" t="s">
        <v>1276</v>
      </c>
      <c r="B1032" s="88" t="s">
        <v>1846</v>
      </c>
      <c r="C1032" s="88" t="s">
        <v>1318</v>
      </c>
      <c r="D1032" s="88" t="s">
        <v>1102</v>
      </c>
      <c r="E1032" s="90" t="s">
        <v>1103</v>
      </c>
      <c r="F1032" s="90" t="s">
        <v>1103</v>
      </c>
      <c r="G1032" s="92"/>
      <c r="H1032" s="92"/>
      <c r="I1032" s="233" t="s">
        <v>3174</v>
      </c>
      <c r="J1032" s="132"/>
      <c r="K1032" s="89" t="s">
        <v>3214</v>
      </c>
      <c r="L1032" s="88" t="s">
        <v>3226</v>
      </c>
      <c r="M1032" s="92"/>
      <c r="N1032" s="91" t="s">
        <v>1223</v>
      </c>
      <c r="O1032" s="131"/>
      <c r="P1032" s="90" t="s">
        <v>2206</v>
      </c>
      <c r="Q1032" s="92" t="s">
        <v>3237</v>
      </c>
      <c r="R1032" s="131"/>
      <c r="S1032" s="92"/>
      <c r="T1032" s="131">
        <v>9403208000</v>
      </c>
      <c r="U1032" s="155">
        <v>0</v>
      </c>
      <c r="V1032" s="131">
        <v>45</v>
      </c>
      <c r="W1032" s="131">
        <v>45</v>
      </c>
      <c r="X1032" s="207">
        <v>55</v>
      </c>
      <c r="Y1032" s="131" t="s">
        <v>1706</v>
      </c>
      <c r="Z1032" s="133">
        <f t="shared" si="1235"/>
        <v>15.53062985332183</v>
      </c>
      <c r="AA1032" s="133"/>
      <c r="AB1032" s="161">
        <f t="shared" si="1236"/>
        <v>15.262515262515262</v>
      </c>
      <c r="AC1032" s="161"/>
      <c r="AD1032" s="213">
        <f t="shared" si="1237"/>
        <v>0.05</v>
      </c>
      <c r="AE1032" s="213">
        <v>0.05</v>
      </c>
      <c r="AF1032" s="219">
        <v>0.37</v>
      </c>
      <c r="AG1032" s="218" t="s">
        <v>9</v>
      </c>
      <c r="AH1032" s="148">
        <f t="shared" si="1238"/>
        <v>15.262515262515262</v>
      </c>
      <c r="AI1032" s="206">
        <f t="shared" si="1239"/>
        <v>0.37</v>
      </c>
      <c r="AJ1032" s="444"/>
      <c r="AK1032" s="201">
        <f t="shared" si="1240"/>
        <v>9.4736842105263168</v>
      </c>
      <c r="AL1032" s="202">
        <f t="shared" si="1241"/>
        <v>10.121457489878543</v>
      </c>
      <c r="AM1032" s="208">
        <f t="shared" si="1242"/>
        <v>0.39</v>
      </c>
      <c r="AN1032" s="208">
        <f t="shared" si="1243"/>
        <v>0.33684210526315783</v>
      </c>
      <c r="AO1032" s="129"/>
      <c r="AP1032" s="170" t="s">
        <v>1267</v>
      </c>
      <c r="AQ1032" s="204"/>
      <c r="AR1032" s="204"/>
      <c r="AS1032" s="197"/>
      <c r="AT1032" s="162"/>
      <c r="AU1032" s="162"/>
      <c r="AV1032" s="173"/>
      <c r="AW1032" s="203">
        <f>VLOOKUP(I1032,'[7]ACCESSORIES 19'!$C$5:$I$63,6,FALSE)</f>
        <v>9</v>
      </c>
      <c r="AX1032" s="126">
        <f t="shared" si="1244"/>
        <v>9.615384615384615</v>
      </c>
      <c r="BB1032" s="168">
        <f t="shared" si="1231"/>
        <v>50.875050875050874</v>
      </c>
      <c r="BC1032" s="168">
        <f t="shared" si="1232"/>
        <v>30.525030525030523</v>
      </c>
      <c r="BD1032" s="168">
        <f t="shared" si="1233"/>
        <v>25.437525437525437</v>
      </c>
      <c r="BE1032" s="168">
        <f t="shared" si="1234"/>
        <v>20.350020350020351</v>
      </c>
      <c r="BF1032" s="129"/>
    </row>
    <row r="1033" spans="1:58" ht="15" hidden="1">
      <c r="A1033" s="88" t="s">
        <v>1276</v>
      </c>
      <c r="B1033" s="88" t="s">
        <v>1846</v>
      </c>
      <c r="C1033" s="88" t="s">
        <v>1318</v>
      </c>
      <c r="D1033" s="88" t="s">
        <v>1102</v>
      </c>
      <c r="E1033" s="90" t="s">
        <v>1103</v>
      </c>
      <c r="F1033" s="90" t="s">
        <v>1103</v>
      </c>
      <c r="G1033" s="92"/>
      <c r="H1033" s="92"/>
      <c r="I1033" s="233" t="s">
        <v>3175</v>
      </c>
      <c r="J1033" s="132"/>
      <c r="K1033" s="89" t="s">
        <v>3215</v>
      </c>
      <c r="L1033" s="88" t="s">
        <v>3227</v>
      </c>
      <c r="M1033" s="92"/>
      <c r="N1033" s="91" t="s">
        <v>1223</v>
      </c>
      <c r="O1033" s="131"/>
      <c r="P1033" s="90" t="s">
        <v>2206</v>
      </c>
      <c r="Q1033" s="92" t="s">
        <v>3237</v>
      </c>
      <c r="R1033" s="131"/>
      <c r="S1033" s="92"/>
      <c r="T1033" s="131">
        <v>9403208000</v>
      </c>
      <c r="U1033" s="155">
        <v>0</v>
      </c>
      <c r="V1033" s="131">
        <v>45</v>
      </c>
      <c r="W1033" s="131">
        <v>45</v>
      </c>
      <c r="X1033" s="207">
        <v>55</v>
      </c>
      <c r="Y1033" s="131" t="s">
        <v>1706</v>
      </c>
      <c r="Z1033" s="133">
        <f t="shared" si="1235"/>
        <v>18.119068162208801</v>
      </c>
      <c r="AA1033" s="133"/>
      <c r="AB1033" s="161">
        <f t="shared" si="1236"/>
        <v>17.806267806267808</v>
      </c>
      <c r="AC1033" s="161"/>
      <c r="AD1033" s="213">
        <f t="shared" si="1237"/>
        <v>0.05</v>
      </c>
      <c r="AE1033" s="213">
        <v>0.05</v>
      </c>
      <c r="AF1033" s="219">
        <v>0.37</v>
      </c>
      <c r="AG1033" s="218" t="s">
        <v>9</v>
      </c>
      <c r="AH1033" s="148">
        <f t="shared" si="1238"/>
        <v>17.806267806267808</v>
      </c>
      <c r="AI1033" s="206">
        <f t="shared" si="1239"/>
        <v>0.37</v>
      </c>
      <c r="AJ1033" s="444"/>
      <c r="AK1033" s="201">
        <f t="shared" si="1240"/>
        <v>11.052631578947368</v>
      </c>
      <c r="AL1033" s="202">
        <f t="shared" si="1241"/>
        <v>11.808367071524968</v>
      </c>
      <c r="AM1033" s="208">
        <f t="shared" si="1242"/>
        <v>0.39</v>
      </c>
      <c r="AN1033" s="208">
        <f t="shared" si="1243"/>
        <v>0.33684210526315783</v>
      </c>
      <c r="AO1033" s="129"/>
      <c r="AP1033" s="170" t="s">
        <v>1267</v>
      </c>
      <c r="AQ1033" s="204"/>
      <c r="AR1033" s="204"/>
      <c r="AS1033" s="197"/>
      <c r="AT1033" s="162"/>
      <c r="AU1033" s="162"/>
      <c r="AV1033" s="173"/>
      <c r="AW1033" s="203">
        <f>VLOOKUP(I1033,'[7]ACCESSORIES 19'!$C$5:$I$63,6,FALSE)</f>
        <v>10.5</v>
      </c>
      <c r="AX1033" s="126">
        <f t="shared" si="1244"/>
        <v>11.217948717948719</v>
      </c>
      <c r="BB1033" s="168">
        <f t="shared" si="1231"/>
        <v>59.354226020892696</v>
      </c>
      <c r="BC1033" s="168">
        <f t="shared" si="1232"/>
        <v>35.612535612535616</v>
      </c>
      <c r="BD1033" s="168">
        <f t="shared" si="1233"/>
        <v>29.677113010446348</v>
      </c>
      <c r="BE1033" s="168">
        <f t="shared" si="1234"/>
        <v>23.74169040835708</v>
      </c>
      <c r="BF1033" s="129"/>
    </row>
    <row r="1034" spans="1:58" ht="15" hidden="1">
      <c r="A1034" s="88" t="s">
        <v>1276</v>
      </c>
      <c r="B1034" s="88" t="s">
        <v>1846</v>
      </c>
      <c r="C1034" s="88" t="s">
        <v>1318</v>
      </c>
      <c r="D1034" s="88" t="s">
        <v>1102</v>
      </c>
      <c r="E1034" s="90" t="s">
        <v>1103</v>
      </c>
      <c r="F1034" s="90" t="s">
        <v>1103</v>
      </c>
      <c r="G1034" s="92"/>
      <c r="H1034" s="92"/>
      <c r="I1034" s="233" t="s">
        <v>3176</v>
      </c>
      <c r="J1034" s="132"/>
      <c r="K1034" s="89" t="s">
        <v>3216</v>
      </c>
      <c r="L1034" s="88" t="s">
        <v>3228</v>
      </c>
      <c r="M1034" s="92"/>
      <c r="N1034" s="91" t="s">
        <v>1223</v>
      </c>
      <c r="O1034" s="131"/>
      <c r="P1034" s="90" t="s">
        <v>2206</v>
      </c>
      <c r="Q1034" s="92" t="s">
        <v>3237</v>
      </c>
      <c r="R1034" s="131"/>
      <c r="S1034" s="92"/>
      <c r="T1034" s="131">
        <v>9403208000</v>
      </c>
      <c r="U1034" s="155">
        <v>0</v>
      </c>
      <c r="V1034" s="131">
        <v>45</v>
      </c>
      <c r="W1034" s="131">
        <v>45</v>
      </c>
      <c r="X1034" s="207">
        <v>55</v>
      </c>
      <c r="Y1034" s="131" t="s">
        <v>1706</v>
      </c>
      <c r="Z1034" s="133">
        <f t="shared" si="1235"/>
        <v>18.981880931837793</v>
      </c>
      <c r="AA1034" s="133"/>
      <c r="AB1034" s="161">
        <f t="shared" si="1236"/>
        <v>18.65418532085199</v>
      </c>
      <c r="AC1034" s="161"/>
      <c r="AD1034" s="213">
        <f t="shared" si="1237"/>
        <v>0.05</v>
      </c>
      <c r="AE1034" s="213">
        <v>0.05</v>
      </c>
      <c r="AF1034" s="219">
        <v>0.37</v>
      </c>
      <c r="AG1034" s="218" t="s">
        <v>9</v>
      </c>
      <c r="AH1034" s="148">
        <f t="shared" si="1238"/>
        <v>18.65418532085199</v>
      </c>
      <c r="AI1034" s="206">
        <f t="shared" si="1239"/>
        <v>0.37</v>
      </c>
      <c r="AJ1034" s="444"/>
      <c r="AK1034" s="201">
        <f t="shared" si="1240"/>
        <v>11.578947368421053</v>
      </c>
      <c r="AL1034" s="202">
        <f t="shared" si="1241"/>
        <v>12.370670265407108</v>
      </c>
      <c r="AM1034" s="208">
        <f t="shared" si="1242"/>
        <v>0.39</v>
      </c>
      <c r="AN1034" s="208">
        <f t="shared" si="1243"/>
        <v>0.33684210526315794</v>
      </c>
      <c r="AO1034" s="129"/>
      <c r="AP1034" s="170" t="s">
        <v>1267</v>
      </c>
      <c r="AQ1034" s="204"/>
      <c r="AR1034" s="204"/>
      <c r="AS1034" s="197"/>
      <c r="AT1034" s="162"/>
      <c r="AU1034" s="162"/>
      <c r="AV1034" s="173"/>
      <c r="AW1034" s="203">
        <f>VLOOKUP(I1034,'[7]ACCESSORIES 19'!$C$5:$I$63,6,FALSE)</f>
        <v>11</v>
      </c>
      <c r="AX1034" s="126">
        <f t="shared" si="1244"/>
        <v>11.752136752136753</v>
      </c>
      <c r="BB1034" s="168">
        <f t="shared" si="1231"/>
        <v>62.180617736173303</v>
      </c>
      <c r="BC1034" s="168">
        <f t="shared" si="1232"/>
        <v>37.308370641703981</v>
      </c>
      <c r="BD1034" s="168">
        <f t="shared" si="1233"/>
        <v>31.090308868086652</v>
      </c>
      <c r="BE1034" s="168">
        <f t="shared" si="1234"/>
        <v>24.872247094469323</v>
      </c>
      <c r="BF1034" s="129"/>
    </row>
    <row r="1035" spans="1:58" ht="15" hidden="1">
      <c r="A1035" s="88" t="s">
        <v>1276</v>
      </c>
      <c r="B1035" s="88" t="s">
        <v>1846</v>
      </c>
      <c r="C1035" s="88" t="s">
        <v>1318</v>
      </c>
      <c r="D1035" s="88" t="s">
        <v>1102</v>
      </c>
      <c r="E1035" s="90" t="s">
        <v>1103</v>
      </c>
      <c r="F1035" s="90" t="s">
        <v>1103</v>
      </c>
      <c r="G1035" s="92"/>
      <c r="H1035" s="92"/>
      <c r="I1035" s="233" t="s">
        <v>3965</v>
      </c>
      <c r="J1035" s="132"/>
      <c r="K1035" s="89" t="s">
        <v>3966</v>
      </c>
      <c r="L1035" s="88" t="s">
        <v>3967</v>
      </c>
      <c r="M1035" s="92"/>
      <c r="N1035" s="91" t="s">
        <v>1223</v>
      </c>
      <c r="O1035" s="131"/>
      <c r="P1035" s="90" t="s">
        <v>2206</v>
      </c>
      <c r="Q1035" s="92" t="s">
        <v>3237</v>
      </c>
      <c r="R1035" s="131"/>
      <c r="S1035" s="92"/>
      <c r="T1035" s="131">
        <v>9403208000</v>
      </c>
      <c r="U1035" s="324">
        <v>0</v>
      </c>
      <c r="V1035" s="131">
        <v>45</v>
      </c>
      <c r="W1035" s="131">
        <v>45</v>
      </c>
      <c r="X1035" s="207">
        <v>55</v>
      </c>
      <c r="Y1035" s="131" t="s">
        <v>1706</v>
      </c>
      <c r="Z1035" s="133">
        <f>AK1035/(1-(AF1035+2%))</f>
        <v>28.472821397756686</v>
      </c>
      <c r="AA1035" s="133"/>
      <c r="AB1035" s="161">
        <f>AX1035/(1-AF1035)</f>
        <v>27.981277981277987</v>
      </c>
      <c r="AC1035" s="161"/>
      <c r="AD1035" s="213">
        <f>AE1035</f>
        <v>0.05</v>
      </c>
      <c r="AE1035" s="213">
        <v>0.05</v>
      </c>
      <c r="AF1035" s="219">
        <v>0.37</v>
      </c>
      <c r="AG1035" s="218" t="s">
        <v>9</v>
      </c>
      <c r="AH1035" s="148">
        <f>AB1035</f>
        <v>27.981277981277987</v>
      </c>
      <c r="AI1035" s="565">
        <f>1-(AX1035/AH1035)</f>
        <v>0.37</v>
      </c>
      <c r="AJ1035" s="444"/>
      <c r="AK1035" s="201">
        <f>AW1035/(1-AD1035)</f>
        <v>17.368421052631579</v>
      </c>
      <c r="AL1035" s="202">
        <f>AX1035/(1-AE1035)</f>
        <v>18.556005398110667</v>
      </c>
      <c r="AM1035" s="566">
        <f>1-(AK1035/Z1035)</f>
        <v>0.39</v>
      </c>
      <c r="AN1035" s="566">
        <f>1-(AL1035/AB1035)</f>
        <v>0.33684210526315783</v>
      </c>
      <c r="AO1035" s="129"/>
      <c r="AP1035" s="170" t="s">
        <v>1267</v>
      </c>
      <c r="AQ1035" s="204"/>
      <c r="AR1035" s="204"/>
      <c r="AS1035" s="197"/>
      <c r="AT1035" s="162"/>
      <c r="AU1035" s="162"/>
      <c r="AV1035" s="173"/>
      <c r="AW1035" s="203">
        <f>VLOOKUP(I1035,'[7]ACCESSORIES 19'!$C$5:$I$63,6,FALSE)</f>
        <v>16.5</v>
      </c>
      <c r="AX1035" s="126">
        <f>AW1035/$F$6*1.25+AW1035*U1035</f>
        <v>17.628205128205131</v>
      </c>
      <c r="BB1035" s="168">
        <f>AB1035/0.3</f>
        <v>93.270926604259955</v>
      </c>
      <c r="BC1035" s="168">
        <f>BB1035*0.6</f>
        <v>55.962555962555975</v>
      </c>
      <c r="BD1035" s="168">
        <f>BB1035*0.5</f>
        <v>46.635463302129978</v>
      </c>
      <c r="BE1035" s="168">
        <f>BB1035*0.4</f>
        <v>37.308370641703981</v>
      </c>
      <c r="BF1035" s="129"/>
    </row>
    <row r="1036" spans="1:58" ht="15" hidden="1">
      <c r="A1036" s="88" t="s">
        <v>1276</v>
      </c>
      <c r="B1036" s="88" t="s">
        <v>1846</v>
      </c>
      <c r="C1036" s="88" t="s">
        <v>1318</v>
      </c>
      <c r="D1036" s="88" t="s">
        <v>1102</v>
      </c>
      <c r="E1036" s="90" t="s">
        <v>1103</v>
      </c>
      <c r="F1036" s="90" t="s">
        <v>1103</v>
      </c>
      <c r="G1036" s="92"/>
      <c r="H1036" s="92"/>
      <c r="I1036" s="233" t="s">
        <v>3177</v>
      </c>
      <c r="J1036" s="132"/>
      <c r="K1036" s="89" t="s">
        <v>3218</v>
      </c>
      <c r="L1036" s="88" t="s">
        <v>3230</v>
      </c>
      <c r="M1036" s="92"/>
      <c r="N1036" s="91" t="s">
        <v>1223</v>
      </c>
      <c r="O1036" s="131"/>
      <c r="P1036" s="90" t="s">
        <v>2206</v>
      </c>
      <c r="Q1036" s="92" t="s">
        <v>3237</v>
      </c>
      <c r="R1036" s="131"/>
      <c r="S1036" s="92"/>
      <c r="T1036" s="131">
        <v>9403208000</v>
      </c>
      <c r="U1036" s="155">
        <v>0</v>
      </c>
      <c r="V1036" s="131">
        <v>45</v>
      </c>
      <c r="W1036" s="131">
        <v>45</v>
      </c>
      <c r="X1036" s="207">
        <v>55</v>
      </c>
      <c r="Y1036" s="131" t="s">
        <v>1706</v>
      </c>
      <c r="Z1036" s="133">
        <f t="shared" si="1235"/>
        <v>28.472821397756686</v>
      </c>
      <c r="AA1036" s="133"/>
      <c r="AB1036" s="161">
        <f t="shared" si="1236"/>
        <v>27.981277981277987</v>
      </c>
      <c r="AC1036" s="161"/>
      <c r="AD1036" s="213">
        <f t="shared" si="1237"/>
        <v>0.05</v>
      </c>
      <c r="AE1036" s="213">
        <v>0.05</v>
      </c>
      <c r="AF1036" s="219">
        <v>0.37</v>
      </c>
      <c r="AG1036" s="218" t="s">
        <v>9</v>
      </c>
      <c r="AH1036" s="148">
        <f t="shared" si="1238"/>
        <v>27.981277981277987</v>
      </c>
      <c r="AI1036" s="206">
        <f t="shared" si="1239"/>
        <v>0.37</v>
      </c>
      <c r="AJ1036" s="444"/>
      <c r="AK1036" s="201">
        <f t="shared" si="1240"/>
        <v>17.368421052631579</v>
      </c>
      <c r="AL1036" s="202">
        <f t="shared" si="1241"/>
        <v>18.556005398110667</v>
      </c>
      <c r="AM1036" s="208">
        <f t="shared" si="1242"/>
        <v>0.39</v>
      </c>
      <c r="AN1036" s="208">
        <f t="shared" si="1243"/>
        <v>0.33684210526315783</v>
      </c>
      <c r="AO1036" s="129"/>
      <c r="AP1036" s="170" t="s">
        <v>1267</v>
      </c>
      <c r="AQ1036" s="204"/>
      <c r="AR1036" s="204"/>
      <c r="AS1036" s="197"/>
      <c r="AT1036" s="162"/>
      <c r="AU1036" s="162"/>
      <c r="AV1036" s="173"/>
      <c r="AW1036" s="203">
        <f>VLOOKUP(I1036,'[7]ACCESSORIES 19'!$C$5:$I$63,6,FALSE)</f>
        <v>16.5</v>
      </c>
      <c r="AX1036" s="126">
        <f t="shared" si="1244"/>
        <v>17.628205128205131</v>
      </c>
      <c r="BB1036" s="168">
        <f t="shared" si="1231"/>
        <v>93.270926604259955</v>
      </c>
      <c r="BC1036" s="168">
        <f t="shared" si="1232"/>
        <v>55.962555962555975</v>
      </c>
      <c r="BD1036" s="168">
        <f t="shared" si="1233"/>
        <v>46.635463302129978</v>
      </c>
      <c r="BE1036" s="168">
        <f t="shared" si="1234"/>
        <v>37.308370641703981</v>
      </c>
      <c r="BF1036" s="129"/>
    </row>
    <row r="1037" spans="1:58" ht="15" hidden="1">
      <c r="A1037" s="88" t="s">
        <v>1276</v>
      </c>
      <c r="B1037" s="88" t="s">
        <v>1846</v>
      </c>
      <c r="C1037" s="88" t="s">
        <v>1318</v>
      </c>
      <c r="D1037" s="88" t="s">
        <v>1102</v>
      </c>
      <c r="E1037" s="90" t="s">
        <v>1103</v>
      </c>
      <c r="F1037" s="90" t="s">
        <v>1103</v>
      </c>
      <c r="G1037" s="92"/>
      <c r="H1037" s="92"/>
      <c r="I1037" s="233" t="s">
        <v>3178</v>
      </c>
      <c r="J1037" s="132"/>
      <c r="K1037" s="89" t="s">
        <v>3217</v>
      </c>
      <c r="L1037" s="88" t="s">
        <v>3229</v>
      </c>
      <c r="M1037" s="92"/>
      <c r="N1037" s="91" t="s">
        <v>1223</v>
      </c>
      <c r="O1037" s="131"/>
      <c r="P1037" s="90" t="s">
        <v>2206</v>
      </c>
      <c r="Q1037" s="92" t="s">
        <v>3237</v>
      </c>
      <c r="R1037" s="131"/>
      <c r="S1037" s="92"/>
      <c r="T1037" s="131">
        <v>9403208000</v>
      </c>
      <c r="U1037" s="155">
        <v>0</v>
      </c>
      <c r="V1037" s="131">
        <v>45</v>
      </c>
      <c r="W1037" s="131">
        <v>45</v>
      </c>
      <c r="X1037" s="207">
        <v>55</v>
      </c>
      <c r="Y1037" s="131" t="s">
        <v>1706</v>
      </c>
      <c r="Z1037" s="133">
        <f t="shared" si="1235"/>
        <v>23.727351164797241</v>
      </c>
      <c r="AA1037" s="133"/>
      <c r="AB1037" s="161">
        <f t="shared" si="1236"/>
        <v>23.317731651064985</v>
      </c>
      <c r="AC1037" s="161"/>
      <c r="AD1037" s="213">
        <f t="shared" si="1237"/>
        <v>0.05</v>
      </c>
      <c r="AE1037" s="213">
        <v>0.05</v>
      </c>
      <c r="AF1037" s="219">
        <v>0.37</v>
      </c>
      <c r="AG1037" s="218" t="s">
        <v>9</v>
      </c>
      <c r="AH1037" s="148">
        <f t="shared" si="1238"/>
        <v>23.317731651064985</v>
      </c>
      <c r="AI1037" s="206">
        <f t="shared" si="1239"/>
        <v>0.37</v>
      </c>
      <c r="AJ1037" s="444"/>
      <c r="AK1037" s="201">
        <f t="shared" si="1240"/>
        <v>14.473684210526317</v>
      </c>
      <c r="AL1037" s="202">
        <f t="shared" si="1241"/>
        <v>15.463337831758885</v>
      </c>
      <c r="AM1037" s="208">
        <f t="shared" si="1242"/>
        <v>0.39</v>
      </c>
      <c r="AN1037" s="208">
        <f t="shared" si="1243"/>
        <v>0.33684210526315794</v>
      </c>
      <c r="AO1037" s="129"/>
      <c r="AP1037" s="170" t="s">
        <v>1267</v>
      </c>
      <c r="AQ1037" s="204"/>
      <c r="AR1037" s="204"/>
      <c r="AS1037" s="197"/>
      <c r="AT1037" s="162"/>
      <c r="AU1037" s="162"/>
      <c r="AV1037" s="173"/>
      <c r="AW1037" s="203">
        <f>VLOOKUP(I1037,'[7]ACCESSORIES 19'!$C$5:$I$63,6,FALSE)</f>
        <v>13.75</v>
      </c>
      <c r="AX1037" s="126">
        <f t="shared" si="1244"/>
        <v>14.69017094017094</v>
      </c>
      <c r="BB1037" s="168">
        <f t="shared" si="1231"/>
        <v>77.725772170216615</v>
      </c>
      <c r="BC1037" s="168">
        <f t="shared" si="1232"/>
        <v>46.63546330212997</v>
      </c>
      <c r="BD1037" s="168">
        <f t="shared" si="1233"/>
        <v>38.862886085108308</v>
      </c>
      <c r="BE1037" s="168">
        <f t="shared" si="1234"/>
        <v>31.090308868086648</v>
      </c>
      <c r="BF1037" s="129"/>
    </row>
    <row r="1038" spans="1:58" ht="15" hidden="1">
      <c r="A1038" s="88" t="s">
        <v>1276</v>
      </c>
      <c r="B1038" s="88" t="s">
        <v>1846</v>
      </c>
      <c r="C1038" s="88" t="s">
        <v>1318</v>
      </c>
      <c r="D1038" s="88" t="s">
        <v>1102</v>
      </c>
      <c r="E1038" s="90" t="s">
        <v>1103</v>
      </c>
      <c r="F1038" s="90" t="s">
        <v>1103</v>
      </c>
      <c r="G1038" s="92"/>
      <c r="H1038" s="92"/>
      <c r="I1038" s="233" t="s">
        <v>3179</v>
      </c>
      <c r="J1038" s="132"/>
      <c r="K1038" s="89" t="s">
        <v>3219</v>
      </c>
      <c r="L1038" s="88" t="s">
        <v>3231</v>
      </c>
      <c r="M1038" s="92"/>
      <c r="N1038" s="91" t="s">
        <v>1223</v>
      </c>
      <c r="O1038" s="131"/>
      <c r="P1038" s="90" t="s">
        <v>2206</v>
      </c>
      <c r="Q1038" s="92" t="s">
        <v>3237</v>
      </c>
      <c r="R1038" s="131"/>
      <c r="S1038" s="92"/>
      <c r="T1038" s="131">
        <v>9403208000</v>
      </c>
      <c r="U1038" s="155">
        <v>0</v>
      </c>
      <c r="V1038" s="131">
        <v>45</v>
      </c>
      <c r="W1038" s="131">
        <v>45</v>
      </c>
      <c r="X1038" s="207">
        <v>55</v>
      </c>
      <c r="Y1038" s="131" t="s">
        <v>1706</v>
      </c>
      <c r="Z1038" s="133">
        <f t="shared" si="1235"/>
        <v>25.884383088869718</v>
      </c>
      <c r="AA1038" s="133"/>
      <c r="AB1038" s="161">
        <f t="shared" si="1236"/>
        <v>25.437525437525437</v>
      </c>
      <c r="AC1038" s="161"/>
      <c r="AD1038" s="213">
        <f t="shared" si="1237"/>
        <v>0.05</v>
      </c>
      <c r="AE1038" s="213">
        <v>0.05</v>
      </c>
      <c r="AF1038" s="219">
        <v>0.37</v>
      </c>
      <c r="AG1038" s="218" t="s">
        <v>9</v>
      </c>
      <c r="AH1038" s="148">
        <f t="shared" si="1238"/>
        <v>25.437525437525437</v>
      </c>
      <c r="AI1038" s="206">
        <f t="shared" si="1239"/>
        <v>0.37</v>
      </c>
      <c r="AJ1038" s="444"/>
      <c r="AK1038" s="201">
        <f t="shared" si="1240"/>
        <v>15.789473684210527</v>
      </c>
      <c r="AL1038" s="202">
        <f t="shared" si="1241"/>
        <v>16.869095816464238</v>
      </c>
      <c r="AM1038" s="208">
        <f t="shared" si="1242"/>
        <v>0.39</v>
      </c>
      <c r="AN1038" s="208">
        <f t="shared" si="1243"/>
        <v>0.33684210526315783</v>
      </c>
      <c r="AO1038" s="129"/>
      <c r="AP1038" s="170" t="s">
        <v>1267</v>
      </c>
      <c r="AQ1038" s="204"/>
      <c r="AR1038" s="204"/>
      <c r="AS1038" s="197"/>
      <c r="AT1038" s="162"/>
      <c r="AU1038" s="162"/>
      <c r="AV1038" s="173"/>
      <c r="AW1038" s="203">
        <f>VLOOKUP(I1038,'[7]ACCESSORIES 19'!$C$5:$I$63,6,FALSE)</f>
        <v>15</v>
      </c>
      <c r="AX1038" s="126">
        <f t="shared" si="1244"/>
        <v>16.025641025641026</v>
      </c>
      <c r="BB1038" s="168">
        <f t="shared" si="1231"/>
        <v>84.791751458418133</v>
      </c>
      <c r="BC1038" s="168">
        <f t="shared" si="1232"/>
        <v>50.875050875050881</v>
      </c>
      <c r="BD1038" s="168">
        <f t="shared" si="1233"/>
        <v>42.395875729209067</v>
      </c>
      <c r="BE1038" s="168">
        <f t="shared" si="1234"/>
        <v>33.916700583367252</v>
      </c>
      <c r="BF1038" s="129"/>
    </row>
    <row r="1039" spans="1:58" ht="15" hidden="1">
      <c r="A1039" s="88" t="s">
        <v>1276</v>
      </c>
      <c r="B1039" s="88" t="s">
        <v>1846</v>
      </c>
      <c r="C1039" s="88" t="s">
        <v>1318</v>
      </c>
      <c r="D1039" s="88" t="s">
        <v>1102</v>
      </c>
      <c r="E1039" s="90" t="s">
        <v>1103</v>
      </c>
      <c r="F1039" s="90" t="s">
        <v>1103</v>
      </c>
      <c r="G1039" s="92"/>
      <c r="H1039" s="92"/>
      <c r="I1039" s="233" t="s">
        <v>3180</v>
      </c>
      <c r="J1039" s="132"/>
      <c r="K1039" s="89" t="s">
        <v>3220</v>
      </c>
      <c r="L1039" s="88" t="s">
        <v>3232</v>
      </c>
      <c r="M1039" s="92"/>
      <c r="N1039" s="91" t="s">
        <v>1223</v>
      </c>
      <c r="O1039" s="131"/>
      <c r="P1039" s="90" t="s">
        <v>2206</v>
      </c>
      <c r="Q1039" s="92" t="s">
        <v>3237</v>
      </c>
      <c r="R1039" s="131"/>
      <c r="S1039" s="92"/>
      <c r="T1039" s="131">
        <v>9403208000</v>
      </c>
      <c r="U1039" s="155">
        <v>0</v>
      </c>
      <c r="V1039" s="131">
        <v>45</v>
      </c>
      <c r="W1039" s="131">
        <v>45</v>
      </c>
      <c r="X1039" s="207">
        <v>55</v>
      </c>
      <c r="Y1039" s="131" t="s">
        <v>1706</v>
      </c>
      <c r="Z1039" s="133">
        <f t="shared" si="1235"/>
        <v>31.061259706643661</v>
      </c>
      <c r="AA1039" s="133"/>
      <c r="AB1039" s="161">
        <f t="shared" si="1236"/>
        <v>30.525030525030523</v>
      </c>
      <c r="AC1039" s="161"/>
      <c r="AD1039" s="213">
        <f t="shared" si="1237"/>
        <v>0.05</v>
      </c>
      <c r="AE1039" s="213">
        <v>0.05</v>
      </c>
      <c r="AF1039" s="219">
        <v>0.37</v>
      </c>
      <c r="AG1039" s="218" t="s">
        <v>9</v>
      </c>
      <c r="AH1039" s="148">
        <f t="shared" si="1238"/>
        <v>30.525030525030523</v>
      </c>
      <c r="AI1039" s="206">
        <f t="shared" si="1239"/>
        <v>0.37</v>
      </c>
      <c r="AJ1039" s="444"/>
      <c r="AK1039" s="201">
        <f t="shared" si="1240"/>
        <v>18.947368421052634</v>
      </c>
      <c r="AL1039" s="202">
        <f t="shared" si="1241"/>
        <v>20.242914979757085</v>
      </c>
      <c r="AM1039" s="208">
        <f t="shared" si="1242"/>
        <v>0.39</v>
      </c>
      <c r="AN1039" s="208">
        <f t="shared" si="1243"/>
        <v>0.33684210526315783</v>
      </c>
      <c r="AO1039" s="129"/>
      <c r="AP1039" s="170" t="s">
        <v>1267</v>
      </c>
      <c r="AQ1039" s="204"/>
      <c r="AR1039" s="204"/>
      <c r="AS1039" s="197"/>
      <c r="AT1039" s="162"/>
      <c r="AU1039" s="162"/>
      <c r="AV1039" s="173"/>
      <c r="AW1039" s="203">
        <f>VLOOKUP(I1039,'[7]ACCESSORIES 19'!$C$5:$I$63,6,FALSE)</f>
        <v>18</v>
      </c>
      <c r="AX1039" s="126">
        <f t="shared" si="1244"/>
        <v>19.23076923076923</v>
      </c>
      <c r="BB1039" s="168">
        <f t="shared" si="1231"/>
        <v>101.75010175010175</v>
      </c>
      <c r="BC1039" s="168">
        <f t="shared" si="1232"/>
        <v>61.050061050061046</v>
      </c>
      <c r="BD1039" s="168">
        <f t="shared" si="1233"/>
        <v>50.875050875050874</v>
      </c>
      <c r="BE1039" s="168">
        <f t="shared" si="1234"/>
        <v>40.700040700040702</v>
      </c>
      <c r="BF1039" s="129"/>
    </row>
    <row r="1040" spans="1:58" ht="15" hidden="1">
      <c r="A1040" s="88" t="s">
        <v>1276</v>
      </c>
      <c r="B1040" s="88" t="s">
        <v>1846</v>
      </c>
      <c r="C1040" s="88" t="s">
        <v>1318</v>
      </c>
      <c r="D1040" s="88" t="s">
        <v>1102</v>
      </c>
      <c r="E1040" s="91" t="s">
        <v>2792</v>
      </c>
      <c r="F1040" s="90" t="s">
        <v>2793</v>
      </c>
      <c r="G1040" s="92"/>
      <c r="H1040" s="92"/>
      <c r="I1040" s="233" t="s">
        <v>3181</v>
      </c>
      <c r="J1040" s="132"/>
      <c r="K1040" s="89" t="s">
        <v>3200</v>
      </c>
      <c r="L1040" s="89" t="s">
        <v>3238</v>
      </c>
      <c r="M1040" s="92"/>
      <c r="N1040" s="91" t="s">
        <v>1223</v>
      </c>
      <c r="O1040" s="131"/>
      <c r="P1040" s="90" t="s">
        <v>2206</v>
      </c>
      <c r="Q1040" s="131"/>
      <c r="R1040" s="131"/>
      <c r="S1040" s="92"/>
      <c r="T1040" s="131">
        <v>9403208000</v>
      </c>
      <c r="U1040" s="155">
        <v>0</v>
      </c>
      <c r="V1040" s="131">
        <v>45</v>
      </c>
      <c r="W1040" s="131">
        <v>45</v>
      </c>
      <c r="X1040" s="131"/>
      <c r="Y1040" s="131" t="s">
        <v>1706</v>
      </c>
      <c r="Z1040" s="133">
        <f t="shared" si="1235"/>
        <v>25.884383088869718</v>
      </c>
      <c r="AA1040" s="133"/>
      <c r="AB1040" s="161">
        <f t="shared" si="1236"/>
        <v>25.437525437525437</v>
      </c>
      <c r="AC1040" s="161"/>
      <c r="AD1040" s="213">
        <f t="shared" si="1237"/>
        <v>0.05</v>
      </c>
      <c r="AE1040" s="213">
        <v>0.05</v>
      </c>
      <c r="AF1040" s="219">
        <v>0.37</v>
      </c>
      <c r="AG1040" s="218" t="s">
        <v>9</v>
      </c>
      <c r="AH1040" s="148">
        <f t="shared" si="1238"/>
        <v>25.437525437525437</v>
      </c>
      <c r="AI1040" s="206">
        <f t="shared" si="1239"/>
        <v>0.37</v>
      </c>
      <c r="AJ1040" s="444"/>
      <c r="AK1040" s="201">
        <f t="shared" si="1240"/>
        <v>15.789473684210527</v>
      </c>
      <c r="AL1040" s="202">
        <f t="shared" si="1241"/>
        <v>16.869095816464238</v>
      </c>
      <c r="AM1040" s="208">
        <f t="shared" si="1242"/>
        <v>0.39</v>
      </c>
      <c r="AN1040" s="208">
        <f t="shared" si="1243"/>
        <v>0.33684210526315783</v>
      </c>
      <c r="AO1040" s="129"/>
      <c r="AP1040" s="170" t="s">
        <v>1267</v>
      </c>
      <c r="AQ1040" s="204"/>
      <c r="AR1040" s="204"/>
      <c r="AS1040" s="197"/>
      <c r="AT1040" s="162"/>
      <c r="AU1040" s="162"/>
      <c r="AV1040" s="173"/>
      <c r="AW1040" s="203">
        <f>VLOOKUP(I1040,'[7]ACCESSORIES 19'!$C$5:$I$63,6,FALSE)</f>
        <v>15</v>
      </c>
      <c r="AX1040" s="126">
        <f t="shared" si="1244"/>
        <v>16.025641025641026</v>
      </c>
      <c r="BB1040" s="168">
        <f t="shared" si="1231"/>
        <v>84.791751458418133</v>
      </c>
      <c r="BC1040" s="168">
        <f t="shared" si="1232"/>
        <v>50.875050875050881</v>
      </c>
      <c r="BD1040" s="168">
        <f t="shared" si="1233"/>
        <v>42.395875729209067</v>
      </c>
      <c r="BE1040" s="168">
        <f t="shared" si="1234"/>
        <v>33.916700583367252</v>
      </c>
      <c r="BF1040" s="129"/>
    </row>
    <row r="1041" spans="1:58" ht="15" hidden="1">
      <c r="A1041" s="88" t="s">
        <v>1276</v>
      </c>
      <c r="B1041" s="88" t="s">
        <v>1846</v>
      </c>
      <c r="C1041" s="88" t="s">
        <v>1318</v>
      </c>
      <c r="D1041" s="88" t="s">
        <v>1102</v>
      </c>
      <c r="E1041" s="91" t="s">
        <v>2792</v>
      </c>
      <c r="F1041" s="90" t="s">
        <v>2793</v>
      </c>
      <c r="G1041" s="92"/>
      <c r="H1041" s="92"/>
      <c r="I1041" s="233" t="s">
        <v>3182</v>
      </c>
      <c r="J1041" s="132"/>
      <c r="K1041" s="89" t="s">
        <v>3201</v>
      </c>
      <c r="L1041" s="89" t="s">
        <v>3250</v>
      </c>
      <c r="M1041" s="92"/>
      <c r="N1041" s="91" t="s">
        <v>1223</v>
      </c>
      <c r="O1041" s="131"/>
      <c r="P1041" s="90" t="s">
        <v>2206</v>
      </c>
      <c r="Q1041" s="131"/>
      <c r="R1041" s="131"/>
      <c r="S1041" s="92"/>
      <c r="T1041" s="131">
        <v>9403208000</v>
      </c>
      <c r="U1041" s="155">
        <v>0</v>
      </c>
      <c r="V1041" s="131">
        <v>45</v>
      </c>
      <c r="W1041" s="131">
        <v>45</v>
      </c>
      <c r="X1041" s="131"/>
      <c r="Y1041" s="131" t="s">
        <v>1706</v>
      </c>
      <c r="Z1041" s="133">
        <f t="shared" si="1235"/>
        <v>10.094909404659189</v>
      </c>
      <c r="AA1041" s="133"/>
      <c r="AB1041" s="161">
        <f t="shared" si="1236"/>
        <v>9.9206349206349209</v>
      </c>
      <c r="AC1041" s="161"/>
      <c r="AD1041" s="213">
        <f t="shared" si="1237"/>
        <v>0.05</v>
      </c>
      <c r="AE1041" s="213">
        <v>0.05</v>
      </c>
      <c r="AF1041" s="219">
        <v>0.37</v>
      </c>
      <c r="AG1041" s="218" t="s">
        <v>9</v>
      </c>
      <c r="AH1041" s="148">
        <f t="shared" si="1238"/>
        <v>9.9206349206349209</v>
      </c>
      <c r="AI1041" s="206">
        <f t="shared" si="1239"/>
        <v>0.37</v>
      </c>
      <c r="AJ1041" s="444"/>
      <c r="AK1041" s="201">
        <f t="shared" si="1240"/>
        <v>6.1578947368421053</v>
      </c>
      <c r="AL1041" s="202">
        <f t="shared" si="1241"/>
        <v>6.5789473684210531</v>
      </c>
      <c r="AM1041" s="208">
        <f t="shared" si="1242"/>
        <v>0.39</v>
      </c>
      <c r="AN1041" s="208">
        <f t="shared" si="1243"/>
        <v>0.33684210526315783</v>
      </c>
      <c r="AO1041" s="129"/>
      <c r="AP1041" s="170" t="s">
        <v>1267</v>
      </c>
      <c r="AQ1041" s="204"/>
      <c r="AR1041" s="204"/>
      <c r="AS1041" s="197"/>
      <c r="AT1041" s="162"/>
      <c r="AU1041" s="162"/>
      <c r="AV1041" s="173"/>
      <c r="AW1041" s="203">
        <f>VLOOKUP(I1041,'[7]ACCESSORIES 19'!$C$5:$I$63,6,FALSE)</f>
        <v>5.85</v>
      </c>
      <c r="AX1041" s="126">
        <f t="shared" si="1244"/>
        <v>6.25</v>
      </c>
      <c r="BB1041" s="168">
        <f t="shared" si="1231"/>
        <v>33.06878306878307</v>
      </c>
      <c r="BC1041" s="168">
        <f t="shared" si="1232"/>
        <v>19.841269841269842</v>
      </c>
      <c r="BD1041" s="168">
        <f t="shared" si="1233"/>
        <v>16.534391534391535</v>
      </c>
      <c r="BE1041" s="168">
        <f t="shared" si="1234"/>
        <v>13.227513227513228</v>
      </c>
      <c r="BF1041" s="129"/>
    </row>
    <row r="1042" spans="1:58" ht="15" hidden="1">
      <c r="A1042" s="88" t="s">
        <v>1276</v>
      </c>
      <c r="B1042" s="88" t="s">
        <v>1846</v>
      </c>
      <c r="C1042" s="88" t="s">
        <v>1318</v>
      </c>
      <c r="D1042" s="88" t="s">
        <v>1102</v>
      </c>
      <c r="E1042" s="91" t="s">
        <v>2792</v>
      </c>
      <c r="F1042" s="90" t="s">
        <v>2793</v>
      </c>
      <c r="G1042" s="92"/>
      <c r="H1042" s="92"/>
      <c r="I1042" s="233" t="s">
        <v>3183</v>
      </c>
      <c r="J1042" s="132"/>
      <c r="K1042" s="89" t="s">
        <v>3202</v>
      </c>
      <c r="L1042" s="89" t="s">
        <v>3249</v>
      </c>
      <c r="M1042" s="92"/>
      <c r="N1042" s="91" t="s">
        <v>1223</v>
      </c>
      <c r="O1042" s="131"/>
      <c r="P1042" s="90" t="s">
        <v>2206</v>
      </c>
      <c r="Q1042" s="131"/>
      <c r="R1042" s="131"/>
      <c r="S1042" s="92"/>
      <c r="T1042" s="131">
        <v>9403208000</v>
      </c>
      <c r="U1042" s="155">
        <v>0</v>
      </c>
      <c r="V1042" s="131">
        <v>45</v>
      </c>
      <c r="W1042" s="131">
        <v>45</v>
      </c>
      <c r="X1042" s="131"/>
      <c r="Y1042" s="131" t="s">
        <v>1706</v>
      </c>
      <c r="Z1042" s="133">
        <f t="shared" si="1235"/>
        <v>2.7610008628127698</v>
      </c>
      <c r="AA1042" s="133"/>
      <c r="AB1042" s="161">
        <f t="shared" si="1236"/>
        <v>2.7133360466693808</v>
      </c>
      <c r="AC1042" s="161"/>
      <c r="AD1042" s="213">
        <f t="shared" si="1237"/>
        <v>0.05</v>
      </c>
      <c r="AE1042" s="213">
        <v>0.05</v>
      </c>
      <c r="AF1042" s="219">
        <v>0.37</v>
      </c>
      <c r="AG1042" s="218" t="s">
        <v>9</v>
      </c>
      <c r="AH1042" s="148">
        <f t="shared" si="1238"/>
        <v>2.7133360466693808</v>
      </c>
      <c r="AI1042" s="206">
        <f t="shared" si="1239"/>
        <v>0.37</v>
      </c>
      <c r="AJ1042" s="444"/>
      <c r="AK1042" s="201">
        <f t="shared" si="1240"/>
        <v>1.6842105263157896</v>
      </c>
      <c r="AL1042" s="202">
        <f t="shared" si="1241"/>
        <v>1.7993702204228526</v>
      </c>
      <c r="AM1042" s="208">
        <f t="shared" si="1242"/>
        <v>0.39</v>
      </c>
      <c r="AN1042" s="208">
        <f t="shared" si="1243"/>
        <v>0.33684210526315783</v>
      </c>
      <c r="AO1042" s="129"/>
      <c r="AP1042" s="170" t="s">
        <v>1267</v>
      </c>
      <c r="AQ1042" s="204"/>
      <c r="AR1042" s="204"/>
      <c r="AS1042" s="197"/>
      <c r="AT1042" s="162"/>
      <c r="AU1042" s="162"/>
      <c r="AV1042" s="173"/>
      <c r="AW1042" s="203">
        <f>VLOOKUP(I1042,'[7]ACCESSORIES 19'!$C$5:$I$63,6,FALSE)</f>
        <v>1.6</v>
      </c>
      <c r="AX1042" s="126">
        <f t="shared" si="1244"/>
        <v>1.7094017094017098</v>
      </c>
      <c r="BB1042" s="168">
        <f t="shared" si="1231"/>
        <v>9.0444534888979362</v>
      </c>
      <c r="BC1042" s="168">
        <f t="shared" si="1232"/>
        <v>5.4266720933387615</v>
      </c>
      <c r="BD1042" s="168">
        <f t="shared" si="1233"/>
        <v>4.5222267444489681</v>
      </c>
      <c r="BE1042" s="168">
        <f t="shared" si="1234"/>
        <v>3.6177813955591747</v>
      </c>
      <c r="BF1042" s="129"/>
    </row>
    <row r="1043" spans="1:58" ht="15" hidden="1">
      <c r="A1043" s="88" t="s">
        <v>1276</v>
      </c>
      <c r="B1043" s="88" t="s">
        <v>1846</v>
      </c>
      <c r="C1043" s="88" t="s">
        <v>1318</v>
      </c>
      <c r="D1043" s="88" t="s">
        <v>1102</v>
      </c>
      <c r="E1043" s="91" t="s">
        <v>2792</v>
      </c>
      <c r="F1043" s="90" t="s">
        <v>2793</v>
      </c>
      <c r="G1043" s="92"/>
      <c r="H1043" s="92"/>
      <c r="I1043" s="233" t="s">
        <v>3184</v>
      </c>
      <c r="J1043" s="132"/>
      <c r="K1043" s="89" t="s">
        <v>3203</v>
      </c>
      <c r="L1043" s="89" t="s">
        <v>3248</v>
      </c>
      <c r="M1043" s="92"/>
      <c r="N1043" s="91" t="s">
        <v>1223</v>
      </c>
      <c r="O1043" s="131"/>
      <c r="P1043" s="90" t="s">
        <v>2206</v>
      </c>
      <c r="Q1043" s="131"/>
      <c r="R1043" s="131"/>
      <c r="S1043" s="92"/>
      <c r="T1043" s="131">
        <v>9403208000</v>
      </c>
      <c r="U1043" s="155">
        <v>0</v>
      </c>
      <c r="V1043" s="131">
        <v>45</v>
      </c>
      <c r="W1043" s="131">
        <v>45</v>
      </c>
      <c r="X1043" s="131"/>
      <c r="Y1043" s="131" t="s">
        <v>1706</v>
      </c>
      <c r="Z1043" s="133">
        <f t="shared" si="1235"/>
        <v>7.7653149266609152</v>
      </c>
      <c r="AA1043" s="133"/>
      <c r="AB1043" s="161">
        <f t="shared" si="1236"/>
        <v>7.6312576312576308</v>
      </c>
      <c r="AC1043" s="161"/>
      <c r="AD1043" s="213">
        <f t="shared" si="1237"/>
        <v>0.05</v>
      </c>
      <c r="AE1043" s="213">
        <v>0.05</v>
      </c>
      <c r="AF1043" s="219">
        <v>0.37</v>
      </c>
      <c r="AG1043" s="218" t="s">
        <v>9</v>
      </c>
      <c r="AH1043" s="148">
        <f t="shared" si="1238"/>
        <v>7.6312576312576308</v>
      </c>
      <c r="AI1043" s="206">
        <f t="shared" si="1239"/>
        <v>0.37</v>
      </c>
      <c r="AJ1043" s="444"/>
      <c r="AK1043" s="201">
        <f t="shared" si="1240"/>
        <v>4.7368421052631584</v>
      </c>
      <c r="AL1043" s="202">
        <f t="shared" si="1241"/>
        <v>5.0607287449392713</v>
      </c>
      <c r="AM1043" s="208">
        <f t="shared" si="1242"/>
        <v>0.39</v>
      </c>
      <c r="AN1043" s="208">
        <f t="shared" si="1243"/>
        <v>0.33684210526315783</v>
      </c>
      <c r="AO1043" s="129"/>
      <c r="AP1043" s="170" t="s">
        <v>1267</v>
      </c>
      <c r="AQ1043" s="204"/>
      <c r="AR1043" s="204"/>
      <c r="AS1043" s="197"/>
      <c r="AT1043" s="162"/>
      <c r="AU1043" s="162"/>
      <c r="AV1043" s="173"/>
      <c r="AW1043" s="203">
        <f>VLOOKUP(I1043,'[7]ACCESSORIES 19'!$C$5:$I$63,6,FALSE)</f>
        <v>4.5</v>
      </c>
      <c r="AX1043" s="126">
        <f t="shared" si="1244"/>
        <v>4.8076923076923075</v>
      </c>
      <c r="BB1043" s="168">
        <f t="shared" si="1231"/>
        <v>25.437525437525437</v>
      </c>
      <c r="BC1043" s="168">
        <f t="shared" si="1232"/>
        <v>15.262515262515262</v>
      </c>
      <c r="BD1043" s="168">
        <f t="shared" si="1233"/>
        <v>12.718762718762719</v>
      </c>
      <c r="BE1043" s="168">
        <f t="shared" si="1234"/>
        <v>10.175010175010176</v>
      </c>
      <c r="BF1043" s="129"/>
    </row>
    <row r="1044" spans="1:58" ht="15" hidden="1">
      <c r="A1044" s="88" t="s">
        <v>1276</v>
      </c>
      <c r="B1044" s="88" t="s">
        <v>1846</v>
      </c>
      <c r="C1044" s="88" t="s">
        <v>1318</v>
      </c>
      <c r="D1044" s="88" t="s">
        <v>1102</v>
      </c>
      <c r="E1044" s="90" t="s">
        <v>1103</v>
      </c>
      <c r="F1044" s="90" t="s">
        <v>1103</v>
      </c>
      <c r="G1044" s="92"/>
      <c r="H1044" s="92"/>
      <c r="I1044" s="233" t="s">
        <v>3185</v>
      </c>
      <c r="J1044" s="132"/>
      <c r="K1044" s="89" t="s">
        <v>3221</v>
      </c>
      <c r="L1044" s="89" t="s">
        <v>3233</v>
      </c>
      <c r="M1044" s="92"/>
      <c r="N1044" s="91" t="s">
        <v>1223</v>
      </c>
      <c r="O1044" s="131"/>
      <c r="P1044" s="90" t="s">
        <v>2206</v>
      </c>
      <c r="Q1044" s="92" t="s">
        <v>3237</v>
      </c>
      <c r="R1044" s="131"/>
      <c r="S1044" s="92"/>
      <c r="T1044" s="131">
        <v>9403208000</v>
      </c>
      <c r="U1044" s="155">
        <v>0</v>
      </c>
      <c r="V1044" s="131">
        <v>45</v>
      </c>
      <c r="W1044" s="131">
        <v>45</v>
      </c>
      <c r="X1044" s="207">
        <v>55</v>
      </c>
      <c r="Y1044" s="131" t="s">
        <v>1706</v>
      </c>
      <c r="Z1044" s="133">
        <f t="shared" si="1235"/>
        <v>3.4512510785159618</v>
      </c>
      <c r="AA1044" s="133"/>
      <c r="AB1044" s="161">
        <f t="shared" si="1236"/>
        <v>3.3916700583367256</v>
      </c>
      <c r="AC1044" s="161"/>
      <c r="AD1044" s="213">
        <f t="shared" si="1237"/>
        <v>0.05</v>
      </c>
      <c r="AE1044" s="213">
        <v>0.05</v>
      </c>
      <c r="AF1044" s="219">
        <v>0.37</v>
      </c>
      <c r="AG1044" s="218" t="s">
        <v>9</v>
      </c>
      <c r="AH1044" s="148">
        <f t="shared" si="1238"/>
        <v>3.3916700583367256</v>
      </c>
      <c r="AI1044" s="206">
        <f t="shared" si="1239"/>
        <v>0.37</v>
      </c>
      <c r="AJ1044" s="444"/>
      <c r="AK1044" s="201">
        <f t="shared" si="1240"/>
        <v>2.1052631578947367</v>
      </c>
      <c r="AL1044" s="202">
        <f t="shared" si="1241"/>
        <v>2.2492127755285654</v>
      </c>
      <c r="AM1044" s="208">
        <f t="shared" si="1242"/>
        <v>0.39</v>
      </c>
      <c r="AN1044" s="208">
        <f t="shared" si="1243"/>
        <v>0.33684210526315794</v>
      </c>
      <c r="AO1044" s="129"/>
      <c r="AP1044" s="170" t="s">
        <v>1267</v>
      </c>
      <c r="AQ1044" s="204"/>
      <c r="AR1044" s="204"/>
      <c r="AS1044" s="197"/>
      <c r="AT1044" s="162"/>
      <c r="AU1044" s="162"/>
      <c r="AV1044" s="173"/>
      <c r="AW1044" s="203">
        <f>VLOOKUP(I1044,'[7]ACCESSORIES 19'!$C$5:$I$63,6,FALSE)</f>
        <v>2</v>
      </c>
      <c r="AX1044" s="126">
        <f t="shared" si="1244"/>
        <v>2.1367521367521372</v>
      </c>
      <c r="BB1044" s="168">
        <f t="shared" si="1231"/>
        <v>11.305566861122418</v>
      </c>
      <c r="BC1044" s="168">
        <f t="shared" si="1232"/>
        <v>6.7833401166734513</v>
      </c>
      <c r="BD1044" s="168">
        <f t="shared" si="1233"/>
        <v>5.6527834305612092</v>
      </c>
      <c r="BE1044" s="168">
        <f t="shared" si="1234"/>
        <v>4.5222267444489672</v>
      </c>
      <c r="BF1044" s="129"/>
    </row>
    <row r="1045" spans="1:58" ht="15" hidden="1">
      <c r="A1045" s="88" t="s">
        <v>1276</v>
      </c>
      <c r="B1045" s="88" t="s">
        <v>1846</v>
      </c>
      <c r="C1045" s="88" t="s">
        <v>1318</v>
      </c>
      <c r="D1045" s="88" t="s">
        <v>1102</v>
      </c>
      <c r="E1045" s="90" t="s">
        <v>1103</v>
      </c>
      <c r="F1045" s="90" t="s">
        <v>1103</v>
      </c>
      <c r="G1045" s="92"/>
      <c r="H1045" s="92"/>
      <c r="I1045" s="233" t="s">
        <v>3186</v>
      </c>
      <c r="J1045" s="132"/>
      <c r="K1045" s="89" t="s">
        <v>3222</v>
      </c>
      <c r="L1045" s="89" t="s">
        <v>3234</v>
      </c>
      <c r="M1045" s="92"/>
      <c r="N1045" s="91" t="s">
        <v>1223</v>
      </c>
      <c r="O1045" s="131"/>
      <c r="P1045" s="90" t="s">
        <v>2206</v>
      </c>
      <c r="Q1045" s="92" t="s">
        <v>3237</v>
      </c>
      <c r="R1045" s="131"/>
      <c r="S1045" s="92"/>
      <c r="T1045" s="131">
        <v>9403208000</v>
      </c>
      <c r="U1045" s="155">
        <v>0</v>
      </c>
      <c r="V1045" s="131">
        <v>45</v>
      </c>
      <c r="W1045" s="131">
        <v>45</v>
      </c>
      <c r="X1045" s="207">
        <v>55</v>
      </c>
      <c r="Y1045" s="131" t="s">
        <v>1706</v>
      </c>
      <c r="Z1045" s="133">
        <f t="shared" si="1235"/>
        <v>4.3140638481449534</v>
      </c>
      <c r="AA1045" s="133"/>
      <c r="AB1045" s="161">
        <f t="shared" si="1236"/>
        <v>4.2395875729209056</v>
      </c>
      <c r="AC1045" s="161"/>
      <c r="AD1045" s="213">
        <f t="shared" si="1237"/>
        <v>0.05</v>
      </c>
      <c r="AE1045" s="213">
        <v>0.05</v>
      </c>
      <c r="AF1045" s="219">
        <v>0.37</v>
      </c>
      <c r="AG1045" s="218" t="s">
        <v>9</v>
      </c>
      <c r="AH1045" s="148">
        <f t="shared" si="1238"/>
        <v>4.2395875729209056</v>
      </c>
      <c r="AI1045" s="206">
        <f t="shared" si="1239"/>
        <v>0.37</v>
      </c>
      <c r="AJ1045" s="444"/>
      <c r="AK1045" s="201">
        <f t="shared" si="1240"/>
        <v>2.6315789473684212</v>
      </c>
      <c r="AL1045" s="202">
        <f t="shared" si="1241"/>
        <v>2.8115159694107064</v>
      </c>
      <c r="AM1045" s="208">
        <f t="shared" si="1242"/>
        <v>0.39000000000000012</v>
      </c>
      <c r="AN1045" s="208">
        <f t="shared" si="1243"/>
        <v>0.33684210526315772</v>
      </c>
      <c r="AO1045" s="129"/>
      <c r="AP1045" s="170" t="s">
        <v>1267</v>
      </c>
      <c r="AQ1045" s="204"/>
      <c r="AR1045" s="204"/>
      <c r="AS1045" s="197"/>
      <c r="AT1045" s="162"/>
      <c r="AU1045" s="162"/>
      <c r="AV1045" s="173"/>
      <c r="AW1045" s="203">
        <f>VLOOKUP(I1045,'[7]ACCESSORIES 19'!$C$5:$I$63,6,FALSE)</f>
        <v>2.5</v>
      </c>
      <c r="AX1045" s="126">
        <f t="shared" si="1244"/>
        <v>2.6709401709401708</v>
      </c>
      <c r="BB1045" s="168">
        <f t="shared" si="1231"/>
        <v>14.131958576403019</v>
      </c>
      <c r="BC1045" s="168">
        <f t="shared" si="1232"/>
        <v>8.4791751458418112</v>
      </c>
      <c r="BD1045" s="168">
        <f t="shared" si="1233"/>
        <v>7.0659792882015093</v>
      </c>
      <c r="BE1045" s="168">
        <f t="shared" si="1234"/>
        <v>5.6527834305612075</v>
      </c>
      <c r="BF1045" s="129"/>
    </row>
    <row r="1046" spans="1:58" ht="15" hidden="1">
      <c r="A1046" s="88" t="s">
        <v>1276</v>
      </c>
      <c r="B1046" s="88" t="s">
        <v>1846</v>
      </c>
      <c r="C1046" s="88" t="s">
        <v>1318</v>
      </c>
      <c r="D1046" s="88" t="s">
        <v>1102</v>
      </c>
      <c r="E1046" s="90" t="s">
        <v>1103</v>
      </c>
      <c r="F1046" s="90" t="s">
        <v>1103</v>
      </c>
      <c r="G1046" s="92"/>
      <c r="H1046" s="92"/>
      <c r="I1046" s="233" t="s">
        <v>3187</v>
      </c>
      <c r="J1046" s="132"/>
      <c r="K1046" s="89" t="s">
        <v>3223</v>
      </c>
      <c r="L1046" s="89" t="s">
        <v>3235</v>
      </c>
      <c r="M1046" s="92"/>
      <c r="N1046" s="91" t="s">
        <v>1223</v>
      </c>
      <c r="O1046" s="131"/>
      <c r="P1046" s="90" t="s">
        <v>2206</v>
      </c>
      <c r="Q1046" s="92" t="s">
        <v>3237</v>
      </c>
      <c r="R1046" s="131"/>
      <c r="S1046" s="92"/>
      <c r="T1046" s="131">
        <v>9403208000</v>
      </c>
      <c r="U1046" s="155">
        <v>0</v>
      </c>
      <c r="V1046" s="131">
        <v>45</v>
      </c>
      <c r="W1046" s="131">
        <v>45</v>
      </c>
      <c r="X1046" s="207">
        <v>55</v>
      </c>
      <c r="Y1046" s="131" t="s">
        <v>1706</v>
      </c>
      <c r="Z1046" s="133">
        <f t="shared" si="1235"/>
        <v>5.1768766177739431</v>
      </c>
      <c r="AA1046" s="133"/>
      <c r="AB1046" s="161">
        <f t="shared" si="1236"/>
        <v>5.0875050875050878</v>
      </c>
      <c r="AC1046" s="161"/>
      <c r="AD1046" s="213">
        <f t="shared" si="1237"/>
        <v>0.05</v>
      </c>
      <c r="AE1046" s="213">
        <v>0.05</v>
      </c>
      <c r="AF1046" s="219">
        <v>0.37</v>
      </c>
      <c r="AG1046" s="218" t="s">
        <v>9</v>
      </c>
      <c r="AH1046" s="148">
        <f t="shared" si="1238"/>
        <v>5.0875050875050878</v>
      </c>
      <c r="AI1046" s="206">
        <f t="shared" si="1239"/>
        <v>0.37</v>
      </c>
      <c r="AJ1046" s="444"/>
      <c r="AK1046" s="201">
        <f t="shared" si="1240"/>
        <v>3.1578947368421053</v>
      </c>
      <c r="AL1046" s="202">
        <f t="shared" si="1241"/>
        <v>3.3738191632928478</v>
      </c>
      <c r="AM1046" s="208">
        <f t="shared" si="1242"/>
        <v>0.39</v>
      </c>
      <c r="AN1046" s="208">
        <f t="shared" si="1243"/>
        <v>0.33684210526315783</v>
      </c>
      <c r="AO1046" s="129"/>
      <c r="AP1046" s="170" t="s">
        <v>1267</v>
      </c>
      <c r="AQ1046" s="204"/>
      <c r="AR1046" s="204"/>
      <c r="AS1046" s="197"/>
      <c r="AT1046" s="162"/>
      <c r="AU1046" s="162"/>
      <c r="AV1046" s="173"/>
      <c r="AW1046" s="203">
        <f>VLOOKUP(I1046,'[7]ACCESSORIES 19'!$C$5:$I$63,6,FALSE)</f>
        <v>3</v>
      </c>
      <c r="AX1046" s="126">
        <f t="shared" si="1244"/>
        <v>3.2051282051282053</v>
      </c>
      <c r="BB1046" s="168">
        <f t="shared" si="1231"/>
        <v>16.958350291683626</v>
      </c>
      <c r="BC1046" s="168">
        <f t="shared" si="1232"/>
        <v>10.175010175010176</v>
      </c>
      <c r="BD1046" s="168">
        <f t="shared" si="1233"/>
        <v>8.479175145841813</v>
      </c>
      <c r="BE1046" s="168">
        <f t="shared" si="1234"/>
        <v>6.7833401166734504</v>
      </c>
      <c r="BF1046" s="129"/>
    </row>
    <row r="1047" spans="1:58" ht="15" hidden="1">
      <c r="A1047" s="88" t="s">
        <v>1276</v>
      </c>
      <c r="B1047" s="88" t="s">
        <v>1846</v>
      </c>
      <c r="C1047" s="88" t="s">
        <v>1318</v>
      </c>
      <c r="D1047" s="88" t="s">
        <v>1102</v>
      </c>
      <c r="E1047" s="90" t="s">
        <v>1103</v>
      </c>
      <c r="F1047" s="90" t="s">
        <v>1103</v>
      </c>
      <c r="G1047" s="92"/>
      <c r="H1047" s="92"/>
      <c r="I1047" s="233" t="s">
        <v>3188</v>
      </c>
      <c r="J1047" s="132"/>
      <c r="K1047" s="89" t="s">
        <v>3224</v>
      </c>
      <c r="L1047" s="89" t="s">
        <v>3236</v>
      </c>
      <c r="M1047" s="92"/>
      <c r="N1047" s="91" t="s">
        <v>1223</v>
      </c>
      <c r="O1047" s="131"/>
      <c r="P1047" s="90" t="s">
        <v>2206</v>
      </c>
      <c r="Q1047" s="92" t="s">
        <v>3237</v>
      </c>
      <c r="R1047" s="131"/>
      <c r="S1047" s="92"/>
      <c r="T1047" s="131">
        <v>9403208000</v>
      </c>
      <c r="U1047" s="155">
        <v>0</v>
      </c>
      <c r="V1047" s="131">
        <v>45</v>
      </c>
      <c r="W1047" s="131">
        <v>45</v>
      </c>
      <c r="X1047" s="207">
        <v>55</v>
      </c>
      <c r="Y1047" s="131" t="s">
        <v>1706</v>
      </c>
      <c r="Z1047" s="133">
        <f t="shared" si="1235"/>
        <v>7.0750647109577223</v>
      </c>
      <c r="AA1047" s="133"/>
      <c r="AB1047" s="161">
        <f t="shared" si="1236"/>
        <v>6.9529236195902868</v>
      </c>
      <c r="AC1047" s="161"/>
      <c r="AD1047" s="213">
        <f t="shared" si="1237"/>
        <v>0.05</v>
      </c>
      <c r="AE1047" s="213">
        <v>0.05</v>
      </c>
      <c r="AF1047" s="219">
        <v>0.37</v>
      </c>
      <c r="AG1047" s="218" t="s">
        <v>9</v>
      </c>
      <c r="AH1047" s="148">
        <f t="shared" si="1238"/>
        <v>6.9529236195902868</v>
      </c>
      <c r="AI1047" s="206">
        <f t="shared" si="1239"/>
        <v>0.37</v>
      </c>
      <c r="AJ1047" s="444"/>
      <c r="AK1047" s="201">
        <f t="shared" si="1240"/>
        <v>4.3157894736842106</v>
      </c>
      <c r="AL1047" s="202">
        <f t="shared" si="1241"/>
        <v>4.6108861898335594</v>
      </c>
      <c r="AM1047" s="208">
        <f t="shared" si="1242"/>
        <v>0.39</v>
      </c>
      <c r="AN1047" s="208">
        <f t="shared" si="1243"/>
        <v>0.33684210526315783</v>
      </c>
      <c r="AO1047" s="129"/>
      <c r="AP1047" s="170" t="s">
        <v>1267</v>
      </c>
      <c r="AQ1047" s="204"/>
      <c r="AR1047" s="204"/>
      <c r="AS1047" s="197"/>
      <c r="AT1047" s="162"/>
      <c r="AU1047" s="162"/>
      <c r="AV1047" s="173"/>
      <c r="AW1047" s="203">
        <f>VLOOKUP(I1047,'[7]ACCESSORIES 19'!$C$5:$I$63,6,FALSE)</f>
        <v>4.0999999999999996</v>
      </c>
      <c r="AX1047" s="126">
        <f t="shared" si="1244"/>
        <v>4.3803418803418808</v>
      </c>
      <c r="BB1047" s="168">
        <f t="shared" si="1231"/>
        <v>23.176412065300958</v>
      </c>
      <c r="BC1047" s="168">
        <f t="shared" si="1232"/>
        <v>13.905847239180575</v>
      </c>
      <c r="BD1047" s="168">
        <f t="shared" si="1233"/>
        <v>11.588206032650479</v>
      </c>
      <c r="BE1047" s="168">
        <f t="shared" si="1234"/>
        <v>9.270564826120383</v>
      </c>
      <c r="BF1047" s="129"/>
    </row>
    <row r="1048" spans="1:58" ht="15" hidden="1">
      <c r="A1048" s="88" t="s">
        <v>1276</v>
      </c>
      <c r="B1048" s="88" t="s">
        <v>1846</v>
      </c>
      <c r="C1048" s="88" t="s">
        <v>1318</v>
      </c>
      <c r="D1048" s="88" t="s">
        <v>1102</v>
      </c>
      <c r="E1048" s="91" t="s">
        <v>2792</v>
      </c>
      <c r="F1048" s="90" t="s">
        <v>2793</v>
      </c>
      <c r="G1048" s="92"/>
      <c r="H1048" s="92" t="s">
        <v>3254</v>
      </c>
      <c r="I1048" s="233" t="s">
        <v>3189</v>
      </c>
      <c r="J1048" s="132"/>
      <c r="K1048" s="89" t="s">
        <v>3204</v>
      </c>
      <c r="L1048" s="89" t="s">
        <v>3240</v>
      </c>
      <c r="M1048" s="92"/>
      <c r="N1048" s="91" t="s">
        <v>1223</v>
      </c>
      <c r="O1048" s="131"/>
      <c r="P1048" s="90" t="s">
        <v>2206</v>
      </c>
      <c r="Q1048" s="131"/>
      <c r="R1048" s="131"/>
      <c r="S1048" s="92"/>
      <c r="T1048" s="131">
        <v>9403208000</v>
      </c>
      <c r="U1048" s="155">
        <v>0</v>
      </c>
      <c r="V1048" s="131">
        <v>45</v>
      </c>
      <c r="W1048" s="131">
        <v>45</v>
      </c>
      <c r="X1048" s="131"/>
      <c r="Y1048" s="131" t="s">
        <v>1706</v>
      </c>
      <c r="Z1048" s="133">
        <f t="shared" si="1235"/>
        <v>55.220017256255389</v>
      </c>
      <c r="AA1048" s="133"/>
      <c r="AB1048" s="161">
        <f t="shared" si="1236"/>
        <v>54.26672093338761</v>
      </c>
      <c r="AC1048" s="161"/>
      <c r="AD1048" s="213">
        <f t="shared" si="1237"/>
        <v>0.05</v>
      </c>
      <c r="AE1048" s="213">
        <v>0.05</v>
      </c>
      <c r="AF1048" s="219">
        <v>0.37</v>
      </c>
      <c r="AG1048" s="218" t="s">
        <v>9</v>
      </c>
      <c r="AH1048" s="148">
        <f t="shared" si="1238"/>
        <v>54.26672093338761</v>
      </c>
      <c r="AI1048" s="206">
        <f t="shared" si="1239"/>
        <v>0.37</v>
      </c>
      <c r="AJ1048" s="444"/>
      <c r="AK1048" s="201">
        <f t="shared" si="1240"/>
        <v>33.684210526315788</v>
      </c>
      <c r="AL1048" s="202">
        <f t="shared" si="1241"/>
        <v>35.987404408457046</v>
      </c>
      <c r="AM1048" s="208">
        <f t="shared" si="1242"/>
        <v>0.39</v>
      </c>
      <c r="AN1048" s="208">
        <f t="shared" si="1243"/>
        <v>0.33684210526315794</v>
      </c>
      <c r="AO1048" s="129"/>
      <c r="AP1048" s="170" t="s">
        <v>1267</v>
      </c>
      <c r="AQ1048" s="204"/>
      <c r="AR1048" s="204"/>
      <c r="AS1048" s="197"/>
      <c r="AT1048" s="162"/>
      <c r="AU1048" s="162"/>
      <c r="AV1048" s="173"/>
      <c r="AW1048" s="203">
        <f>VLOOKUP(I1048,'[7]ACCESSORIES 19'!$C$5:$I$63,6,FALSE)</f>
        <v>32</v>
      </c>
      <c r="AX1048" s="126">
        <f t="shared" si="1244"/>
        <v>34.188034188034194</v>
      </c>
      <c r="BB1048" s="168">
        <f t="shared" si="1231"/>
        <v>180.8890697779587</v>
      </c>
      <c r="BC1048" s="168">
        <f t="shared" si="1232"/>
        <v>108.53344186677522</v>
      </c>
      <c r="BD1048" s="168">
        <f t="shared" si="1233"/>
        <v>90.444534888979348</v>
      </c>
      <c r="BE1048" s="168">
        <f t="shared" si="1234"/>
        <v>72.355627911183475</v>
      </c>
      <c r="BF1048" s="129"/>
    </row>
    <row r="1049" spans="1:58" ht="15" hidden="1">
      <c r="A1049" s="88" t="s">
        <v>1276</v>
      </c>
      <c r="B1049" s="88" t="s">
        <v>1846</v>
      </c>
      <c r="C1049" s="88" t="s">
        <v>1318</v>
      </c>
      <c r="D1049" s="88" t="s">
        <v>1102</v>
      </c>
      <c r="E1049" s="91" t="s">
        <v>2792</v>
      </c>
      <c r="F1049" s="90" t="s">
        <v>2793</v>
      </c>
      <c r="G1049" s="92"/>
      <c r="H1049" s="92" t="s">
        <v>3255</v>
      </c>
      <c r="I1049" s="233" t="s">
        <v>3190</v>
      </c>
      <c r="J1049" s="132"/>
      <c r="K1049" s="89" t="s">
        <v>3205</v>
      </c>
      <c r="L1049" s="89" t="s">
        <v>3242</v>
      </c>
      <c r="M1049" s="92"/>
      <c r="N1049" s="91" t="s">
        <v>1223</v>
      </c>
      <c r="O1049" s="131"/>
      <c r="P1049" s="90" t="s">
        <v>2206</v>
      </c>
      <c r="Q1049" s="131"/>
      <c r="R1049" s="131"/>
      <c r="S1049" s="92"/>
      <c r="T1049" s="131">
        <v>9403208000</v>
      </c>
      <c r="U1049" s="155">
        <v>0</v>
      </c>
      <c r="V1049" s="131">
        <v>45</v>
      </c>
      <c r="W1049" s="131">
        <v>45</v>
      </c>
      <c r="X1049" s="131"/>
      <c r="Y1049" s="131" t="s">
        <v>1706</v>
      </c>
      <c r="Z1049" s="133">
        <f t="shared" si="1235"/>
        <v>60.396893874029338</v>
      </c>
      <c r="AA1049" s="133"/>
      <c r="AB1049" s="161">
        <f t="shared" si="1236"/>
        <v>59.354226020892682</v>
      </c>
      <c r="AC1049" s="161"/>
      <c r="AD1049" s="213">
        <f t="shared" si="1237"/>
        <v>0.05</v>
      </c>
      <c r="AE1049" s="213">
        <v>0.05</v>
      </c>
      <c r="AF1049" s="219">
        <v>0.37</v>
      </c>
      <c r="AG1049" s="218" t="s">
        <v>9</v>
      </c>
      <c r="AH1049" s="148">
        <f t="shared" si="1238"/>
        <v>59.354226020892682</v>
      </c>
      <c r="AI1049" s="206">
        <f t="shared" si="1239"/>
        <v>0.37</v>
      </c>
      <c r="AJ1049" s="444"/>
      <c r="AK1049" s="201">
        <f t="shared" si="1240"/>
        <v>36.842105263157897</v>
      </c>
      <c r="AL1049" s="202">
        <f t="shared" si="1241"/>
        <v>39.361223571749889</v>
      </c>
      <c r="AM1049" s="208">
        <f t="shared" si="1242"/>
        <v>0.39</v>
      </c>
      <c r="AN1049" s="208">
        <f t="shared" si="1243"/>
        <v>0.33684210526315783</v>
      </c>
      <c r="AO1049" s="129"/>
      <c r="AP1049" s="170" t="s">
        <v>1267</v>
      </c>
      <c r="AQ1049" s="204"/>
      <c r="AR1049" s="204"/>
      <c r="AS1049" s="197"/>
      <c r="AT1049" s="162"/>
      <c r="AU1049" s="162"/>
      <c r="AV1049" s="173"/>
      <c r="AW1049" s="203">
        <f>VLOOKUP(I1049,'[7]ACCESSORIES 19'!$C$5:$I$63,6,FALSE)</f>
        <v>35</v>
      </c>
      <c r="AX1049" s="126">
        <f t="shared" si="1244"/>
        <v>37.393162393162392</v>
      </c>
      <c r="BB1049" s="168">
        <f t="shared" si="1231"/>
        <v>197.84742006964228</v>
      </c>
      <c r="BC1049" s="168">
        <f t="shared" si="1232"/>
        <v>118.70845204178536</v>
      </c>
      <c r="BD1049" s="168">
        <f t="shared" si="1233"/>
        <v>98.923710034821141</v>
      </c>
      <c r="BE1049" s="168">
        <f t="shared" si="1234"/>
        <v>79.138968027856919</v>
      </c>
      <c r="BF1049" s="129"/>
    </row>
    <row r="1050" spans="1:58" ht="15" hidden="1">
      <c r="A1050" s="88" t="s">
        <v>1276</v>
      </c>
      <c r="B1050" s="88" t="s">
        <v>1846</v>
      </c>
      <c r="C1050" s="88" t="s">
        <v>1318</v>
      </c>
      <c r="D1050" s="88" t="s">
        <v>1102</v>
      </c>
      <c r="E1050" s="91" t="s">
        <v>2792</v>
      </c>
      <c r="F1050" s="90" t="s">
        <v>2793</v>
      </c>
      <c r="G1050" s="92"/>
      <c r="H1050" s="92" t="s">
        <v>3257</v>
      </c>
      <c r="I1050" s="233" t="s">
        <v>3191</v>
      </c>
      <c r="J1050" s="132"/>
      <c r="K1050" s="89" t="s">
        <v>3206</v>
      </c>
      <c r="L1050" s="89" t="s">
        <v>3243</v>
      </c>
      <c r="M1050" s="92"/>
      <c r="N1050" s="91" t="s">
        <v>1223</v>
      </c>
      <c r="O1050" s="131"/>
      <c r="P1050" s="90" t="s">
        <v>2206</v>
      </c>
      <c r="Q1050" s="131"/>
      <c r="R1050" s="131"/>
      <c r="S1050" s="92"/>
      <c r="T1050" s="131">
        <v>9403208000</v>
      </c>
      <c r="U1050" s="155">
        <v>0</v>
      </c>
      <c r="V1050" s="131">
        <v>45</v>
      </c>
      <c r="W1050" s="131">
        <v>45</v>
      </c>
      <c r="X1050" s="131"/>
      <c r="Y1050" s="131" t="s">
        <v>1706</v>
      </c>
      <c r="Z1050" s="133">
        <f t="shared" si="1235"/>
        <v>60.396893874029338</v>
      </c>
      <c r="AA1050" s="133"/>
      <c r="AB1050" s="161">
        <f t="shared" si="1236"/>
        <v>59.354226020892682</v>
      </c>
      <c r="AC1050" s="161"/>
      <c r="AD1050" s="213">
        <f t="shared" si="1237"/>
        <v>0.05</v>
      </c>
      <c r="AE1050" s="213">
        <v>0.05</v>
      </c>
      <c r="AF1050" s="219">
        <v>0.37</v>
      </c>
      <c r="AG1050" s="218" t="s">
        <v>9</v>
      </c>
      <c r="AH1050" s="148">
        <f t="shared" si="1238"/>
        <v>59.354226020892682</v>
      </c>
      <c r="AI1050" s="206">
        <f t="shared" si="1239"/>
        <v>0.37</v>
      </c>
      <c r="AJ1050" s="444"/>
      <c r="AK1050" s="201">
        <f t="shared" si="1240"/>
        <v>36.842105263157897</v>
      </c>
      <c r="AL1050" s="202">
        <f t="shared" si="1241"/>
        <v>39.361223571749889</v>
      </c>
      <c r="AM1050" s="208">
        <f t="shared" si="1242"/>
        <v>0.39</v>
      </c>
      <c r="AN1050" s="208">
        <f t="shared" si="1243"/>
        <v>0.33684210526315783</v>
      </c>
      <c r="AO1050" s="129"/>
      <c r="AP1050" s="170" t="s">
        <v>1267</v>
      </c>
      <c r="AQ1050" s="204"/>
      <c r="AR1050" s="204"/>
      <c r="AS1050" s="197"/>
      <c r="AT1050" s="162"/>
      <c r="AU1050" s="162"/>
      <c r="AV1050" s="173"/>
      <c r="AW1050" s="203">
        <f>VLOOKUP(I1050,'[7]ACCESSORIES 19'!$C$5:$I$63,6,FALSE)</f>
        <v>35</v>
      </c>
      <c r="AX1050" s="126">
        <f t="shared" si="1244"/>
        <v>37.393162393162392</v>
      </c>
      <c r="BB1050" s="168">
        <f t="shared" si="1231"/>
        <v>197.84742006964228</v>
      </c>
      <c r="BC1050" s="168">
        <f t="shared" si="1232"/>
        <v>118.70845204178536</v>
      </c>
      <c r="BD1050" s="168">
        <f t="shared" si="1233"/>
        <v>98.923710034821141</v>
      </c>
      <c r="BE1050" s="168">
        <f t="shared" si="1234"/>
        <v>79.138968027856919</v>
      </c>
      <c r="BF1050" s="129"/>
    </row>
    <row r="1051" spans="1:58" ht="15" hidden="1">
      <c r="A1051" s="88" t="s">
        <v>1276</v>
      </c>
      <c r="B1051" s="88" t="s">
        <v>1846</v>
      </c>
      <c r="C1051" s="88" t="s">
        <v>1318</v>
      </c>
      <c r="D1051" s="88" t="s">
        <v>1102</v>
      </c>
      <c r="E1051" s="91" t="s">
        <v>2792</v>
      </c>
      <c r="F1051" s="90" t="s">
        <v>2793</v>
      </c>
      <c r="G1051" s="92"/>
      <c r="H1051" s="92" t="s">
        <v>3258</v>
      </c>
      <c r="I1051" s="233" t="s">
        <v>3192</v>
      </c>
      <c r="J1051" s="132"/>
      <c r="K1051" s="89" t="s">
        <v>3207</v>
      </c>
      <c r="L1051" s="89" t="s">
        <v>3241</v>
      </c>
      <c r="M1051" s="92"/>
      <c r="N1051" s="91" t="s">
        <v>1223</v>
      </c>
      <c r="O1051" s="131"/>
      <c r="P1051" s="90" t="s">
        <v>2206</v>
      </c>
      <c r="Q1051" s="131"/>
      <c r="R1051" s="131"/>
      <c r="S1051" s="92"/>
      <c r="T1051" s="131">
        <v>9403208000</v>
      </c>
      <c r="U1051" s="155">
        <v>0</v>
      </c>
      <c r="V1051" s="131">
        <v>45</v>
      </c>
      <c r="W1051" s="131">
        <v>45</v>
      </c>
      <c r="X1051" s="131"/>
      <c r="Y1051" s="131" t="s">
        <v>1706</v>
      </c>
      <c r="Z1051" s="133">
        <f t="shared" si="1235"/>
        <v>69.025021570319254</v>
      </c>
      <c r="AA1051" s="133"/>
      <c r="AB1051" s="161">
        <f t="shared" si="1236"/>
        <v>67.83340116673449</v>
      </c>
      <c r="AC1051" s="161"/>
      <c r="AD1051" s="213">
        <f t="shared" si="1237"/>
        <v>0.05</v>
      </c>
      <c r="AE1051" s="213">
        <v>0.05</v>
      </c>
      <c r="AF1051" s="219">
        <v>0.37</v>
      </c>
      <c r="AG1051" s="218" t="s">
        <v>9</v>
      </c>
      <c r="AH1051" s="148">
        <f t="shared" si="1238"/>
        <v>67.83340116673449</v>
      </c>
      <c r="AI1051" s="206">
        <f t="shared" si="1239"/>
        <v>0.37</v>
      </c>
      <c r="AJ1051" s="444"/>
      <c r="AK1051" s="201">
        <f t="shared" si="1240"/>
        <v>42.10526315789474</v>
      </c>
      <c r="AL1051" s="202">
        <f t="shared" si="1241"/>
        <v>44.984255510571302</v>
      </c>
      <c r="AM1051" s="208">
        <f t="shared" si="1242"/>
        <v>0.39000000000000012</v>
      </c>
      <c r="AN1051" s="208">
        <f t="shared" si="1243"/>
        <v>0.33684210526315772</v>
      </c>
      <c r="AO1051" s="129"/>
      <c r="AP1051" s="170" t="s">
        <v>1267</v>
      </c>
      <c r="AQ1051" s="204"/>
      <c r="AR1051" s="204"/>
      <c r="AS1051" s="197"/>
      <c r="AT1051" s="162"/>
      <c r="AU1051" s="162"/>
      <c r="AV1051" s="173"/>
      <c r="AW1051" s="203">
        <f>VLOOKUP(I1051,'[7]ACCESSORIES 19'!$C$5:$I$63,6,FALSE)</f>
        <v>40</v>
      </c>
      <c r="AX1051" s="126">
        <f t="shared" si="1244"/>
        <v>42.735042735042732</v>
      </c>
      <c r="BB1051" s="168">
        <f t="shared" si="1231"/>
        <v>226.1113372224483</v>
      </c>
      <c r="BC1051" s="168">
        <f t="shared" si="1232"/>
        <v>135.66680233346898</v>
      </c>
      <c r="BD1051" s="168">
        <f t="shared" si="1233"/>
        <v>113.05566861122415</v>
      </c>
      <c r="BE1051" s="168">
        <f t="shared" si="1234"/>
        <v>90.444534888979319</v>
      </c>
      <c r="BF1051" s="129"/>
    </row>
    <row r="1052" spans="1:58" ht="15" hidden="1">
      <c r="A1052" s="88" t="s">
        <v>1276</v>
      </c>
      <c r="B1052" s="88" t="s">
        <v>1846</v>
      </c>
      <c r="C1052" s="88" t="s">
        <v>1318</v>
      </c>
      <c r="D1052" s="88" t="s">
        <v>1102</v>
      </c>
      <c r="E1052" s="91" t="s">
        <v>2792</v>
      </c>
      <c r="F1052" s="90" t="s">
        <v>2793</v>
      </c>
      <c r="G1052" s="92"/>
      <c r="H1052" s="92" t="s">
        <v>3256</v>
      </c>
      <c r="I1052" s="233" t="s">
        <v>3193</v>
      </c>
      <c r="J1052" s="132"/>
      <c r="K1052" s="89" t="s">
        <v>3208</v>
      </c>
      <c r="L1052" s="89" t="s">
        <v>3244</v>
      </c>
      <c r="M1052" s="92"/>
      <c r="N1052" s="91" t="s">
        <v>1223</v>
      </c>
      <c r="O1052" s="131"/>
      <c r="P1052" s="90" t="s">
        <v>2206</v>
      </c>
      <c r="Q1052" s="131"/>
      <c r="R1052" s="131"/>
      <c r="S1052" s="92"/>
      <c r="T1052" s="131">
        <v>9403208000</v>
      </c>
      <c r="U1052" s="155">
        <v>0</v>
      </c>
      <c r="V1052" s="131">
        <v>45</v>
      </c>
      <c r="W1052" s="131">
        <v>45</v>
      </c>
      <c r="X1052" s="131"/>
      <c r="Y1052" s="131" t="s">
        <v>1706</v>
      </c>
      <c r="Z1052" s="133">
        <f t="shared" si="1235"/>
        <v>60.396893874029338</v>
      </c>
      <c r="AA1052" s="133"/>
      <c r="AB1052" s="161">
        <f t="shared" si="1236"/>
        <v>59.354226020892682</v>
      </c>
      <c r="AC1052" s="161"/>
      <c r="AD1052" s="213">
        <f t="shared" si="1237"/>
        <v>0.05</v>
      </c>
      <c r="AE1052" s="213">
        <v>0.05</v>
      </c>
      <c r="AF1052" s="219">
        <v>0.37</v>
      </c>
      <c r="AG1052" s="218" t="s">
        <v>9</v>
      </c>
      <c r="AH1052" s="148">
        <f t="shared" si="1238"/>
        <v>59.354226020892682</v>
      </c>
      <c r="AI1052" s="206">
        <f t="shared" si="1239"/>
        <v>0.37</v>
      </c>
      <c r="AJ1052" s="444"/>
      <c r="AK1052" s="201">
        <f t="shared" si="1240"/>
        <v>36.842105263157897</v>
      </c>
      <c r="AL1052" s="202">
        <f t="shared" si="1241"/>
        <v>39.361223571749889</v>
      </c>
      <c r="AM1052" s="208">
        <f t="shared" si="1242"/>
        <v>0.39</v>
      </c>
      <c r="AN1052" s="208">
        <f t="shared" si="1243"/>
        <v>0.33684210526315783</v>
      </c>
      <c r="AO1052" s="129"/>
      <c r="AP1052" s="170" t="s">
        <v>1267</v>
      </c>
      <c r="AQ1052" s="204"/>
      <c r="AR1052" s="204"/>
      <c r="AS1052" s="197"/>
      <c r="AT1052" s="162"/>
      <c r="AU1052" s="162"/>
      <c r="AV1052" s="173"/>
      <c r="AW1052" s="203">
        <f>VLOOKUP(I1052,'[7]ACCESSORIES 19'!$C$5:$I$63,6,FALSE)</f>
        <v>35</v>
      </c>
      <c r="AX1052" s="126">
        <f t="shared" si="1244"/>
        <v>37.393162393162392</v>
      </c>
      <c r="BB1052" s="168">
        <f t="shared" si="1231"/>
        <v>197.84742006964228</v>
      </c>
      <c r="BC1052" s="168">
        <f t="shared" si="1232"/>
        <v>118.70845204178536</v>
      </c>
      <c r="BD1052" s="168">
        <f t="shared" si="1233"/>
        <v>98.923710034821141</v>
      </c>
      <c r="BE1052" s="168">
        <f t="shared" si="1234"/>
        <v>79.138968027856919</v>
      </c>
      <c r="BF1052" s="129"/>
    </row>
    <row r="1053" spans="1:58" ht="15" hidden="1">
      <c r="A1053" s="88" t="s">
        <v>1276</v>
      </c>
      <c r="B1053" s="88" t="s">
        <v>1846</v>
      </c>
      <c r="C1053" s="88" t="s">
        <v>1318</v>
      </c>
      <c r="D1053" s="88" t="s">
        <v>1102</v>
      </c>
      <c r="E1053" s="91" t="s">
        <v>2792</v>
      </c>
      <c r="F1053" s="90" t="s">
        <v>2793</v>
      </c>
      <c r="G1053" s="92"/>
      <c r="H1053" s="92" t="s">
        <v>3259</v>
      </c>
      <c r="I1053" s="233" t="s">
        <v>3194</v>
      </c>
      <c r="J1053" s="132"/>
      <c r="K1053" s="89" t="s">
        <v>3209</v>
      </c>
      <c r="L1053" s="89" t="s">
        <v>3245</v>
      </c>
      <c r="M1053" s="92"/>
      <c r="N1053" s="91" t="s">
        <v>1223</v>
      </c>
      <c r="O1053" s="131"/>
      <c r="P1053" s="90" t="s">
        <v>2206</v>
      </c>
      <c r="Q1053" s="131"/>
      <c r="R1053" s="131"/>
      <c r="S1053" s="92"/>
      <c r="T1053" s="131">
        <v>9403208000</v>
      </c>
      <c r="U1053" s="155">
        <v>0</v>
      </c>
      <c r="V1053" s="131">
        <v>45</v>
      </c>
      <c r="W1053" s="131">
        <v>45</v>
      </c>
      <c r="X1053" s="131"/>
      <c r="Y1053" s="131" t="s">
        <v>1706</v>
      </c>
      <c r="Z1053" s="133">
        <f t="shared" si="1235"/>
        <v>77.653149266609148</v>
      </c>
      <c r="AA1053" s="133"/>
      <c r="AB1053" s="161">
        <f t="shared" si="1236"/>
        <v>76.312576312576311</v>
      </c>
      <c r="AC1053" s="161"/>
      <c r="AD1053" s="213">
        <f t="shared" si="1237"/>
        <v>0.05</v>
      </c>
      <c r="AE1053" s="213">
        <v>0.05</v>
      </c>
      <c r="AF1053" s="219">
        <v>0.37</v>
      </c>
      <c r="AG1053" s="218" t="s">
        <v>9</v>
      </c>
      <c r="AH1053" s="148">
        <f t="shared" si="1238"/>
        <v>76.312576312576311</v>
      </c>
      <c r="AI1053" s="206">
        <f t="shared" si="1239"/>
        <v>0.37</v>
      </c>
      <c r="AJ1053" s="444"/>
      <c r="AK1053" s="201">
        <f t="shared" si="1240"/>
        <v>47.368421052631582</v>
      </c>
      <c r="AL1053" s="202">
        <f t="shared" si="1241"/>
        <v>50.607287449392722</v>
      </c>
      <c r="AM1053" s="208">
        <f t="shared" si="1242"/>
        <v>0.39</v>
      </c>
      <c r="AN1053" s="208">
        <f t="shared" si="1243"/>
        <v>0.33684210526315772</v>
      </c>
      <c r="AO1053" s="129"/>
      <c r="AP1053" s="170" t="s">
        <v>1267</v>
      </c>
      <c r="AQ1053" s="204"/>
      <c r="AR1053" s="204"/>
      <c r="AS1053" s="197"/>
      <c r="AT1053" s="162"/>
      <c r="AU1053" s="162"/>
      <c r="AV1053" s="173"/>
      <c r="AW1053" s="203">
        <f>VLOOKUP(I1053,'[7]ACCESSORIES 19'!$C$5:$I$63,6,FALSE)</f>
        <v>45</v>
      </c>
      <c r="AX1053" s="126">
        <f t="shared" si="1244"/>
        <v>48.07692307692308</v>
      </c>
      <c r="BB1053" s="168">
        <f t="shared" si="1231"/>
        <v>254.37525437525437</v>
      </c>
      <c r="BC1053" s="168">
        <f t="shared" si="1232"/>
        <v>152.62515262515262</v>
      </c>
      <c r="BD1053" s="168">
        <f t="shared" si="1233"/>
        <v>127.18762718762719</v>
      </c>
      <c r="BE1053" s="168">
        <f t="shared" si="1234"/>
        <v>101.75010175010175</v>
      </c>
      <c r="BF1053" s="129"/>
    </row>
    <row r="1054" spans="1:58" ht="15" hidden="1">
      <c r="A1054" s="88" t="s">
        <v>1276</v>
      </c>
      <c r="B1054" s="88" t="s">
        <v>1846</v>
      </c>
      <c r="C1054" s="88" t="s">
        <v>1318</v>
      </c>
      <c r="D1054" s="88" t="s">
        <v>1102</v>
      </c>
      <c r="E1054" s="91" t="s">
        <v>2792</v>
      </c>
      <c r="F1054" s="90" t="s">
        <v>2793</v>
      </c>
      <c r="G1054" s="92"/>
      <c r="H1054" s="92" t="s">
        <v>3260</v>
      </c>
      <c r="I1054" s="233" t="s">
        <v>3195</v>
      </c>
      <c r="J1054" s="132"/>
      <c r="K1054" s="89" t="s">
        <v>3210</v>
      </c>
      <c r="L1054" s="89" t="s">
        <v>3246</v>
      </c>
      <c r="M1054" s="92"/>
      <c r="N1054" s="91" t="s">
        <v>1223</v>
      </c>
      <c r="O1054" s="131"/>
      <c r="P1054" s="90" t="s">
        <v>2206</v>
      </c>
      <c r="Q1054" s="131"/>
      <c r="R1054" s="131"/>
      <c r="S1054" s="92"/>
      <c r="T1054" s="131">
        <v>9403208000</v>
      </c>
      <c r="U1054" s="155">
        <v>0</v>
      </c>
      <c r="V1054" s="131">
        <v>45</v>
      </c>
      <c r="W1054" s="131">
        <v>45</v>
      </c>
      <c r="X1054" s="131"/>
      <c r="Y1054" s="131" t="s">
        <v>1706</v>
      </c>
      <c r="Z1054" s="133">
        <f t="shared" si="1235"/>
        <v>86.281276962899057</v>
      </c>
      <c r="AA1054" s="133"/>
      <c r="AB1054" s="161">
        <f t="shared" si="1236"/>
        <v>84.791751458418133</v>
      </c>
      <c r="AC1054" s="161"/>
      <c r="AD1054" s="213">
        <f t="shared" si="1237"/>
        <v>0.05</v>
      </c>
      <c r="AE1054" s="213">
        <v>0.05</v>
      </c>
      <c r="AF1054" s="219">
        <v>0.37</v>
      </c>
      <c r="AG1054" s="218" t="s">
        <v>9</v>
      </c>
      <c r="AH1054" s="148">
        <f t="shared" si="1238"/>
        <v>84.791751458418133</v>
      </c>
      <c r="AI1054" s="206">
        <f t="shared" si="1239"/>
        <v>0.37</v>
      </c>
      <c r="AJ1054" s="444"/>
      <c r="AK1054" s="201">
        <f t="shared" si="1240"/>
        <v>52.631578947368425</v>
      </c>
      <c r="AL1054" s="202">
        <f t="shared" si="1241"/>
        <v>56.230319388214127</v>
      </c>
      <c r="AM1054" s="208">
        <f t="shared" si="1242"/>
        <v>0.39</v>
      </c>
      <c r="AN1054" s="208">
        <f t="shared" si="1243"/>
        <v>0.33684210526315794</v>
      </c>
      <c r="AO1054" s="129"/>
      <c r="AP1054" s="170" t="s">
        <v>1267</v>
      </c>
      <c r="AQ1054" s="204"/>
      <c r="AR1054" s="204"/>
      <c r="AS1054" s="197"/>
      <c r="AT1054" s="162"/>
      <c r="AU1054" s="162"/>
      <c r="AV1054" s="173"/>
      <c r="AW1054" s="203">
        <f>VLOOKUP(I1054,'[7]ACCESSORIES 19'!$C$5:$I$63,6,FALSE)</f>
        <v>50</v>
      </c>
      <c r="AX1054" s="126">
        <f t="shared" si="1244"/>
        <v>53.418803418803421</v>
      </c>
      <c r="BB1054" s="168">
        <f t="shared" si="1231"/>
        <v>282.63917152806044</v>
      </c>
      <c r="BC1054" s="168">
        <f t="shared" si="1232"/>
        <v>169.58350291683627</v>
      </c>
      <c r="BD1054" s="168">
        <f t="shared" si="1233"/>
        <v>141.31958576403022</v>
      </c>
      <c r="BE1054" s="168">
        <f t="shared" si="1234"/>
        <v>113.05566861122418</v>
      </c>
      <c r="BF1054" s="129"/>
    </row>
    <row r="1055" spans="1:58" ht="15" hidden="1">
      <c r="A1055" s="88" t="s">
        <v>1276</v>
      </c>
      <c r="B1055" s="88" t="s">
        <v>1846</v>
      </c>
      <c r="C1055" s="88" t="s">
        <v>1318</v>
      </c>
      <c r="D1055" s="88" t="s">
        <v>1102</v>
      </c>
      <c r="E1055" s="91" t="s">
        <v>2792</v>
      </c>
      <c r="F1055" s="90" t="s">
        <v>2793</v>
      </c>
      <c r="G1055" s="92"/>
      <c r="H1055" s="92"/>
      <c r="I1055" s="233" t="s">
        <v>4010</v>
      </c>
      <c r="J1055" s="132" t="s">
        <v>3791</v>
      </c>
      <c r="K1055" s="89" t="s">
        <v>3211</v>
      </c>
      <c r="L1055" s="89" t="s">
        <v>3247</v>
      </c>
      <c r="M1055" s="121"/>
      <c r="N1055" s="91" t="s">
        <v>1223</v>
      </c>
      <c r="O1055" s="131"/>
      <c r="P1055" s="90" t="s">
        <v>2206</v>
      </c>
      <c r="Q1055" s="131"/>
      <c r="R1055" s="131"/>
      <c r="S1055" s="92"/>
      <c r="T1055" s="131" t="s">
        <v>3870</v>
      </c>
      <c r="U1055" s="155">
        <v>0</v>
      </c>
      <c r="V1055" s="131">
        <v>45</v>
      </c>
      <c r="W1055" s="131">
        <v>45</v>
      </c>
      <c r="X1055" s="131"/>
      <c r="Y1055" s="131" t="s">
        <v>1706</v>
      </c>
      <c r="Z1055" s="244">
        <f t="shared" si="1235"/>
        <v>32.182916307161349</v>
      </c>
      <c r="AA1055" s="244"/>
      <c r="AB1055" s="245">
        <f t="shared" si="1236"/>
        <v>31.627323293989964</v>
      </c>
      <c r="AC1055" s="245"/>
      <c r="AD1055" s="246">
        <f t="shared" si="1237"/>
        <v>0.05</v>
      </c>
      <c r="AE1055" s="246">
        <v>0.05</v>
      </c>
      <c r="AF1055" s="247">
        <v>0.37</v>
      </c>
      <c r="AG1055" s="248" t="s">
        <v>9</v>
      </c>
      <c r="AH1055" s="145">
        <f t="shared" si="1238"/>
        <v>31.627323293989964</v>
      </c>
      <c r="AI1055" s="249">
        <f t="shared" si="1239"/>
        <v>0.37</v>
      </c>
      <c r="AJ1055" s="444"/>
      <c r="AK1055" s="250">
        <f t="shared" si="1240"/>
        <v>19.631578947368421</v>
      </c>
      <c r="AL1055" s="251">
        <f t="shared" si="1241"/>
        <v>20.973909131803872</v>
      </c>
      <c r="AM1055" s="252">
        <f t="shared" si="1242"/>
        <v>0.39</v>
      </c>
      <c r="AN1055" s="252">
        <f t="shared" si="1243"/>
        <v>0.33684210526315783</v>
      </c>
      <c r="AO1055" s="129"/>
      <c r="AP1055" s="170" t="s">
        <v>1267</v>
      </c>
      <c r="AQ1055" s="253"/>
      <c r="AR1055" s="253"/>
      <c r="AS1055" s="254"/>
      <c r="AT1055" s="255"/>
      <c r="AU1055" s="255"/>
      <c r="AV1055" s="256"/>
      <c r="AW1055" s="203">
        <f>VLOOKUP(I1055,'[7]ACCESSORIES 19'!$C$5:$I$63,6,FALSE)</f>
        <v>18.649999999999999</v>
      </c>
      <c r="AX1055" s="257">
        <f t="shared" si="1244"/>
        <v>19.925213675213676</v>
      </c>
      <c r="BB1055" s="168">
        <f t="shared" si="1231"/>
        <v>105.42441097996655</v>
      </c>
      <c r="BC1055" s="168">
        <f t="shared" si="1232"/>
        <v>63.254646587979927</v>
      </c>
      <c r="BD1055" s="168">
        <f t="shared" si="1233"/>
        <v>52.712205489983276</v>
      </c>
      <c r="BE1055" s="168">
        <f t="shared" si="1234"/>
        <v>42.169764391986625</v>
      </c>
      <c r="BF1055" s="129"/>
    </row>
    <row r="1056" spans="1:58" ht="15" hidden="1">
      <c r="A1056" s="88" t="s">
        <v>1276</v>
      </c>
      <c r="B1056" s="88" t="s">
        <v>1846</v>
      </c>
      <c r="C1056" s="88" t="s">
        <v>1318</v>
      </c>
      <c r="D1056" s="88" t="s">
        <v>1102</v>
      </c>
      <c r="E1056" s="91" t="s">
        <v>2792</v>
      </c>
      <c r="F1056" s="90" t="s">
        <v>2793</v>
      </c>
      <c r="G1056" s="92"/>
      <c r="H1056" s="92"/>
      <c r="I1056" s="233" t="s">
        <v>4011</v>
      </c>
      <c r="J1056" s="132"/>
      <c r="K1056" s="89" t="s">
        <v>3212</v>
      </c>
      <c r="L1056" s="89" t="s">
        <v>3239</v>
      </c>
      <c r="M1056" s="128"/>
      <c r="N1056" s="91" t="s">
        <v>1223</v>
      </c>
      <c r="O1056" s="131"/>
      <c r="P1056" s="90" t="s">
        <v>2206</v>
      </c>
      <c r="Q1056" s="131"/>
      <c r="R1056" s="131"/>
      <c r="S1056" s="92"/>
      <c r="T1056" s="131" t="s">
        <v>3870</v>
      </c>
      <c r="U1056" s="155">
        <v>0</v>
      </c>
      <c r="V1056" s="131">
        <v>45</v>
      </c>
      <c r="W1056" s="131">
        <v>45</v>
      </c>
      <c r="X1056" s="131"/>
      <c r="Y1056" s="131" t="s">
        <v>1706</v>
      </c>
      <c r="Z1056" s="150">
        <f t="shared" si="1235"/>
        <v>4.7454702329594483</v>
      </c>
      <c r="AA1056" s="150"/>
      <c r="AB1056" s="240">
        <f t="shared" si="1236"/>
        <v>4.6635463302129976</v>
      </c>
      <c r="AC1056" s="240"/>
      <c r="AD1056" s="267">
        <f t="shared" si="1237"/>
        <v>0.05</v>
      </c>
      <c r="AE1056" s="267">
        <v>0.05</v>
      </c>
      <c r="AF1056" s="268">
        <v>0.37</v>
      </c>
      <c r="AG1056" s="243" t="s">
        <v>9</v>
      </c>
      <c r="AH1056" s="148">
        <f t="shared" si="1238"/>
        <v>4.6635463302129976</v>
      </c>
      <c r="AI1056" s="208">
        <f t="shared" si="1239"/>
        <v>0.37</v>
      </c>
      <c r="AJ1056" s="444"/>
      <c r="AK1056" s="201">
        <f t="shared" si="1240"/>
        <v>2.8947368421052633</v>
      </c>
      <c r="AL1056" s="202">
        <f t="shared" si="1241"/>
        <v>3.0926675663517771</v>
      </c>
      <c r="AM1056" s="208">
        <f t="shared" si="1242"/>
        <v>0.39</v>
      </c>
      <c r="AN1056" s="208">
        <f t="shared" si="1243"/>
        <v>0.33684210526315794</v>
      </c>
      <c r="AO1056" s="195"/>
      <c r="AP1056" s="197" t="s">
        <v>1267</v>
      </c>
      <c r="AQ1056" s="204"/>
      <c r="AR1056" s="204"/>
      <c r="AS1056" s="197"/>
      <c r="AT1056" s="162"/>
      <c r="AU1056" s="162"/>
      <c r="AV1056" s="173"/>
      <c r="AW1056" s="203">
        <f>VLOOKUP(I1056,'[7]ACCESSORIES 19'!$C$5:$I$63,6,FALSE)</f>
        <v>2.75</v>
      </c>
      <c r="AX1056" s="126">
        <f t="shared" si="1244"/>
        <v>2.9380341880341883</v>
      </c>
      <c r="BB1056" s="168">
        <f t="shared" si="1231"/>
        <v>15.545154434043326</v>
      </c>
      <c r="BC1056" s="168">
        <f t="shared" si="1232"/>
        <v>9.3270926604259952</v>
      </c>
      <c r="BD1056" s="168">
        <f t="shared" si="1233"/>
        <v>7.7725772170216629</v>
      </c>
      <c r="BE1056" s="168">
        <f t="shared" si="1234"/>
        <v>6.2180617736173307</v>
      </c>
      <c r="BF1056" s="129"/>
    </row>
    <row r="1057" spans="1:57" s="129" customFormat="1" hidden="1">
      <c r="A1057" s="88" t="s">
        <v>1276</v>
      </c>
      <c r="B1057" s="88" t="s">
        <v>1318</v>
      </c>
      <c r="C1057" s="88" t="s">
        <v>1318</v>
      </c>
      <c r="D1057" s="88" t="s">
        <v>1102</v>
      </c>
      <c r="E1057" s="88" t="s">
        <v>1103</v>
      </c>
      <c r="F1057" s="89" t="s">
        <v>1103</v>
      </c>
      <c r="G1057" s="92"/>
      <c r="H1057" s="92"/>
      <c r="I1057" s="132" t="s">
        <v>3821</v>
      </c>
      <c r="J1057" s="132" t="s">
        <v>3843</v>
      </c>
      <c r="K1057" s="88" t="s">
        <v>3822</v>
      </c>
      <c r="L1057" s="88" t="s">
        <v>3823</v>
      </c>
      <c r="M1057" s="92"/>
      <c r="N1057" s="89" t="s">
        <v>158</v>
      </c>
      <c r="O1057" s="92"/>
      <c r="P1057" s="89" t="s">
        <v>241</v>
      </c>
      <c r="Q1057" s="92" t="s">
        <v>3824</v>
      </c>
      <c r="R1057" s="92"/>
      <c r="S1057" s="121"/>
      <c r="T1057" s="449" t="s">
        <v>3867</v>
      </c>
      <c r="U1057" s="155">
        <v>0</v>
      </c>
      <c r="V1057" s="207">
        <v>45</v>
      </c>
      <c r="W1057" s="92">
        <v>45</v>
      </c>
      <c r="X1057" s="207">
        <v>14</v>
      </c>
      <c r="Y1057" s="207" t="s">
        <v>64</v>
      </c>
      <c r="Z1057" s="133"/>
      <c r="AA1057" s="133"/>
      <c r="AB1057" s="161"/>
      <c r="AC1057" s="161"/>
      <c r="AD1057" s="213"/>
      <c r="AE1057" s="213"/>
      <c r="AF1057" s="215"/>
      <c r="AG1057" s="215"/>
      <c r="AH1057" s="148"/>
      <c r="AI1057" s="122"/>
      <c r="AJ1057" s="444"/>
      <c r="AK1057" s="150"/>
      <c r="AL1057" s="153"/>
      <c r="AM1057" s="125"/>
      <c r="AN1057" s="125"/>
      <c r="AO1057" s="140"/>
      <c r="AP1057" s="17" t="s">
        <v>3825</v>
      </c>
      <c r="AQ1057" s="162"/>
      <c r="AR1057" s="191"/>
      <c r="AS1057" s="191"/>
      <c r="AT1057" s="162"/>
      <c r="AU1057" s="141"/>
      <c r="AV1057" s="141"/>
      <c r="AW1057" s="142"/>
      <c r="AX1057" s="126"/>
      <c r="AY1057" s="127"/>
      <c r="AZ1057" s="128"/>
      <c r="BB1057" s="161"/>
      <c r="BC1057" s="161"/>
      <c r="BD1057" s="161"/>
      <c r="BE1057" s="161"/>
    </row>
    <row r="1058" spans="1:57" s="129" customFormat="1" hidden="1">
      <c r="A1058" s="88" t="s">
        <v>1276</v>
      </c>
      <c r="B1058" s="88" t="s">
        <v>1318</v>
      </c>
      <c r="C1058" s="88" t="s">
        <v>1318</v>
      </c>
      <c r="D1058" s="88" t="s">
        <v>1102</v>
      </c>
      <c r="E1058" s="88" t="s">
        <v>1103</v>
      </c>
      <c r="F1058" s="89" t="s">
        <v>1103</v>
      </c>
      <c r="G1058" s="92"/>
      <c r="H1058" s="92"/>
      <c r="I1058" s="132" t="s">
        <v>3826</v>
      </c>
      <c r="J1058" s="132" t="s">
        <v>3844</v>
      </c>
      <c r="K1058" s="88" t="s">
        <v>3827</v>
      </c>
      <c r="L1058" s="88" t="s">
        <v>3828</v>
      </c>
      <c r="M1058" s="92"/>
      <c r="N1058" s="89" t="s">
        <v>158</v>
      </c>
      <c r="O1058" s="92"/>
      <c r="P1058" s="89" t="s">
        <v>241</v>
      </c>
      <c r="Q1058" s="92" t="s">
        <v>3824</v>
      </c>
      <c r="R1058" s="431"/>
      <c r="S1058" s="128"/>
      <c r="T1058" s="451" t="s">
        <v>3867</v>
      </c>
      <c r="U1058" s="155">
        <v>0</v>
      </c>
      <c r="V1058" s="207">
        <v>45</v>
      </c>
      <c r="W1058" s="92">
        <v>45</v>
      </c>
      <c r="X1058" s="207">
        <v>14</v>
      </c>
      <c r="Y1058" s="207" t="s">
        <v>64</v>
      </c>
      <c r="Z1058" s="133"/>
      <c r="AA1058" s="133"/>
      <c r="AB1058" s="161"/>
      <c r="AC1058" s="161"/>
      <c r="AD1058" s="213"/>
      <c r="AE1058" s="213"/>
      <c r="AF1058" s="215"/>
      <c r="AG1058" s="215"/>
      <c r="AH1058" s="148"/>
      <c r="AI1058" s="122"/>
      <c r="AJ1058" s="444"/>
      <c r="AK1058" s="150"/>
      <c r="AL1058" s="153"/>
      <c r="AM1058" s="125"/>
      <c r="AN1058" s="125"/>
      <c r="AO1058" s="140"/>
      <c r="AP1058" s="17" t="s">
        <v>3825</v>
      </c>
      <c r="AQ1058" s="162"/>
      <c r="AR1058" s="191"/>
      <c r="AS1058" s="191"/>
      <c r="AT1058" s="162"/>
      <c r="AU1058" s="141"/>
      <c r="AV1058" s="141"/>
      <c r="AW1058" s="142"/>
      <c r="AX1058" s="126"/>
      <c r="AY1058" s="127"/>
      <c r="AZ1058" s="128"/>
      <c r="BB1058" s="161"/>
      <c r="BC1058" s="161"/>
      <c r="BD1058" s="161"/>
      <c r="BE1058" s="161"/>
    </row>
    <row r="1059" spans="1:57" s="129" customFormat="1" hidden="1">
      <c r="A1059" s="88" t="s">
        <v>1276</v>
      </c>
      <c r="B1059" s="88" t="s">
        <v>1318</v>
      </c>
      <c r="C1059" s="88" t="s">
        <v>1318</v>
      </c>
      <c r="D1059" s="88" t="s">
        <v>1102</v>
      </c>
      <c r="E1059" s="88" t="s">
        <v>1103</v>
      </c>
      <c r="F1059" s="89" t="s">
        <v>1103</v>
      </c>
      <c r="G1059" s="92"/>
      <c r="H1059" s="92"/>
      <c r="I1059" s="132" t="s">
        <v>3829</v>
      </c>
      <c r="J1059" s="132" t="s">
        <v>3845</v>
      </c>
      <c r="K1059" s="88" t="s">
        <v>3830</v>
      </c>
      <c r="L1059" s="88" t="s">
        <v>3831</v>
      </c>
      <c r="M1059" s="92"/>
      <c r="N1059" s="89" t="s">
        <v>158</v>
      </c>
      <c r="O1059" s="92"/>
      <c r="P1059" s="89" t="s">
        <v>241</v>
      </c>
      <c r="Q1059" s="92" t="s">
        <v>3824</v>
      </c>
      <c r="R1059" s="431"/>
      <c r="S1059" s="128"/>
      <c r="T1059" s="451" t="s">
        <v>3867</v>
      </c>
      <c r="U1059" s="155">
        <v>0</v>
      </c>
      <c r="V1059" s="207">
        <v>45</v>
      </c>
      <c r="W1059" s="92">
        <v>45</v>
      </c>
      <c r="X1059" s="207">
        <v>14</v>
      </c>
      <c r="Y1059" s="207" t="s">
        <v>64</v>
      </c>
      <c r="Z1059" s="133"/>
      <c r="AA1059" s="133"/>
      <c r="AB1059" s="161"/>
      <c r="AC1059" s="161"/>
      <c r="AD1059" s="213"/>
      <c r="AE1059" s="213"/>
      <c r="AF1059" s="215"/>
      <c r="AG1059" s="215"/>
      <c r="AH1059" s="148"/>
      <c r="AI1059" s="122"/>
      <c r="AJ1059" s="444"/>
      <c r="AK1059" s="150"/>
      <c r="AL1059" s="153"/>
      <c r="AM1059" s="125"/>
      <c r="AN1059" s="125"/>
      <c r="AO1059" s="140"/>
      <c r="AP1059" s="17" t="s">
        <v>3825</v>
      </c>
      <c r="AQ1059" s="162"/>
      <c r="AR1059" s="191"/>
      <c r="AS1059" s="191"/>
      <c r="AT1059" s="162"/>
      <c r="AU1059" s="141"/>
      <c r="AV1059" s="141"/>
      <c r="AW1059" s="142"/>
      <c r="AX1059" s="126"/>
      <c r="AY1059" s="127"/>
      <c r="AZ1059" s="128"/>
      <c r="BB1059" s="161"/>
      <c r="BC1059" s="161"/>
      <c r="BD1059" s="161"/>
      <c r="BE1059" s="161"/>
    </row>
    <row r="1060" spans="1:57" s="129" customFormat="1" hidden="1">
      <c r="A1060" s="88" t="s">
        <v>1276</v>
      </c>
      <c r="B1060" s="88" t="s">
        <v>1318</v>
      </c>
      <c r="C1060" s="88" t="s">
        <v>1318</v>
      </c>
      <c r="D1060" s="88" t="s">
        <v>1102</v>
      </c>
      <c r="E1060" s="88" t="s">
        <v>1103</v>
      </c>
      <c r="F1060" s="89" t="s">
        <v>1103</v>
      </c>
      <c r="G1060" s="92"/>
      <c r="H1060" s="92"/>
      <c r="I1060" s="132" t="s">
        <v>3832</v>
      </c>
      <c r="J1060" s="132" t="s">
        <v>3846</v>
      </c>
      <c r="K1060" s="88" t="s">
        <v>3833</v>
      </c>
      <c r="L1060" s="88" t="s">
        <v>3834</v>
      </c>
      <c r="M1060" s="92"/>
      <c r="N1060" s="89" t="s">
        <v>158</v>
      </c>
      <c r="O1060" s="92"/>
      <c r="P1060" s="89" t="s">
        <v>241</v>
      </c>
      <c r="Q1060" s="92" t="s">
        <v>3824</v>
      </c>
      <c r="R1060" s="431"/>
      <c r="S1060" s="128"/>
      <c r="T1060" s="451" t="s">
        <v>3867</v>
      </c>
      <c r="U1060" s="155">
        <v>0</v>
      </c>
      <c r="V1060" s="207">
        <v>45</v>
      </c>
      <c r="W1060" s="92">
        <v>45</v>
      </c>
      <c r="X1060" s="207">
        <v>14</v>
      </c>
      <c r="Y1060" s="207" t="s">
        <v>64</v>
      </c>
      <c r="Z1060" s="133"/>
      <c r="AA1060" s="133"/>
      <c r="AB1060" s="161"/>
      <c r="AC1060" s="161"/>
      <c r="AD1060" s="213"/>
      <c r="AE1060" s="213"/>
      <c r="AF1060" s="215"/>
      <c r="AG1060" s="215"/>
      <c r="AH1060" s="148"/>
      <c r="AI1060" s="122"/>
      <c r="AJ1060" s="444"/>
      <c r="AK1060" s="150"/>
      <c r="AL1060" s="153"/>
      <c r="AM1060" s="125"/>
      <c r="AN1060" s="125"/>
      <c r="AO1060" s="140"/>
      <c r="AP1060" s="17" t="s">
        <v>3825</v>
      </c>
      <c r="AQ1060" s="162"/>
      <c r="AR1060" s="191"/>
      <c r="AS1060" s="191"/>
      <c r="AT1060" s="162"/>
      <c r="AU1060" s="141"/>
      <c r="AV1060" s="141"/>
      <c r="AW1060" s="142"/>
      <c r="AX1060" s="126"/>
      <c r="AY1060" s="127"/>
      <c r="AZ1060" s="128"/>
      <c r="BB1060" s="161"/>
      <c r="BC1060" s="161"/>
      <c r="BD1060" s="161"/>
      <c r="BE1060" s="161"/>
    </row>
    <row r="1061" spans="1:57" s="129" customFormat="1" hidden="1">
      <c r="A1061" s="88" t="s">
        <v>1276</v>
      </c>
      <c r="B1061" s="88" t="s">
        <v>1318</v>
      </c>
      <c r="C1061" s="88" t="s">
        <v>1318</v>
      </c>
      <c r="D1061" s="88" t="s">
        <v>1102</v>
      </c>
      <c r="E1061" s="88" t="s">
        <v>1103</v>
      </c>
      <c r="F1061" s="89" t="s">
        <v>1103</v>
      </c>
      <c r="G1061" s="92"/>
      <c r="H1061" s="92"/>
      <c r="I1061" s="132" t="s">
        <v>3835</v>
      </c>
      <c r="J1061" s="132" t="s">
        <v>3841</v>
      </c>
      <c r="K1061" s="88" t="s">
        <v>3836</v>
      </c>
      <c r="L1061" s="88" t="s">
        <v>3837</v>
      </c>
      <c r="M1061" s="92"/>
      <c r="N1061" s="89" t="s">
        <v>158</v>
      </c>
      <c r="O1061" s="92"/>
      <c r="P1061" s="89"/>
      <c r="Q1061" s="92" t="s">
        <v>3824</v>
      </c>
      <c r="R1061" s="92"/>
      <c r="S1061" s="450"/>
      <c r="T1061" s="449" t="s">
        <v>3871</v>
      </c>
      <c r="U1061" s="155">
        <v>0</v>
      </c>
      <c r="V1061" s="207">
        <v>45</v>
      </c>
      <c r="W1061" s="92">
        <v>45</v>
      </c>
      <c r="X1061" s="92"/>
      <c r="Y1061" s="207" t="s">
        <v>64</v>
      </c>
      <c r="Z1061" s="133"/>
      <c r="AA1061" s="133"/>
      <c r="AB1061" s="161"/>
      <c r="AC1061" s="161"/>
      <c r="AD1061" s="213"/>
      <c r="AE1061" s="213"/>
      <c r="AF1061" s="215"/>
      <c r="AG1061" s="215"/>
      <c r="AH1061" s="148"/>
      <c r="AI1061" s="122"/>
      <c r="AJ1061" s="444"/>
      <c r="AK1061" s="150"/>
      <c r="AL1061" s="153"/>
      <c r="AM1061" s="125"/>
      <c r="AN1061" s="125"/>
      <c r="AO1061" s="140"/>
      <c r="AP1061" s="17" t="s">
        <v>3825</v>
      </c>
      <c r="AQ1061" s="162"/>
      <c r="AR1061" s="191"/>
      <c r="AS1061" s="191"/>
      <c r="AT1061" s="162"/>
      <c r="AU1061" s="141"/>
      <c r="AV1061" s="141"/>
      <c r="AW1061" s="142"/>
      <c r="AX1061" s="126"/>
      <c r="AY1061" s="127"/>
      <c r="AZ1061" s="128"/>
      <c r="BB1061" s="161"/>
      <c r="BC1061" s="161"/>
      <c r="BD1061" s="161"/>
      <c r="BE1061" s="161"/>
    </row>
    <row r="1062" spans="1:57" s="129" customFormat="1" hidden="1">
      <c r="A1062" s="88" t="s">
        <v>1276</v>
      </c>
      <c r="B1062" s="88" t="s">
        <v>1318</v>
      </c>
      <c r="C1062" s="88" t="s">
        <v>1318</v>
      </c>
      <c r="D1062" s="88" t="s">
        <v>1102</v>
      </c>
      <c r="E1062" s="88" t="s">
        <v>1103</v>
      </c>
      <c r="F1062" s="89" t="s">
        <v>1103</v>
      </c>
      <c r="G1062" s="92"/>
      <c r="H1062" s="92"/>
      <c r="I1062" s="132" t="s">
        <v>3838</v>
      </c>
      <c r="J1062" s="132" t="s">
        <v>3842</v>
      </c>
      <c r="K1062" s="88" t="s">
        <v>3839</v>
      </c>
      <c r="L1062" s="88" t="s">
        <v>3840</v>
      </c>
      <c r="M1062" s="92"/>
      <c r="N1062" s="89" t="s">
        <v>158</v>
      </c>
      <c r="O1062" s="92"/>
      <c r="P1062" s="89"/>
      <c r="Q1062" s="92" t="s">
        <v>3824</v>
      </c>
      <c r="R1062" s="92"/>
      <c r="S1062" s="92"/>
      <c r="T1062" s="449" t="s">
        <v>3863</v>
      </c>
      <c r="U1062" s="155">
        <v>0</v>
      </c>
      <c r="V1062" s="207">
        <v>45</v>
      </c>
      <c r="W1062" s="92">
        <v>45</v>
      </c>
      <c r="X1062" s="92"/>
      <c r="Y1062" s="207" t="s">
        <v>64</v>
      </c>
      <c r="Z1062" s="133"/>
      <c r="AA1062" s="133"/>
      <c r="AB1062" s="161"/>
      <c r="AC1062" s="161"/>
      <c r="AD1062" s="213"/>
      <c r="AE1062" s="213"/>
      <c r="AF1062" s="215"/>
      <c r="AG1062" s="215"/>
      <c r="AH1062" s="148"/>
      <c r="AI1062" s="122"/>
      <c r="AJ1062" s="444"/>
      <c r="AK1062" s="150"/>
      <c r="AL1062" s="153"/>
      <c r="AM1062" s="125"/>
      <c r="AN1062" s="125"/>
      <c r="AO1062" s="140"/>
      <c r="AP1062" s="17" t="s">
        <v>3825</v>
      </c>
      <c r="AQ1062" s="162"/>
      <c r="AR1062" s="191"/>
      <c r="AS1062" s="191"/>
      <c r="AT1062" s="162"/>
      <c r="AU1062" s="141"/>
      <c r="AV1062" s="141"/>
      <c r="AW1062" s="142"/>
      <c r="AX1062" s="126"/>
      <c r="AY1062" s="127"/>
      <c r="AZ1062" s="128"/>
      <c r="BB1062" s="161"/>
      <c r="BC1062" s="161"/>
      <c r="BD1062" s="161"/>
      <c r="BE1062" s="161"/>
    </row>
    <row r="1063" spans="1:57" s="129" customFormat="1" hidden="1">
      <c r="A1063" s="88" t="s">
        <v>1276</v>
      </c>
      <c r="B1063" s="88" t="s">
        <v>1317</v>
      </c>
      <c r="C1063" s="88" t="s">
        <v>1317</v>
      </c>
      <c r="D1063" s="88" t="s">
        <v>55</v>
      </c>
      <c r="E1063" s="89" t="s">
        <v>56</v>
      </c>
      <c r="F1063" s="90" t="s">
        <v>109</v>
      </c>
      <c r="G1063" s="131" t="s">
        <v>114</v>
      </c>
      <c r="H1063" s="131">
        <v>23</v>
      </c>
      <c r="I1063" s="132" t="s">
        <v>3847</v>
      </c>
      <c r="J1063" s="132" t="s">
        <v>3850</v>
      </c>
      <c r="K1063" s="90" t="s">
        <v>3848</v>
      </c>
      <c r="L1063" s="90" t="s">
        <v>3849</v>
      </c>
      <c r="M1063" s="131" t="s">
        <v>125</v>
      </c>
      <c r="N1063" s="91" t="s">
        <v>60</v>
      </c>
      <c r="O1063" s="92">
        <v>17.8</v>
      </c>
      <c r="P1063" s="88" t="s">
        <v>61</v>
      </c>
      <c r="Q1063" s="92" t="s">
        <v>62</v>
      </c>
      <c r="R1063" s="92">
        <v>9</v>
      </c>
      <c r="S1063" s="123"/>
      <c r="T1063" s="131" t="s">
        <v>159</v>
      </c>
      <c r="U1063" s="324">
        <v>0</v>
      </c>
      <c r="V1063" s="207">
        <v>45</v>
      </c>
      <c r="W1063" s="207">
        <v>45</v>
      </c>
      <c r="X1063" s="207">
        <v>55</v>
      </c>
      <c r="Y1063" s="207" t="s">
        <v>64</v>
      </c>
      <c r="Z1063" s="133">
        <f>AW1063/(1-(AF1063+2%))</f>
        <v>0</v>
      </c>
      <c r="AA1063" s="133" t="e">
        <f>VLOOKUP(I1063,'[2]PO &amp; SC Sept 2025'!$I$14:$BK$686,55,FALSE)+(($F$3/1000)-1.5)*O1063</f>
        <v>#N/A</v>
      </c>
      <c r="AB1063" s="124">
        <f>AX1063/(1-AF1063)</f>
        <v>12.626262626262625</v>
      </c>
      <c r="AC1063" s="134" t="e">
        <f>VLOOKUP(I1063,'[2]PO &amp; SC Sept 2025'!$I$14:$BE$686,49,FALSE)+(O1063*(($F$4/1000)-1.5))</f>
        <v>#N/A</v>
      </c>
      <c r="AD1063" s="213">
        <v>0.09</v>
      </c>
      <c r="AE1063" s="213">
        <v>0.09</v>
      </c>
      <c r="AF1063" s="215">
        <v>0.22999999999999998</v>
      </c>
      <c r="AG1063" s="216" t="s">
        <v>9</v>
      </c>
      <c r="AH1063" s="148">
        <f>AB1063</f>
        <v>12.626262626262625</v>
      </c>
      <c r="AI1063" s="149">
        <f>1-(AX1063/AH1063)</f>
        <v>0.22999999999999998</v>
      </c>
      <c r="AJ1063" s="444"/>
      <c r="AK1063" s="150">
        <f>AW1063/(1-AD1063)</f>
        <v>0</v>
      </c>
      <c r="AL1063" s="148">
        <f>AX1063/(1-AE1063)</f>
        <v>10.683760683760683</v>
      </c>
      <c r="AM1063" s="325" t="e">
        <f>1-(AK1063/Z1063)</f>
        <v>#DIV/0!</v>
      </c>
      <c r="AN1063" s="325">
        <f>1-(AL1063/AB1063)</f>
        <v>0.15384615384615374</v>
      </c>
      <c r="AO1063" s="140"/>
      <c r="AP1063" s="17" t="s">
        <v>81</v>
      </c>
      <c r="AQ1063" s="141"/>
      <c r="AR1063" s="141"/>
      <c r="AS1063" s="141"/>
      <c r="AT1063" s="141"/>
      <c r="AU1063" s="141">
        <f>($F$2-70000)/1000*AQ1063+AR1063</f>
        <v>0</v>
      </c>
      <c r="AV1063" s="141">
        <f>AT1063+AU1063</f>
        <v>0</v>
      </c>
      <c r="AW1063" s="142">
        <f>(AT1063+AU1063)/$F$5</f>
        <v>0</v>
      </c>
      <c r="AX1063" s="126">
        <f>(AW1063/$F$6)+(($F$9+$G$9)/40/R1063)+AW1063*U1063</f>
        <v>9.7222222222222214</v>
      </c>
      <c r="AY1063" s="127"/>
      <c r="AZ1063" s="128" t="s">
        <v>63</v>
      </c>
      <c r="BB1063" s="124">
        <f>AB1063/0.3</f>
        <v>42.087542087542083</v>
      </c>
      <c r="BC1063" s="124">
        <f>BB1063*0.6</f>
        <v>25.252525252525249</v>
      </c>
      <c r="BD1063" s="124">
        <f>BB1063*0.5</f>
        <v>21.043771043771041</v>
      </c>
      <c r="BE1063" s="124">
        <f>BB1063*0.4</f>
        <v>16.835016835016834</v>
      </c>
    </row>
    <row r="1064" spans="1:57" s="129" customFormat="1" hidden="1">
      <c r="A1064" s="88" t="s">
        <v>1276</v>
      </c>
      <c r="B1064" s="88" t="s">
        <v>1318</v>
      </c>
      <c r="C1064" s="88" t="s">
        <v>1318</v>
      </c>
      <c r="D1064" s="88" t="s">
        <v>656</v>
      </c>
      <c r="E1064" s="88" t="s">
        <v>657</v>
      </c>
      <c r="F1064" s="89" t="s">
        <v>657</v>
      </c>
      <c r="G1064" s="92" t="s">
        <v>658</v>
      </c>
      <c r="H1064" s="92"/>
      <c r="I1064" s="167" t="s">
        <v>3897</v>
      </c>
      <c r="J1064" s="167" t="s">
        <v>3910</v>
      </c>
      <c r="K1064" s="88" t="s">
        <v>3901</v>
      </c>
      <c r="L1064" s="88" t="s">
        <v>3902</v>
      </c>
      <c r="M1064" s="92"/>
      <c r="N1064" s="89" t="s">
        <v>60</v>
      </c>
      <c r="O1064" s="165"/>
      <c r="P1064" s="89" t="s">
        <v>661</v>
      </c>
      <c r="Q1064" s="92" t="s">
        <v>242</v>
      </c>
      <c r="R1064" s="92">
        <v>51840</v>
      </c>
      <c r="S1064" s="431"/>
      <c r="T1064" s="128" t="s">
        <v>3865</v>
      </c>
      <c r="U1064" s="456">
        <v>0</v>
      </c>
      <c r="V1064" s="207">
        <v>30</v>
      </c>
      <c r="W1064" s="92">
        <v>45</v>
      </c>
      <c r="X1064" s="92">
        <v>55</v>
      </c>
      <c r="Y1064" s="92" t="s">
        <v>64</v>
      </c>
      <c r="Z1064" s="133">
        <f t="shared" ref="Z1064" si="1245">AK1064/(1-(AF1064+2%))</f>
        <v>0.48840048840048844</v>
      </c>
      <c r="AA1064" s="133"/>
      <c r="AB1064" s="161">
        <f t="shared" ref="AB1064" si="1246">AX1064/(1-AF1064)</f>
        <v>0.36699720895927368</v>
      </c>
      <c r="AC1064" s="161"/>
      <c r="AD1064" s="213">
        <f t="shared" ref="AD1064" si="1247">AE1064</f>
        <v>0.1</v>
      </c>
      <c r="AE1064" s="213">
        <v>0.1</v>
      </c>
      <c r="AF1064" s="215">
        <v>0.33</v>
      </c>
      <c r="AG1064" s="215" t="s">
        <v>9</v>
      </c>
      <c r="AH1064" s="148">
        <f t="shared" ref="AH1064" si="1248">AB1064</f>
        <v>0.36699720895927368</v>
      </c>
      <c r="AI1064" s="122">
        <f t="shared" ref="AI1064" si="1249">1-(AX1064/AH1064)</f>
        <v>0.33000000000000007</v>
      </c>
      <c r="AJ1064" s="444"/>
      <c r="AK1064" s="150">
        <f t="shared" ref="AK1064" si="1250">AW1064/(1-AD1064)</f>
        <v>0.31746031746031744</v>
      </c>
      <c r="AL1064" s="153">
        <f t="shared" ref="AL1064" si="1251">AX1064/(1-AE1064)</f>
        <v>0.27320903333634816</v>
      </c>
      <c r="AM1064" s="125">
        <f t="shared" ref="AM1064" si="1252">1-(AK1064/Z1064)</f>
        <v>0.35000000000000009</v>
      </c>
      <c r="AN1064" s="125">
        <f t="shared" ref="AN1064" si="1253">1-(AL1064/AB1064)</f>
        <v>0.25555555555555565</v>
      </c>
      <c r="AO1064" s="140"/>
      <c r="AP1064" s="17" t="s">
        <v>664</v>
      </c>
      <c r="AQ1064" s="191"/>
      <c r="AR1064" s="191"/>
      <c r="AS1064" s="191"/>
      <c r="AT1064" s="191"/>
      <c r="AU1064" s="141">
        <v>2</v>
      </c>
      <c r="AV1064" s="141">
        <f t="shared" ref="AV1064" si="1254">AT1064+AU1064</f>
        <v>2</v>
      </c>
      <c r="AW1064" s="142">
        <f t="shared" ref="AW1064" si="1255">(AT1064+AU1064)/$F$5</f>
        <v>0.2857142857142857</v>
      </c>
      <c r="AX1064" s="126">
        <f t="shared" ref="AX1064" si="1256">(AW1064/$F$6)+(($F$9+$G$9)/40/R1064)+AW1064*U1064</f>
        <v>0.24588813000271334</v>
      </c>
      <c r="AY1064" s="17"/>
      <c r="AZ1064" s="183">
        <v>8536700000</v>
      </c>
      <c r="BB1064" s="161">
        <f t="shared" ref="BB1064" si="1257">AB1064/0.3</f>
        <v>1.2233240298642456</v>
      </c>
      <c r="BC1064" s="161">
        <f t="shared" ref="BC1064" si="1258">BB1064*0.6</f>
        <v>0.73399441791854736</v>
      </c>
      <c r="BD1064" s="161">
        <f t="shared" ref="BD1064" si="1259">BB1064*0.5</f>
        <v>0.6116620149321228</v>
      </c>
      <c r="BE1064" s="161">
        <f t="shared" ref="BE1064" si="1260">BB1064*0.4</f>
        <v>0.48932961194569824</v>
      </c>
    </row>
    <row r="1065" spans="1:57" s="129" customFormat="1" hidden="1">
      <c r="A1065" s="88" t="s">
        <v>1276</v>
      </c>
      <c r="B1065" s="88" t="s">
        <v>1318</v>
      </c>
      <c r="C1065" s="88" t="s">
        <v>1318</v>
      </c>
      <c r="D1065" s="88" t="s">
        <v>656</v>
      </c>
      <c r="E1065" s="88" t="s">
        <v>657</v>
      </c>
      <c r="F1065" s="89" t="s">
        <v>657</v>
      </c>
      <c r="G1065" s="92" t="s">
        <v>658</v>
      </c>
      <c r="H1065" s="92"/>
      <c r="I1065" s="167" t="s">
        <v>3898</v>
      </c>
      <c r="J1065" s="167" t="s">
        <v>3909</v>
      </c>
      <c r="K1065" s="88" t="s">
        <v>3903</v>
      </c>
      <c r="L1065" s="88" t="s">
        <v>3904</v>
      </c>
      <c r="M1065" s="92"/>
      <c r="N1065" s="89" t="s">
        <v>60</v>
      </c>
      <c r="O1065" s="165"/>
      <c r="P1065" s="89" t="s">
        <v>661</v>
      </c>
      <c r="Q1065" s="92" t="s">
        <v>242</v>
      </c>
      <c r="R1065" s="92">
        <v>51840</v>
      </c>
      <c r="S1065" s="431"/>
      <c r="T1065" s="128" t="s">
        <v>3865</v>
      </c>
      <c r="U1065" s="456">
        <v>0</v>
      </c>
      <c r="V1065" s="207">
        <v>30</v>
      </c>
      <c r="W1065" s="92">
        <v>45</v>
      </c>
      <c r="X1065" s="92">
        <v>55</v>
      </c>
      <c r="Y1065" s="92" t="s">
        <v>64</v>
      </c>
      <c r="Z1065" s="133">
        <f t="shared" ref="Z1065:Z1066" si="1261">AK1065/(1-(AF1065+2%))</f>
        <v>0.48840048840048844</v>
      </c>
      <c r="AA1065" s="133"/>
      <c r="AB1065" s="161">
        <f t="shared" ref="AB1065:AB1066" si="1262">AX1065/(1-AF1065)</f>
        <v>0.36699720895927368</v>
      </c>
      <c r="AC1065" s="161"/>
      <c r="AD1065" s="213">
        <f t="shared" ref="AD1065:AD1066" si="1263">AE1065</f>
        <v>0.1</v>
      </c>
      <c r="AE1065" s="213">
        <v>0.1</v>
      </c>
      <c r="AF1065" s="215">
        <v>0.33</v>
      </c>
      <c r="AG1065" s="215" t="s">
        <v>9</v>
      </c>
      <c r="AH1065" s="148">
        <f t="shared" ref="AH1065:AH1066" si="1264">AB1065</f>
        <v>0.36699720895927368</v>
      </c>
      <c r="AI1065" s="122">
        <f t="shared" ref="AI1065:AI1066" si="1265">1-(AX1065/AH1065)</f>
        <v>0.33000000000000007</v>
      </c>
      <c r="AJ1065" s="444"/>
      <c r="AK1065" s="150">
        <f t="shared" ref="AK1065:AK1066" si="1266">AW1065/(1-AD1065)</f>
        <v>0.31746031746031744</v>
      </c>
      <c r="AL1065" s="153">
        <f t="shared" ref="AL1065:AL1066" si="1267">AX1065/(1-AE1065)</f>
        <v>0.27320903333634816</v>
      </c>
      <c r="AM1065" s="125">
        <f t="shared" ref="AM1065:AM1066" si="1268">1-(AK1065/Z1065)</f>
        <v>0.35000000000000009</v>
      </c>
      <c r="AN1065" s="125">
        <f t="shared" ref="AN1065:AN1066" si="1269">1-(AL1065/AB1065)</f>
        <v>0.25555555555555565</v>
      </c>
      <c r="AO1065" s="140"/>
      <c r="AP1065" s="17" t="s">
        <v>664</v>
      </c>
      <c r="AQ1065" s="191"/>
      <c r="AR1065" s="191"/>
      <c r="AS1065" s="191"/>
      <c r="AT1065" s="191"/>
      <c r="AU1065" s="141">
        <v>2</v>
      </c>
      <c r="AV1065" s="141">
        <f t="shared" ref="AV1065:AV1066" si="1270">AT1065+AU1065</f>
        <v>2</v>
      </c>
      <c r="AW1065" s="142">
        <f t="shared" ref="AW1065:AW1066" si="1271">(AT1065+AU1065)/$F$5</f>
        <v>0.2857142857142857</v>
      </c>
      <c r="AX1065" s="126">
        <f t="shared" ref="AX1065:AX1066" si="1272">(AW1065/$F$6)+(($F$9+$G$9)/40/R1065)+AW1065*U1065</f>
        <v>0.24588813000271334</v>
      </c>
      <c r="AY1065" s="17"/>
      <c r="AZ1065" s="183">
        <v>8536700000</v>
      </c>
      <c r="BB1065" s="161">
        <f t="shared" ref="BB1065:BB1066" si="1273">AB1065/0.3</f>
        <v>1.2233240298642456</v>
      </c>
      <c r="BC1065" s="161">
        <f t="shared" ref="BC1065:BC1066" si="1274">BB1065*0.6</f>
        <v>0.73399441791854736</v>
      </c>
      <c r="BD1065" s="161">
        <f t="shared" ref="BD1065:BD1066" si="1275">BB1065*0.5</f>
        <v>0.6116620149321228</v>
      </c>
      <c r="BE1065" s="161">
        <f t="shared" ref="BE1065:BE1066" si="1276">BB1065*0.4</f>
        <v>0.48932961194569824</v>
      </c>
    </row>
    <row r="1066" spans="1:57" s="129" customFormat="1" hidden="1">
      <c r="A1066" s="88" t="s">
        <v>1276</v>
      </c>
      <c r="B1066" s="88" t="s">
        <v>1318</v>
      </c>
      <c r="C1066" s="88" t="s">
        <v>1318</v>
      </c>
      <c r="D1066" s="88" t="s">
        <v>656</v>
      </c>
      <c r="E1066" s="88" t="s">
        <v>657</v>
      </c>
      <c r="F1066" s="89" t="s">
        <v>657</v>
      </c>
      <c r="G1066" s="92" t="s">
        <v>668</v>
      </c>
      <c r="H1066" s="92"/>
      <c r="I1066" s="167" t="s">
        <v>3899</v>
      </c>
      <c r="J1066" s="167" t="s">
        <v>3911</v>
      </c>
      <c r="K1066" s="88" t="s">
        <v>3905</v>
      </c>
      <c r="L1066" s="88" t="s">
        <v>3907</v>
      </c>
      <c r="M1066" s="92"/>
      <c r="N1066" s="89" t="s">
        <v>60</v>
      </c>
      <c r="O1066" s="165"/>
      <c r="P1066" s="89" t="s">
        <v>671</v>
      </c>
      <c r="Q1066" s="92" t="s">
        <v>242</v>
      </c>
      <c r="R1066" s="92">
        <v>25920</v>
      </c>
      <c r="S1066" s="431"/>
      <c r="T1066" s="128" t="s">
        <v>3865</v>
      </c>
      <c r="U1066" s="456">
        <v>0</v>
      </c>
      <c r="V1066" s="207">
        <v>30</v>
      </c>
      <c r="W1066" s="92">
        <v>45</v>
      </c>
      <c r="X1066" s="92">
        <v>55</v>
      </c>
      <c r="Y1066" s="92" t="s">
        <v>64</v>
      </c>
      <c r="Z1066" s="133">
        <f t="shared" si="1261"/>
        <v>0.36630036630036633</v>
      </c>
      <c r="AA1066" s="133"/>
      <c r="AB1066" s="161">
        <f t="shared" si="1262"/>
        <v>0.27839694739570364</v>
      </c>
      <c r="AC1066" s="161"/>
      <c r="AD1066" s="213">
        <f t="shared" si="1263"/>
        <v>0.1</v>
      </c>
      <c r="AE1066" s="213">
        <v>0.1</v>
      </c>
      <c r="AF1066" s="215">
        <v>0.33</v>
      </c>
      <c r="AG1066" s="215" t="s">
        <v>9</v>
      </c>
      <c r="AH1066" s="148">
        <f t="shared" si="1264"/>
        <v>0.27839694739570364</v>
      </c>
      <c r="AI1066" s="122">
        <f t="shared" si="1265"/>
        <v>0.33000000000000018</v>
      </c>
      <c r="AJ1066" s="444"/>
      <c r="AK1066" s="150">
        <f t="shared" si="1266"/>
        <v>0.23809523809523808</v>
      </c>
      <c r="AL1066" s="153">
        <f t="shared" si="1267"/>
        <v>0.20725106083902378</v>
      </c>
      <c r="AM1066" s="125">
        <f t="shared" si="1268"/>
        <v>0.35000000000000009</v>
      </c>
      <c r="AN1066" s="125">
        <f t="shared" si="1269"/>
        <v>0.25555555555555565</v>
      </c>
      <c r="AO1066" s="140"/>
      <c r="AP1066" s="17" t="s">
        <v>664</v>
      </c>
      <c r="AQ1066" s="191"/>
      <c r="AR1066" s="191"/>
      <c r="AS1066" s="191"/>
      <c r="AT1066" s="191"/>
      <c r="AU1066" s="141">
        <v>1.5</v>
      </c>
      <c r="AV1066" s="141">
        <f t="shared" si="1270"/>
        <v>1.5</v>
      </c>
      <c r="AW1066" s="142">
        <f t="shared" si="1271"/>
        <v>0.21428571428571427</v>
      </c>
      <c r="AX1066" s="126">
        <f t="shared" si="1272"/>
        <v>0.1865259547551214</v>
      </c>
      <c r="AY1066" s="17"/>
      <c r="AZ1066" s="183">
        <v>8536700000</v>
      </c>
      <c r="BB1066" s="161">
        <f t="shared" si="1273"/>
        <v>0.92798982465234547</v>
      </c>
      <c r="BC1066" s="161">
        <f t="shared" si="1274"/>
        <v>0.55679389479140728</v>
      </c>
      <c r="BD1066" s="161">
        <f t="shared" si="1275"/>
        <v>0.46399491232617274</v>
      </c>
      <c r="BE1066" s="161">
        <f t="shared" si="1276"/>
        <v>0.37119592986093819</v>
      </c>
    </row>
    <row r="1067" spans="1:57" s="129" customFormat="1" hidden="1">
      <c r="A1067" s="88" t="s">
        <v>1276</v>
      </c>
      <c r="B1067" s="88" t="s">
        <v>1318</v>
      </c>
      <c r="C1067" s="88" t="s">
        <v>1318</v>
      </c>
      <c r="D1067" s="88" t="s">
        <v>656</v>
      </c>
      <c r="E1067" s="88" t="s">
        <v>657</v>
      </c>
      <c r="F1067" s="89" t="s">
        <v>657</v>
      </c>
      <c r="G1067" s="92" t="s">
        <v>668</v>
      </c>
      <c r="H1067" s="92"/>
      <c r="I1067" s="167" t="s">
        <v>3900</v>
      </c>
      <c r="J1067" s="167" t="s">
        <v>3912</v>
      </c>
      <c r="K1067" s="88" t="s">
        <v>3906</v>
      </c>
      <c r="L1067" s="88" t="s">
        <v>3908</v>
      </c>
      <c r="M1067" s="92"/>
      <c r="N1067" s="89" t="s">
        <v>60</v>
      </c>
      <c r="O1067" s="165"/>
      <c r="P1067" s="89" t="s">
        <v>671</v>
      </c>
      <c r="Q1067" s="92" t="s">
        <v>242</v>
      </c>
      <c r="R1067" s="92">
        <v>25920</v>
      </c>
      <c r="S1067" s="431"/>
      <c r="T1067" s="128" t="s">
        <v>3865</v>
      </c>
      <c r="U1067" s="456">
        <v>0</v>
      </c>
      <c r="V1067" s="207">
        <v>30</v>
      </c>
      <c r="W1067" s="92">
        <v>45</v>
      </c>
      <c r="X1067" s="92">
        <v>55</v>
      </c>
      <c r="Y1067" s="92" t="s">
        <v>64</v>
      </c>
      <c r="Z1067" s="133">
        <f t="shared" ref="Z1067" si="1277">AK1067/(1-(AF1067+2%))</f>
        <v>0.36630036630036633</v>
      </c>
      <c r="AA1067" s="133"/>
      <c r="AB1067" s="161">
        <f t="shared" ref="AB1067" si="1278">AX1067/(1-AF1067)</f>
        <v>0.27839694739570364</v>
      </c>
      <c r="AC1067" s="161"/>
      <c r="AD1067" s="213">
        <f t="shared" ref="AD1067" si="1279">AE1067</f>
        <v>0.1</v>
      </c>
      <c r="AE1067" s="213">
        <v>0.1</v>
      </c>
      <c r="AF1067" s="215">
        <v>0.33</v>
      </c>
      <c r="AG1067" s="215" t="s">
        <v>9</v>
      </c>
      <c r="AH1067" s="148">
        <f t="shared" ref="AH1067" si="1280">AB1067</f>
        <v>0.27839694739570364</v>
      </c>
      <c r="AI1067" s="122">
        <f t="shared" ref="AI1067" si="1281">1-(AX1067/AH1067)</f>
        <v>0.33000000000000018</v>
      </c>
      <c r="AJ1067" s="444"/>
      <c r="AK1067" s="150">
        <f t="shared" ref="AK1067" si="1282">AW1067/(1-AD1067)</f>
        <v>0.23809523809523808</v>
      </c>
      <c r="AL1067" s="153">
        <f t="shared" ref="AL1067" si="1283">AX1067/(1-AE1067)</f>
        <v>0.20725106083902378</v>
      </c>
      <c r="AM1067" s="125">
        <f t="shared" ref="AM1067" si="1284">1-(AK1067/Z1067)</f>
        <v>0.35000000000000009</v>
      </c>
      <c r="AN1067" s="125">
        <f t="shared" ref="AN1067" si="1285">1-(AL1067/AB1067)</f>
        <v>0.25555555555555565</v>
      </c>
      <c r="AO1067" s="140"/>
      <c r="AP1067" s="17" t="s">
        <v>664</v>
      </c>
      <c r="AQ1067" s="191"/>
      <c r="AR1067" s="191"/>
      <c r="AS1067" s="191"/>
      <c r="AT1067" s="191"/>
      <c r="AU1067" s="141">
        <v>1.5</v>
      </c>
      <c r="AV1067" s="141">
        <f t="shared" ref="AV1067" si="1286">AT1067+AU1067</f>
        <v>1.5</v>
      </c>
      <c r="AW1067" s="142">
        <f t="shared" ref="AW1067" si="1287">(AT1067+AU1067)/$F$5</f>
        <v>0.21428571428571427</v>
      </c>
      <c r="AX1067" s="126">
        <f t="shared" ref="AX1067" si="1288">(AW1067/$F$6)+(($F$9+$G$9)/40/R1067)+AW1067*U1067</f>
        <v>0.1865259547551214</v>
      </c>
      <c r="AY1067" s="17"/>
      <c r="AZ1067" s="183">
        <v>8536700000</v>
      </c>
      <c r="BB1067" s="161">
        <f t="shared" ref="BB1067" si="1289">AB1067/0.3</f>
        <v>0.92798982465234547</v>
      </c>
      <c r="BC1067" s="161">
        <f t="shared" ref="BC1067" si="1290">BB1067*0.6</f>
        <v>0.55679389479140728</v>
      </c>
      <c r="BD1067" s="161">
        <f t="shared" ref="BD1067" si="1291">BB1067*0.5</f>
        <v>0.46399491232617274</v>
      </c>
      <c r="BE1067" s="161">
        <f t="shared" ref="BE1067" si="1292">BB1067*0.4</f>
        <v>0.37119592986093819</v>
      </c>
    </row>
    <row r="1068" spans="1:57" s="129" customFormat="1">
      <c r="F1068" s="147"/>
      <c r="G1068" s="19"/>
      <c r="H1068" s="19"/>
      <c r="I1068" s="2"/>
      <c r="J1068" s="2"/>
      <c r="M1068" s="19"/>
      <c r="N1068" s="147"/>
      <c r="O1068" s="558"/>
      <c r="P1068" s="147"/>
      <c r="Q1068" s="19"/>
      <c r="R1068" s="19"/>
      <c r="S1068" s="19"/>
      <c r="T1068" s="19"/>
      <c r="U1068" s="194"/>
      <c r="V1068" s="271"/>
      <c r="W1068" s="19"/>
      <c r="X1068" s="19"/>
      <c r="Y1068" s="19"/>
      <c r="Z1068" s="269"/>
      <c r="AA1068" s="269"/>
      <c r="AB1068" s="559"/>
      <c r="AC1068" s="559"/>
      <c r="AD1068" s="560"/>
      <c r="AE1068" s="560"/>
      <c r="AF1068" s="561"/>
      <c r="AG1068" s="561"/>
      <c r="AH1068" s="272"/>
      <c r="AI1068" s="136"/>
      <c r="AJ1068" s="444"/>
      <c r="AK1068" s="269"/>
      <c r="AL1068" s="562"/>
      <c r="AM1068" s="194"/>
      <c r="AN1068" s="194"/>
      <c r="AO1068" s="140"/>
      <c r="AP1068" s="17"/>
      <c r="AQ1068" s="193"/>
      <c r="AR1068" s="193"/>
      <c r="AS1068" s="193"/>
      <c r="AT1068" s="193"/>
      <c r="AU1068" s="563"/>
      <c r="AV1068" s="563"/>
      <c r="AW1068" s="564"/>
      <c r="AX1068" s="265"/>
      <c r="AY1068" s="17"/>
      <c r="AZ1068" s="17"/>
      <c r="BB1068" s="559"/>
      <c r="BC1068" s="559"/>
      <c r="BD1068" s="559"/>
      <c r="BE1068" s="559"/>
    </row>
    <row r="1069" spans="1:57" ht="15">
      <c r="I1069" s="448" t="s">
        <v>3801</v>
      </c>
      <c r="N1069" s="258"/>
      <c r="O1069" s="170"/>
      <c r="P1069" s="130"/>
      <c r="Q1069" s="170"/>
      <c r="R1069" s="170"/>
      <c r="S1069" s="19"/>
      <c r="T1069" s="170"/>
      <c r="U1069" s="194"/>
      <c r="V1069" s="170"/>
      <c r="W1069" s="170"/>
      <c r="X1069" s="170"/>
      <c r="Y1069" s="170"/>
      <c r="Z1069" s="269"/>
      <c r="AA1069" s="269"/>
      <c r="AB1069" s="265"/>
      <c r="AC1069" s="265"/>
      <c r="AD1069" s="136"/>
      <c r="AE1069" s="136"/>
      <c r="AF1069" s="270"/>
      <c r="AG1069" s="271"/>
      <c r="AH1069" s="272"/>
      <c r="AI1069" s="259"/>
      <c r="AJ1069" s="444"/>
      <c r="AK1069" s="260"/>
      <c r="AL1069" s="261"/>
      <c r="AM1069" s="259"/>
      <c r="AN1069" s="259"/>
      <c r="AO1069" s="129"/>
      <c r="AP1069" s="170"/>
      <c r="AQ1069" s="262"/>
      <c r="AR1069" s="262"/>
      <c r="AS1069" s="170"/>
      <c r="AT1069" s="263"/>
      <c r="AU1069" s="263"/>
      <c r="AV1069" s="264"/>
      <c r="AW1069" s="210"/>
      <c r="AX1069" s="265"/>
    </row>
    <row r="1070" spans="1:57">
      <c r="N1070" s="258"/>
      <c r="O1070" s="170"/>
      <c r="P1070" s="130"/>
      <c r="Q1070" s="170"/>
      <c r="R1070" s="170"/>
      <c r="S1070" s="19"/>
      <c r="T1070" s="170"/>
      <c r="U1070" s="194"/>
      <c r="V1070" s="170"/>
      <c r="W1070" s="170"/>
      <c r="X1070" s="170"/>
      <c r="Y1070" s="170"/>
      <c r="Z1070" s="269"/>
      <c r="AA1070" s="269"/>
      <c r="AB1070" s="265"/>
      <c r="AC1070" s="265"/>
      <c r="AD1070" s="136"/>
      <c r="AE1070" s="136"/>
      <c r="AF1070" s="270"/>
      <c r="AG1070" s="271"/>
      <c r="AH1070" s="272"/>
      <c r="AI1070" s="259"/>
      <c r="AJ1070" s="444"/>
      <c r="AK1070" s="260"/>
      <c r="AL1070" s="261"/>
      <c r="AM1070" s="259"/>
      <c r="AN1070" s="259"/>
      <c r="AO1070" s="129"/>
      <c r="AP1070" s="170"/>
      <c r="AQ1070" s="262"/>
      <c r="AR1070" s="262"/>
      <c r="AS1070" s="170"/>
      <c r="AT1070" s="263"/>
      <c r="AU1070" s="263"/>
      <c r="AV1070" s="264"/>
      <c r="AW1070" s="210"/>
      <c r="AX1070" s="265"/>
    </row>
    <row r="1071" spans="1:57">
      <c r="N1071" s="258"/>
      <c r="O1071" s="170"/>
      <c r="P1071" s="130"/>
      <c r="Q1071" s="170"/>
      <c r="R1071" s="170"/>
      <c r="S1071" s="19"/>
      <c r="T1071" s="170"/>
      <c r="U1071" s="194"/>
      <c r="V1071" s="170"/>
      <c r="W1071" s="170"/>
      <c r="X1071" s="170"/>
      <c r="Y1071" s="170"/>
      <c r="Z1071" s="269"/>
      <c r="AA1071" s="269"/>
      <c r="AB1071" s="265"/>
      <c r="AC1071" s="265"/>
      <c r="AD1071" s="136"/>
      <c r="AE1071" s="136"/>
      <c r="AF1071" s="270"/>
      <c r="AG1071" s="271"/>
      <c r="AH1071" s="272"/>
      <c r="AI1071" s="259"/>
      <c r="AJ1071" s="444"/>
      <c r="AK1071" s="260"/>
      <c r="AL1071" s="261"/>
      <c r="AM1071" s="259"/>
      <c r="AN1071" s="259"/>
      <c r="AO1071" s="129"/>
      <c r="AP1071" s="170"/>
      <c r="AQ1071" s="262"/>
      <c r="AR1071" s="262"/>
      <c r="AS1071" s="170"/>
      <c r="AT1071" s="263"/>
      <c r="AU1071" s="263"/>
      <c r="AV1071" s="264"/>
      <c r="AW1071" s="210"/>
      <c r="AX1071" s="265"/>
    </row>
    <row r="1072" spans="1:57">
      <c r="N1072" s="258"/>
      <c r="O1072" s="170"/>
      <c r="P1072" s="130"/>
      <c r="Q1072" s="170"/>
      <c r="R1072" s="170"/>
      <c r="S1072" s="19"/>
      <c r="T1072" s="170"/>
      <c r="U1072" s="194"/>
      <c r="V1072" s="170"/>
      <c r="W1072" s="170"/>
      <c r="X1072" s="170"/>
      <c r="Y1072" s="170"/>
      <c r="Z1072" s="269"/>
      <c r="AA1072" s="269"/>
      <c r="AB1072" s="265"/>
      <c r="AC1072" s="265"/>
      <c r="AD1072" s="136"/>
      <c r="AE1072" s="136"/>
      <c r="AF1072" s="270"/>
      <c r="AG1072" s="271"/>
      <c r="AH1072" s="272"/>
      <c r="AI1072" s="259"/>
      <c r="AJ1072" s="444"/>
      <c r="AK1072" s="260"/>
      <c r="AL1072" s="261"/>
      <c r="AM1072" s="259"/>
      <c r="AN1072" s="259"/>
      <c r="AO1072" s="129"/>
      <c r="AP1072" s="170"/>
      <c r="AQ1072" s="262"/>
      <c r="AR1072" s="262"/>
      <c r="AS1072" s="170"/>
      <c r="AT1072" s="263"/>
      <c r="AU1072" s="263"/>
      <c r="AV1072" s="264"/>
      <c r="AW1072" s="210"/>
      <c r="AX1072" s="265"/>
    </row>
    <row r="1073" spans="14:50">
      <c r="N1073" s="258"/>
      <c r="O1073" s="170"/>
      <c r="P1073" s="130"/>
      <c r="Q1073" s="170"/>
      <c r="R1073" s="170"/>
      <c r="S1073" s="19"/>
      <c r="T1073" s="170"/>
      <c r="U1073" s="194"/>
      <c r="V1073" s="170"/>
      <c r="W1073" s="170"/>
      <c r="X1073" s="170"/>
      <c r="Y1073" s="170"/>
      <c r="Z1073" s="269"/>
      <c r="AA1073" s="269"/>
      <c r="AB1073" s="265"/>
      <c r="AC1073" s="265"/>
      <c r="AD1073" s="136"/>
      <c r="AE1073" s="136"/>
      <c r="AF1073" s="270"/>
      <c r="AG1073" s="271"/>
      <c r="AH1073" s="272"/>
      <c r="AI1073" s="259"/>
      <c r="AJ1073" s="444"/>
      <c r="AK1073" s="260"/>
      <c r="AL1073" s="261"/>
      <c r="AM1073" s="259"/>
      <c r="AN1073" s="259"/>
      <c r="AO1073" s="129"/>
      <c r="AP1073" s="170"/>
      <c r="AQ1073" s="262"/>
      <c r="AR1073" s="262"/>
      <c r="AS1073" s="170"/>
      <c r="AT1073" s="263"/>
      <c r="AU1073" s="263"/>
      <c r="AV1073" s="264"/>
      <c r="AW1073" s="210"/>
      <c r="AX1073" s="265"/>
    </row>
    <row r="1074" spans="14:50">
      <c r="N1074" s="258"/>
      <c r="O1074" s="170"/>
      <c r="P1074" s="130"/>
      <c r="Q1074" s="170"/>
      <c r="R1074" s="170"/>
      <c r="S1074" s="19"/>
      <c r="T1074" s="170"/>
      <c r="U1074" s="194"/>
      <c r="V1074" s="170"/>
      <c r="W1074" s="170"/>
      <c r="X1074" s="170"/>
      <c r="Y1074" s="170"/>
      <c r="Z1074" s="269"/>
      <c r="AA1074" s="269"/>
      <c r="AB1074" s="265"/>
      <c r="AC1074" s="265"/>
      <c r="AD1074" s="136"/>
      <c r="AE1074" s="136"/>
      <c r="AF1074" s="270"/>
      <c r="AG1074" s="271"/>
      <c r="AH1074" s="272"/>
      <c r="AI1074" s="259"/>
      <c r="AJ1074" s="444"/>
      <c r="AK1074" s="260"/>
      <c r="AL1074" s="261"/>
      <c r="AM1074" s="259"/>
      <c r="AN1074" s="259"/>
      <c r="AO1074" s="129"/>
      <c r="AP1074" s="170"/>
      <c r="AQ1074" s="262"/>
      <c r="AR1074" s="262"/>
      <c r="AS1074" s="170"/>
      <c r="AT1074" s="263"/>
      <c r="AU1074" s="263"/>
      <c r="AV1074" s="264"/>
      <c r="AW1074" s="210"/>
      <c r="AX1074" s="265"/>
    </row>
    <row r="1075" spans="14:50">
      <c r="N1075" s="258"/>
      <c r="O1075" s="170"/>
      <c r="P1075" s="130"/>
      <c r="Q1075" s="170"/>
      <c r="R1075" s="170"/>
      <c r="S1075" s="19"/>
      <c r="T1075" s="170"/>
      <c r="U1075" s="194"/>
      <c r="V1075" s="170"/>
      <c r="W1075" s="170"/>
      <c r="X1075" s="170"/>
      <c r="Y1075" s="170"/>
      <c r="Z1075" s="269"/>
      <c r="AA1075" s="269"/>
      <c r="AB1075" s="265"/>
      <c r="AC1075" s="265"/>
      <c r="AD1075" s="136"/>
      <c r="AE1075" s="136"/>
      <c r="AF1075" s="270"/>
      <c r="AG1075" s="271"/>
      <c r="AH1075" s="272"/>
      <c r="AI1075" s="259"/>
      <c r="AJ1075" s="444"/>
      <c r="AK1075" s="260"/>
      <c r="AL1075" s="261"/>
      <c r="AM1075" s="259"/>
      <c r="AN1075" s="259"/>
      <c r="AO1075" s="129"/>
      <c r="AP1075" s="170"/>
      <c r="AQ1075" s="262"/>
      <c r="AR1075" s="262"/>
      <c r="AS1075" s="170"/>
      <c r="AT1075" s="263"/>
      <c r="AU1075" s="263"/>
      <c r="AV1075" s="264"/>
      <c r="AW1075" s="210"/>
      <c r="AX1075" s="265"/>
    </row>
    <row r="1076" spans="14:50">
      <c r="N1076" s="258"/>
      <c r="O1076" s="170"/>
      <c r="P1076" s="130"/>
      <c r="Q1076" s="170"/>
      <c r="R1076" s="170"/>
      <c r="S1076" s="19"/>
      <c r="T1076" s="170"/>
      <c r="U1076" s="194"/>
      <c r="V1076" s="170"/>
      <c r="W1076" s="170"/>
      <c r="X1076" s="170"/>
      <c r="Y1076" s="170"/>
      <c r="Z1076" s="269"/>
      <c r="AA1076" s="269"/>
      <c r="AB1076" s="265"/>
      <c r="AC1076" s="265"/>
      <c r="AD1076" s="136"/>
      <c r="AE1076" s="136"/>
      <c r="AF1076" s="270"/>
      <c r="AG1076" s="271"/>
      <c r="AH1076" s="272"/>
      <c r="AI1076" s="259"/>
      <c r="AJ1076" s="444"/>
      <c r="AK1076" s="260"/>
      <c r="AL1076" s="261"/>
      <c r="AM1076" s="259"/>
      <c r="AN1076" s="259"/>
      <c r="AO1076" s="129"/>
      <c r="AP1076" s="170"/>
      <c r="AQ1076" s="262"/>
      <c r="AR1076" s="262"/>
      <c r="AS1076" s="170"/>
      <c r="AT1076" s="263"/>
      <c r="AU1076" s="263"/>
      <c r="AV1076" s="264"/>
      <c r="AW1076" s="210"/>
      <c r="AX1076" s="265"/>
    </row>
    <row r="1077" spans="14:50">
      <c r="N1077" s="258"/>
      <c r="O1077" s="170"/>
      <c r="P1077" s="130"/>
      <c r="Q1077" s="170"/>
      <c r="R1077" s="170"/>
      <c r="S1077" s="19"/>
      <c r="T1077" s="170"/>
      <c r="U1077" s="194"/>
      <c r="V1077" s="170"/>
      <c r="W1077" s="170"/>
      <c r="X1077" s="170"/>
      <c r="Y1077" s="170"/>
      <c r="Z1077" s="269"/>
      <c r="AA1077" s="269"/>
      <c r="AB1077" s="265"/>
      <c r="AC1077" s="265"/>
      <c r="AD1077" s="136"/>
      <c r="AE1077" s="136"/>
      <c r="AF1077" s="270"/>
      <c r="AG1077" s="271"/>
      <c r="AH1077" s="272"/>
      <c r="AI1077" s="259"/>
      <c r="AJ1077" s="444"/>
      <c r="AK1077" s="260"/>
      <c r="AL1077" s="261"/>
      <c r="AM1077" s="259"/>
      <c r="AN1077" s="259"/>
      <c r="AO1077" s="129"/>
      <c r="AP1077" s="170"/>
      <c r="AQ1077" s="262"/>
      <c r="AR1077" s="262"/>
      <c r="AS1077" s="170"/>
      <c r="AT1077" s="263"/>
      <c r="AU1077" s="263"/>
      <c r="AV1077" s="264"/>
      <c r="AW1077" s="210"/>
      <c r="AX1077" s="265"/>
    </row>
    <row r="1078" spans="14:50">
      <c r="N1078" s="258"/>
      <c r="O1078" s="170"/>
      <c r="P1078" s="130"/>
      <c r="Q1078" s="170"/>
      <c r="R1078" s="170"/>
      <c r="S1078" s="19"/>
      <c r="T1078" s="170"/>
      <c r="U1078" s="194"/>
      <c r="V1078" s="170"/>
      <c r="W1078" s="170"/>
      <c r="X1078" s="170"/>
      <c r="Y1078" s="170"/>
      <c r="Z1078" s="269"/>
      <c r="AA1078" s="269"/>
      <c r="AB1078" s="265"/>
      <c r="AC1078" s="265"/>
      <c r="AD1078" s="136"/>
      <c r="AE1078" s="136"/>
      <c r="AF1078" s="270"/>
      <c r="AG1078" s="271"/>
      <c r="AH1078" s="272"/>
      <c r="AI1078" s="259"/>
      <c r="AJ1078" s="444"/>
      <c r="AK1078" s="260"/>
      <c r="AL1078" s="261"/>
      <c r="AM1078" s="259"/>
      <c r="AN1078" s="259"/>
      <c r="AO1078" s="129"/>
      <c r="AP1078" s="170"/>
      <c r="AQ1078" s="262"/>
      <c r="AR1078" s="262"/>
      <c r="AS1078" s="170"/>
      <c r="AT1078" s="263"/>
      <c r="AU1078" s="263"/>
      <c r="AV1078" s="264"/>
      <c r="AW1078" s="210"/>
      <c r="AX1078" s="265"/>
    </row>
    <row r="1079" spans="14:50">
      <c r="N1079" s="258"/>
      <c r="O1079" s="170"/>
      <c r="P1079" s="130"/>
      <c r="Q1079" s="170"/>
      <c r="R1079" s="170"/>
      <c r="S1079" s="19"/>
      <c r="T1079" s="170"/>
      <c r="U1079" s="194"/>
      <c r="V1079" s="170"/>
      <c r="W1079" s="170"/>
      <c r="X1079" s="170"/>
      <c r="Y1079" s="170"/>
      <c r="Z1079" s="269"/>
      <c r="AA1079" s="269"/>
      <c r="AB1079" s="265"/>
      <c r="AC1079" s="265"/>
      <c r="AD1079" s="136"/>
      <c r="AE1079" s="136"/>
      <c r="AF1079" s="270"/>
      <c r="AG1079" s="271"/>
      <c r="AH1079" s="272"/>
      <c r="AI1079" s="259"/>
      <c r="AJ1079" s="444"/>
      <c r="AK1079" s="260"/>
      <c r="AL1079" s="261"/>
      <c r="AM1079" s="259"/>
      <c r="AN1079" s="259"/>
      <c r="AO1079" s="129"/>
      <c r="AP1079" s="170"/>
      <c r="AQ1079" s="262"/>
      <c r="AR1079" s="262"/>
      <c r="AS1079" s="170"/>
      <c r="AT1079" s="263"/>
      <c r="AU1079" s="263"/>
      <c r="AV1079" s="264"/>
      <c r="AW1079" s="210"/>
      <c r="AX1079" s="265"/>
    </row>
    <row r="1080" spans="14:50">
      <c r="N1080" s="258"/>
      <c r="O1080" s="170"/>
      <c r="P1080" s="130"/>
      <c r="Q1080" s="170"/>
      <c r="R1080" s="170"/>
      <c r="S1080" s="19"/>
      <c r="T1080" s="170"/>
      <c r="U1080" s="194"/>
      <c r="V1080" s="170"/>
      <c r="W1080" s="170"/>
      <c r="X1080" s="170"/>
      <c r="Y1080" s="170"/>
      <c r="Z1080" s="269"/>
      <c r="AA1080" s="269"/>
      <c r="AB1080" s="265"/>
      <c r="AC1080" s="265"/>
      <c r="AD1080" s="136"/>
      <c r="AE1080" s="136"/>
      <c r="AF1080" s="270"/>
      <c r="AG1080" s="271"/>
      <c r="AH1080" s="272"/>
      <c r="AI1080" s="259"/>
      <c r="AJ1080" s="444"/>
      <c r="AK1080" s="260"/>
      <c r="AL1080" s="261"/>
      <c r="AM1080" s="259"/>
      <c r="AN1080" s="259"/>
      <c r="AO1080" s="129"/>
      <c r="AP1080" s="170"/>
      <c r="AQ1080" s="262"/>
      <c r="AR1080" s="262"/>
      <c r="AS1080" s="170"/>
      <c r="AT1080" s="263"/>
      <c r="AU1080" s="263"/>
      <c r="AV1080" s="264"/>
      <c r="AW1080" s="210"/>
      <c r="AX1080" s="265"/>
    </row>
    <row r="1081" spans="14:50">
      <c r="N1081" s="258"/>
      <c r="O1081" s="170"/>
      <c r="P1081" s="130"/>
      <c r="Q1081" s="170"/>
      <c r="R1081" s="170"/>
      <c r="S1081" s="19"/>
      <c r="T1081" s="170"/>
      <c r="U1081" s="194"/>
      <c r="V1081" s="170"/>
      <c r="W1081" s="170"/>
      <c r="X1081" s="170"/>
      <c r="Y1081" s="170"/>
      <c r="Z1081" s="269"/>
      <c r="AA1081" s="269"/>
      <c r="AB1081" s="265"/>
      <c r="AC1081" s="265"/>
      <c r="AD1081" s="136"/>
      <c r="AE1081" s="136"/>
      <c r="AF1081" s="270"/>
      <c r="AG1081" s="271"/>
      <c r="AH1081" s="272"/>
      <c r="AI1081" s="259"/>
      <c r="AJ1081" s="444"/>
      <c r="AK1081" s="260"/>
      <c r="AL1081" s="261"/>
      <c r="AM1081" s="259"/>
      <c r="AN1081" s="259"/>
      <c r="AO1081" s="129"/>
      <c r="AP1081" s="170"/>
      <c r="AQ1081" s="262"/>
      <c r="AR1081" s="262"/>
      <c r="AS1081" s="170"/>
      <c r="AT1081" s="263"/>
      <c r="AU1081" s="263"/>
      <c r="AV1081" s="264"/>
      <c r="AW1081" s="210"/>
      <c r="AX1081" s="265"/>
    </row>
    <row r="1082" spans="14:50">
      <c r="N1082" s="258"/>
      <c r="O1082" s="170"/>
      <c r="P1082" s="130"/>
      <c r="Q1082" s="170"/>
      <c r="R1082" s="170"/>
      <c r="S1082" s="19"/>
      <c r="T1082" s="170"/>
      <c r="U1082" s="194"/>
      <c r="V1082" s="170"/>
      <c r="W1082" s="170"/>
      <c r="X1082" s="170"/>
      <c r="Y1082" s="170"/>
      <c r="Z1082" s="269"/>
      <c r="AA1082" s="269"/>
      <c r="AB1082" s="265"/>
      <c r="AC1082" s="265"/>
      <c r="AD1082" s="136"/>
      <c r="AE1082" s="136"/>
      <c r="AF1082" s="270"/>
      <c r="AG1082" s="271"/>
      <c r="AH1082" s="272"/>
      <c r="AI1082" s="259"/>
      <c r="AJ1082" s="444"/>
      <c r="AK1082" s="260"/>
      <c r="AL1082" s="261"/>
      <c r="AM1082" s="259"/>
      <c r="AN1082" s="259"/>
      <c r="AO1082" s="129"/>
      <c r="AP1082" s="170"/>
      <c r="AQ1082" s="262"/>
      <c r="AR1082" s="262"/>
      <c r="AS1082" s="170"/>
      <c r="AT1082" s="263"/>
      <c r="AU1082" s="263"/>
      <c r="AV1082" s="264"/>
      <c r="AW1082" s="210"/>
      <c r="AX1082" s="265"/>
    </row>
    <row r="1083" spans="14:50">
      <c r="N1083" s="258"/>
      <c r="O1083" s="170"/>
      <c r="P1083" s="130"/>
      <c r="Q1083" s="170"/>
      <c r="R1083" s="170"/>
      <c r="S1083" s="19"/>
      <c r="T1083" s="170"/>
      <c r="U1083" s="194"/>
      <c r="V1083" s="170"/>
      <c r="W1083" s="170"/>
      <c r="X1083" s="170"/>
      <c r="Y1083" s="170"/>
      <c r="Z1083" s="269"/>
      <c r="AA1083" s="269"/>
      <c r="AB1083" s="265"/>
      <c r="AC1083" s="265"/>
      <c r="AD1083" s="136"/>
      <c r="AE1083" s="136"/>
      <c r="AF1083" s="270"/>
      <c r="AG1083" s="271"/>
      <c r="AH1083" s="272"/>
      <c r="AI1083" s="259"/>
      <c r="AJ1083" s="444"/>
      <c r="AK1083" s="260"/>
      <c r="AL1083" s="261"/>
      <c r="AM1083" s="259"/>
      <c r="AN1083" s="259"/>
      <c r="AO1083" s="129"/>
      <c r="AP1083" s="170"/>
      <c r="AQ1083" s="262"/>
      <c r="AR1083" s="262"/>
      <c r="AS1083" s="170"/>
      <c r="AT1083" s="263"/>
      <c r="AU1083" s="263"/>
      <c r="AV1083" s="264"/>
      <c r="AW1083" s="210"/>
      <c r="AX1083" s="265"/>
    </row>
    <row r="1084" spans="14:50">
      <c r="N1084" s="258"/>
      <c r="O1084" s="170"/>
      <c r="P1084" s="130"/>
      <c r="Q1084" s="170"/>
      <c r="R1084" s="170"/>
      <c r="S1084" s="19"/>
      <c r="T1084" s="170"/>
      <c r="U1084" s="194"/>
      <c r="V1084" s="170"/>
      <c r="W1084" s="170"/>
      <c r="X1084" s="170"/>
      <c r="Y1084" s="170"/>
      <c r="Z1084" s="269"/>
      <c r="AA1084" s="269"/>
      <c r="AB1084" s="265"/>
      <c r="AC1084" s="265"/>
      <c r="AD1084" s="136"/>
      <c r="AE1084" s="136"/>
      <c r="AF1084" s="270"/>
      <c r="AG1084" s="271"/>
      <c r="AH1084" s="272"/>
      <c r="AI1084" s="259"/>
      <c r="AJ1084" s="444"/>
      <c r="AK1084" s="260"/>
      <c r="AL1084" s="261"/>
      <c r="AM1084" s="259"/>
      <c r="AN1084" s="259"/>
      <c r="AO1084" s="129"/>
      <c r="AP1084" s="170"/>
      <c r="AQ1084" s="262"/>
      <c r="AR1084" s="262"/>
      <c r="AS1084" s="170"/>
      <c r="AT1084" s="263"/>
      <c r="AU1084" s="263"/>
      <c r="AV1084" s="264"/>
      <c r="AW1084" s="210"/>
      <c r="AX1084" s="265"/>
    </row>
    <row r="1085" spans="14:50">
      <c r="N1085" s="258"/>
      <c r="O1085" s="170"/>
      <c r="P1085" s="130"/>
      <c r="Q1085" s="170"/>
      <c r="R1085" s="170"/>
      <c r="S1085" s="19"/>
      <c r="T1085" s="170"/>
      <c r="U1085" s="194"/>
      <c r="V1085" s="170"/>
      <c r="W1085" s="170"/>
      <c r="X1085" s="170"/>
      <c r="Y1085" s="170"/>
      <c r="Z1085" s="269"/>
      <c r="AA1085" s="269"/>
      <c r="AB1085" s="265"/>
      <c r="AC1085" s="265"/>
      <c r="AD1085" s="136"/>
      <c r="AE1085" s="136"/>
      <c r="AF1085" s="270"/>
      <c r="AG1085" s="271"/>
      <c r="AH1085" s="272"/>
      <c r="AI1085" s="259"/>
      <c r="AJ1085" s="444"/>
      <c r="AK1085" s="260"/>
      <c r="AL1085" s="261"/>
      <c r="AM1085" s="259"/>
      <c r="AN1085" s="259"/>
      <c r="AO1085" s="129"/>
      <c r="AP1085" s="170"/>
      <c r="AQ1085" s="262"/>
      <c r="AR1085" s="262"/>
      <c r="AS1085" s="170"/>
      <c r="AT1085" s="263"/>
      <c r="AU1085" s="263"/>
      <c r="AV1085" s="264"/>
      <c r="AW1085" s="210"/>
      <c r="AX1085" s="265"/>
    </row>
    <row r="1086" spans="14:50">
      <c r="N1086" s="258"/>
      <c r="O1086" s="170"/>
      <c r="P1086" s="130"/>
      <c r="Q1086" s="170"/>
      <c r="R1086" s="170"/>
      <c r="S1086" s="19"/>
      <c r="T1086" s="170"/>
      <c r="U1086" s="194"/>
      <c r="V1086" s="170"/>
      <c r="W1086" s="170"/>
      <c r="X1086" s="170"/>
      <c r="Y1086" s="170"/>
      <c r="Z1086" s="269"/>
      <c r="AA1086" s="269"/>
      <c r="AB1086" s="265"/>
      <c r="AC1086" s="265"/>
      <c r="AD1086" s="136"/>
      <c r="AE1086" s="136"/>
      <c r="AF1086" s="270"/>
      <c r="AG1086" s="271"/>
      <c r="AH1086" s="272"/>
      <c r="AI1086" s="259"/>
      <c r="AJ1086" s="444"/>
      <c r="AK1086" s="260"/>
      <c r="AL1086" s="261"/>
      <c r="AM1086" s="259"/>
      <c r="AN1086" s="259"/>
      <c r="AO1086" s="129"/>
      <c r="AP1086" s="170"/>
      <c r="AQ1086" s="262"/>
      <c r="AR1086" s="262"/>
      <c r="AS1086" s="170"/>
      <c r="AT1086" s="263"/>
      <c r="AU1086" s="263"/>
      <c r="AV1086" s="264"/>
      <c r="AW1086" s="210"/>
      <c r="AX1086" s="265"/>
    </row>
    <row r="1087" spans="14:50">
      <c r="N1087" s="258"/>
      <c r="O1087" s="170"/>
      <c r="P1087" s="130"/>
      <c r="Q1087" s="170"/>
      <c r="R1087" s="170"/>
      <c r="S1087" s="19"/>
      <c r="T1087" s="170"/>
      <c r="U1087" s="194"/>
      <c r="V1087" s="170"/>
      <c r="W1087" s="170"/>
      <c r="X1087" s="170"/>
      <c r="Y1087" s="170"/>
      <c r="Z1087" s="269"/>
      <c r="AA1087" s="269"/>
      <c r="AB1087" s="265"/>
      <c r="AC1087" s="265"/>
      <c r="AD1087" s="136"/>
      <c r="AE1087" s="136"/>
      <c r="AF1087" s="270"/>
      <c r="AG1087" s="271"/>
      <c r="AH1087" s="272"/>
      <c r="AI1087" s="259"/>
      <c r="AJ1087" s="444"/>
      <c r="AK1087" s="260"/>
      <c r="AL1087" s="261"/>
      <c r="AM1087" s="259"/>
      <c r="AN1087" s="259"/>
      <c r="AO1087" s="129"/>
      <c r="AP1087" s="170"/>
      <c r="AQ1087" s="262"/>
      <c r="AR1087" s="262"/>
      <c r="AS1087" s="170"/>
      <c r="AT1087" s="263"/>
      <c r="AU1087" s="263"/>
      <c r="AV1087" s="264"/>
      <c r="AW1087" s="210"/>
      <c r="AX1087" s="265"/>
    </row>
    <row r="1088" spans="14:50">
      <c r="N1088" s="258"/>
      <c r="O1088" s="170"/>
      <c r="P1088" s="130"/>
      <c r="Q1088" s="170"/>
      <c r="R1088" s="170"/>
      <c r="S1088" s="19"/>
      <c r="T1088" s="170"/>
      <c r="U1088" s="194"/>
      <c r="V1088" s="170"/>
      <c r="W1088" s="170"/>
      <c r="X1088" s="170"/>
      <c r="Y1088" s="170"/>
      <c r="Z1088" s="269"/>
      <c r="AA1088" s="269"/>
      <c r="AB1088" s="265"/>
      <c r="AC1088" s="265"/>
      <c r="AD1088" s="136"/>
      <c r="AE1088" s="136"/>
      <c r="AF1088" s="270"/>
      <c r="AG1088" s="271"/>
      <c r="AH1088" s="272"/>
      <c r="AI1088" s="259"/>
      <c r="AJ1088" s="444"/>
      <c r="AK1088" s="260"/>
      <c r="AL1088" s="261"/>
      <c r="AM1088" s="259"/>
      <c r="AN1088" s="259"/>
      <c r="AO1088" s="129"/>
      <c r="AP1088" s="170"/>
      <c r="AQ1088" s="262"/>
      <c r="AR1088" s="262"/>
      <c r="AS1088" s="170"/>
      <c r="AT1088" s="263"/>
      <c r="AU1088" s="263"/>
      <c r="AV1088" s="264"/>
      <c r="AW1088" s="210"/>
      <c r="AX1088" s="265"/>
    </row>
    <row r="1089" spans="14:50">
      <c r="N1089" s="258"/>
      <c r="O1089" s="170"/>
      <c r="P1089" s="130"/>
      <c r="Q1089" s="170"/>
      <c r="R1089" s="170"/>
      <c r="S1089" s="19"/>
      <c r="T1089" s="170"/>
      <c r="U1089" s="194"/>
      <c r="V1089" s="170"/>
      <c r="W1089" s="170"/>
      <c r="X1089" s="170"/>
      <c r="Y1089" s="170"/>
      <c r="Z1089" s="269"/>
      <c r="AA1089" s="269"/>
      <c r="AB1089" s="265"/>
      <c r="AC1089" s="265"/>
      <c r="AD1089" s="136"/>
      <c r="AE1089" s="136"/>
      <c r="AF1089" s="270"/>
      <c r="AG1089" s="271"/>
      <c r="AH1089" s="272"/>
      <c r="AI1089" s="259"/>
      <c r="AJ1089" s="444"/>
      <c r="AK1089" s="260"/>
      <c r="AL1089" s="261"/>
      <c r="AM1089" s="259"/>
      <c r="AN1089" s="259"/>
      <c r="AO1089" s="129"/>
      <c r="AP1089" s="170"/>
      <c r="AQ1089" s="262"/>
      <c r="AR1089" s="262"/>
      <c r="AS1089" s="170"/>
      <c r="AT1089" s="263"/>
      <c r="AU1089" s="263"/>
      <c r="AV1089" s="264"/>
      <c r="AW1089" s="210"/>
      <c r="AX1089" s="265"/>
    </row>
    <row r="1090" spans="14:50">
      <c r="N1090" s="258"/>
      <c r="O1090" s="170"/>
      <c r="P1090" s="130"/>
      <c r="Q1090" s="170"/>
      <c r="R1090" s="170"/>
      <c r="S1090" s="19"/>
      <c r="T1090" s="170"/>
      <c r="U1090" s="194"/>
      <c r="V1090" s="170"/>
      <c r="W1090" s="170"/>
      <c r="X1090" s="170"/>
      <c r="Y1090" s="170"/>
      <c r="Z1090" s="269"/>
      <c r="AA1090" s="269"/>
      <c r="AB1090" s="265"/>
      <c r="AC1090" s="265"/>
      <c r="AD1090" s="136"/>
      <c r="AE1090" s="136"/>
      <c r="AF1090" s="270"/>
      <c r="AG1090" s="271"/>
      <c r="AH1090" s="272"/>
      <c r="AI1090" s="259"/>
      <c r="AJ1090" s="444"/>
      <c r="AK1090" s="260"/>
      <c r="AL1090" s="261"/>
      <c r="AM1090" s="259"/>
      <c r="AN1090" s="259"/>
      <c r="AO1090" s="129"/>
      <c r="AP1090" s="170"/>
      <c r="AQ1090" s="262"/>
      <c r="AR1090" s="262"/>
      <c r="AS1090" s="170"/>
      <c r="AT1090" s="263"/>
      <c r="AU1090" s="263"/>
      <c r="AV1090" s="264"/>
      <c r="AW1090" s="210"/>
      <c r="AX1090" s="265"/>
    </row>
    <row r="1091" spans="14:50">
      <c r="N1091" s="258"/>
      <c r="O1091" s="170"/>
      <c r="P1091" s="130"/>
      <c r="Q1091" s="170"/>
      <c r="R1091" s="170"/>
      <c r="S1091" s="19"/>
      <c r="T1091" s="170"/>
      <c r="U1091" s="194"/>
      <c r="V1091" s="170"/>
      <c r="W1091" s="170"/>
      <c r="X1091" s="170"/>
      <c r="Y1091" s="170"/>
      <c r="Z1091" s="269"/>
      <c r="AA1091" s="269"/>
      <c r="AB1091" s="265"/>
      <c r="AC1091" s="265"/>
      <c r="AD1091" s="136"/>
      <c r="AE1091" s="136"/>
      <c r="AF1091" s="270"/>
      <c r="AG1091" s="271"/>
      <c r="AH1091" s="272"/>
      <c r="AI1091" s="259"/>
      <c r="AJ1091" s="444"/>
      <c r="AK1091" s="260"/>
      <c r="AL1091" s="261"/>
      <c r="AM1091" s="259"/>
      <c r="AN1091" s="259"/>
      <c r="AO1091" s="129"/>
      <c r="AP1091" s="170"/>
      <c r="AQ1091" s="262"/>
      <c r="AR1091" s="262"/>
      <c r="AS1091" s="170"/>
      <c r="AT1091" s="263"/>
      <c r="AU1091" s="263"/>
      <c r="AV1091" s="264"/>
      <c r="AW1091" s="210"/>
      <c r="AX1091" s="265"/>
    </row>
    <row r="1092" spans="14:50">
      <c r="N1092" s="258"/>
      <c r="O1092" s="170"/>
      <c r="P1092" s="130"/>
      <c r="Q1092" s="170"/>
      <c r="R1092" s="170"/>
      <c r="S1092" s="19"/>
      <c r="T1092" s="170"/>
      <c r="U1092" s="194"/>
      <c r="V1092" s="170"/>
      <c r="W1092" s="170"/>
      <c r="X1092" s="170"/>
      <c r="Y1092" s="170"/>
      <c r="Z1092" s="269"/>
      <c r="AA1092" s="269"/>
      <c r="AB1092" s="265"/>
      <c r="AC1092" s="265"/>
      <c r="AD1092" s="136"/>
      <c r="AE1092" s="136"/>
      <c r="AF1092" s="270"/>
      <c r="AG1092" s="271"/>
      <c r="AH1092" s="272"/>
      <c r="AI1092" s="259"/>
      <c r="AJ1092" s="444"/>
      <c r="AK1092" s="260"/>
      <c r="AL1092" s="261"/>
      <c r="AM1092" s="259"/>
      <c r="AN1092" s="259"/>
      <c r="AO1092" s="129"/>
      <c r="AP1092" s="170"/>
      <c r="AQ1092" s="262"/>
      <c r="AR1092" s="262"/>
      <c r="AS1092" s="170"/>
      <c r="AT1092" s="263"/>
      <c r="AU1092" s="263"/>
      <c r="AV1092" s="264"/>
      <c r="AW1092" s="210"/>
      <c r="AX1092" s="265"/>
    </row>
    <row r="1093" spans="14:50">
      <c r="N1093" s="258"/>
      <c r="O1093" s="170"/>
      <c r="P1093" s="130"/>
      <c r="Q1093" s="170"/>
      <c r="R1093" s="170"/>
      <c r="S1093" s="19"/>
      <c r="T1093" s="170"/>
      <c r="U1093" s="194"/>
      <c r="V1093" s="170"/>
      <c r="W1093" s="170"/>
      <c r="X1093" s="170"/>
      <c r="Y1093" s="170"/>
      <c r="Z1093" s="269"/>
      <c r="AA1093" s="269"/>
      <c r="AB1093" s="265"/>
      <c r="AC1093" s="265"/>
      <c r="AD1093" s="136"/>
      <c r="AE1093" s="136"/>
      <c r="AF1093" s="270"/>
      <c r="AG1093" s="271"/>
      <c r="AH1093" s="272"/>
      <c r="AI1093" s="259"/>
      <c r="AJ1093" s="444"/>
      <c r="AK1093" s="260"/>
      <c r="AL1093" s="261"/>
      <c r="AM1093" s="259"/>
      <c r="AN1093" s="259"/>
      <c r="AO1093" s="129"/>
      <c r="AP1093" s="170"/>
      <c r="AQ1093" s="262"/>
      <c r="AR1093" s="262"/>
      <c r="AS1093" s="170"/>
      <c r="AT1093" s="263"/>
      <c r="AU1093" s="263"/>
      <c r="AV1093" s="264"/>
      <c r="AW1093" s="210"/>
      <c r="AX1093" s="265"/>
    </row>
    <row r="1094" spans="14:50">
      <c r="N1094" s="258"/>
      <c r="O1094" s="170"/>
      <c r="P1094" s="130"/>
      <c r="Q1094" s="170"/>
      <c r="R1094" s="170"/>
      <c r="S1094" s="19"/>
      <c r="T1094" s="170"/>
      <c r="U1094" s="194"/>
      <c r="V1094" s="170"/>
      <c r="W1094" s="170"/>
      <c r="X1094" s="170"/>
      <c r="Y1094" s="170"/>
      <c r="Z1094" s="269"/>
      <c r="AA1094" s="269"/>
      <c r="AB1094" s="265"/>
      <c r="AC1094" s="265"/>
      <c r="AD1094" s="136"/>
      <c r="AE1094" s="136"/>
      <c r="AF1094" s="270"/>
      <c r="AG1094" s="271"/>
      <c r="AH1094" s="272"/>
      <c r="AI1094" s="259"/>
      <c r="AJ1094" s="444"/>
      <c r="AK1094" s="260"/>
      <c r="AL1094" s="261"/>
      <c r="AM1094" s="259"/>
      <c r="AN1094" s="259"/>
      <c r="AO1094" s="129"/>
      <c r="AP1094" s="170"/>
      <c r="AQ1094" s="262"/>
      <c r="AR1094" s="262"/>
      <c r="AS1094" s="170"/>
      <c r="AT1094" s="263"/>
      <c r="AU1094" s="263"/>
      <c r="AV1094" s="264"/>
      <c r="AW1094" s="210"/>
      <c r="AX1094" s="265"/>
    </row>
    <row r="1095" spans="14:50">
      <c r="N1095" s="258"/>
      <c r="O1095" s="170"/>
      <c r="P1095" s="130"/>
      <c r="Q1095" s="170"/>
      <c r="R1095" s="170"/>
      <c r="S1095" s="19"/>
      <c r="T1095" s="170"/>
      <c r="U1095" s="194"/>
      <c r="V1095" s="170"/>
      <c r="W1095" s="170"/>
      <c r="X1095" s="170"/>
      <c r="Y1095" s="170"/>
      <c r="Z1095" s="269"/>
      <c r="AA1095" s="269"/>
      <c r="AB1095" s="265"/>
      <c r="AC1095" s="265"/>
      <c r="AD1095" s="136"/>
      <c r="AE1095" s="136"/>
      <c r="AF1095" s="270"/>
      <c r="AG1095" s="271"/>
      <c r="AH1095" s="272"/>
      <c r="AI1095" s="259"/>
      <c r="AJ1095" s="444"/>
      <c r="AK1095" s="260"/>
      <c r="AL1095" s="261"/>
      <c r="AM1095" s="259"/>
      <c r="AN1095" s="259"/>
      <c r="AO1095" s="129"/>
      <c r="AP1095" s="170"/>
      <c r="AQ1095" s="262"/>
      <c r="AR1095" s="262"/>
      <c r="AS1095" s="170"/>
      <c r="AT1095" s="263"/>
      <c r="AU1095" s="263"/>
      <c r="AV1095" s="264"/>
      <c r="AW1095" s="210"/>
      <c r="AX1095" s="265"/>
    </row>
    <row r="1096" spans="14:50">
      <c r="N1096" s="258"/>
      <c r="O1096" s="170"/>
      <c r="P1096" s="130"/>
      <c r="Q1096" s="170"/>
      <c r="R1096" s="170"/>
      <c r="S1096" s="19"/>
      <c r="T1096" s="170"/>
      <c r="U1096" s="194"/>
      <c r="V1096" s="170"/>
      <c r="W1096" s="170"/>
      <c r="X1096" s="170"/>
      <c r="Y1096" s="170"/>
      <c r="Z1096" s="269"/>
      <c r="AA1096" s="269"/>
      <c r="AB1096" s="265"/>
      <c r="AC1096" s="265"/>
      <c r="AD1096" s="136"/>
      <c r="AE1096" s="136"/>
      <c r="AF1096" s="270"/>
      <c r="AG1096" s="271"/>
      <c r="AH1096" s="272"/>
      <c r="AI1096" s="259"/>
      <c r="AJ1096" s="444"/>
      <c r="AK1096" s="260"/>
      <c r="AL1096" s="261"/>
      <c r="AM1096" s="259"/>
      <c r="AN1096" s="259"/>
      <c r="AO1096" s="129"/>
      <c r="AP1096" s="170"/>
      <c r="AQ1096" s="262"/>
      <c r="AR1096" s="262"/>
      <c r="AS1096" s="170"/>
      <c r="AT1096" s="263"/>
      <c r="AU1096" s="263"/>
      <c r="AV1096" s="264"/>
      <c r="AW1096" s="210"/>
      <c r="AX1096" s="265"/>
    </row>
    <row r="1097" spans="14:50">
      <c r="N1097" s="258"/>
      <c r="O1097" s="170"/>
      <c r="P1097" s="130"/>
      <c r="Q1097" s="170"/>
      <c r="R1097" s="170"/>
      <c r="S1097" s="19"/>
      <c r="T1097" s="170"/>
      <c r="U1097" s="194"/>
      <c r="V1097" s="170"/>
      <c r="W1097" s="170"/>
      <c r="X1097" s="170"/>
      <c r="Y1097" s="170"/>
      <c r="Z1097" s="269"/>
      <c r="AA1097" s="269"/>
      <c r="AB1097" s="265"/>
      <c r="AC1097" s="265"/>
      <c r="AD1097" s="136"/>
      <c r="AE1097" s="136"/>
      <c r="AF1097" s="270"/>
      <c r="AG1097" s="271"/>
      <c r="AH1097" s="272"/>
      <c r="AI1097" s="259"/>
      <c r="AJ1097" s="444"/>
      <c r="AK1097" s="260"/>
      <c r="AL1097" s="261"/>
      <c r="AM1097" s="259"/>
      <c r="AN1097" s="259"/>
      <c r="AO1097" s="129"/>
      <c r="AP1097" s="170"/>
      <c r="AQ1097" s="262"/>
      <c r="AR1097" s="262"/>
      <c r="AS1097" s="170"/>
      <c r="AT1097" s="263"/>
      <c r="AU1097" s="263"/>
      <c r="AV1097" s="264"/>
      <c r="AW1097" s="210"/>
      <c r="AX1097" s="265"/>
    </row>
    <row r="1098" spans="14:50">
      <c r="N1098" s="258"/>
      <c r="O1098" s="170"/>
      <c r="P1098" s="130"/>
      <c r="Q1098" s="170"/>
      <c r="R1098" s="170"/>
      <c r="S1098" s="19"/>
      <c r="T1098" s="170"/>
      <c r="U1098" s="194"/>
      <c r="V1098" s="170"/>
      <c r="W1098" s="170"/>
      <c r="X1098" s="170"/>
      <c r="Y1098" s="170"/>
      <c r="Z1098" s="269"/>
      <c r="AA1098" s="269"/>
      <c r="AB1098" s="265"/>
      <c r="AC1098" s="265"/>
      <c r="AD1098" s="136"/>
      <c r="AE1098" s="136"/>
      <c r="AF1098" s="270"/>
      <c r="AG1098" s="271"/>
      <c r="AH1098" s="272"/>
      <c r="AI1098" s="259"/>
      <c r="AJ1098" s="444"/>
      <c r="AK1098" s="260"/>
      <c r="AL1098" s="261"/>
      <c r="AM1098" s="259"/>
      <c r="AN1098" s="259"/>
      <c r="AO1098" s="129"/>
      <c r="AP1098" s="170"/>
      <c r="AQ1098" s="262"/>
      <c r="AR1098" s="262"/>
      <c r="AS1098" s="170"/>
      <c r="AT1098" s="263"/>
      <c r="AU1098" s="263"/>
      <c r="AV1098" s="264"/>
      <c r="AW1098" s="210"/>
      <c r="AX1098" s="265"/>
    </row>
    <row r="1099" spans="14:50">
      <c r="N1099" s="258"/>
      <c r="O1099" s="170"/>
      <c r="P1099" s="130"/>
      <c r="Q1099" s="170"/>
      <c r="R1099" s="170"/>
      <c r="S1099" s="19"/>
      <c r="T1099" s="170"/>
      <c r="U1099" s="194"/>
      <c r="V1099" s="170"/>
      <c r="W1099" s="170"/>
      <c r="X1099" s="170"/>
      <c r="Y1099" s="170"/>
      <c r="Z1099" s="269"/>
      <c r="AA1099" s="269"/>
      <c r="AB1099" s="265"/>
      <c r="AC1099" s="265"/>
      <c r="AD1099" s="136"/>
      <c r="AE1099" s="136"/>
      <c r="AF1099" s="270"/>
      <c r="AG1099" s="271"/>
      <c r="AH1099" s="272"/>
      <c r="AI1099" s="259"/>
      <c r="AJ1099" s="444"/>
      <c r="AK1099" s="260"/>
      <c r="AL1099" s="261"/>
      <c r="AM1099" s="259"/>
      <c r="AN1099" s="259"/>
      <c r="AO1099" s="129"/>
      <c r="AP1099" s="170"/>
      <c r="AQ1099" s="262"/>
      <c r="AR1099" s="262"/>
      <c r="AS1099" s="170"/>
      <c r="AT1099" s="263"/>
      <c r="AU1099" s="263"/>
      <c r="AV1099" s="264"/>
      <c r="AW1099" s="210"/>
      <c r="AX1099" s="265"/>
    </row>
    <row r="1100" spans="14:50">
      <c r="N1100" s="258"/>
      <c r="O1100" s="170"/>
      <c r="P1100" s="130"/>
      <c r="Q1100" s="170"/>
      <c r="R1100" s="170"/>
      <c r="S1100" s="19"/>
      <c r="T1100" s="170"/>
      <c r="U1100" s="194"/>
      <c r="V1100" s="170"/>
      <c r="W1100" s="170"/>
      <c r="X1100" s="170"/>
      <c r="Y1100" s="170"/>
      <c r="Z1100" s="269"/>
      <c r="AA1100" s="269"/>
      <c r="AB1100" s="265"/>
      <c r="AC1100" s="265"/>
      <c r="AD1100" s="136"/>
      <c r="AE1100" s="136"/>
      <c r="AF1100" s="270"/>
      <c r="AG1100" s="271"/>
      <c r="AH1100" s="272"/>
      <c r="AI1100" s="259"/>
      <c r="AJ1100" s="444"/>
      <c r="AK1100" s="260"/>
      <c r="AL1100" s="261"/>
      <c r="AM1100" s="259"/>
      <c r="AN1100" s="259"/>
      <c r="AO1100" s="129"/>
      <c r="AP1100" s="170"/>
      <c r="AQ1100" s="262"/>
      <c r="AR1100" s="262"/>
      <c r="AS1100" s="170"/>
      <c r="AT1100" s="263"/>
      <c r="AU1100" s="263"/>
      <c r="AV1100" s="264"/>
      <c r="AW1100" s="210"/>
      <c r="AX1100" s="265"/>
    </row>
    <row r="1101" spans="14:50">
      <c r="N1101" s="258"/>
      <c r="O1101" s="170"/>
      <c r="P1101" s="130"/>
      <c r="Q1101" s="170"/>
      <c r="R1101" s="170"/>
      <c r="S1101" s="19"/>
      <c r="T1101" s="170"/>
      <c r="U1101" s="194"/>
      <c r="V1101" s="170"/>
      <c r="W1101" s="170"/>
      <c r="X1101" s="170"/>
      <c r="Y1101" s="170"/>
      <c r="Z1101" s="269"/>
      <c r="AA1101" s="269"/>
      <c r="AB1101" s="265"/>
      <c r="AC1101" s="265"/>
      <c r="AD1101" s="136"/>
      <c r="AE1101" s="136"/>
      <c r="AF1101" s="270"/>
      <c r="AG1101" s="271"/>
      <c r="AH1101" s="272"/>
      <c r="AI1101" s="259"/>
      <c r="AJ1101" s="444"/>
      <c r="AK1101" s="260"/>
      <c r="AL1101" s="261"/>
      <c r="AM1101" s="259"/>
      <c r="AN1101" s="259"/>
      <c r="AO1101" s="129"/>
      <c r="AP1101" s="170"/>
      <c r="AQ1101" s="262"/>
      <c r="AR1101" s="262"/>
      <c r="AS1101" s="170"/>
      <c r="AT1101" s="263"/>
      <c r="AU1101" s="263"/>
      <c r="AV1101" s="264"/>
      <c r="AW1101" s="210"/>
      <c r="AX1101" s="265"/>
    </row>
    <row r="1102" spans="14:50">
      <c r="N1102" s="258"/>
      <c r="O1102" s="170"/>
      <c r="P1102" s="130"/>
      <c r="Q1102" s="170"/>
      <c r="R1102" s="170"/>
      <c r="S1102" s="19"/>
      <c r="T1102" s="170"/>
      <c r="U1102" s="194"/>
      <c r="V1102" s="170"/>
      <c r="W1102" s="170"/>
      <c r="X1102" s="170"/>
      <c r="Y1102" s="170"/>
      <c r="Z1102" s="269"/>
      <c r="AA1102" s="269"/>
      <c r="AB1102" s="265"/>
      <c r="AC1102" s="265"/>
      <c r="AD1102" s="136"/>
      <c r="AE1102" s="136"/>
      <c r="AF1102" s="270"/>
      <c r="AG1102" s="271"/>
      <c r="AH1102" s="272"/>
      <c r="AI1102" s="259"/>
      <c r="AJ1102" s="444"/>
      <c r="AK1102" s="260"/>
      <c r="AL1102" s="261"/>
      <c r="AM1102" s="259"/>
      <c r="AN1102" s="259"/>
      <c r="AO1102" s="129"/>
      <c r="AP1102" s="170"/>
      <c r="AQ1102" s="262"/>
      <c r="AR1102" s="262"/>
      <c r="AS1102" s="170"/>
      <c r="AT1102" s="263"/>
      <c r="AU1102" s="263"/>
      <c r="AV1102" s="264"/>
      <c r="AW1102" s="210"/>
      <c r="AX1102" s="265"/>
    </row>
    <row r="1103" spans="14:50">
      <c r="N1103" s="258"/>
      <c r="O1103" s="170"/>
      <c r="P1103" s="130"/>
      <c r="Q1103" s="170"/>
      <c r="R1103" s="170"/>
      <c r="S1103" s="19"/>
      <c r="T1103" s="170"/>
      <c r="U1103" s="194"/>
      <c r="V1103" s="170"/>
      <c r="W1103" s="170"/>
      <c r="X1103" s="170"/>
      <c r="Y1103" s="170"/>
      <c r="Z1103" s="269"/>
      <c r="AA1103" s="269"/>
      <c r="AB1103" s="265"/>
      <c r="AC1103" s="265"/>
      <c r="AD1103" s="136"/>
      <c r="AE1103" s="136"/>
      <c r="AF1103" s="270"/>
      <c r="AG1103" s="271"/>
      <c r="AH1103" s="272"/>
      <c r="AI1103" s="259"/>
      <c r="AJ1103" s="444"/>
      <c r="AK1103" s="260"/>
      <c r="AL1103" s="261"/>
      <c r="AM1103" s="259"/>
      <c r="AN1103" s="259"/>
      <c r="AO1103" s="129"/>
      <c r="AP1103" s="170"/>
      <c r="AQ1103" s="262"/>
      <c r="AR1103" s="262"/>
      <c r="AS1103" s="170"/>
      <c r="AT1103" s="263"/>
      <c r="AU1103" s="263"/>
      <c r="AV1103" s="264"/>
      <c r="AW1103" s="210"/>
      <c r="AX1103" s="265"/>
    </row>
    <row r="1104" spans="14:50">
      <c r="N1104" s="258"/>
      <c r="O1104" s="170"/>
      <c r="P1104" s="130"/>
      <c r="Q1104" s="170"/>
      <c r="R1104" s="170"/>
      <c r="S1104" s="19"/>
      <c r="T1104" s="170"/>
      <c r="U1104" s="194"/>
      <c r="V1104" s="170"/>
      <c r="W1104" s="170"/>
      <c r="X1104" s="170"/>
      <c r="Y1104" s="170"/>
      <c r="Z1104" s="269"/>
      <c r="AA1104" s="269"/>
      <c r="AB1104" s="265"/>
      <c r="AC1104" s="265"/>
      <c r="AD1104" s="136"/>
      <c r="AE1104" s="136"/>
      <c r="AF1104" s="270"/>
      <c r="AG1104" s="271"/>
      <c r="AH1104" s="272"/>
      <c r="AI1104" s="259"/>
      <c r="AJ1104" s="444"/>
      <c r="AK1104" s="260"/>
      <c r="AL1104" s="261"/>
      <c r="AM1104" s="259"/>
      <c r="AN1104" s="259"/>
      <c r="AO1104" s="129"/>
      <c r="AP1104" s="170"/>
      <c r="AQ1104" s="262"/>
      <c r="AR1104" s="262"/>
      <c r="AS1104" s="170"/>
      <c r="AT1104" s="263"/>
      <c r="AU1104" s="263"/>
      <c r="AV1104" s="264"/>
      <c r="AW1104" s="210"/>
      <c r="AX1104" s="265"/>
    </row>
    <row r="1105" spans="14:50">
      <c r="N1105" s="258"/>
      <c r="O1105" s="170"/>
      <c r="P1105" s="130"/>
      <c r="Q1105" s="170"/>
      <c r="R1105" s="170"/>
      <c r="S1105" s="19"/>
      <c r="T1105" s="170"/>
      <c r="U1105" s="194"/>
      <c r="V1105" s="170"/>
      <c r="W1105" s="170"/>
      <c r="X1105" s="170"/>
      <c r="Y1105" s="170"/>
      <c r="Z1105" s="269"/>
      <c r="AA1105" s="269"/>
      <c r="AB1105" s="265"/>
      <c r="AC1105" s="265"/>
      <c r="AD1105" s="136"/>
      <c r="AE1105" s="136"/>
      <c r="AF1105" s="270"/>
      <c r="AG1105" s="271"/>
      <c r="AH1105" s="272"/>
      <c r="AI1105" s="259"/>
      <c r="AJ1105" s="444"/>
      <c r="AK1105" s="260"/>
      <c r="AL1105" s="261"/>
      <c r="AM1105" s="259"/>
      <c r="AN1105" s="259"/>
      <c r="AO1105" s="129"/>
      <c r="AP1105" s="170"/>
      <c r="AQ1105" s="262"/>
      <c r="AR1105" s="262"/>
      <c r="AS1105" s="170"/>
      <c r="AT1105" s="263"/>
      <c r="AU1105" s="263"/>
      <c r="AV1105" s="264"/>
      <c r="AW1105" s="210"/>
      <c r="AX1105" s="265"/>
    </row>
    <row r="1106" spans="14:50">
      <c r="N1106" s="258"/>
      <c r="O1106" s="170"/>
      <c r="P1106" s="130"/>
      <c r="Q1106" s="170"/>
      <c r="R1106" s="170"/>
      <c r="S1106" s="19"/>
      <c r="T1106" s="170"/>
      <c r="U1106" s="194"/>
      <c r="V1106" s="170"/>
      <c r="W1106" s="170"/>
      <c r="X1106" s="170"/>
      <c r="Y1106" s="170"/>
      <c r="Z1106" s="269"/>
      <c r="AA1106" s="269"/>
      <c r="AB1106" s="265"/>
      <c r="AC1106" s="265"/>
      <c r="AD1106" s="136"/>
      <c r="AE1106" s="136"/>
      <c r="AF1106" s="270"/>
      <c r="AG1106" s="271"/>
      <c r="AH1106" s="272"/>
      <c r="AI1106" s="259"/>
      <c r="AJ1106" s="444"/>
      <c r="AK1106" s="260"/>
      <c r="AL1106" s="261"/>
      <c r="AM1106" s="259"/>
      <c r="AN1106" s="259"/>
      <c r="AO1106" s="129"/>
      <c r="AP1106" s="170"/>
      <c r="AQ1106" s="262"/>
      <c r="AR1106" s="262"/>
      <c r="AS1106" s="170"/>
      <c r="AT1106" s="263"/>
      <c r="AU1106" s="263"/>
      <c r="AV1106" s="264"/>
      <c r="AW1106" s="210"/>
      <c r="AX1106" s="265"/>
    </row>
    <row r="1107" spans="14:50">
      <c r="N1107" s="258"/>
      <c r="O1107" s="170"/>
      <c r="P1107" s="130"/>
      <c r="Q1107" s="170"/>
      <c r="R1107" s="170"/>
      <c r="S1107" s="19"/>
      <c r="T1107" s="170"/>
      <c r="U1107" s="194"/>
      <c r="V1107" s="170"/>
      <c r="W1107" s="170"/>
      <c r="X1107" s="170"/>
      <c r="Y1107" s="170"/>
      <c r="Z1107" s="269"/>
      <c r="AA1107" s="269"/>
      <c r="AB1107" s="265"/>
      <c r="AC1107" s="265"/>
      <c r="AD1107" s="136"/>
      <c r="AE1107" s="136"/>
      <c r="AF1107" s="270"/>
      <c r="AG1107" s="271"/>
      <c r="AH1107" s="272"/>
      <c r="AI1107" s="259"/>
      <c r="AJ1107" s="444"/>
      <c r="AK1107" s="260"/>
      <c r="AL1107" s="261"/>
      <c r="AM1107" s="259"/>
      <c r="AN1107" s="259"/>
      <c r="AO1107" s="129"/>
      <c r="AP1107" s="170"/>
      <c r="AQ1107" s="262"/>
      <c r="AR1107" s="262"/>
      <c r="AS1107" s="170"/>
      <c r="AT1107" s="263"/>
      <c r="AU1107" s="263"/>
      <c r="AV1107" s="264"/>
      <c r="AW1107" s="210"/>
      <c r="AX1107" s="265"/>
    </row>
    <row r="1108" spans="14:50">
      <c r="N1108" s="258"/>
      <c r="O1108" s="170"/>
      <c r="P1108" s="130"/>
      <c r="Q1108" s="170"/>
      <c r="R1108" s="170"/>
      <c r="S1108" s="19"/>
      <c r="T1108" s="170"/>
      <c r="U1108" s="194"/>
      <c r="V1108" s="170"/>
      <c r="W1108" s="170"/>
      <c r="X1108" s="170"/>
      <c r="Y1108" s="170"/>
      <c r="Z1108" s="269"/>
      <c r="AA1108" s="269"/>
      <c r="AB1108" s="265"/>
      <c r="AC1108" s="265"/>
      <c r="AD1108" s="136"/>
      <c r="AE1108" s="136"/>
      <c r="AF1108" s="270"/>
      <c r="AG1108" s="271"/>
      <c r="AH1108" s="272"/>
      <c r="AI1108" s="259"/>
      <c r="AJ1108" s="444"/>
      <c r="AK1108" s="260"/>
      <c r="AL1108" s="261"/>
      <c r="AM1108" s="259"/>
      <c r="AN1108" s="259"/>
      <c r="AO1108" s="129"/>
      <c r="AP1108" s="170"/>
      <c r="AQ1108" s="262"/>
      <c r="AR1108" s="262"/>
      <c r="AS1108" s="170"/>
      <c r="AT1108" s="263"/>
      <c r="AU1108" s="263"/>
      <c r="AV1108" s="264"/>
      <c r="AW1108" s="210"/>
      <c r="AX1108" s="265"/>
    </row>
    <row r="1109" spans="14:50">
      <c r="N1109" s="258"/>
      <c r="O1109" s="170"/>
      <c r="P1109" s="130"/>
      <c r="Q1109" s="170"/>
      <c r="R1109" s="170"/>
      <c r="S1109" s="19"/>
      <c r="T1109" s="170"/>
      <c r="U1109" s="194"/>
      <c r="V1109" s="170"/>
      <c r="W1109" s="170"/>
      <c r="X1109" s="170"/>
      <c r="Y1109" s="170"/>
      <c r="Z1109" s="269"/>
      <c r="AA1109" s="269"/>
      <c r="AB1109" s="265"/>
      <c r="AC1109" s="265"/>
      <c r="AD1109" s="136"/>
      <c r="AE1109" s="136"/>
      <c r="AF1109" s="270"/>
      <c r="AG1109" s="271"/>
      <c r="AH1109" s="272"/>
      <c r="AI1109" s="259"/>
      <c r="AJ1109" s="444"/>
      <c r="AK1109" s="260"/>
      <c r="AL1109" s="261"/>
      <c r="AM1109" s="259"/>
      <c r="AN1109" s="259"/>
      <c r="AO1109" s="129"/>
      <c r="AP1109" s="170"/>
      <c r="AQ1109" s="262"/>
      <c r="AR1109" s="262"/>
      <c r="AS1109" s="170"/>
      <c r="AT1109" s="263"/>
      <c r="AU1109" s="263"/>
      <c r="AV1109" s="264"/>
      <c r="AW1109" s="210"/>
      <c r="AX1109" s="265"/>
    </row>
    <row r="1110" spans="14:50">
      <c r="N1110" s="258"/>
      <c r="O1110" s="170"/>
      <c r="P1110" s="130"/>
      <c r="Q1110" s="170"/>
      <c r="R1110" s="170"/>
      <c r="S1110" s="19"/>
      <c r="T1110" s="170"/>
      <c r="U1110" s="194"/>
      <c r="V1110" s="170"/>
      <c r="W1110" s="170"/>
      <c r="X1110" s="170"/>
      <c r="Y1110" s="170"/>
      <c r="Z1110" s="269"/>
      <c r="AA1110" s="269"/>
      <c r="AB1110" s="265"/>
      <c r="AC1110" s="265"/>
      <c r="AD1110" s="136"/>
      <c r="AE1110" s="136"/>
      <c r="AF1110" s="270"/>
      <c r="AG1110" s="271"/>
      <c r="AH1110" s="272"/>
      <c r="AI1110" s="259"/>
      <c r="AJ1110" s="444"/>
      <c r="AK1110" s="260"/>
      <c r="AL1110" s="261"/>
      <c r="AM1110" s="259"/>
      <c r="AN1110" s="259"/>
      <c r="AO1110" s="129"/>
      <c r="AP1110" s="170"/>
      <c r="AQ1110" s="262"/>
      <c r="AR1110" s="262"/>
      <c r="AS1110" s="170"/>
      <c r="AT1110" s="263"/>
      <c r="AU1110" s="263"/>
      <c r="AV1110" s="264"/>
      <c r="AW1110" s="210"/>
      <c r="AX1110" s="265"/>
    </row>
    <row r="1111" spans="14:50">
      <c r="N1111" s="258"/>
      <c r="O1111" s="170"/>
      <c r="P1111" s="130"/>
      <c r="Q1111" s="170"/>
      <c r="R1111" s="170"/>
      <c r="S1111" s="19"/>
      <c r="T1111" s="170"/>
      <c r="U1111" s="194"/>
      <c r="V1111" s="170"/>
      <c r="W1111" s="170"/>
      <c r="X1111" s="170"/>
      <c r="Y1111" s="170"/>
      <c r="Z1111" s="269"/>
      <c r="AA1111" s="269"/>
      <c r="AB1111" s="265"/>
      <c r="AC1111" s="265"/>
      <c r="AD1111" s="136"/>
      <c r="AE1111" s="136"/>
      <c r="AF1111" s="270"/>
      <c r="AG1111" s="271"/>
      <c r="AH1111" s="272"/>
      <c r="AI1111" s="259"/>
      <c r="AJ1111" s="444"/>
      <c r="AK1111" s="260"/>
      <c r="AL1111" s="261"/>
      <c r="AM1111" s="259"/>
      <c r="AN1111" s="259"/>
      <c r="AO1111" s="129"/>
      <c r="AP1111" s="170"/>
      <c r="AQ1111" s="262"/>
      <c r="AR1111" s="262"/>
      <c r="AS1111" s="170"/>
      <c r="AT1111" s="263"/>
      <c r="AU1111" s="263"/>
      <c r="AV1111" s="264"/>
      <c r="AW1111" s="210"/>
      <c r="AX1111" s="265"/>
    </row>
    <row r="1112" spans="14:50">
      <c r="N1112" s="258"/>
      <c r="O1112" s="170"/>
      <c r="P1112" s="130"/>
      <c r="Q1112" s="170"/>
      <c r="R1112" s="170"/>
      <c r="S1112" s="19"/>
      <c r="T1112" s="170"/>
      <c r="U1112" s="194"/>
      <c r="V1112" s="170"/>
      <c r="W1112" s="170"/>
      <c r="X1112" s="170"/>
      <c r="Y1112" s="170"/>
      <c r="Z1112" s="269"/>
      <c r="AA1112" s="269"/>
      <c r="AB1112" s="265"/>
      <c r="AC1112" s="265"/>
      <c r="AD1112" s="136"/>
      <c r="AE1112" s="136"/>
      <c r="AF1112" s="270"/>
      <c r="AG1112" s="271"/>
      <c r="AH1112" s="272"/>
      <c r="AI1112" s="259"/>
      <c r="AJ1112" s="444"/>
      <c r="AK1112" s="260"/>
      <c r="AL1112" s="261"/>
      <c r="AM1112" s="259"/>
      <c r="AN1112" s="259"/>
      <c r="AO1112" s="129"/>
      <c r="AP1112" s="170"/>
      <c r="AQ1112" s="262"/>
      <c r="AR1112" s="262"/>
      <c r="AS1112" s="170"/>
      <c r="AT1112" s="263"/>
      <c r="AU1112" s="263"/>
      <c r="AV1112" s="264"/>
      <c r="AW1112" s="210"/>
      <c r="AX1112" s="265"/>
    </row>
    <row r="1113" spans="14:50">
      <c r="N1113" s="258"/>
      <c r="O1113" s="170"/>
      <c r="P1113" s="130"/>
      <c r="Q1113" s="170"/>
      <c r="R1113" s="170"/>
      <c r="S1113" s="19"/>
      <c r="T1113" s="170"/>
      <c r="U1113" s="194"/>
      <c r="V1113" s="170"/>
      <c r="W1113" s="170"/>
      <c r="X1113" s="170"/>
      <c r="Y1113" s="170"/>
      <c r="Z1113" s="269"/>
      <c r="AA1113" s="269"/>
      <c r="AB1113" s="265"/>
      <c r="AC1113" s="265"/>
      <c r="AD1113" s="136"/>
      <c r="AE1113" s="136"/>
      <c r="AF1113" s="270"/>
      <c r="AG1113" s="271"/>
      <c r="AH1113" s="272"/>
      <c r="AI1113" s="259"/>
      <c r="AJ1113" s="444"/>
      <c r="AK1113" s="260"/>
      <c r="AL1113" s="261"/>
      <c r="AM1113" s="259"/>
      <c r="AN1113" s="259"/>
      <c r="AO1113" s="129"/>
      <c r="AP1113" s="170"/>
      <c r="AQ1113" s="262"/>
      <c r="AR1113" s="262"/>
      <c r="AS1113" s="170"/>
      <c r="AT1113" s="263"/>
      <c r="AU1113" s="263"/>
      <c r="AV1113" s="264"/>
      <c r="AW1113" s="210"/>
      <c r="AX1113" s="265"/>
    </row>
    <row r="1114" spans="14:50">
      <c r="N1114" s="258"/>
      <c r="O1114" s="170"/>
      <c r="P1114" s="130"/>
      <c r="Q1114" s="170"/>
      <c r="R1114" s="170"/>
      <c r="S1114" s="19"/>
      <c r="T1114" s="170"/>
      <c r="U1114" s="194"/>
      <c r="V1114" s="170"/>
      <c r="W1114" s="170"/>
      <c r="X1114" s="170"/>
      <c r="Y1114" s="170"/>
      <c r="Z1114" s="269"/>
      <c r="AA1114" s="269"/>
      <c r="AB1114" s="265"/>
      <c r="AC1114" s="265"/>
      <c r="AD1114" s="136"/>
      <c r="AE1114" s="136"/>
      <c r="AF1114" s="270"/>
      <c r="AG1114" s="271"/>
      <c r="AH1114" s="272"/>
      <c r="AI1114" s="259"/>
      <c r="AJ1114" s="444"/>
      <c r="AK1114" s="260"/>
      <c r="AL1114" s="261"/>
      <c r="AM1114" s="259"/>
      <c r="AN1114" s="259"/>
      <c r="AO1114" s="129"/>
      <c r="AP1114" s="170"/>
      <c r="AQ1114" s="262"/>
      <c r="AR1114" s="262"/>
      <c r="AS1114" s="170"/>
      <c r="AT1114" s="263"/>
      <c r="AU1114" s="263"/>
      <c r="AV1114" s="264"/>
      <c r="AW1114" s="210"/>
      <c r="AX1114" s="265"/>
    </row>
    <row r="1115" spans="14:50">
      <c r="N1115" s="258"/>
      <c r="O1115" s="170"/>
      <c r="P1115" s="130"/>
      <c r="Q1115" s="170"/>
      <c r="R1115" s="170"/>
      <c r="S1115" s="19"/>
      <c r="T1115" s="170"/>
      <c r="U1115" s="194"/>
      <c r="V1115" s="170"/>
      <c r="W1115" s="170"/>
      <c r="X1115" s="170"/>
      <c r="Y1115" s="170"/>
      <c r="Z1115" s="269"/>
      <c r="AA1115" s="269"/>
      <c r="AB1115" s="265"/>
      <c r="AC1115" s="265"/>
      <c r="AD1115" s="136"/>
      <c r="AE1115" s="136"/>
      <c r="AF1115" s="270"/>
      <c r="AG1115" s="271"/>
      <c r="AH1115" s="272"/>
      <c r="AI1115" s="259"/>
      <c r="AJ1115" s="444"/>
      <c r="AK1115" s="260"/>
      <c r="AL1115" s="261"/>
      <c r="AM1115" s="259"/>
      <c r="AN1115" s="259"/>
      <c r="AO1115" s="129"/>
      <c r="AP1115" s="170"/>
      <c r="AQ1115" s="262"/>
      <c r="AR1115" s="262"/>
      <c r="AS1115" s="170"/>
      <c r="AT1115" s="263"/>
      <c r="AU1115" s="263"/>
      <c r="AV1115" s="264"/>
      <c r="AW1115" s="210"/>
      <c r="AX1115" s="265"/>
    </row>
    <row r="1116" spans="14:50">
      <c r="N1116" s="258"/>
      <c r="O1116" s="170"/>
      <c r="P1116" s="130"/>
      <c r="Q1116" s="170"/>
      <c r="R1116" s="170"/>
      <c r="S1116" s="19"/>
      <c r="T1116" s="170"/>
      <c r="U1116" s="194"/>
      <c r="V1116" s="170"/>
      <c r="W1116" s="170"/>
      <c r="X1116" s="170"/>
      <c r="Y1116" s="170"/>
      <c r="Z1116" s="269"/>
      <c r="AA1116" s="269"/>
      <c r="AB1116" s="265"/>
      <c r="AC1116" s="265"/>
      <c r="AD1116" s="136"/>
      <c r="AE1116" s="136"/>
      <c r="AF1116" s="270"/>
      <c r="AG1116" s="271"/>
      <c r="AH1116" s="272"/>
      <c r="AI1116" s="259"/>
      <c r="AJ1116" s="444"/>
      <c r="AK1116" s="260"/>
      <c r="AL1116" s="261"/>
      <c r="AM1116" s="259"/>
      <c r="AN1116" s="259"/>
      <c r="AO1116" s="129"/>
      <c r="AP1116" s="170"/>
      <c r="AQ1116" s="262"/>
      <c r="AR1116" s="262"/>
      <c r="AS1116" s="170"/>
      <c r="AT1116" s="263"/>
      <c r="AU1116" s="263"/>
      <c r="AV1116" s="264"/>
      <c r="AW1116" s="210"/>
      <c r="AX1116" s="265"/>
    </row>
    <row r="1117" spans="14:50">
      <c r="N1117" s="258"/>
      <c r="O1117" s="170"/>
      <c r="P1117" s="130"/>
      <c r="Q1117" s="170"/>
      <c r="R1117" s="170"/>
      <c r="S1117" s="19"/>
      <c r="T1117" s="170"/>
      <c r="U1117" s="194"/>
      <c r="V1117" s="170"/>
      <c r="W1117" s="170"/>
      <c r="X1117" s="170"/>
      <c r="Y1117" s="170"/>
      <c r="Z1117" s="269"/>
      <c r="AA1117" s="269"/>
      <c r="AB1117" s="265"/>
      <c r="AC1117" s="265"/>
      <c r="AD1117" s="136"/>
      <c r="AE1117" s="136"/>
      <c r="AF1117" s="270"/>
      <c r="AG1117" s="271"/>
      <c r="AH1117" s="272"/>
      <c r="AI1117" s="259"/>
      <c r="AJ1117" s="444"/>
      <c r="AK1117" s="260"/>
      <c r="AL1117" s="261"/>
      <c r="AM1117" s="259"/>
      <c r="AN1117" s="259"/>
      <c r="AO1117" s="129"/>
      <c r="AP1117" s="170"/>
      <c r="AQ1117" s="262"/>
      <c r="AR1117" s="262"/>
      <c r="AS1117" s="170"/>
      <c r="AT1117" s="263"/>
      <c r="AU1117" s="263"/>
      <c r="AV1117" s="264"/>
      <c r="AW1117" s="210"/>
      <c r="AX1117" s="265"/>
    </row>
    <row r="1118" spans="14:50">
      <c r="N1118" s="258"/>
      <c r="O1118" s="170"/>
      <c r="P1118" s="130"/>
      <c r="Q1118" s="170"/>
      <c r="R1118" s="170"/>
      <c r="S1118" s="19"/>
      <c r="T1118" s="170"/>
      <c r="U1118" s="194"/>
      <c r="V1118" s="170"/>
      <c r="W1118" s="170"/>
      <c r="X1118" s="170"/>
      <c r="Y1118" s="170"/>
      <c r="Z1118" s="269"/>
      <c r="AA1118" s="269"/>
      <c r="AB1118" s="265"/>
      <c r="AC1118" s="265"/>
      <c r="AD1118" s="136"/>
      <c r="AE1118" s="136"/>
      <c r="AF1118" s="270"/>
      <c r="AG1118" s="271"/>
      <c r="AH1118" s="272"/>
      <c r="AI1118" s="259"/>
      <c r="AJ1118" s="444"/>
      <c r="AK1118" s="260"/>
      <c r="AL1118" s="261"/>
      <c r="AM1118" s="259"/>
      <c r="AN1118" s="259"/>
      <c r="AO1118" s="129"/>
      <c r="AP1118" s="170"/>
      <c r="AQ1118" s="262"/>
      <c r="AR1118" s="262"/>
      <c r="AS1118" s="170"/>
      <c r="AT1118" s="263"/>
      <c r="AU1118" s="263"/>
      <c r="AV1118" s="264"/>
      <c r="AW1118" s="210"/>
      <c r="AX1118" s="265"/>
    </row>
    <row r="1119" spans="14:50">
      <c r="N1119" s="258"/>
      <c r="O1119" s="170"/>
      <c r="P1119" s="130"/>
      <c r="Q1119" s="170"/>
      <c r="R1119" s="170"/>
      <c r="S1119" s="19"/>
      <c r="T1119" s="170"/>
      <c r="U1119" s="194"/>
      <c r="V1119" s="170"/>
      <c r="W1119" s="170"/>
      <c r="X1119" s="170"/>
      <c r="Y1119" s="170"/>
      <c r="Z1119" s="269"/>
      <c r="AA1119" s="269"/>
      <c r="AB1119" s="265"/>
      <c r="AC1119" s="265"/>
      <c r="AD1119" s="136"/>
      <c r="AE1119" s="136"/>
      <c r="AF1119" s="270"/>
      <c r="AG1119" s="271"/>
      <c r="AH1119" s="272"/>
      <c r="AI1119" s="259"/>
      <c r="AJ1119" s="444"/>
      <c r="AK1119" s="260"/>
      <c r="AL1119" s="261"/>
      <c r="AM1119" s="259"/>
      <c r="AN1119" s="259"/>
      <c r="AO1119" s="129"/>
      <c r="AP1119" s="170"/>
      <c r="AQ1119" s="262"/>
      <c r="AR1119" s="262"/>
      <c r="AS1119" s="170"/>
      <c r="AT1119" s="263"/>
      <c r="AU1119" s="263"/>
      <c r="AV1119" s="264"/>
      <c r="AW1119" s="210"/>
      <c r="AX1119" s="265"/>
    </row>
    <row r="1120" spans="14:50">
      <c r="N1120" s="258"/>
      <c r="O1120" s="170"/>
      <c r="P1120" s="130"/>
      <c r="Q1120" s="170"/>
      <c r="R1120" s="170"/>
      <c r="S1120" s="19"/>
      <c r="T1120" s="170"/>
      <c r="U1120" s="194"/>
      <c r="V1120" s="170"/>
      <c r="W1120" s="170"/>
      <c r="X1120" s="170"/>
      <c r="Y1120" s="170"/>
      <c r="Z1120" s="269"/>
      <c r="AA1120" s="269"/>
      <c r="AB1120" s="265"/>
      <c r="AC1120" s="265"/>
      <c r="AD1120" s="136"/>
      <c r="AE1120" s="136"/>
      <c r="AF1120" s="270"/>
      <c r="AG1120" s="271"/>
      <c r="AH1120" s="272"/>
      <c r="AI1120" s="259"/>
      <c r="AJ1120" s="444"/>
      <c r="AK1120" s="260"/>
      <c r="AL1120" s="261"/>
      <c r="AM1120" s="259"/>
      <c r="AN1120" s="259"/>
      <c r="AO1120" s="129"/>
      <c r="AP1120" s="170"/>
      <c r="AQ1120" s="262"/>
      <c r="AR1120" s="262"/>
      <c r="AS1120" s="170"/>
      <c r="AT1120" s="263"/>
      <c r="AU1120" s="263"/>
      <c r="AV1120" s="264"/>
      <c r="AW1120" s="210"/>
      <c r="AX1120" s="265"/>
    </row>
    <row r="1121" spans="14:50">
      <c r="N1121" s="258"/>
      <c r="O1121" s="170"/>
      <c r="P1121" s="130"/>
      <c r="Q1121" s="170"/>
      <c r="R1121" s="170"/>
      <c r="S1121" s="19"/>
      <c r="T1121" s="170"/>
      <c r="U1121" s="194"/>
      <c r="V1121" s="170"/>
      <c r="W1121" s="170"/>
      <c r="X1121" s="170"/>
      <c r="Y1121" s="170"/>
      <c r="Z1121" s="269"/>
      <c r="AA1121" s="269"/>
      <c r="AB1121" s="265"/>
      <c r="AC1121" s="265"/>
      <c r="AD1121" s="136"/>
      <c r="AE1121" s="136"/>
      <c r="AF1121" s="270"/>
      <c r="AG1121" s="271"/>
      <c r="AH1121" s="272"/>
      <c r="AI1121" s="259"/>
      <c r="AJ1121" s="444"/>
      <c r="AK1121" s="260"/>
      <c r="AL1121" s="261"/>
      <c r="AM1121" s="259"/>
      <c r="AN1121" s="259"/>
      <c r="AO1121" s="129"/>
      <c r="AP1121" s="170"/>
      <c r="AQ1121" s="262"/>
      <c r="AR1121" s="262"/>
      <c r="AS1121" s="170"/>
      <c r="AT1121" s="263"/>
      <c r="AU1121" s="263"/>
      <c r="AV1121" s="264"/>
      <c r="AW1121" s="210"/>
      <c r="AX1121" s="265"/>
    </row>
    <row r="1122" spans="14:50">
      <c r="N1122" s="258"/>
      <c r="O1122" s="170"/>
      <c r="P1122" s="130"/>
      <c r="Q1122" s="170"/>
      <c r="R1122" s="170"/>
      <c r="S1122" s="19"/>
      <c r="T1122" s="170"/>
      <c r="U1122" s="194"/>
      <c r="V1122" s="170"/>
      <c r="W1122" s="170"/>
      <c r="X1122" s="170"/>
      <c r="Y1122" s="170"/>
      <c r="Z1122" s="269"/>
      <c r="AA1122" s="269"/>
      <c r="AB1122" s="265"/>
      <c r="AC1122" s="265"/>
      <c r="AD1122" s="136"/>
      <c r="AE1122" s="136"/>
      <c r="AF1122" s="270"/>
      <c r="AG1122" s="271"/>
      <c r="AH1122" s="272"/>
      <c r="AI1122" s="259"/>
      <c r="AJ1122" s="444"/>
      <c r="AK1122" s="260"/>
      <c r="AL1122" s="261"/>
      <c r="AM1122" s="259"/>
      <c r="AN1122" s="259"/>
      <c r="AO1122" s="129"/>
      <c r="AP1122" s="170"/>
      <c r="AQ1122" s="262"/>
      <c r="AR1122" s="262"/>
      <c r="AS1122" s="170"/>
      <c r="AT1122" s="263"/>
      <c r="AU1122" s="263"/>
      <c r="AV1122" s="264"/>
      <c r="AW1122" s="210"/>
      <c r="AX1122" s="265"/>
    </row>
    <row r="1123" spans="14:50">
      <c r="N1123" s="258"/>
      <c r="O1123" s="170"/>
      <c r="P1123" s="130"/>
      <c r="Q1123" s="170"/>
      <c r="R1123" s="170"/>
      <c r="S1123" s="19"/>
      <c r="T1123" s="170"/>
      <c r="U1123" s="194"/>
      <c r="V1123" s="170"/>
      <c r="W1123" s="170"/>
      <c r="X1123" s="170"/>
      <c r="Y1123" s="170"/>
      <c r="Z1123" s="269"/>
      <c r="AA1123" s="269"/>
      <c r="AB1123" s="265"/>
      <c r="AC1123" s="265"/>
      <c r="AD1123" s="136"/>
      <c r="AE1123" s="136"/>
      <c r="AF1123" s="270"/>
      <c r="AG1123" s="271"/>
      <c r="AH1123" s="272"/>
      <c r="AI1123" s="259"/>
      <c r="AJ1123" s="444"/>
      <c r="AK1123" s="260"/>
      <c r="AL1123" s="261"/>
      <c r="AM1123" s="259"/>
      <c r="AN1123" s="259"/>
      <c r="AO1123" s="129"/>
      <c r="AP1123" s="170"/>
      <c r="AQ1123" s="262"/>
      <c r="AR1123" s="262"/>
      <c r="AS1123" s="170"/>
      <c r="AT1123" s="263"/>
      <c r="AU1123" s="263"/>
      <c r="AV1123" s="264"/>
      <c r="AW1123" s="210"/>
      <c r="AX1123" s="265"/>
    </row>
    <row r="1124" spans="14:50">
      <c r="N1124" s="258"/>
      <c r="O1124" s="170"/>
      <c r="P1124" s="130"/>
      <c r="Q1124" s="170"/>
      <c r="R1124" s="170"/>
      <c r="S1124" s="19"/>
      <c r="T1124" s="170"/>
      <c r="U1124" s="194"/>
      <c r="V1124" s="170"/>
      <c r="W1124" s="170"/>
      <c r="X1124" s="170"/>
      <c r="Y1124" s="170"/>
      <c r="Z1124" s="269"/>
      <c r="AA1124" s="269"/>
      <c r="AB1124" s="265"/>
      <c r="AC1124" s="265"/>
      <c r="AD1124" s="136"/>
      <c r="AE1124" s="136"/>
      <c r="AF1124" s="270"/>
      <c r="AG1124" s="271"/>
      <c r="AH1124" s="272"/>
      <c r="AI1124" s="259"/>
      <c r="AJ1124" s="444"/>
      <c r="AK1124" s="260"/>
      <c r="AL1124" s="261"/>
      <c r="AM1124" s="259"/>
      <c r="AN1124" s="259"/>
      <c r="AO1124" s="129"/>
      <c r="AP1124" s="170"/>
      <c r="AQ1124" s="262"/>
      <c r="AR1124" s="262"/>
      <c r="AS1124" s="170"/>
      <c r="AT1124" s="263"/>
      <c r="AU1124" s="263"/>
      <c r="AV1124" s="264"/>
      <c r="AW1124" s="210"/>
      <c r="AX1124" s="265"/>
    </row>
    <row r="1125" spans="14:50">
      <c r="N1125" s="258"/>
      <c r="O1125" s="170"/>
      <c r="P1125" s="130"/>
      <c r="Q1125" s="170"/>
      <c r="R1125" s="170"/>
      <c r="S1125" s="19"/>
      <c r="T1125" s="170"/>
      <c r="U1125" s="194"/>
      <c r="V1125" s="170"/>
      <c r="W1125" s="170"/>
      <c r="X1125" s="170"/>
      <c r="Y1125" s="170"/>
      <c r="Z1125" s="269"/>
      <c r="AA1125" s="269"/>
      <c r="AB1125" s="265"/>
      <c r="AC1125" s="265"/>
      <c r="AD1125" s="136"/>
      <c r="AE1125" s="136"/>
      <c r="AF1125" s="270"/>
      <c r="AG1125" s="271"/>
      <c r="AH1125" s="272"/>
      <c r="AI1125" s="259"/>
      <c r="AJ1125" s="444"/>
      <c r="AK1125" s="260"/>
      <c r="AL1125" s="261"/>
      <c r="AM1125" s="259"/>
      <c r="AN1125" s="259"/>
      <c r="AO1125" s="129"/>
      <c r="AP1125" s="170"/>
      <c r="AQ1125" s="262"/>
      <c r="AR1125" s="262"/>
      <c r="AS1125" s="170"/>
      <c r="AT1125" s="263"/>
      <c r="AU1125" s="263"/>
      <c r="AV1125" s="264"/>
      <c r="AW1125" s="210"/>
      <c r="AX1125" s="265"/>
    </row>
    <row r="1126" spans="14:50">
      <c r="N1126" s="258"/>
      <c r="O1126" s="170"/>
      <c r="P1126" s="130"/>
      <c r="Q1126" s="170"/>
      <c r="R1126" s="170"/>
      <c r="S1126" s="19"/>
      <c r="T1126" s="170"/>
      <c r="U1126" s="194"/>
      <c r="V1126" s="170"/>
      <c r="W1126" s="170"/>
      <c r="X1126" s="170"/>
      <c r="Y1126" s="170"/>
      <c r="Z1126" s="269"/>
      <c r="AA1126" s="269"/>
      <c r="AB1126" s="265"/>
      <c r="AC1126" s="265"/>
      <c r="AD1126" s="136"/>
      <c r="AE1126" s="136"/>
      <c r="AF1126" s="270"/>
      <c r="AG1126" s="271"/>
      <c r="AH1126" s="272"/>
      <c r="AI1126" s="259"/>
      <c r="AJ1126" s="444"/>
      <c r="AK1126" s="260"/>
      <c r="AL1126" s="261"/>
      <c r="AM1126" s="259"/>
      <c r="AN1126" s="259"/>
      <c r="AO1126" s="129"/>
      <c r="AP1126" s="170"/>
      <c r="AQ1126" s="262"/>
      <c r="AR1126" s="262"/>
      <c r="AS1126" s="170"/>
      <c r="AT1126" s="263"/>
      <c r="AU1126" s="263"/>
      <c r="AV1126" s="264"/>
      <c r="AW1126" s="210"/>
      <c r="AX1126" s="265"/>
    </row>
    <row r="1127" spans="14:50">
      <c r="N1127" s="258"/>
      <c r="O1127" s="170"/>
      <c r="P1127" s="130"/>
      <c r="Q1127" s="170"/>
      <c r="R1127" s="170"/>
      <c r="S1127" s="19"/>
      <c r="T1127" s="170"/>
      <c r="U1127" s="194"/>
      <c r="V1127" s="170"/>
      <c r="W1127" s="170"/>
      <c r="X1127" s="170"/>
      <c r="Y1127" s="170"/>
      <c r="Z1127" s="269"/>
      <c r="AA1127" s="269"/>
      <c r="AB1127" s="265"/>
      <c r="AC1127" s="265"/>
      <c r="AD1127" s="136"/>
      <c r="AE1127" s="136"/>
      <c r="AF1127" s="270"/>
      <c r="AG1127" s="271"/>
      <c r="AH1127" s="272"/>
      <c r="AI1127" s="259"/>
      <c r="AJ1127" s="444"/>
      <c r="AK1127" s="260"/>
      <c r="AL1127" s="261"/>
      <c r="AM1127" s="259"/>
      <c r="AN1127" s="259"/>
      <c r="AO1127" s="129"/>
      <c r="AP1127" s="170"/>
      <c r="AQ1127" s="262"/>
      <c r="AR1127" s="262"/>
      <c r="AS1127" s="170"/>
      <c r="AT1127" s="263"/>
      <c r="AU1127" s="263"/>
      <c r="AV1127" s="264"/>
      <c r="AW1127" s="210"/>
      <c r="AX1127" s="265"/>
    </row>
    <row r="1128" spans="14:50">
      <c r="N1128" s="258"/>
      <c r="O1128" s="170"/>
      <c r="P1128" s="130"/>
      <c r="Q1128" s="170"/>
      <c r="R1128" s="170"/>
      <c r="S1128" s="19"/>
      <c r="T1128" s="170"/>
      <c r="U1128" s="194"/>
      <c r="V1128" s="170"/>
      <c r="W1128" s="170"/>
      <c r="X1128" s="170"/>
      <c r="Y1128" s="170"/>
      <c r="Z1128" s="269"/>
      <c r="AA1128" s="269"/>
      <c r="AB1128" s="265"/>
      <c r="AC1128" s="265"/>
      <c r="AD1128" s="136"/>
      <c r="AE1128" s="136"/>
      <c r="AF1128" s="270"/>
      <c r="AG1128" s="271"/>
      <c r="AH1128" s="272"/>
      <c r="AI1128" s="259"/>
      <c r="AJ1128" s="444"/>
      <c r="AK1128" s="260"/>
      <c r="AL1128" s="261"/>
      <c r="AM1128" s="259"/>
      <c r="AN1128" s="259"/>
      <c r="AO1128" s="129"/>
      <c r="AP1128" s="170"/>
      <c r="AQ1128" s="262"/>
      <c r="AR1128" s="262"/>
      <c r="AS1128" s="170"/>
      <c r="AT1128" s="263"/>
      <c r="AU1128" s="263"/>
      <c r="AV1128" s="264"/>
      <c r="AW1128" s="210"/>
      <c r="AX1128" s="265"/>
    </row>
    <row r="1129" spans="14:50">
      <c r="N1129" s="258"/>
      <c r="O1129" s="170"/>
      <c r="P1129" s="130"/>
      <c r="Q1129" s="170"/>
      <c r="R1129" s="170"/>
      <c r="S1129" s="19"/>
      <c r="T1129" s="170"/>
      <c r="U1129" s="194"/>
      <c r="V1129" s="170"/>
      <c r="W1129" s="170"/>
      <c r="X1129" s="170"/>
      <c r="Y1129" s="170"/>
      <c r="Z1129" s="269"/>
      <c r="AA1129" s="269"/>
      <c r="AB1129" s="265"/>
      <c r="AC1129" s="265"/>
      <c r="AD1129" s="136"/>
      <c r="AE1129" s="136"/>
      <c r="AF1129" s="270"/>
      <c r="AG1129" s="271"/>
      <c r="AH1129" s="272"/>
      <c r="AI1129" s="259"/>
      <c r="AJ1129" s="444"/>
      <c r="AK1129" s="260"/>
      <c r="AL1129" s="261"/>
      <c r="AM1129" s="259"/>
      <c r="AN1129" s="259"/>
      <c r="AO1129" s="129"/>
      <c r="AP1129" s="170"/>
      <c r="AQ1129" s="262"/>
      <c r="AR1129" s="262"/>
      <c r="AS1129" s="170"/>
      <c r="AT1129" s="263"/>
      <c r="AU1129" s="263"/>
      <c r="AV1129" s="264"/>
      <c r="AW1129" s="210"/>
      <c r="AX1129" s="265"/>
    </row>
    <row r="1130" spans="14:50">
      <c r="N1130" s="258"/>
      <c r="O1130" s="170"/>
      <c r="P1130" s="130"/>
      <c r="Q1130" s="170"/>
      <c r="R1130" s="170"/>
      <c r="S1130" s="19"/>
      <c r="T1130" s="170"/>
      <c r="U1130" s="194"/>
      <c r="V1130" s="170"/>
      <c r="W1130" s="170"/>
      <c r="X1130" s="170"/>
      <c r="Y1130" s="170"/>
      <c r="Z1130" s="269"/>
      <c r="AA1130" s="269"/>
      <c r="AB1130" s="265"/>
      <c r="AC1130" s="265"/>
      <c r="AD1130" s="136"/>
      <c r="AE1130" s="136"/>
      <c r="AF1130" s="270"/>
      <c r="AG1130" s="271"/>
      <c r="AH1130" s="272"/>
      <c r="AI1130" s="259"/>
      <c r="AJ1130" s="444"/>
      <c r="AK1130" s="260"/>
      <c r="AL1130" s="261"/>
      <c r="AM1130" s="259"/>
      <c r="AN1130" s="259"/>
      <c r="AO1130" s="129"/>
      <c r="AP1130" s="170"/>
      <c r="AQ1130" s="262"/>
      <c r="AR1130" s="262"/>
      <c r="AS1130" s="170"/>
      <c r="AT1130" s="263"/>
      <c r="AU1130" s="263"/>
      <c r="AV1130" s="264"/>
      <c r="AW1130" s="210"/>
      <c r="AX1130" s="265"/>
    </row>
    <row r="1131" spans="14:50">
      <c r="N1131" s="258"/>
      <c r="O1131" s="170"/>
      <c r="P1131" s="130"/>
      <c r="Q1131" s="170"/>
      <c r="R1131" s="170"/>
      <c r="S1131" s="19"/>
      <c r="T1131" s="170"/>
      <c r="U1131" s="194"/>
      <c r="V1131" s="170"/>
      <c r="W1131" s="170"/>
      <c r="X1131" s="170"/>
      <c r="Y1131" s="170"/>
      <c r="Z1131" s="269"/>
      <c r="AA1131" s="269"/>
      <c r="AB1131" s="265"/>
      <c r="AC1131" s="265"/>
      <c r="AD1131" s="136"/>
      <c r="AE1131" s="136"/>
      <c r="AF1131" s="270"/>
      <c r="AG1131" s="271"/>
      <c r="AH1131" s="272"/>
      <c r="AI1131" s="259"/>
      <c r="AJ1131" s="444"/>
      <c r="AK1131" s="260"/>
      <c r="AL1131" s="261"/>
      <c r="AM1131" s="259"/>
      <c r="AN1131" s="259"/>
      <c r="AO1131" s="129"/>
      <c r="AP1131" s="170"/>
      <c r="AQ1131" s="262"/>
      <c r="AR1131" s="262"/>
      <c r="AS1131" s="170"/>
      <c r="AT1131" s="263"/>
      <c r="AU1131" s="263"/>
      <c r="AV1131" s="264"/>
      <c r="AW1131" s="210"/>
      <c r="AX1131" s="265"/>
    </row>
    <row r="1132" spans="14:50">
      <c r="N1132" s="258"/>
      <c r="O1132" s="170"/>
      <c r="P1132" s="130"/>
      <c r="Q1132" s="170"/>
      <c r="R1132" s="170"/>
      <c r="S1132" s="19"/>
      <c r="T1132" s="170"/>
      <c r="U1132" s="194"/>
      <c r="V1132" s="170"/>
      <c r="W1132" s="170"/>
      <c r="X1132" s="170"/>
      <c r="Y1132" s="170"/>
      <c r="Z1132" s="269"/>
      <c r="AA1132" s="269"/>
      <c r="AB1132" s="265"/>
      <c r="AC1132" s="265"/>
      <c r="AD1132" s="136"/>
      <c r="AE1132" s="136"/>
      <c r="AF1132" s="270"/>
      <c r="AG1132" s="271"/>
      <c r="AH1132" s="272"/>
      <c r="AI1132" s="259"/>
      <c r="AJ1132" s="444"/>
      <c r="AK1132" s="260"/>
      <c r="AL1132" s="261"/>
      <c r="AM1132" s="259"/>
      <c r="AN1132" s="259"/>
      <c r="AO1132" s="129"/>
      <c r="AP1132" s="170"/>
      <c r="AQ1132" s="262"/>
      <c r="AR1132" s="262"/>
      <c r="AS1132" s="170"/>
      <c r="AT1132" s="263"/>
      <c r="AU1132" s="263"/>
      <c r="AV1132" s="264"/>
      <c r="AW1132" s="210"/>
      <c r="AX1132" s="265"/>
    </row>
    <row r="1133" spans="14:50">
      <c r="N1133" s="258"/>
      <c r="O1133" s="170"/>
      <c r="P1133" s="130"/>
      <c r="Q1133" s="170"/>
      <c r="R1133" s="170"/>
      <c r="S1133" s="19"/>
      <c r="T1133" s="170"/>
      <c r="U1133" s="194"/>
      <c r="V1133" s="170"/>
      <c r="W1133" s="170"/>
      <c r="X1133" s="170"/>
      <c r="Y1133" s="170"/>
      <c r="Z1133" s="269"/>
      <c r="AA1133" s="269"/>
      <c r="AB1133" s="265"/>
      <c r="AC1133" s="265"/>
      <c r="AD1133" s="136"/>
      <c r="AE1133" s="136"/>
      <c r="AF1133" s="270"/>
      <c r="AG1133" s="271"/>
      <c r="AH1133" s="272"/>
      <c r="AI1133" s="259"/>
      <c r="AJ1133" s="444"/>
      <c r="AK1133" s="260"/>
      <c r="AL1133" s="261"/>
      <c r="AM1133" s="259"/>
      <c r="AN1133" s="259"/>
      <c r="AO1133" s="129"/>
      <c r="AP1133" s="170"/>
      <c r="AQ1133" s="262"/>
      <c r="AR1133" s="262"/>
      <c r="AS1133" s="170"/>
      <c r="AT1133" s="263"/>
      <c r="AU1133" s="263"/>
      <c r="AV1133" s="264"/>
      <c r="AW1133" s="210"/>
      <c r="AX1133" s="265"/>
    </row>
    <row r="1134" spans="14:50">
      <c r="N1134" s="258"/>
      <c r="O1134" s="170"/>
      <c r="P1134" s="130"/>
      <c r="Q1134" s="170"/>
      <c r="R1134" s="170"/>
      <c r="S1134" s="19"/>
      <c r="T1134" s="170"/>
      <c r="U1134" s="194"/>
      <c r="V1134" s="170"/>
      <c r="W1134" s="170"/>
      <c r="X1134" s="170"/>
      <c r="Y1134" s="170"/>
      <c r="Z1134" s="269"/>
      <c r="AA1134" s="269"/>
      <c r="AB1134" s="265"/>
      <c r="AC1134" s="265"/>
      <c r="AD1134" s="136"/>
      <c r="AE1134" s="136"/>
      <c r="AF1134" s="270"/>
      <c r="AG1134" s="271"/>
      <c r="AH1134" s="272"/>
      <c r="AI1134" s="259"/>
      <c r="AJ1134" s="444"/>
      <c r="AK1134" s="260"/>
      <c r="AL1134" s="261"/>
      <c r="AM1134" s="259"/>
      <c r="AN1134" s="259"/>
      <c r="AO1134" s="129"/>
      <c r="AP1134" s="170"/>
      <c r="AQ1134" s="262"/>
      <c r="AR1134" s="262"/>
      <c r="AS1134" s="170"/>
      <c r="AT1134" s="263"/>
      <c r="AU1134" s="263"/>
      <c r="AV1134" s="264"/>
      <c r="AW1134" s="210"/>
      <c r="AX1134" s="265"/>
    </row>
    <row r="1135" spans="14:50">
      <c r="N1135" s="258"/>
      <c r="O1135" s="170"/>
      <c r="P1135" s="130"/>
      <c r="Q1135" s="170"/>
      <c r="R1135" s="170"/>
      <c r="S1135" s="19"/>
      <c r="T1135" s="170"/>
      <c r="U1135" s="194"/>
      <c r="V1135" s="170"/>
      <c r="W1135" s="170"/>
      <c r="X1135" s="170"/>
      <c r="Y1135" s="170"/>
      <c r="Z1135" s="269"/>
      <c r="AA1135" s="269"/>
      <c r="AB1135" s="265"/>
      <c r="AC1135" s="265"/>
      <c r="AD1135" s="136"/>
      <c r="AE1135" s="136"/>
      <c r="AF1135" s="270"/>
      <c r="AG1135" s="271"/>
      <c r="AH1135" s="272"/>
      <c r="AI1135" s="259"/>
      <c r="AJ1135" s="444"/>
      <c r="AK1135" s="260"/>
      <c r="AL1135" s="261"/>
      <c r="AM1135" s="259"/>
      <c r="AN1135" s="259"/>
      <c r="AO1135" s="129"/>
      <c r="AP1135" s="170"/>
      <c r="AQ1135" s="262"/>
      <c r="AR1135" s="262"/>
      <c r="AS1135" s="170"/>
      <c r="AT1135" s="263"/>
      <c r="AU1135" s="263"/>
      <c r="AV1135" s="264"/>
      <c r="AW1135" s="210"/>
      <c r="AX1135" s="265"/>
    </row>
    <row r="1136" spans="14:50">
      <c r="N1136" s="258"/>
      <c r="O1136" s="170"/>
      <c r="P1136" s="130"/>
      <c r="Q1136" s="170"/>
      <c r="R1136" s="170"/>
      <c r="S1136" s="19"/>
      <c r="T1136" s="170"/>
      <c r="U1136" s="194"/>
      <c r="V1136" s="170"/>
      <c r="W1136" s="170"/>
      <c r="X1136" s="170"/>
      <c r="Y1136" s="170"/>
      <c r="Z1136" s="269"/>
      <c r="AA1136" s="269"/>
      <c r="AB1136" s="265"/>
      <c r="AC1136" s="265"/>
      <c r="AD1136" s="136"/>
      <c r="AE1136" s="136"/>
      <c r="AF1136" s="270"/>
      <c r="AG1136" s="271"/>
      <c r="AH1136" s="272"/>
      <c r="AI1136" s="259"/>
      <c r="AJ1136" s="444"/>
      <c r="AK1136" s="260"/>
      <c r="AL1136" s="261"/>
      <c r="AM1136" s="259"/>
      <c r="AN1136" s="259"/>
      <c r="AO1136" s="129"/>
      <c r="AP1136" s="170"/>
      <c r="AQ1136" s="262"/>
      <c r="AR1136" s="262"/>
      <c r="AS1136" s="170"/>
      <c r="AT1136" s="263"/>
      <c r="AU1136" s="263"/>
      <c r="AV1136" s="264"/>
      <c r="AW1136" s="210"/>
      <c r="AX1136" s="265"/>
    </row>
    <row r="1137" spans="14:50">
      <c r="N1137" s="258"/>
      <c r="O1137" s="170"/>
      <c r="P1137" s="130"/>
      <c r="Q1137" s="170"/>
      <c r="R1137" s="170"/>
      <c r="S1137" s="19"/>
      <c r="T1137" s="170"/>
      <c r="U1137" s="194"/>
      <c r="V1137" s="170"/>
      <c r="W1137" s="170"/>
      <c r="X1137" s="170"/>
      <c r="Y1137" s="170"/>
      <c r="Z1137" s="269"/>
      <c r="AA1137" s="269"/>
      <c r="AB1137" s="265"/>
      <c r="AC1137" s="265"/>
      <c r="AD1137" s="136"/>
      <c r="AE1137" s="136"/>
      <c r="AF1137" s="270"/>
      <c r="AG1137" s="271"/>
      <c r="AH1137" s="272"/>
      <c r="AI1137" s="259"/>
      <c r="AJ1137" s="444"/>
      <c r="AK1137" s="260"/>
      <c r="AL1137" s="261"/>
      <c r="AM1137" s="259"/>
      <c r="AN1137" s="259"/>
      <c r="AO1137" s="129"/>
      <c r="AP1137" s="170"/>
      <c r="AQ1137" s="262"/>
      <c r="AR1137" s="262"/>
      <c r="AS1137" s="170"/>
      <c r="AT1137" s="263"/>
      <c r="AU1137" s="263"/>
      <c r="AV1137" s="264"/>
      <c r="AW1137" s="210"/>
      <c r="AX1137" s="265"/>
    </row>
    <row r="1138" spans="14:50">
      <c r="N1138" s="258"/>
      <c r="O1138" s="170"/>
      <c r="P1138" s="130"/>
      <c r="Q1138" s="170"/>
      <c r="R1138" s="170"/>
      <c r="S1138" s="19"/>
      <c r="T1138" s="170"/>
      <c r="U1138" s="194"/>
      <c r="V1138" s="170"/>
      <c r="W1138" s="170"/>
      <c r="X1138" s="170"/>
      <c r="Y1138" s="170"/>
      <c r="Z1138" s="269"/>
      <c r="AA1138" s="269"/>
      <c r="AB1138" s="265"/>
      <c r="AC1138" s="265"/>
      <c r="AD1138" s="136"/>
      <c r="AE1138" s="136"/>
      <c r="AF1138" s="270"/>
      <c r="AG1138" s="271"/>
      <c r="AH1138" s="272"/>
      <c r="AI1138" s="259"/>
      <c r="AJ1138" s="444"/>
      <c r="AK1138" s="260"/>
      <c r="AL1138" s="261"/>
      <c r="AM1138" s="259"/>
      <c r="AN1138" s="259"/>
      <c r="AO1138" s="129"/>
      <c r="AP1138" s="170"/>
      <c r="AQ1138" s="262"/>
      <c r="AR1138" s="262"/>
      <c r="AS1138" s="170"/>
      <c r="AT1138" s="263"/>
      <c r="AU1138" s="263"/>
      <c r="AV1138" s="264"/>
      <c r="AW1138" s="210"/>
      <c r="AX1138" s="265"/>
    </row>
    <row r="1139" spans="14:50">
      <c r="N1139" s="258"/>
      <c r="O1139" s="170"/>
      <c r="P1139" s="130"/>
      <c r="Q1139" s="170"/>
      <c r="R1139" s="170"/>
      <c r="S1139" s="19"/>
      <c r="T1139" s="170"/>
      <c r="U1139" s="194"/>
      <c r="V1139" s="170"/>
      <c r="W1139" s="170"/>
      <c r="X1139" s="170"/>
      <c r="Y1139" s="170"/>
      <c r="Z1139" s="269"/>
      <c r="AA1139" s="269"/>
      <c r="AB1139" s="265"/>
      <c r="AC1139" s="265"/>
      <c r="AD1139" s="136"/>
      <c r="AE1139" s="136"/>
      <c r="AF1139" s="270"/>
      <c r="AG1139" s="271"/>
      <c r="AH1139" s="272"/>
      <c r="AI1139" s="259"/>
      <c r="AJ1139" s="444"/>
      <c r="AK1139" s="260"/>
      <c r="AL1139" s="261"/>
      <c r="AM1139" s="259"/>
      <c r="AN1139" s="259"/>
      <c r="AO1139" s="129"/>
      <c r="AP1139" s="170"/>
      <c r="AQ1139" s="262"/>
      <c r="AR1139" s="262"/>
      <c r="AS1139" s="170"/>
      <c r="AT1139" s="263"/>
      <c r="AU1139" s="263"/>
      <c r="AV1139" s="264"/>
      <c r="AW1139" s="210"/>
      <c r="AX1139" s="265"/>
    </row>
    <row r="1140" spans="14:50">
      <c r="U1140" s="266"/>
      <c r="AM1140" s="266"/>
      <c r="AN1140" s="266"/>
    </row>
    <row r="1141" spans="14:50">
      <c r="U1141" s="266"/>
      <c r="AM1141" s="266"/>
      <c r="AN1141" s="266"/>
    </row>
  </sheetData>
  <autoFilter ref="A13:BE1067" xr:uid="{00000000-0001-0000-0000-000000000000}">
    <filterColumn colId="4">
      <filters>
        <filter val="DATA CABLES"/>
      </filters>
    </filterColumn>
    <filterColumn colId="5">
      <filters>
        <filter val="SOLID CABLE CAT7"/>
      </filters>
    </filterColumn>
    <filterColumn colId="6">
      <filters>
        <filter val="S/FTP"/>
      </filters>
    </filterColumn>
  </autoFilter>
  <mergeCells count="8">
    <mergeCell ref="Q815:Q828"/>
    <mergeCell ref="R815:R828"/>
    <mergeCell ref="Q780:Q793"/>
    <mergeCell ref="R780:R793"/>
    <mergeCell ref="AQ12:AX12"/>
    <mergeCell ref="AD12:AE12"/>
    <mergeCell ref="Q750:Q762"/>
    <mergeCell ref="Q763:Q779"/>
  </mergeCells>
  <phoneticPr fontId="2" type="noConversion"/>
  <conditionalFormatting sqref="B1:C431 B450:C1048576">
    <cfRule type="containsText" dxfId="8" priority="2" operator="containsText" text="No">
      <formula>NOT(ISERROR(SEARCH("No",B1)))</formula>
    </cfRule>
  </conditionalFormatting>
  <conditionalFormatting sqref="AJ14:AJ10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EL242">
    <cfRule type="containsText" dxfId="7" priority="5" operator="containsText" text="No">
      <formula>NOT(ISERROR(SEARCH("No",XEL242)))</formula>
    </cfRule>
  </conditionalFormatting>
  <conditionalFormatting sqref="XEO635">
    <cfRule type="containsText" dxfId="6" priority="3" operator="containsText" text="No">
      <formula>NOT(ISERROR(SEARCH("No",XEO635)))</formula>
    </cfRule>
  </conditionalFormatting>
  <pageMargins left="0.70866141732283472" right="0.70866141732283472" top="0.74803149606299213" bottom="0.74803149606299213" header="0.31496062992125984" footer="0.31496062992125984"/>
  <pageSetup paperSize="9" scale="1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72E5-7FE9-4523-A7DD-7D0DD3A75835}">
  <dimension ref="B2:E39"/>
  <sheetViews>
    <sheetView topLeftCell="A18" zoomScale="90" zoomScaleNormal="90" workbookViewId="0">
      <selection activeCell="B36" sqref="B36"/>
    </sheetView>
  </sheetViews>
  <sheetFormatPr baseColWidth="10" defaultColWidth="8.140625" defaultRowHeight="14.25"/>
  <cols>
    <col min="1" max="1" width="16.7109375" style="106" customWidth="1"/>
    <col min="2" max="2" width="34.7109375" style="109" customWidth="1"/>
    <col min="3" max="3" width="40.7109375" style="106" customWidth="1"/>
    <col min="4" max="4" width="15.85546875" style="106" customWidth="1"/>
    <col min="5" max="5" width="47" style="106" customWidth="1"/>
    <col min="6" max="16384" width="8.140625" style="106"/>
  </cols>
  <sheetData>
    <row r="2" spans="2:5" s="571" customFormat="1" ht="15.75">
      <c r="B2" s="573" t="s">
        <v>4038</v>
      </c>
      <c r="E2" s="572" t="s">
        <v>4040</v>
      </c>
    </row>
    <row r="4" spans="2:5">
      <c r="B4" s="567" t="s">
        <v>1724</v>
      </c>
      <c r="E4" s="567" t="s">
        <v>4039</v>
      </c>
    </row>
    <row r="5" spans="2:5">
      <c r="B5" s="107" t="s">
        <v>1725</v>
      </c>
      <c r="C5" s="105" t="s">
        <v>1726</v>
      </c>
      <c r="E5" s="106" t="s">
        <v>4041</v>
      </c>
    </row>
    <row r="6" spans="2:5">
      <c r="B6" s="108"/>
      <c r="C6" s="105" t="s">
        <v>1727</v>
      </c>
      <c r="E6" s="106" t="s">
        <v>4042</v>
      </c>
    </row>
    <row r="7" spans="2:5">
      <c r="B7" s="108" t="s">
        <v>1728</v>
      </c>
      <c r="C7" s="105" t="s">
        <v>1729</v>
      </c>
    </row>
    <row r="8" spans="2:5">
      <c r="C8" s="105" t="s">
        <v>1730</v>
      </c>
    </row>
    <row r="9" spans="2:5">
      <c r="C9" s="106" t="s">
        <v>1735</v>
      </c>
    </row>
    <row r="12" spans="2:5">
      <c r="B12" s="567" t="s">
        <v>1731</v>
      </c>
      <c r="C12" s="105" t="s">
        <v>1732</v>
      </c>
      <c r="E12" s="568" t="s">
        <v>4043</v>
      </c>
    </row>
    <row r="13" spans="2:5">
      <c r="B13" s="107" t="s">
        <v>1733</v>
      </c>
      <c r="C13" s="105" t="s">
        <v>1734</v>
      </c>
      <c r="E13" s="106" t="s">
        <v>2247</v>
      </c>
    </row>
    <row r="14" spans="2:5">
      <c r="E14" s="106" t="s">
        <v>2244</v>
      </c>
    </row>
    <row r="15" spans="2:5">
      <c r="E15" s="106" t="s">
        <v>2245</v>
      </c>
    </row>
    <row r="16" spans="2:5">
      <c r="E16" s="106" t="s">
        <v>2246</v>
      </c>
    </row>
    <row r="31" spans="2:2">
      <c r="B31" s="568" t="s">
        <v>4035</v>
      </c>
    </row>
    <row r="32" spans="2:2">
      <c r="B32" s="106" t="s">
        <v>4036</v>
      </c>
    </row>
    <row r="33" spans="2:4" ht="15">
      <c r="B33" s="106" t="s">
        <v>4037</v>
      </c>
      <c r="C33" s="569"/>
      <c r="D33" s="569"/>
    </row>
    <row r="34" spans="2:4" ht="15">
      <c r="B34" s="106" t="s">
        <v>4045</v>
      </c>
      <c r="C34" s="570"/>
      <c r="D34" s="570"/>
    </row>
    <row r="36" spans="2:4">
      <c r="B36" s="578" t="s">
        <v>4046</v>
      </c>
      <c r="C36" s="575" t="s">
        <v>4048</v>
      </c>
      <c r="D36" s="575" t="s">
        <v>4047</v>
      </c>
    </row>
    <row r="37" spans="2:4">
      <c r="B37" s="576" t="s">
        <v>4050</v>
      </c>
      <c r="C37" s="577" t="s">
        <v>4052</v>
      </c>
      <c r="D37" s="576" t="s">
        <v>4055</v>
      </c>
    </row>
    <row r="38" spans="2:4">
      <c r="B38" s="576" t="s">
        <v>4051</v>
      </c>
      <c r="C38" s="577" t="s">
        <v>4053</v>
      </c>
      <c r="D38" s="576" t="s">
        <v>4055</v>
      </c>
    </row>
    <row r="39" spans="2:4">
      <c r="B39" s="576" t="s">
        <v>4049</v>
      </c>
      <c r="C39" s="577" t="s">
        <v>4054</v>
      </c>
      <c r="D39" s="577" t="s">
        <v>4054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8D3A-C63B-4F9E-BC7F-9AFC273F8E23}">
  <sheetPr>
    <pageSetUpPr fitToPage="1"/>
  </sheetPr>
  <dimension ref="A1:J228"/>
  <sheetViews>
    <sheetView zoomScale="85" zoomScaleNormal="85" workbookViewId="0">
      <selection activeCell="P31" sqref="P31"/>
    </sheetView>
  </sheetViews>
  <sheetFormatPr baseColWidth="10" defaultColWidth="9.140625" defaultRowHeight="14.25"/>
  <cols>
    <col min="1" max="1" width="21.140625" style="1" customWidth="1"/>
    <col min="2" max="2" width="30.140625" style="1" customWidth="1"/>
    <col min="3" max="3" width="38.140625" style="1" customWidth="1"/>
    <col min="4" max="4" width="34.140625" style="4" bestFit="1" customWidth="1"/>
    <col min="5" max="5" width="108.140625" style="4" bestFit="1" customWidth="1"/>
    <col min="6" max="6" width="34.140625" style="4" bestFit="1" customWidth="1"/>
    <col min="7" max="7" width="14.140625" style="6" customWidth="1"/>
    <col min="8" max="8" width="16" style="6" customWidth="1"/>
    <col min="9" max="9" width="18" style="6" customWidth="1"/>
    <col min="10" max="10" width="9.140625" style="6" customWidth="1"/>
    <col min="11" max="16384" width="9.140625" style="1"/>
  </cols>
  <sheetData>
    <row r="1" spans="1:10">
      <c r="B1" s="2" t="s">
        <v>0</v>
      </c>
      <c r="C1" s="50" t="s">
        <v>1333</v>
      </c>
      <c r="E1" s="5"/>
    </row>
    <row r="2" spans="1:10">
      <c r="B2" s="2" t="s">
        <v>2</v>
      </c>
      <c r="C2" s="43">
        <v>76000</v>
      </c>
      <c r="E2" s="5"/>
    </row>
    <row r="3" spans="1:10">
      <c r="B3" s="2" t="s">
        <v>4</v>
      </c>
      <c r="C3" s="44">
        <v>9066.42</v>
      </c>
      <c r="E3" s="5"/>
    </row>
    <row r="4" spans="1:10">
      <c r="B4" s="2" t="s">
        <v>6</v>
      </c>
      <c r="C4" s="45">
        <v>8676</v>
      </c>
      <c r="E4" s="5"/>
    </row>
    <row r="5" spans="1:10">
      <c r="B5" s="2" t="s">
        <v>8</v>
      </c>
      <c r="C5" s="68">
        <v>7.2137500000000001</v>
      </c>
      <c r="E5" s="5"/>
    </row>
    <row r="6" spans="1:10">
      <c r="A6" s="17" t="s">
        <v>1304</v>
      </c>
      <c r="B6" s="2" t="s">
        <v>10</v>
      </c>
      <c r="C6" s="46">
        <v>1.0449999999999999</v>
      </c>
    </row>
    <row r="7" spans="1:10">
      <c r="A7" s="17"/>
      <c r="B7" s="2" t="s">
        <v>1332</v>
      </c>
      <c r="C7" s="70">
        <v>7.5383687499999992</v>
      </c>
    </row>
    <row r="8" spans="1:10">
      <c r="A8" s="19" t="s">
        <v>1409</v>
      </c>
      <c r="B8" s="2" t="s">
        <v>1329</v>
      </c>
      <c r="C8" s="71">
        <v>3000</v>
      </c>
      <c r="D8" s="2"/>
      <c r="E8" s="21"/>
    </row>
    <row r="9" spans="1:10">
      <c r="B9" s="2" t="s">
        <v>1328</v>
      </c>
      <c r="C9" s="71">
        <v>4000</v>
      </c>
      <c r="D9" s="2"/>
      <c r="E9" s="21"/>
    </row>
    <row r="10" spans="1:10">
      <c r="B10" s="2" t="s">
        <v>1330</v>
      </c>
      <c r="C10" s="71">
        <v>3000</v>
      </c>
      <c r="D10" s="2"/>
      <c r="E10" s="21"/>
    </row>
    <row r="11" spans="1:10" s="39" customFormat="1">
      <c r="B11" s="2" t="s">
        <v>1301</v>
      </c>
      <c r="C11" s="71">
        <v>350</v>
      </c>
      <c r="E11" s="38"/>
      <c r="F11" s="53"/>
      <c r="G11" s="38"/>
      <c r="H11" s="38"/>
      <c r="I11" s="48"/>
      <c r="J11" s="38"/>
    </row>
    <row r="12" spans="1:10" ht="15" thickBot="1"/>
    <row r="13" spans="1:10" ht="29.25" thickBot="1">
      <c r="A13" s="26" t="s">
        <v>14</v>
      </c>
      <c r="B13" s="27" t="s">
        <v>1371</v>
      </c>
      <c r="C13" s="27" t="s">
        <v>1372</v>
      </c>
      <c r="D13" s="27" t="s">
        <v>1370</v>
      </c>
      <c r="E13" s="27" t="s">
        <v>21</v>
      </c>
      <c r="F13" s="27" t="s">
        <v>1368</v>
      </c>
      <c r="G13" s="28" t="s">
        <v>26</v>
      </c>
      <c r="H13" s="29" t="s">
        <v>27</v>
      </c>
      <c r="I13" s="30" t="s">
        <v>1369</v>
      </c>
      <c r="J13" s="30" t="s">
        <v>40</v>
      </c>
    </row>
    <row r="14" spans="1:10">
      <c r="A14" s="63" t="s">
        <v>1353</v>
      </c>
      <c r="B14" s="64" t="s">
        <v>1374</v>
      </c>
      <c r="C14" s="65" t="s">
        <v>1375</v>
      </c>
      <c r="D14" s="66" t="s">
        <v>86</v>
      </c>
      <c r="E14" s="65" t="s">
        <v>88</v>
      </c>
      <c r="F14" s="64" t="s">
        <v>61</v>
      </c>
      <c r="G14" s="67" t="s">
        <v>62</v>
      </c>
      <c r="H14" s="67">
        <v>9</v>
      </c>
      <c r="I14" s="52">
        <v>362.02431027136635</v>
      </c>
      <c r="J14" s="47" t="s">
        <v>9</v>
      </c>
    </row>
    <row r="15" spans="1:10">
      <c r="A15" s="63" t="s">
        <v>1353</v>
      </c>
      <c r="B15" s="64" t="s">
        <v>1374</v>
      </c>
      <c r="C15" s="65" t="s">
        <v>1375</v>
      </c>
      <c r="D15" s="66" t="s">
        <v>90</v>
      </c>
      <c r="E15" s="65" t="s">
        <v>92</v>
      </c>
      <c r="F15" s="64" t="s">
        <v>61</v>
      </c>
      <c r="G15" s="67" t="s">
        <v>62</v>
      </c>
      <c r="H15" s="67">
        <v>4</v>
      </c>
      <c r="I15" s="52">
        <v>750.9419191037299</v>
      </c>
      <c r="J15" s="47" t="s">
        <v>9</v>
      </c>
    </row>
    <row r="16" spans="1:10">
      <c r="A16" s="63" t="s">
        <v>1353</v>
      </c>
      <c r="B16" s="64" t="s">
        <v>1374</v>
      </c>
      <c r="C16" s="65" t="s">
        <v>1376</v>
      </c>
      <c r="D16" s="66" t="s">
        <v>115</v>
      </c>
      <c r="E16" s="65" t="s">
        <v>117</v>
      </c>
      <c r="F16" s="64" t="s">
        <v>61</v>
      </c>
      <c r="G16" s="67" t="s">
        <v>62</v>
      </c>
      <c r="H16" s="67">
        <v>9</v>
      </c>
      <c r="I16" s="52">
        <v>371.46075706597918</v>
      </c>
      <c r="J16" s="47" t="s">
        <v>9</v>
      </c>
    </row>
    <row r="17" spans="1:10">
      <c r="A17" s="63" t="s">
        <v>1353</v>
      </c>
      <c r="B17" s="64" t="s">
        <v>1374</v>
      </c>
      <c r="C17" s="65" t="s">
        <v>1376</v>
      </c>
      <c r="D17" s="66" t="s">
        <v>119</v>
      </c>
      <c r="E17" s="65" t="s">
        <v>121</v>
      </c>
      <c r="F17" s="64" t="s">
        <v>61</v>
      </c>
      <c r="G17" s="67" t="s">
        <v>62</v>
      </c>
      <c r="H17" s="67">
        <v>4</v>
      </c>
      <c r="I17" s="52">
        <v>770.09373880169699</v>
      </c>
      <c r="J17" s="47" t="s">
        <v>9</v>
      </c>
    </row>
    <row r="18" spans="1:10" s="32" customFormat="1">
      <c r="A18" s="63" t="s">
        <v>1353</v>
      </c>
      <c r="B18" s="64" t="s">
        <v>1374</v>
      </c>
      <c r="C18" s="65" t="s">
        <v>1376</v>
      </c>
      <c r="D18" s="66" t="s">
        <v>133</v>
      </c>
      <c r="E18" s="65" t="s">
        <v>135</v>
      </c>
      <c r="F18" s="64" t="s">
        <v>61</v>
      </c>
      <c r="G18" s="67" t="s">
        <v>62</v>
      </c>
      <c r="H18" s="67">
        <v>9</v>
      </c>
      <c r="I18" s="52">
        <v>370.46244300367164</v>
      </c>
      <c r="J18" s="47" t="s">
        <v>9</v>
      </c>
    </row>
    <row r="19" spans="1:10" s="32" customFormat="1">
      <c r="A19" s="63" t="s">
        <v>1353</v>
      </c>
      <c r="B19" s="64" t="s">
        <v>1374</v>
      </c>
      <c r="C19" s="65" t="s">
        <v>1376</v>
      </c>
      <c r="D19" s="66" t="s">
        <v>137</v>
      </c>
      <c r="E19" s="65" t="s">
        <v>139</v>
      </c>
      <c r="F19" s="64" t="s">
        <v>61</v>
      </c>
      <c r="G19" s="67" t="s">
        <v>62</v>
      </c>
      <c r="H19" s="67">
        <v>4</v>
      </c>
      <c r="I19" s="52">
        <v>768.46042741625513</v>
      </c>
      <c r="J19" s="47" t="s">
        <v>9</v>
      </c>
    </row>
    <row r="20" spans="1:10">
      <c r="A20" s="63" t="s">
        <v>1353</v>
      </c>
      <c r="B20" s="64" t="s">
        <v>1374</v>
      </c>
      <c r="C20" s="65" t="s">
        <v>1376</v>
      </c>
      <c r="D20" s="66" t="s">
        <v>141</v>
      </c>
      <c r="E20" s="65" t="s">
        <v>143</v>
      </c>
      <c r="F20" s="64" t="s">
        <v>61</v>
      </c>
      <c r="G20" s="67" t="s">
        <v>62</v>
      </c>
      <c r="H20" s="67">
        <v>9</v>
      </c>
      <c r="I20" s="52">
        <v>407.28726703974996</v>
      </c>
      <c r="J20" s="47" t="s">
        <v>9</v>
      </c>
    </row>
    <row r="21" spans="1:10" s="34" customFormat="1">
      <c r="A21" s="65" t="s">
        <v>1353</v>
      </c>
      <c r="B21" s="64" t="s">
        <v>1374</v>
      </c>
      <c r="C21" s="65" t="s">
        <v>1376</v>
      </c>
      <c r="D21" s="66" t="s">
        <v>155</v>
      </c>
      <c r="E21" s="65" t="s">
        <v>157</v>
      </c>
      <c r="F21" s="64" t="s">
        <v>61</v>
      </c>
      <c r="G21" s="67" t="s">
        <v>62</v>
      </c>
      <c r="H21" s="67">
        <v>9</v>
      </c>
      <c r="I21" s="52">
        <v>460.98690760292777</v>
      </c>
      <c r="J21" s="47" t="s">
        <v>9</v>
      </c>
    </row>
    <row r="22" spans="1:10">
      <c r="A22" s="63" t="s">
        <v>1353</v>
      </c>
      <c r="B22" s="64" t="s">
        <v>1374</v>
      </c>
      <c r="C22" s="65" t="s">
        <v>1377</v>
      </c>
      <c r="D22" s="66" t="s">
        <v>169</v>
      </c>
      <c r="E22" s="65" t="s">
        <v>171</v>
      </c>
      <c r="F22" s="64" t="s">
        <v>61</v>
      </c>
      <c r="G22" s="67" t="s">
        <v>62</v>
      </c>
      <c r="H22" s="67">
        <v>6</v>
      </c>
      <c r="I22" s="52">
        <v>473.59706951962698</v>
      </c>
      <c r="J22" s="47" t="s">
        <v>9</v>
      </c>
    </row>
    <row r="23" spans="1:10">
      <c r="A23" s="63" t="s">
        <v>1353</v>
      </c>
      <c r="B23" s="64" t="s">
        <v>1374</v>
      </c>
      <c r="C23" s="65" t="s">
        <v>1377</v>
      </c>
      <c r="D23" s="66" t="s">
        <v>1319</v>
      </c>
      <c r="E23" s="65" t="s">
        <v>1321</v>
      </c>
      <c r="F23" s="64" t="s">
        <v>61</v>
      </c>
      <c r="G23" s="67" t="s">
        <v>62</v>
      </c>
      <c r="H23" s="67">
        <v>4</v>
      </c>
      <c r="I23" s="52">
        <v>986.49645169420762</v>
      </c>
      <c r="J23" s="47" t="s">
        <v>9</v>
      </c>
    </row>
    <row r="24" spans="1:10">
      <c r="A24" s="63" t="s">
        <v>1353</v>
      </c>
      <c r="B24" s="64" t="s">
        <v>1378</v>
      </c>
      <c r="C24" s="64" t="s">
        <v>1378</v>
      </c>
      <c r="D24" s="66" t="s">
        <v>203</v>
      </c>
      <c r="E24" s="65" t="s">
        <v>205</v>
      </c>
      <c r="F24" s="64" t="s">
        <v>206</v>
      </c>
      <c r="G24" s="67" t="s">
        <v>207</v>
      </c>
      <c r="H24" s="67">
        <v>8640</v>
      </c>
      <c r="I24" s="51">
        <v>0.46208118167233769</v>
      </c>
      <c r="J24" s="47" t="s">
        <v>5</v>
      </c>
    </row>
    <row r="25" spans="1:10">
      <c r="A25" s="63" t="s">
        <v>1353</v>
      </c>
      <c r="B25" s="64" t="s">
        <v>1378</v>
      </c>
      <c r="C25" s="64" t="s">
        <v>1378</v>
      </c>
      <c r="D25" s="66" t="s">
        <v>212</v>
      </c>
      <c r="E25" s="65" t="s">
        <v>214</v>
      </c>
      <c r="F25" s="64" t="s">
        <v>215</v>
      </c>
      <c r="G25" s="67" t="s">
        <v>207</v>
      </c>
      <c r="H25" s="67">
        <v>8640</v>
      </c>
      <c r="I25" s="51">
        <v>0.49782935261937994</v>
      </c>
      <c r="J25" s="47" t="s">
        <v>5</v>
      </c>
    </row>
    <row r="26" spans="1:10" s="32" customFormat="1">
      <c r="A26" s="63" t="s">
        <v>1353</v>
      </c>
      <c r="B26" s="64" t="s">
        <v>1378</v>
      </c>
      <c r="C26" s="64" t="s">
        <v>1378</v>
      </c>
      <c r="D26" s="66" t="s">
        <v>217</v>
      </c>
      <c r="E26" s="65" t="s">
        <v>219</v>
      </c>
      <c r="F26" s="64" t="s">
        <v>206</v>
      </c>
      <c r="G26" s="67" t="s">
        <v>207</v>
      </c>
      <c r="H26" s="67">
        <v>11520</v>
      </c>
      <c r="I26" s="51">
        <v>0.4210953461632333</v>
      </c>
      <c r="J26" s="47" t="s">
        <v>5</v>
      </c>
    </row>
    <row r="27" spans="1:10">
      <c r="A27" s="63" t="s">
        <v>1353</v>
      </c>
      <c r="B27" s="64" t="s">
        <v>1378</v>
      </c>
      <c r="C27" s="64" t="s">
        <v>1378</v>
      </c>
      <c r="D27" s="66" t="s">
        <v>221</v>
      </c>
      <c r="E27" s="65" t="s">
        <v>223</v>
      </c>
      <c r="F27" s="64" t="s">
        <v>215</v>
      </c>
      <c r="G27" s="67" t="s">
        <v>207</v>
      </c>
      <c r="H27" s="67">
        <v>11520</v>
      </c>
      <c r="I27" s="51">
        <v>0.43279243911221199</v>
      </c>
      <c r="J27" s="47" t="s">
        <v>5</v>
      </c>
    </row>
    <row r="28" spans="1:10">
      <c r="A28" s="63" t="s">
        <v>1353</v>
      </c>
      <c r="B28" s="64" t="s">
        <v>1378</v>
      </c>
      <c r="C28" s="64" t="s">
        <v>1378</v>
      </c>
      <c r="D28" s="66" t="s">
        <v>225</v>
      </c>
      <c r="E28" s="65" t="s">
        <v>227</v>
      </c>
      <c r="F28" s="64" t="s">
        <v>215</v>
      </c>
      <c r="G28" s="67" t="s">
        <v>207</v>
      </c>
      <c r="H28" s="67">
        <v>11520</v>
      </c>
      <c r="I28" s="51">
        <v>0.5742019764077031</v>
      </c>
      <c r="J28" s="47" t="s">
        <v>5</v>
      </c>
    </row>
    <row r="29" spans="1:10">
      <c r="A29" s="63" t="s">
        <v>1353</v>
      </c>
      <c r="B29" s="64" t="s">
        <v>1378</v>
      </c>
      <c r="C29" s="64" t="s">
        <v>1378</v>
      </c>
      <c r="D29" s="66" t="s">
        <v>229</v>
      </c>
      <c r="E29" s="65" t="s">
        <v>231</v>
      </c>
      <c r="F29" s="64" t="s">
        <v>215</v>
      </c>
      <c r="G29" s="67" t="s">
        <v>207</v>
      </c>
      <c r="H29" s="67">
        <v>11520</v>
      </c>
      <c r="I29" s="51">
        <v>0.59434941417639442</v>
      </c>
      <c r="J29" s="47" t="s">
        <v>5</v>
      </c>
    </row>
    <row r="30" spans="1:10">
      <c r="A30" s="65" t="s">
        <v>1353</v>
      </c>
      <c r="B30" s="65" t="s">
        <v>1379</v>
      </c>
      <c r="C30" s="65" t="s">
        <v>1380</v>
      </c>
      <c r="D30" s="66" t="s">
        <v>254</v>
      </c>
      <c r="E30" s="65" t="s">
        <v>255</v>
      </c>
      <c r="F30" s="64" t="s">
        <v>215</v>
      </c>
      <c r="G30" s="67" t="s">
        <v>256</v>
      </c>
      <c r="H30" s="67">
        <v>8064</v>
      </c>
      <c r="I30" s="51">
        <v>1.5771171827571109</v>
      </c>
      <c r="J30" s="47" t="s">
        <v>9</v>
      </c>
    </row>
    <row r="31" spans="1:10">
      <c r="A31" s="65" t="s">
        <v>1353</v>
      </c>
      <c r="B31" s="65" t="s">
        <v>1379</v>
      </c>
      <c r="C31" s="65" t="s">
        <v>1380</v>
      </c>
      <c r="D31" s="66" t="s">
        <v>261</v>
      </c>
      <c r="E31" s="65" t="s">
        <v>262</v>
      </c>
      <c r="F31" s="64" t="s">
        <v>215</v>
      </c>
      <c r="G31" s="67" t="s">
        <v>256</v>
      </c>
      <c r="H31" s="67">
        <v>8064</v>
      </c>
      <c r="I31" s="51">
        <v>1.791550239624869</v>
      </c>
      <c r="J31" s="47" t="s">
        <v>9</v>
      </c>
    </row>
    <row r="32" spans="1:10">
      <c r="A32" s="63" t="s">
        <v>1353</v>
      </c>
      <c r="B32" s="65" t="s">
        <v>1379</v>
      </c>
      <c r="C32" s="65" t="s">
        <v>283</v>
      </c>
      <c r="D32" s="66" t="s">
        <v>300</v>
      </c>
      <c r="E32" s="65" t="s">
        <v>302</v>
      </c>
      <c r="F32" s="64" t="s">
        <v>303</v>
      </c>
      <c r="G32" s="67" t="s">
        <v>256</v>
      </c>
      <c r="H32" s="67">
        <v>6912</v>
      </c>
      <c r="I32" s="51">
        <v>1.442275112355246</v>
      </c>
      <c r="J32" s="47" t="s">
        <v>5</v>
      </c>
    </row>
    <row r="33" spans="1:10">
      <c r="A33" s="63" t="s">
        <v>1353</v>
      </c>
      <c r="B33" s="65" t="s">
        <v>1379</v>
      </c>
      <c r="C33" s="65" t="s">
        <v>283</v>
      </c>
      <c r="D33" s="66" t="s">
        <v>305</v>
      </c>
      <c r="E33" s="65" t="s">
        <v>307</v>
      </c>
      <c r="F33" s="64" t="s">
        <v>206</v>
      </c>
      <c r="G33" s="67" t="s">
        <v>256</v>
      </c>
      <c r="H33" s="67">
        <v>8064</v>
      </c>
      <c r="I33" s="51">
        <v>1.421071435454099</v>
      </c>
      <c r="J33" s="47" t="s">
        <v>5</v>
      </c>
    </row>
    <row r="34" spans="1:10">
      <c r="A34" s="63" t="s">
        <v>1353</v>
      </c>
      <c r="B34" s="65" t="s">
        <v>1379</v>
      </c>
      <c r="C34" s="65" t="s">
        <v>283</v>
      </c>
      <c r="D34" s="66" t="s">
        <v>309</v>
      </c>
      <c r="E34" s="65" t="s">
        <v>311</v>
      </c>
      <c r="F34" s="64" t="s">
        <v>276</v>
      </c>
      <c r="G34" s="67" t="s">
        <v>256</v>
      </c>
      <c r="H34" s="67">
        <v>10368</v>
      </c>
      <c r="I34" s="51">
        <v>1.394284489745452</v>
      </c>
      <c r="J34" s="47" t="s">
        <v>5</v>
      </c>
    </row>
    <row r="35" spans="1:10">
      <c r="A35" s="63" t="s">
        <v>1353</v>
      </c>
      <c r="B35" s="65" t="s">
        <v>1379</v>
      </c>
      <c r="C35" s="65" t="s">
        <v>321</v>
      </c>
      <c r="D35" s="66" t="s">
        <v>330</v>
      </c>
      <c r="E35" s="65" t="s">
        <v>331</v>
      </c>
      <c r="F35" s="64" t="s">
        <v>303</v>
      </c>
      <c r="G35" s="67" t="s">
        <v>256</v>
      </c>
      <c r="H35" s="67">
        <v>6912</v>
      </c>
      <c r="I35" s="51">
        <v>1.5579057527447748</v>
      </c>
      <c r="J35" s="47" t="s">
        <v>5</v>
      </c>
    </row>
    <row r="36" spans="1:10">
      <c r="A36" s="63" t="s">
        <v>1353</v>
      </c>
      <c r="B36" s="65" t="s">
        <v>1379</v>
      </c>
      <c r="C36" s="65" t="s">
        <v>321</v>
      </c>
      <c r="D36" s="66" t="s">
        <v>337</v>
      </c>
      <c r="E36" s="65" t="s">
        <v>339</v>
      </c>
      <c r="F36" s="64" t="s">
        <v>270</v>
      </c>
      <c r="G36" s="67" t="s">
        <v>256</v>
      </c>
      <c r="H36" s="67">
        <v>10368</v>
      </c>
      <c r="I36" s="51">
        <v>1.5138842793733847</v>
      </c>
      <c r="J36" s="47" t="s">
        <v>5</v>
      </c>
    </row>
    <row r="37" spans="1:10">
      <c r="A37" s="63" t="s">
        <v>1353</v>
      </c>
      <c r="B37" s="65" t="s">
        <v>1379</v>
      </c>
      <c r="C37" s="65" t="s">
        <v>321</v>
      </c>
      <c r="D37" s="66" t="s">
        <v>349</v>
      </c>
      <c r="E37" s="65" t="s">
        <v>351</v>
      </c>
      <c r="F37" s="64" t="s">
        <v>276</v>
      </c>
      <c r="G37" s="67" t="s">
        <v>256</v>
      </c>
      <c r="H37" s="67">
        <v>10368</v>
      </c>
      <c r="I37" s="51">
        <v>1.7234604695621136</v>
      </c>
      <c r="J37" s="47" t="s">
        <v>5</v>
      </c>
    </row>
    <row r="38" spans="1:10">
      <c r="A38" s="65" t="s">
        <v>1353</v>
      </c>
      <c r="B38" s="65" t="s">
        <v>1379</v>
      </c>
      <c r="C38" s="65" t="s">
        <v>1381</v>
      </c>
      <c r="D38" s="66" t="s">
        <v>353</v>
      </c>
      <c r="E38" s="65" t="s">
        <v>355</v>
      </c>
      <c r="F38" s="64" t="s">
        <v>356</v>
      </c>
      <c r="G38" s="67" t="s">
        <v>357</v>
      </c>
      <c r="H38" s="67">
        <v>86400</v>
      </c>
      <c r="I38" s="51">
        <v>4.9139041224278361E-2</v>
      </c>
      <c r="J38" s="47" t="s">
        <v>9</v>
      </c>
    </row>
    <row r="39" spans="1:10">
      <c r="A39" s="65" t="s">
        <v>1353</v>
      </c>
      <c r="B39" s="65" t="s">
        <v>1379</v>
      </c>
      <c r="C39" s="65" t="s">
        <v>1381</v>
      </c>
      <c r="D39" s="66" t="s">
        <v>360</v>
      </c>
      <c r="E39" s="65" t="s">
        <v>362</v>
      </c>
      <c r="F39" s="64" t="s">
        <v>356</v>
      </c>
      <c r="G39" s="67" t="s">
        <v>357</v>
      </c>
      <c r="H39" s="67">
        <v>86400</v>
      </c>
      <c r="I39" s="51">
        <v>4.9139041224278361E-2</v>
      </c>
      <c r="J39" s="47" t="s">
        <v>9</v>
      </c>
    </row>
    <row r="40" spans="1:10">
      <c r="A40" s="65" t="s">
        <v>1353</v>
      </c>
      <c r="B40" s="65" t="s">
        <v>1379</v>
      </c>
      <c r="C40" s="65" t="s">
        <v>1381</v>
      </c>
      <c r="D40" s="66" t="s">
        <v>364</v>
      </c>
      <c r="E40" s="65" t="s">
        <v>366</v>
      </c>
      <c r="F40" s="64" t="s">
        <v>356</v>
      </c>
      <c r="G40" s="67" t="s">
        <v>357</v>
      </c>
      <c r="H40" s="67">
        <v>86400</v>
      </c>
      <c r="I40" s="51">
        <v>4.9139041224278361E-2</v>
      </c>
      <c r="J40" s="47" t="s">
        <v>9</v>
      </c>
    </row>
    <row r="41" spans="1:10">
      <c r="A41" s="65" t="s">
        <v>1353</v>
      </c>
      <c r="B41" s="65" t="s">
        <v>1379</v>
      </c>
      <c r="C41" s="65" t="s">
        <v>1381</v>
      </c>
      <c r="D41" s="66" t="s">
        <v>368</v>
      </c>
      <c r="E41" s="65" t="s">
        <v>370</v>
      </c>
      <c r="F41" s="64" t="s">
        <v>356</v>
      </c>
      <c r="G41" s="67" t="s">
        <v>357</v>
      </c>
      <c r="H41" s="67">
        <v>86400</v>
      </c>
      <c r="I41" s="51">
        <v>4.9139041224278361E-2</v>
      </c>
      <c r="J41" s="47" t="s">
        <v>9</v>
      </c>
    </row>
    <row r="42" spans="1:10" s="33" customFormat="1">
      <c r="A42" s="63" t="s">
        <v>1353</v>
      </c>
      <c r="B42" s="64" t="s">
        <v>1405</v>
      </c>
      <c r="C42" s="65" t="s">
        <v>447</v>
      </c>
      <c r="D42" s="66" t="s">
        <v>448</v>
      </c>
      <c r="E42" s="65" t="s">
        <v>450</v>
      </c>
      <c r="F42" s="64" t="s">
        <v>401</v>
      </c>
      <c r="G42" s="67" t="s">
        <v>402</v>
      </c>
      <c r="H42" s="67">
        <v>4800</v>
      </c>
      <c r="I42" s="55">
        <v>0.49872627394139218</v>
      </c>
      <c r="J42" s="47" t="s">
        <v>9</v>
      </c>
    </row>
    <row r="43" spans="1:10" s="33" customFormat="1">
      <c r="A43" s="63" t="s">
        <v>1353</v>
      </c>
      <c r="B43" s="64" t="s">
        <v>1405</v>
      </c>
      <c r="C43" s="65" t="s">
        <v>447</v>
      </c>
      <c r="D43" s="66" t="s">
        <v>453</v>
      </c>
      <c r="E43" s="65" t="s">
        <v>455</v>
      </c>
      <c r="F43" s="64" t="s">
        <v>401</v>
      </c>
      <c r="G43" s="67" t="s">
        <v>402</v>
      </c>
      <c r="H43" s="67">
        <v>4800</v>
      </c>
      <c r="I43" s="55">
        <v>0.55178815155251337</v>
      </c>
      <c r="J43" s="47" t="s">
        <v>9</v>
      </c>
    </row>
    <row r="44" spans="1:10" s="33" customFormat="1">
      <c r="A44" s="63" t="s">
        <v>1353</v>
      </c>
      <c r="B44" s="64" t="s">
        <v>1405</v>
      </c>
      <c r="C44" s="65" t="s">
        <v>447</v>
      </c>
      <c r="D44" s="66" t="s">
        <v>457</v>
      </c>
      <c r="E44" s="65" t="s">
        <v>459</v>
      </c>
      <c r="F44" s="64" t="s">
        <v>401</v>
      </c>
      <c r="G44" s="67" t="s">
        <v>402</v>
      </c>
      <c r="H44" s="67">
        <v>3200</v>
      </c>
      <c r="I44" s="55">
        <v>0.70426598520647499</v>
      </c>
      <c r="J44" s="47" t="s">
        <v>9</v>
      </c>
    </row>
    <row r="45" spans="1:10" s="33" customFormat="1">
      <c r="A45" s="63" t="s">
        <v>1353</v>
      </c>
      <c r="B45" s="64" t="s">
        <v>1405</v>
      </c>
      <c r="C45" s="65" t="s">
        <v>447</v>
      </c>
      <c r="D45" s="66" t="s">
        <v>461</v>
      </c>
      <c r="E45" s="65" t="s">
        <v>463</v>
      </c>
      <c r="F45" s="64" t="s">
        <v>401</v>
      </c>
      <c r="G45" s="67" t="s">
        <v>402</v>
      </c>
      <c r="H45" s="67">
        <v>2240</v>
      </c>
      <c r="I45" s="55">
        <v>0.99230990776928607</v>
      </c>
      <c r="J45" s="47" t="s">
        <v>9</v>
      </c>
    </row>
    <row r="46" spans="1:10" s="33" customFormat="1">
      <c r="A46" s="63" t="s">
        <v>1353</v>
      </c>
      <c r="B46" s="64" t="s">
        <v>1405</v>
      </c>
      <c r="C46" s="65" t="s">
        <v>447</v>
      </c>
      <c r="D46" s="66" t="s">
        <v>465</v>
      </c>
      <c r="E46" s="65" t="s">
        <v>467</v>
      </c>
      <c r="F46" s="64" t="s">
        <v>401</v>
      </c>
      <c r="G46" s="67" t="s">
        <v>402</v>
      </c>
      <c r="H46" s="67">
        <v>1600</v>
      </c>
      <c r="I46" s="55">
        <v>1.2918274241194425</v>
      </c>
      <c r="J46" s="47" t="s">
        <v>9</v>
      </c>
    </row>
    <row r="47" spans="1:10" s="35" customFormat="1">
      <c r="A47" s="63" t="s">
        <v>1353</v>
      </c>
      <c r="B47" s="64" t="s">
        <v>1405</v>
      </c>
      <c r="C47" s="65" t="s">
        <v>447</v>
      </c>
      <c r="D47" s="66" t="s">
        <v>469</v>
      </c>
      <c r="E47" s="65" t="s">
        <v>471</v>
      </c>
      <c r="F47" s="64" t="s">
        <v>401</v>
      </c>
      <c r="G47" s="67" t="s">
        <v>402</v>
      </c>
      <c r="H47" s="67">
        <v>960</v>
      </c>
      <c r="I47" s="55">
        <v>1.9120037052969641</v>
      </c>
      <c r="J47" s="47" t="s">
        <v>9</v>
      </c>
    </row>
    <row r="48" spans="1:10" s="35" customFormat="1">
      <c r="A48" s="63" t="s">
        <v>1353</v>
      </c>
      <c r="B48" s="64" t="s">
        <v>1405</v>
      </c>
      <c r="C48" s="65" t="s">
        <v>447</v>
      </c>
      <c r="D48" s="66" t="s">
        <v>473</v>
      </c>
      <c r="E48" s="65" t="s">
        <v>475</v>
      </c>
      <c r="F48" s="64" t="s">
        <v>401</v>
      </c>
      <c r="G48" s="67" t="s">
        <v>402</v>
      </c>
      <c r="H48" s="67">
        <v>640</v>
      </c>
      <c r="I48" s="55">
        <v>3.3120829384289951</v>
      </c>
      <c r="J48" s="47" t="s">
        <v>9</v>
      </c>
    </row>
    <row r="49" spans="1:10" s="35" customFormat="1">
      <c r="A49" s="63" t="s">
        <v>1353</v>
      </c>
      <c r="B49" s="64" t="s">
        <v>1405</v>
      </c>
      <c r="C49" s="65" t="s">
        <v>447</v>
      </c>
      <c r="D49" s="66" t="s">
        <v>477</v>
      </c>
      <c r="E49" s="65" t="s">
        <v>479</v>
      </c>
      <c r="F49" s="64" t="s">
        <v>401</v>
      </c>
      <c r="G49" s="67" t="s">
        <v>402</v>
      </c>
      <c r="H49" s="67">
        <v>4800</v>
      </c>
      <c r="I49" s="55">
        <v>0.51315516564287633</v>
      </c>
      <c r="J49" s="47" t="s">
        <v>9</v>
      </c>
    </row>
    <row r="50" spans="1:10" s="35" customFormat="1">
      <c r="A50" s="63" t="s">
        <v>1353</v>
      </c>
      <c r="B50" s="64" t="s">
        <v>1405</v>
      </c>
      <c r="C50" s="65" t="s">
        <v>447</v>
      </c>
      <c r="D50" s="66" t="s">
        <v>480</v>
      </c>
      <c r="E50" s="65" t="s">
        <v>482</v>
      </c>
      <c r="F50" s="64" t="s">
        <v>401</v>
      </c>
      <c r="G50" s="67" t="s">
        <v>402</v>
      </c>
      <c r="H50" s="67">
        <v>4800</v>
      </c>
      <c r="I50" s="55">
        <v>0.56896720154481784</v>
      </c>
      <c r="J50" s="47" t="s">
        <v>9</v>
      </c>
    </row>
    <row r="51" spans="1:10" s="33" customFormat="1">
      <c r="A51" s="63" t="s">
        <v>1353</v>
      </c>
      <c r="B51" s="64" t="s">
        <v>1405</v>
      </c>
      <c r="C51" s="65" t="s">
        <v>447</v>
      </c>
      <c r="D51" s="66" t="s">
        <v>483</v>
      </c>
      <c r="E51" s="65" t="s">
        <v>485</v>
      </c>
      <c r="F51" s="64" t="s">
        <v>401</v>
      </c>
      <c r="G51" s="67" t="s">
        <v>402</v>
      </c>
      <c r="H51" s="67">
        <v>3200</v>
      </c>
      <c r="I51" s="55">
        <v>0.72872303512767078</v>
      </c>
      <c r="J51" s="47" t="s">
        <v>9</v>
      </c>
    </row>
    <row r="52" spans="1:10" s="33" customFormat="1">
      <c r="A52" s="63" t="s">
        <v>1353</v>
      </c>
      <c r="B52" s="64" t="s">
        <v>1405</v>
      </c>
      <c r="C52" s="65" t="s">
        <v>447</v>
      </c>
      <c r="D52" s="66" t="s">
        <v>486</v>
      </c>
      <c r="E52" s="65" t="s">
        <v>488</v>
      </c>
      <c r="F52" s="64" t="s">
        <v>401</v>
      </c>
      <c r="G52" s="67" t="s">
        <v>402</v>
      </c>
      <c r="H52" s="67">
        <v>2240</v>
      </c>
      <c r="I52" s="55">
        <v>1.0309104759691152</v>
      </c>
      <c r="J52" s="47" t="s">
        <v>9</v>
      </c>
    </row>
    <row r="53" spans="1:10" s="33" customFormat="1">
      <c r="A53" s="63" t="s">
        <v>1353</v>
      </c>
      <c r="B53" s="64" t="s">
        <v>1405</v>
      </c>
      <c r="C53" s="65" t="s">
        <v>447</v>
      </c>
      <c r="D53" s="66" t="s">
        <v>489</v>
      </c>
      <c r="E53" s="65" t="s">
        <v>491</v>
      </c>
      <c r="F53" s="64" t="s">
        <v>401</v>
      </c>
      <c r="G53" s="67" t="s">
        <v>402</v>
      </c>
      <c r="H53" s="67">
        <v>1600</v>
      </c>
      <c r="I53" s="55">
        <v>1.3450131283659232</v>
      </c>
      <c r="J53" s="47" t="s">
        <v>9</v>
      </c>
    </row>
    <row r="54" spans="1:10" s="33" customFormat="1">
      <c r="A54" s="63" t="s">
        <v>1353</v>
      </c>
      <c r="B54" s="64" t="s">
        <v>1405</v>
      </c>
      <c r="C54" s="65" t="s">
        <v>447</v>
      </c>
      <c r="D54" s="66" t="s">
        <v>492</v>
      </c>
      <c r="E54" s="65" t="s">
        <v>494</v>
      </c>
      <c r="F54" s="64" t="s">
        <v>401</v>
      </c>
      <c r="G54" s="67" t="s">
        <v>402</v>
      </c>
      <c r="H54" s="67">
        <v>960</v>
      </c>
      <c r="I54" s="55">
        <v>1.9948753218435089</v>
      </c>
      <c r="J54" s="47" t="s">
        <v>9</v>
      </c>
    </row>
    <row r="55" spans="1:10" s="33" customFormat="1">
      <c r="A55" s="63" t="s">
        <v>1353</v>
      </c>
      <c r="B55" s="64" t="s">
        <v>1405</v>
      </c>
      <c r="C55" s="65" t="s">
        <v>447</v>
      </c>
      <c r="D55" s="66" t="s">
        <v>495</v>
      </c>
      <c r="E55" s="65" t="s">
        <v>497</v>
      </c>
      <c r="F55" s="64" t="s">
        <v>401</v>
      </c>
      <c r="G55" s="67" t="s">
        <v>402</v>
      </c>
      <c r="H55" s="67">
        <v>640</v>
      </c>
      <c r="I55" s="55">
        <v>3.4650166607521409</v>
      </c>
      <c r="J55" s="47" t="s">
        <v>9</v>
      </c>
    </row>
    <row r="56" spans="1:10" s="33" customFormat="1">
      <c r="A56" s="63" t="s">
        <v>1353</v>
      </c>
      <c r="B56" s="64" t="s">
        <v>1405</v>
      </c>
      <c r="C56" s="65" t="s">
        <v>536</v>
      </c>
      <c r="D56" s="66" t="s">
        <v>537</v>
      </c>
      <c r="E56" s="65" t="s">
        <v>539</v>
      </c>
      <c r="F56" s="64" t="s">
        <v>401</v>
      </c>
      <c r="G56" s="67" t="s">
        <v>402</v>
      </c>
      <c r="H56" s="67">
        <v>4800</v>
      </c>
      <c r="I56" s="55">
        <v>0.55334407542718267</v>
      </c>
      <c r="J56" s="47" t="s">
        <v>9</v>
      </c>
    </row>
    <row r="57" spans="1:10" s="33" customFormat="1">
      <c r="A57" s="63" t="s">
        <v>1353</v>
      </c>
      <c r="B57" s="64" t="s">
        <v>1405</v>
      </c>
      <c r="C57" s="65" t="s">
        <v>536</v>
      </c>
      <c r="D57" s="66" t="s">
        <v>542</v>
      </c>
      <c r="E57" s="65" t="s">
        <v>544</v>
      </c>
      <c r="F57" s="64" t="s">
        <v>401</v>
      </c>
      <c r="G57" s="67" t="s">
        <v>402</v>
      </c>
      <c r="H57" s="67">
        <v>4800</v>
      </c>
      <c r="I57" s="55">
        <v>0.62215869795410528</v>
      </c>
      <c r="J57" s="47" t="s">
        <v>9</v>
      </c>
    </row>
    <row r="58" spans="1:10" s="33" customFormat="1">
      <c r="A58" s="63" t="s">
        <v>1353</v>
      </c>
      <c r="B58" s="64" t="s">
        <v>1405</v>
      </c>
      <c r="C58" s="65" t="s">
        <v>536</v>
      </c>
      <c r="D58" s="66" t="s">
        <v>546</v>
      </c>
      <c r="E58" s="65" t="s">
        <v>548</v>
      </c>
      <c r="F58" s="64" t="s">
        <v>401</v>
      </c>
      <c r="G58" s="67" t="s">
        <v>402</v>
      </c>
      <c r="H58" s="67">
        <v>3200</v>
      </c>
      <c r="I58" s="55">
        <v>0.81310263965222918</v>
      </c>
      <c r="J58" s="47" t="s">
        <v>9</v>
      </c>
    </row>
    <row r="59" spans="1:10" s="33" customFormat="1">
      <c r="A59" s="63" t="s">
        <v>1353</v>
      </c>
      <c r="B59" s="64" t="s">
        <v>1405</v>
      </c>
      <c r="C59" s="65" t="s">
        <v>536</v>
      </c>
      <c r="D59" s="66" t="s">
        <v>550</v>
      </c>
      <c r="E59" s="65" t="s">
        <v>552</v>
      </c>
      <c r="F59" s="64" t="s">
        <v>401</v>
      </c>
      <c r="G59" s="67" t="s">
        <v>402</v>
      </c>
      <c r="H59" s="67">
        <v>2240</v>
      </c>
      <c r="I59" s="55">
        <v>1.1792230114765259</v>
      </c>
      <c r="J59" s="47" t="s">
        <v>9</v>
      </c>
    </row>
    <row r="60" spans="1:10" s="33" customFormat="1">
      <c r="A60" s="63" t="s">
        <v>1353</v>
      </c>
      <c r="B60" s="64" t="s">
        <v>1405</v>
      </c>
      <c r="C60" s="65" t="s">
        <v>536</v>
      </c>
      <c r="D60" s="66" t="s">
        <v>554</v>
      </c>
      <c r="E60" s="65" t="s">
        <v>556</v>
      </c>
      <c r="F60" s="64" t="s">
        <v>401</v>
      </c>
      <c r="G60" s="67" t="s">
        <v>402</v>
      </c>
      <c r="H60" s="67">
        <v>1600</v>
      </c>
      <c r="I60" s="55">
        <v>1.5495971935034021</v>
      </c>
      <c r="J60" s="47" t="s">
        <v>9</v>
      </c>
    </row>
    <row r="61" spans="1:10" s="33" customFormat="1">
      <c r="A61" s="63" t="s">
        <v>1353</v>
      </c>
      <c r="B61" s="64" t="s">
        <v>1405</v>
      </c>
      <c r="C61" s="65" t="s">
        <v>536</v>
      </c>
      <c r="D61" s="66" t="s">
        <v>558</v>
      </c>
      <c r="E61" s="65" t="s">
        <v>560</v>
      </c>
      <c r="F61" s="64" t="s">
        <v>401</v>
      </c>
      <c r="G61" s="67" t="s">
        <v>402</v>
      </c>
      <c r="H61" s="67">
        <v>960</v>
      </c>
      <c r="I61" s="55">
        <v>2.3093933194750633</v>
      </c>
      <c r="J61" s="47" t="s">
        <v>9</v>
      </c>
    </row>
    <row r="62" spans="1:10" s="33" customFormat="1">
      <c r="A62" s="63" t="s">
        <v>1353</v>
      </c>
      <c r="B62" s="64" t="s">
        <v>1405</v>
      </c>
      <c r="C62" s="65" t="s">
        <v>536</v>
      </c>
      <c r="D62" s="66" t="s">
        <v>562</v>
      </c>
      <c r="E62" s="65" t="s">
        <v>564</v>
      </c>
      <c r="F62" s="64" t="s">
        <v>401</v>
      </c>
      <c r="G62" s="67" t="s">
        <v>402</v>
      </c>
      <c r="H62" s="67">
        <v>640</v>
      </c>
      <c r="I62" s="55">
        <v>4.0784470309288565</v>
      </c>
      <c r="J62" s="47" t="s">
        <v>9</v>
      </c>
    </row>
    <row r="63" spans="1:10" s="33" customFormat="1">
      <c r="A63" s="63" t="s">
        <v>1353</v>
      </c>
      <c r="B63" s="64" t="s">
        <v>1405</v>
      </c>
      <c r="C63" s="65" t="s">
        <v>536</v>
      </c>
      <c r="D63" s="66" t="s">
        <v>567</v>
      </c>
      <c r="E63" s="65" t="s">
        <v>568</v>
      </c>
      <c r="F63" s="64" t="s">
        <v>401</v>
      </c>
      <c r="G63" s="67" t="s">
        <v>402</v>
      </c>
      <c r="H63" s="67">
        <v>4800</v>
      </c>
      <c r="I63" s="55">
        <v>0.52654548600134066</v>
      </c>
      <c r="J63" s="47" t="s">
        <v>9</v>
      </c>
    </row>
    <row r="64" spans="1:10" s="33" customFormat="1">
      <c r="A64" s="63" t="s">
        <v>1353</v>
      </c>
      <c r="B64" s="64" t="s">
        <v>1405</v>
      </c>
      <c r="C64" s="65" t="s">
        <v>536</v>
      </c>
      <c r="D64" s="66" t="s">
        <v>570</v>
      </c>
      <c r="E64" s="65" t="s">
        <v>572</v>
      </c>
      <c r="F64" s="64" t="s">
        <v>401</v>
      </c>
      <c r="G64" s="67" t="s">
        <v>402</v>
      </c>
      <c r="H64" s="67">
        <v>4800</v>
      </c>
      <c r="I64" s="55">
        <v>0.57518554047820158</v>
      </c>
      <c r="J64" s="47" t="s">
        <v>9</v>
      </c>
    </row>
    <row r="65" spans="1:10" s="33" customFormat="1">
      <c r="A65" s="63" t="s">
        <v>1353</v>
      </c>
      <c r="B65" s="64" t="s">
        <v>1405</v>
      </c>
      <c r="C65" s="65" t="s">
        <v>536</v>
      </c>
      <c r="D65" s="66" t="s">
        <v>573</v>
      </c>
      <c r="E65" s="65" t="s">
        <v>575</v>
      </c>
      <c r="F65" s="64" t="s">
        <v>401</v>
      </c>
      <c r="G65" s="67" t="s">
        <v>402</v>
      </c>
      <c r="H65" s="67">
        <v>3200</v>
      </c>
      <c r="I65" s="55">
        <v>0.7082696061990218</v>
      </c>
      <c r="J65" s="47" t="s">
        <v>9</v>
      </c>
    </row>
    <row r="66" spans="1:10" s="33" customFormat="1">
      <c r="A66" s="63" t="s">
        <v>1353</v>
      </c>
      <c r="B66" s="64" t="s">
        <v>1405</v>
      </c>
      <c r="C66" s="65" t="s">
        <v>536</v>
      </c>
      <c r="D66" s="66" t="s">
        <v>576</v>
      </c>
      <c r="E66" s="65" t="s">
        <v>578</v>
      </c>
      <c r="F66" s="64" t="s">
        <v>401</v>
      </c>
      <c r="G66" s="67" t="s">
        <v>402</v>
      </c>
      <c r="H66" s="67">
        <v>2240</v>
      </c>
      <c r="I66" s="55">
        <v>0.97816413500437049</v>
      </c>
      <c r="J66" s="47" t="s">
        <v>9</v>
      </c>
    </row>
    <row r="67" spans="1:10" s="33" customFormat="1">
      <c r="A67" s="63" t="s">
        <v>1353</v>
      </c>
      <c r="B67" s="64" t="s">
        <v>1405</v>
      </c>
      <c r="C67" s="65" t="s">
        <v>536</v>
      </c>
      <c r="D67" s="66" t="s">
        <v>579</v>
      </c>
      <c r="E67" s="65" t="s">
        <v>581</v>
      </c>
      <c r="F67" s="64" t="s">
        <v>401</v>
      </c>
      <c r="G67" s="67" t="s">
        <v>402</v>
      </c>
      <c r="H67" s="67">
        <v>1600</v>
      </c>
      <c r="I67" s="55">
        <v>1.2384757961838007</v>
      </c>
      <c r="J67" s="47" t="s">
        <v>9</v>
      </c>
    </row>
    <row r="68" spans="1:10" s="33" customFormat="1">
      <c r="A68" s="63" t="s">
        <v>1353</v>
      </c>
      <c r="B68" s="64" t="s">
        <v>1405</v>
      </c>
      <c r="C68" s="65" t="s">
        <v>536</v>
      </c>
      <c r="D68" s="66" t="s">
        <v>582</v>
      </c>
      <c r="E68" s="65" t="s">
        <v>584</v>
      </c>
      <c r="F68" s="64" t="s">
        <v>401</v>
      </c>
      <c r="G68" s="67" t="s">
        <v>402</v>
      </c>
      <c r="H68" s="67">
        <v>960</v>
      </c>
      <c r="I68" s="55">
        <v>1.7747236718396966</v>
      </c>
      <c r="J68" s="47" t="s">
        <v>9</v>
      </c>
    </row>
    <row r="69" spans="1:10" s="33" customFormat="1">
      <c r="A69" s="63" t="s">
        <v>1353</v>
      </c>
      <c r="B69" s="64" t="s">
        <v>1405</v>
      </c>
      <c r="C69" s="65" t="s">
        <v>536</v>
      </c>
      <c r="D69" s="66" t="s">
        <v>585</v>
      </c>
      <c r="E69" s="65" t="s">
        <v>587</v>
      </c>
      <c r="F69" s="64" t="s">
        <v>401</v>
      </c>
      <c r="G69" s="67" t="s">
        <v>402</v>
      </c>
      <c r="H69" s="67">
        <v>640</v>
      </c>
      <c r="I69" s="55">
        <v>2.9762050204125599</v>
      </c>
      <c r="J69" s="47" t="s">
        <v>9</v>
      </c>
    </row>
    <row r="70" spans="1:10" s="33" customFormat="1">
      <c r="A70" s="63" t="s">
        <v>1353</v>
      </c>
      <c r="B70" s="63" t="s">
        <v>1406</v>
      </c>
      <c r="C70" s="63" t="s">
        <v>1406</v>
      </c>
      <c r="D70" s="66" t="s">
        <v>1214</v>
      </c>
      <c r="E70" s="65" t="s">
        <v>1357</v>
      </c>
      <c r="F70" s="64" t="s">
        <v>241</v>
      </c>
      <c r="G70" s="67" t="s">
        <v>635</v>
      </c>
      <c r="H70" s="67">
        <v>240</v>
      </c>
      <c r="I70" s="51">
        <v>6.0000047915532777</v>
      </c>
      <c r="J70" s="47" t="s">
        <v>9</v>
      </c>
    </row>
    <row r="71" spans="1:10" s="33" customFormat="1">
      <c r="A71" s="63" t="s">
        <v>1353</v>
      </c>
      <c r="B71" s="63" t="s">
        <v>1406</v>
      </c>
      <c r="C71" s="63" t="s">
        <v>1406</v>
      </c>
      <c r="D71" s="66" t="s">
        <v>1270</v>
      </c>
      <c r="E71" s="65" t="s">
        <v>1358</v>
      </c>
      <c r="F71" s="64" t="s">
        <v>241</v>
      </c>
      <c r="G71" s="67" t="s">
        <v>635</v>
      </c>
      <c r="H71" s="67">
        <v>240</v>
      </c>
      <c r="I71" s="51">
        <v>13.060731130230169</v>
      </c>
      <c r="J71" s="47" t="s">
        <v>9</v>
      </c>
    </row>
    <row r="72" spans="1:10" s="33" customFormat="1">
      <c r="A72" s="63" t="s">
        <v>1353</v>
      </c>
      <c r="B72" s="63" t="s">
        <v>1406</v>
      </c>
      <c r="C72" s="63" t="s">
        <v>1406</v>
      </c>
      <c r="D72" s="66" t="s">
        <v>1215</v>
      </c>
      <c r="E72" s="65" t="s">
        <v>1356</v>
      </c>
      <c r="F72" s="64" t="s">
        <v>241</v>
      </c>
      <c r="G72" s="67" t="s">
        <v>635</v>
      </c>
      <c r="H72" s="67">
        <v>240</v>
      </c>
      <c r="I72" s="51">
        <v>6.1174619315573642</v>
      </c>
      <c r="J72" s="47" t="s">
        <v>9</v>
      </c>
    </row>
    <row r="73" spans="1:10" s="33" customFormat="1">
      <c r="A73" s="65" t="s">
        <v>1353</v>
      </c>
      <c r="B73" s="63" t="s">
        <v>1406</v>
      </c>
      <c r="C73" s="63" t="s">
        <v>1406</v>
      </c>
      <c r="D73" s="66" t="s">
        <v>654</v>
      </c>
      <c r="E73" s="65" t="s">
        <v>1316</v>
      </c>
      <c r="F73" s="64" t="s">
        <v>241</v>
      </c>
      <c r="G73" s="67" t="s">
        <v>635</v>
      </c>
      <c r="H73" s="67">
        <v>120</v>
      </c>
      <c r="I73" s="51">
        <v>26.140406845682335</v>
      </c>
      <c r="J73" s="47" t="s">
        <v>281</v>
      </c>
    </row>
    <row r="74" spans="1:10" s="33" customFormat="1">
      <c r="A74" s="63" t="s">
        <v>1354</v>
      </c>
      <c r="B74" s="63" t="s">
        <v>1373</v>
      </c>
      <c r="C74" s="63" t="s">
        <v>1373</v>
      </c>
      <c r="D74" s="66" t="s">
        <v>659</v>
      </c>
      <c r="E74" s="65" t="s">
        <v>660</v>
      </c>
      <c r="F74" s="64" t="s">
        <v>661</v>
      </c>
      <c r="G74" s="67" t="s">
        <v>242</v>
      </c>
      <c r="H74" s="67">
        <v>36000</v>
      </c>
      <c r="I74" s="51">
        <v>0.39424583210791669</v>
      </c>
      <c r="J74" s="47" t="s">
        <v>9</v>
      </c>
    </row>
    <row r="75" spans="1:10" s="33" customFormat="1">
      <c r="A75" s="63" t="s">
        <v>1354</v>
      </c>
      <c r="B75" s="63" t="s">
        <v>1373</v>
      </c>
      <c r="C75" s="63" t="s">
        <v>1373</v>
      </c>
      <c r="D75" s="66" t="s">
        <v>665</v>
      </c>
      <c r="E75" s="65" t="s">
        <v>666</v>
      </c>
      <c r="F75" s="64" t="s">
        <v>661</v>
      </c>
      <c r="G75" s="67" t="s">
        <v>242</v>
      </c>
      <c r="H75" s="67">
        <v>36000</v>
      </c>
      <c r="I75" s="51">
        <v>0.39424583210791669</v>
      </c>
      <c r="J75" s="47" t="s">
        <v>9</v>
      </c>
    </row>
    <row r="76" spans="1:10" s="33" customFormat="1">
      <c r="A76" s="63" t="s">
        <v>1354</v>
      </c>
      <c r="B76" s="63" t="s">
        <v>1373</v>
      </c>
      <c r="C76" s="63" t="s">
        <v>1373</v>
      </c>
      <c r="D76" s="66" t="s">
        <v>669</v>
      </c>
      <c r="E76" s="65" t="s">
        <v>670</v>
      </c>
      <c r="F76" s="64" t="s">
        <v>671</v>
      </c>
      <c r="G76" s="67" t="s">
        <v>242</v>
      </c>
      <c r="H76" s="67">
        <v>18000</v>
      </c>
      <c r="I76" s="51">
        <v>0.30079058323126429</v>
      </c>
      <c r="J76" s="47" t="s">
        <v>9</v>
      </c>
    </row>
    <row r="77" spans="1:10">
      <c r="A77" s="63" t="s">
        <v>1354</v>
      </c>
      <c r="B77" s="63" t="s">
        <v>1373</v>
      </c>
      <c r="C77" s="63" t="s">
        <v>1373</v>
      </c>
      <c r="D77" s="66" t="s">
        <v>673</v>
      </c>
      <c r="E77" s="65" t="s">
        <v>674</v>
      </c>
      <c r="F77" s="64" t="s">
        <v>671</v>
      </c>
      <c r="G77" s="67" t="s">
        <v>242</v>
      </c>
      <c r="H77" s="67">
        <v>18000</v>
      </c>
      <c r="I77" s="51">
        <v>0.30079058323126429</v>
      </c>
      <c r="J77" s="47" t="s">
        <v>9</v>
      </c>
    </row>
    <row r="78" spans="1:10">
      <c r="A78" s="63" t="s">
        <v>1354</v>
      </c>
      <c r="B78" s="63" t="s">
        <v>1382</v>
      </c>
      <c r="C78" s="63" t="s">
        <v>1383</v>
      </c>
      <c r="D78" s="66" t="s">
        <v>678</v>
      </c>
      <c r="E78" s="65" t="s">
        <v>680</v>
      </c>
      <c r="F78" s="64" t="s">
        <v>241</v>
      </c>
      <c r="G78" s="67" t="s">
        <v>635</v>
      </c>
      <c r="H78" s="67">
        <v>1800</v>
      </c>
      <c r="I78" s="51">
        <v>1.103247612961336</v>
      </c>
      <c r="J78" s="47" t="s">
        <v>9</v>
      </c>
    </row>
    <row r="79" spans="1:10" s="37" customFormat="1">
      <c r="A79" s="63" t="s">
        <v>1354</v>
      </c>
      <c r="B79" s="63" t="s">
        <v>1382</v>
      </c>
      <c r="C79" s="63" t="s">
        <v>1383</v>
      </c>
      <c r="D79" s="66" t="s">
        <v>681</v>
      </c>
      <c r="E79" s="65" t="s">
        <v>683</v>
      </c>
      <c r="F79" s="64" t="s">
        <v>241</v>
      </c>
      <c r="G79" s="67" t="s">
        <v>635</v>
      </c>
      <c r="H79" s="67">
        <v>1800</v>
      </c>
      <c r="I79" s="51">
        <v>0.11959485352603393</v>
      </c>
      <c r="J79" s="47" t="s">
        <v>9</v>
      </c>
    </row>
    <row r="80" spans="1:10">
      <c r="A80" s="63" t="s">
        <v>1354</v>
      </c>
      <c r="B80" s="63" t="s">
        <v>1399</v>
      </c>
      <c r="C80" s="63" t="s">
        <v>1400</v>
      </c>
      <c r="D80" s="66" t="s">
        <v>909</v>
      </c>
      <c r="E80" s="65" t="s">
        <v>911</v>
      </c>
      <c r="F80" s="64" t="s">
        <v>912</v>
      </c>
      <c r="G80" s="67" t="s">
        <v>913</v>
      </c>
      <c r="H80" s="67">
        <v>1440</v>
      </c>
      <c r="I80" s="51">
        <v>1.9866011599309108</v>
      </c>
      <c r="J80" s="47" t="s">
        <v>9</v>
      </c>
    </row>
    <row r="81" spans="1:10">
      <c r="A81" s="63" t="s">
        <v>1354</v>
      </c>
      <c r="B81" s="63" t="s">
        <v>1399</v>
      </c>
      <c r="C81" s="63" t="s">
        <v>1400</v>
      </c>
      <c r="D81" s="66" t="s">
        <v>914</v>
      </c>
      <c r="E81" s="65" t="s">
        <v>916</v>
      </c>
      <c r="F81" s="64" t="s">
        <v>912</v>
      </c>
      <c r="G81" s="67" t="s">
        <v>913</v>
      </c>
      <c r="H81" s="67">
        <v>1120</v>
      </c>
      <c r="I81" s="51">
        <v>2.2050075173547907</v>
      </c>
      <c r="J81" s="47" t="s">
        <v>9</v>
      </c>
    </row>
    <row r="82" spans="1:10">
      <c r="A82" s="63" t="s">
        <v>1354</v>
      </c>
      <c r="B82" s="63" t="s">
        <v>1399</v>
      </c>
      <c r="C82" s="63" t="s">
        <v>1400</v>
      </c>
      <c r="D82" s="66" t="s">
        <v>917</v>
      </c>
      <c r="E82" s="65" t="s">
        <v>919</v>
      </c>
      <c r="F82" s="64" t="s">
        <v>912</v>
      </c>
      <c r="G82" s="67" t="s">
        <v>913</v>
      </c>
      <c r="H82" s="67">
        <v>1040</v>
      </c>
      <c r="I82" s="51">
        <v>2.4023849263765888</v>
      </c>
      <c r="J82" s="47" t="s">
        <v>9</v>
      </c>
    </row>
    <row r="83" spans="1:10">
      <c r="A83" s="63" t="s">
        <v>1354</v>
      </c>
      <c r="B83" s="63" t="s">
        <v>1399</v>
      </c>
      <c r="C83" s="63" t="s">
        <v>1400</v>
      </c>
      <c r="D83" s="66" t="s">
        <v>920</v>
      </c>
      <c r="E83" s="65" t="s">
        <v>922</v>
      </c>
      <c r="F83" s="64" t="s">
        <v>912</v>
      </c>
      <c r="G83" s="67" t="s">
        <v>913</v>
      </c>
      <c r="H83" s="67">
        <v>800</v>
      </c>
      <c r="I83" s="51">
        <v>2.8096061494326845</v>
      </c>
      <c r="J83" s="47" t="s">
        <v>9</v>
      </c>
    </row>
    <row r="84" spans="1:10">
      <c r="A84" s="63" t="s">
        <v>1354</v>
      </c>
      <c r="B84" s="63" t="s">
        <v>1399</v>
      </c>
      <c r="C84" s="63" t="s">
        <v>1400</v>
      </c>
      <c r="D84" s="66" t="s">
        <v>924</v>
      </c>
      <c r="E84" s="65" t="s">
        <v>926</v>
      </c>
      <c r="F84" s="64" t="s">
        <v>912</v>
      </c>
      <c r="G84" s="67" t="s">
        <v>913</v>
      </c>
      <c r="H84" s="67">
        <v>1600</v>
      </c>
      <c r="I84" s="51">
        <v>1.9763887416302572</v>
      </c>
      <c r="J84" s="47" t="s">
        <v>9</v>
      </c>
    </row>
    <row r="85" spans="1:10">
      <c r="A85" s="63" t="s">
        <v>1354</v>
      </c>
      <c r="B85" s="63" t="s">
        <v>1399</v>
      </c>
      <c r="C85" s="63" t="s">
        <v>1400</v>
      </c>
      <c r="D85" s="66" t="s">
        <v>927</v>
      </c>
      <c r="E85" s="65" t="s">
        <v>929</v>
      </c>
      <c r="F85" s="64" t="s">
        <v>912</v>
      </c>
      <c r="G85" s="67" t="s">
        <v>913</v>
      </c>
      <c r="H85" s="67">
        <v>1200</v>
      </c>
      <c r="I85" s="51">
        <v>2.1962540159542305</v>
      </c>
      <c r="J85" s="47" t="s">
        <v>9</v>
      </c>
    </row>
    <row r="86" spans="1:10">
      <c r="A86" s="63" t="s">
        <v>1354</v>
      </c>
      <c r="B86" s="63" t="s">
        <v>1399</v>
      </c>
      <c r="C86" s="63" t="s">
        <v>1400</v>
      </c>
      <c r="D86" s="66" t="s">
        <v>930</v>
      </c>
      <c r="E86" s="65" t="s">
        <v>932</v>
      </c>
      <c r="F86" s="64" t="s">
        <v>912</v>
      </c>
      <c r="G86" s="67" t="s">
        <v>913</v>
      </c>
      <c r="H86" s="67">
        <v>1120</v>
      </c>
      <c r="I86" s="51">
        <v>2.3922847324528651</v>
      </c>
      <c r="J86" s="47" t="s">
        <v>9</v>
      </c>
    </row>
    <row r="87" spans="1:10">
      <c r="A87" s="63" t="s">
        <v>1354</v>
      </c>
      <c r="B87" s="63" t="s">
        <v>1399</v>
      </c>
      <c r="C87" s="63" t="s">
        <v>1400</v>
      </c>
      <c r="D87" s="66" t="s">
        <v>933</v>
      </c>
      <c r="E87" s="65" t="s">
        <v>935</v>
      </c>
      <c r="F87" s="64" t="s">
        <v>912</v>
      </c>
      <c r="G87" s="67" t="s">
        <v>913</v>
      </c>
      <c r="H87" s="67">
        <v>800</v>
      </c>
      <c r="I87" s="51">
        <v>2.8096061494326845</v>
      </c>
      <c r="J87" s="47" t="s">
        <v>9</v>
      </c>
    </row>
    <row r="88" spans="1:10">
      <c r="A88" s="63" t="s">
        <v>1354</v>
      </c>
      <c r="B88" s="63" t="s">
        <v>1399</v>
      </c>
      <c r="C88" s="63" t="s">
        <v>1400</v>
      </c>
      <c r="D88" s="66" t="s">
        <v>937</v>
      </c>
      <c r="E88" s="65" t="s">
        <v>939</v>
      </c>
      <c r="F88" s="64" t="s">
        <v>912</v>
      </c>
      <c r="G88" s="67" t="s">
        <v>913</v>
      </c>
      <c r="H88" s="67">
        <v>1760</v>
      </c>
      <c r="I88" s="51">
        <v>1.9680331266569953</v>
      </c>
      <c r="J88" s="47" t="s">
        <v>9</v>
      </c>
    </row>
    <row r="89" spans="1:10">
      <c r="A89" s="63" t="s">
        <v>1354</v>
      </c>
      <c r="B89" s="63" t="s">
        <v>1399</v>
      </c>
      <c r="C89" s="63" t="s">
        <v>1400</v>
      </c>
      <c r="D89" s="66" t="s">
        <v>940</v>
      </c>
      <c r="E89" s="65" t="s">
        <v>942</v>
      </c>
      <c r="F89" s="64" t="s">
        <v>912</v>
      </c>
      <c r="G89" s="67" t="s">
        <v>913</v>
      </c>
      <c r="H89" s="67">
        <v>1280</v>
      </c>
      <c r="I89" s="51">
        <v>2.1885947022287406</v>
      </c>
      <c r="J89" s="47" t="s">
        <v>9</v>
      </c>
    </row>
    <row r="90" spans="1:10">
      <c r="A90" s="63" t="s">
        <v>1354</v>
      </c>
      <c r="B90" s="63" t="s">
        <v>1399</v>
      </c>
      <c r="C90" s="63" t="s">
        <v>1400</v>
      </c>
      <c r="D90" s="66" t="s">
        <v>943</v>
      </c>
      <c r="E90" s="65" t="s">
        <v>945</v>
      </c>
      <c r="F90" s="64" t="s">
        <v>912</v>
      </c>
      <c r="G90" s="67" t="s">
        <v>913</v>
      </c>
      <c r="H90" s="67">
        <v>1120</v>
      </c>
      <c r="I90" s="51">
        <v>2.3922847324528651</v>
      </c>
      <c r="J90" s="47" t="s">
        <v>9</v>
      </c>
    </row>
    <row r="91" spans="1:10">
      <c r="A91" s="63" t="s">
        <v>1354</v>
      </c>
      <c r="B91" s="63" t="s">
        <v>1399</v>
      </c>
      <c r="C91" s="63" t="s">
        <v>1400</v>
      </c>
      <c r="D91" s="66" t="s">
        <v>946</v>
      </c>
      <c r="E91" s="65" t="s">
        <v>948</v>
      </c>
      <c r="F91" s="64" t="s">
        <v>912</v>
      </c>
      <c r="G91" s="67" t="s">
        <v>913</v>
      </c>
      <c r="H91" s="67">
        <v>800</v>
      </c>
      <c r="I91" s="51">
        <v>2.8096061494326845</v>
      </c>
      <c r="J91" s="47" t="s">
        <v>9</v>
      </c>
    </row>
    <row r="92" spans="1:10">
      <c r="A92" s="63" t="s">
        <v>1354</v>
      </c>
      <c r="B92" s="63" t="s">
        <v>1399</v>
      </c>
      <c r="C92" s="63" t="s">
        <v>1401</v>
      </c>
      <c r="D92" s="66" t="s">
        <v>949</v>
      </c>
      <c r="E92" s="65" t="s">
        <v>951</v>
      </c>
      <c r="F92" s="64" t="s">
        <v>912</v>
      </c>
      <c r="G92" s="67" t="s">
        <v>913</v>
      </c>
      <c r="H92" s="67">
        <v>1440</v>
      </c>
      <c r="I92" s="51">
        <v>2.1212066582826519</v>
      </c>
      <c r="J92" s="47" t="s">
        <v>9</v>
      </c>
    </row>
    <row r="93" spans="1:10">
      <c r="A93" s="63" t="s">
        <v>1354</v>
      </c>
      <c r="B93" s="63" t="s">
        <v>1399</v>
      </c>
      <c r="C93" s="63" t="s">
        <v>1401</v>
      </c>
      <c r="D93" s="66" t="s">
        <v>952</v>
      </c>
      <c r="E93" s="65" t="s">
        <v>954</v>
      </c>
      <c r="F93" s="64" t="s">
        <v>912</v>
      </c>
      <c r="G93" s="67" t="s">
        <v>913</v>
      </c>
      <c r="H93" s="67">
        <v>1120</v>
      </c>
      <c r="I93" s="51">
        <v>2.460562883790705</v>
      </c>
      <c r="J93" s="47" t="s">
        <v>9</v>
      </c>
    </row>
    <row r="94" spans="1:10">
      <c r="A94" s="63" t="s">
        <v>1354</v>
      </c>
      <c r="B94" s="63" t="s">
        <v>1399</v>
      </c>
      <c r="C94" s="63" t="s">
        <v>1401</v>
      </c>
      <c r="D94" s="66" t="s">
        <v>955</v>
      </c>
      <c r="E94" s="65" t="s">
        <v>957</v>
      </c>
      <c r="F94" s="64" t="s">
        <v>912</v>
      </c>
      <c r="G94" s="67" t="s">
        <v>913</v>
      </c>
      <c r="H94" s="67">
        <v>1040</v>
      </c>
      <c r="I94" s="51">
        <v>2.7925457911642444</v>
      </c>
      <c r="J94" s="47" t="s">
        <v>9</v>
      </c>
    </row>
    <row r="95" spans="1:10">
      <c r="A95" s="63" t="s">
        <v>1354</v>
      </c>
      <c r="B95" s="63" t="s">
        <v>1399</v>
      </c>
      <c r="C95" s="63" t="s">
        <v>1401</v>
      </c>
      <c r="D95" s="66" t="s">
        <v>958</v>
      </c>
      <c r="E95" s="65" t="s">
        <v>960</v>
      </c>
      <c r="F95" s="64" t="s">
        <v>912</v>
      </c>
      <c r="G95" s="67" t="s">
        <v>913</v>
      </c>
      <c r="H95" s="67">
        <v>800</v>
      </c>
      <c r="I95" s="51">
        <v>3.4689780109238213</v>
      </c>
      <c r="J95" s="47" t="s">
        <v>9</v>
      </c>
    </row>
    <row r="96" spans="1:10">
      <c r="A96" s="63" t="s">
        <v>1354</v>
      </c>
      <c r="B96" s="63" t="s">
        <v>1399</v>
      </c>
      <c r="C96" s="63" t="s">
        <v>1401</v>
      </c>
      <c r="D96" s="66" t="s">
        <v>961</v>
      </c>
      <c r="E96" s="65" t="s">
        <v>963</v>
      </c>
      <c r="F96" s="64" t="s">
        <v>912</v>
      </c>
      <c r="G96" s="67" t="s">
        <v>913</v>
      </c>
      <c r="H96" s="67">
        <v>1600</v>
      </c>
      <c r="I96" s="51">
        <v>2.1109942399819981</v>
      </c>
      <c r="J96" s="47" t="s">
        <v>9</v>
      </c>
    </row>
    <row r="97" spans="1:10">
      <c r="A97" s="63" t="s">
        <v>1354</v>
      </c>
      <c r="B97" s="63" t="s">
        <v>1399</v>
      </c>
      <c r="C97" s="63" t="s">
        <v>1401</v>
      </c>
      <c r="D97" s="66" t="s">
        <v>964</v>
      </c>
      <c r="E97" s="65" t="s">
        <v>966</v>
      </c>
      <c r="F97" s="64" t="s">
        <v>912</v>
      </c>
      <c r="G97" s="67" t="s">
        <v>913</v>
      </c>
      <c r="H97" s="67">
        <v>1200</v>
      </c>
      <c r="I97" s="51">
        <v>2.4518093823901448</v>
      </c>
      <c r="J97" s="47" t="s">
        <v>9</v>
      </c>
    </row>
    <row r="98" spans="1:10">
      <c r="A98" s="63" t="s">
        <v>1354</v>
      </c>
      <c r="B98" s="63" t="s">
        <v>1399</v>
      </c>
      <c r="C98" s="63" t="s">
        <v>1401</v>
      </c>
      <c r="D98" s="66" t="s">
        <v>967</v>
      </c>
      <c r="E98" s="65" t="s">
        <v>969</v>
      </c>
      <c r="F98" s="64" t="s">
        <v>912</v>
      </c>
      <c r="G98" s="67" t="s">
        <v>913</v>
      </c>
      <c r="H98" s="67">
        <v>1120</v>
      </c>
      <c r="I98" s="51">
        <v>2.7824455972405207</v>
      </c>
      <c r="J98" s="47" t="s">
        <v>9</v>
      </c>
    </row>
    <row r="99" spans="1:10">
      <c r="A99" s="63" t="s">
        <v>1354</v>
      </c>
      <c r="B99" s="63" t="s">
        <v>1399</v>
      </c>
      <c r="C99" s="63" t="s">
        <v>1401</v>
      </c>
      <c r="D99" s="66" t="s">
        <v>970</v>
      </c>
      <c r="E99" s="65" t="s">
        <v>972</v>
      </c>
      <c r="F99" s="64" t="s">
        <v>912</v>
      </c>
      <c r="G99" s="67" t="s">
        <v>913</v>
      </c>
      <c r="H99" s="67">
        <v>800</v>
      </c>
      <c r="I99" s="51">
        <v>3.4689780109238213</v>
      </c>
      <c r="J99" s="47" t="s">
        <v>9</v>
      </c>
    </row>
    <row r="100" spans="1:10">
      <c r="A100" s="63" t="s">
        <v>1354</v>
      </c>
      <c r="B100" s="63" t="s">
        <v>1399</v>
      </c>
      <c r="C100" s="63" t="s">
        <v>1401</v>
      </c>
      <c r="D100" s="66" t="s">
        <v>973</v>
      </c>
      <c r="E100" s="65" t="s">
        <v>974</v>
      </c>
      <c r="F100" s="64" t="s">
        <v>912</v>
      </c>
      <c r="G100" s="67" t="s">
        <v>913</v>
      </c>
      <c r="H100" s="67">
        <v>1760</v>
      </c>
      <c r="I100" s="51">
        <v>2.1026386250087361</v>
      </c>
      <c r="J100" s="47" t="s">
        <v>9</v>
      </c>
    </row>
    <row r="101" spans="1:10">
      <c r="A101" s="63" t="s">
        <v>1354</v>
      </c>
      <c r="B101" s="63" t="s">
        <v>1399</v>
      </c>
      <c r="C101" s="63" t="s">
        <v>1401</v>
      </c>
      <c r="D101" s="66" t="s">
        <v>975</v>
      </c>
      <c r="E101" s="65" t="s">
        <v>977</v>
      </c>
      <c r="F101" s="64" t="s">
        <v>912</v>
      </c>
      <c r="G101" s="67" t="s">
        <v>913</v>
      </c>
      <c r="H101" s="67">
        <v>1280</v>
      </c>
      <c r="I101" s="51">
        <v>2.4441500686646549</v>
      </c>
      <c r="J101" s="47" t="s">
        <v>9</v>
      </c>
    </row>
    <row r="102" spans="1:10">
      <c r="A102" s="63" t="s">
        <v>1354</v>
      </c>
      <c r="B102" s="63" t="s">
        <v>1399</v>
      </c>
      <c r="C102" s="63" t="s">
        <v>1401</v>
      </c>
      <c r="D102" s="66" t="s">
        <v>978</v>
      </c>
      <c r="E102" s="65" t="s">
        <v>980</v>
      </c>
      <c r="F102" s="64" t="s">
        <v>912</v>
      </c>
      <c r="G102" s="67" t="s">
        <v>913</v>
      </c>
      <c r="H102" s="67">
        <v>1120</v>
      </c>
      <c r="I102" s="51">
        <v>2.7824455972405207</v>
      </c>
      <c r="J102" s="47" t="s">
        <v>9</v>
      </c>
    </row>
    <row r="103" spans="1:10">
      <c r="A103" s="63" t="s">
        <v>1354</v>
      </c>
      <c r="B103" s="63" t="s">
        <v>1399</v>
      </c>
      <c r="C103" s="63" t="s">
        <v>1401</v>
      </c>
      <c r="D103" s="66" t="s">
        <v>981</v>
      </c>
      <c r="E103" s="65" t="s">
        <v>983</v>
      </c>
      <c r="F103" s="64" t="s">
        <v>912</v>
      </c>
      <c r="G103" s="67" t="s">
        <v>913</v>
      </c>
      <c r="H103" s="67">
        <v>800</v>
      </c>
      <c r="I103" s="51">
        <v>3.4689780109238213</v>
      </c>
      <c r="J103" s="47" t="s">
        <v>9</v>
      </c>
    </row>
    <row r="104" spans="1:10">
      <c r="A104" s="63" t="s">
        <v>1354</v>
      </c>
      <c r="B104" s="63" t="s">
        <v>1399</v>
      </c>
      <c r="C104" s="63" t="s">
        <v>1402</v>
      </c>
      <c r="D104" s="66" t="s">
        <v>984</v>
      </c>
      <c r="E104" s="65" t="s">
        <v>986</v>
      </c>
      <c r="F104" s="64" t="s">
        <v>912</v>
      </c>
      <c r="G104" s="67" t="s">
        <v>913</v>
      </c>
      <c r="H104" s="67">
        <v>1440</v>
      </c>
      <c r="I104" s="51">
        <v>2.1621735490853555</v>
      </c>
      <c r="J104" s="47" t="s">
        <v>9</v>
      </c>
    </row>
    <row r="105" spans="1:10">
      <c r="A105" s="63" t="s">
        <v>1354</v>
      </c>
      <c r="B105" s="63" t="s">
        <v>1399</v>
      </c>
      <c r="C105" s="63" t="s">
        <v>1402</v>
      </c>
      <c r="D105" s="66" t="s">
        <v>987</v>
      </c>
      <c r="E105" s="65" t="s">
        <v>989</v>
      </c>
      <c r="F105" s="64" t="s">
        <v>912</v>
      </c>
      <c r="G105" s="67" t="s">
        <v>913</v>
      </c>
      <c r="H105" s="67">
        <v>1120</v>
      </c>
      <c r="I105" s="51">
        <v>2.743429510761755</v>
      </c>
      <c r="J105" s="47" t="s">
        <v>9</v>
      </c>
    </row>
    <row r="106" spans="1:10" s="33" customFormat="1">
      <c r="A106" s="63" t="s">
        <v>1354</v>
      </c>
      <c r="B106" s="63" t="s">
        <v>1399</v>
      </c>
      <c r="C106" s="63" t="s">
        <v>1402</v>
      </c>
      <c r="D106" s="66" t="s">
        <v>990</v>
      </c>
      <c r="E106" s="65" t="s">
        <v>992</v>
      </c>
      <c r="F106" s="64" t="s">
        <v>912</v>
      </c>
      <c r="G106" s="67" t="s">
        <v>913</v>
      </c>
      <c r="H106" s="67">
        <v>1040</v>
      </c>
      <c r="I106" s="51">
        <v>3.3056073283600105</v>
      </c>
      <c r="J106" s="47" t="s">
        <v>9</v>
      </c>
    </row>
    <row r="107" spans="1:10" s="33" customFormat="1">
      <c r="A107" s="63" t="s">
        <v>1354</v>
      </c>
      <c r="B107" s="63" t="s">
        <v>1399</v>
      </c>
      <c r="C107" s="63" t="s">
        <v>1402</v>
      </c>
      <c r="D107" s="66" t="s">
        <v>993</v>
      </c>
      <c r="E107" s="65" t="s">
        <v>995</v>
      </c>
      <c r="F107" s="64" t="s">
        <v>912</v>
      </c>
      <c r="G107" s="67" t="s">
        <v>913</v>
      </c>
      <c r="H107" s="67">
        <v>800</v>
      </c>
      <c r="I107" s="51">
        <v>4.4502325858647751</v>
      </c>
      <c r="J107" s="47" t="s">
        <v>9</v>
      </c>
    </row>
    <row r="108" spans="1:10" s="33" customFormat="1">
      <c r="A108" s="63" t="s">
        <v>1354</v>
      </c>
      <c r="B108" s="63" t="s">
        <v>1399</v>
      </c>
      <c r="C108" s="63" t="s">
        <v>1402</v>
      </c>
      <c r="D108" s="66" t="s">
        <v>996</v>
      </c>
      <c r="E108" s="65" t="s">
        <v>998</v>
      </c>
      <c r="F108" s="64" t="s">
        <v>912</v>
      </c>
      <c r="G108" s="67" t="s">
        <v>913</v>
      </c>
      <c r="H108" s="67">
        <v>1600</v>
      </c>
      <c r="I108" s="51">
        <v>2.1519611307847022</v>
      </c>
      <c r="J108" s="47" t="s">
        <v>9</v>
      </c>
    </row>
    <row r="109" spans="1:10" s="33" customFormat="1">
      <c r="A109" s="63" t="s">
        <v>1354</v>
      </c>
      <c r="B109" s="63" t="s">
        <v>1399</v>
      </c>
      <c r="C109" s="63" t="s">
        <v>1402</v>
      </c>
      <c r="D109" s="66" t="s">
        <v>999</v>
      </c>
      <c r="E109" s="65" t="s">
        <v>1001</v>
      </c>
      <c r="F109" s="64" t="s">
        <v>912</v>
      </c>
      <c r="G109" s="67" t="s">
        <v>913</v>
      </c>
      <c r="H109" s="67">
        <v>1200</v>
      </c>
      <c r="I109" s="51">
        <v>2.7346760093611948</v>
      </c>
      <c r="J109" s="47" t="s">
        <v>9</v>
      </c>
    </row>
    <row r="110" spans="1:10">
      <c r="A110" s="63" t="s">
        <v>1354</v>
      </c>
      <c r="B110" s="63" t="s">
        <v>1399</v>
      </c>
      <c r="C110" s="63" t="s">
        <v>1402</v>
      </c>
      <c r="D110" s="66" t="s">
        <v>1002</v>
      </c>
      <c r="E110" s="65" t="s">
        <v>1004</v>
      </c>
      <c r="F110" s="64" t="s">
        <v>912</v>
      </c>
      <c r="G110" s="67" t="s">
        <v>913</v>
      </c>
      <c r="H110" s="67">
        <v>1120</v>
      </c>
      <c r="I110" s="51">
        <v>3.2955071344362872</v>
      </c>
      <c r="J110" s="47" t="s">
        <v>9</v>
      </c>
    </row>
    <row r="111" spans="1:10">
      <c r="A111" s="63" t="s">
        <v>1354</v>
      </c>
      <c r="B111" s="63" t="s">
        <v>1399</v>
      </c>
      <c r="C111" s="63" t="s">
        <v>1402</v>
      </c>
      <c r="D111" s="66" t="s">
        <v>1005</v>
      </c>
      <c r="E111" s="65" t="s">
        <v>1007</v>
      </c>
      <c r="F111" s="64" t="s">
        <v>912</v>
      </c>
      <c r="G111" s="67" t="s">
        <v>913</v>
      </c>
      <c r="H111" s="67">
        <v>800</v>
      </c>
      <c r="I111" s="51">
        <v>4.4502325858647751</v>
      </c>
      <c r="J111" s="47" t="s">
        <v>9</v>
      </c>
    </row>
    <row r="112" spans="1:10">
      <c r="A112" s="63" t="s">
        <v>1354</v>
      </c>
      <c r="B112" s="63" t="s">
        <v>1399</v>
      </c>
      <c r="C112" s="63" t="s">
        <v>1402</v>
      </c>
      <c r="D112" s="66" t="s">
        <v>1008</v>
      </c>
      <c r="E112" s="65" t="s">
        <v>1010</v>
      </c>
      <c r="F112" s="64" t="s">
        <v>912</v>
      </c>
      <c r="G112" s="67" t="s">
        <v>913</v>
      </c>
      <c r="H112" s="67">
        <v>1760</v>
      </c>
      <c r="I112" s="51">
        <v>2.1436055158114402</v>
      </c>
      <c r="J112" s="47" t="s">
        <v>9</v>
      </c>
    </row>
    <row r="113" spans="1:10">
      <c r="A113" s="63" t="s">
        <v>1354</v>
      </c>
      <c r="B113" s="63" t="s">
        <v>1399</v>
      </c>
      <c r="C113" s="63" t="s">
        <v>1402</v>
      </c>
      <c r="D113" s="66" t="s">
        <v>1011</v>
      </c>
      <c r="E113" s="65" t="s">
        <v>1013</v>
      </c>
      <c r="F113" s="64" t="s">
        <v>912</v>
      </c>
      <c r="G113" s="67" t="s">
        <v>913</v>
      </c>
      <c r="H113" s="67">
        <v>1280</v>
      </c>
      <c r="I113" s="51">
        <v>2.7270166956357049</v>
      </c>
      <c r="J113" s="47" t="s">
        <v>9</v>
      </c>
    </row>
    <row r="114" spans="1:10">
      <c r="A114" s="63" t="s">
        <v>1354</v>
      </c>
      <c r="B114" s="63" t="s">
        <v>1399</v>
      </c>
      <c r="C114" s="63" t="s">
        <v>1402</v>
      </c>
      <c r="D114" s="66" t="s">
        <v>1014</v>
      </c>
      <c r="E114" s="65" t="s">
        <v>1016</v>
      </c>
      <c r="F114" s="64" t="s">
        <v>912</v>
      </c>
      <c r="G114" s="67" t="s">
        <v>913</v>
      </c>
      <c r="H114" s="67">
        <v>1120</v>
      </c>
      <c r="I114" s="51">
        <v>3.2955071344362872</v>
      </c>
      <c r="J114" s="47" t="s">
        <v>9</v>
      </c>
    </row>
    <row r="115" spans="1:10">
      <c r="A115" s="63" t="s">
        <v>1354</v>
      </c>
      <c r="B115" s="63" t="s">
        <v>1399</v>
      </c>
      <c r="C115" s="63" t="s">
        <v>1402</v>
      </c>
      <c r="D115" s="66" t="s">
        <v>1017</v>
      </c>
      <c r="E115" s="65" t="s">
        <v>1019</v>
      </c>
      <c r="F115" s="64" t="s">
        <v>912</v>
      </c>
      <c r="G115" s="67" t="s">
        <v>913</v>
      </c>
      <c r="H115" s="67">
        <v>800</v>
      </c>
      <c r="I115" s="51">
        <v>4.4502325858647751</v>
      </c>
      <c r="J115" s="47" t="s">
        <v>9</v>
      </c>
    </row>
    <row r="116" spans="1:10">
      <c r="A116" s="63" t="s">
        <v>1354</v>
      </c>
      <c r="B116" s="63" t="s">
        <v>1399</v>
      </c>
      <c r="C116" s="63" t="s">
        <v>1403</v>
      </c>
      <c r="D116" s="66" t="s">
        <v>1020</v>
      </c>
      <c r="E116" s="65" t="s">
        <v>1022</v>
      </c>
      <c r="F116" s="64" t="s">
        <v>912</v>
      </c>
      <c r="G116" s="67" t="s">
        <v>913</v>
      </c>
      <c r="H116" s="67">
        <v>1440</v>
      </c>
      <c r="I116" s="51">
        <v>2.0139124204660468</v>
      </c>
      <c r="J116" s="47" t="s">
        <v>9</v>
      </c>
    </row>
    <row r="117" spans="1:10">
      <c r="A117" s="63" t="s">
        <v>1354</v>
      </c>
      <c r="B117" s="63" t="s">
        <v>1399</v>
      </c>
      <c r="C117" s="63" t="s">
        <v>1403</v>
      </c>
      <c r="D117" s="66" t="s">
        <v>1023</v>
      </c>
      <c r="E117" s="65" t="s">
        <v>1025</v>
      </c>
      <c r="F117" s="64" t="s">
        <v>912</v>
      </c>
      <c r="G117" s="67" t="s">
        <v>913</v>
      </c>
      <c r="H117" s="67">
        <v>1120</v>
      </c>
      <c r="I117" s="51">
        <v>2.1503849962845192</v>
      </c>
      <c r="J117" s="47" t="s">
        <v>9</v>
      </c>
    </row>
    <row r="118" spans="1:10">
      <c r="A118" s="63" t="s">
        <v>1354</v>
      </c>
      <c r="B118" s="63" t="s">
        <v>1399</v>
      </c>
      <c r="C118" s="63" t="s">
        <v>1403</v>
      </c>
      <c r="D118" s="66" t="s">
        <v>1026</v>
      </c>
      <c r="E118" s="65" t="s">
        <v>1028</v>
      </c>
      <c r="F118" s="64" t="s">
        <v>912</v>
      </c>
      <c r="G118" s="67" t="s">
        <v>913</v>
      </c>
      <c r="H118" s="67">
        <v>1040</v>
      </c>
      <c r="I118" s="51">
        <v>2.267779428024848</v>
      </c>
      <c r="J118" s="47" t="s">
        <v>9</v>
      </c>
    </row>
    <row r="119" spans="1:10">
      <c r="A119" s="63" t="s">
        <v>1354</v>
      </c>
      <c r="B119" s="63" t="s">
        <v>1399</v>
      </c>
      <c r="C119" s="63" t="s">
        <v>1403</v>
      </c>
      <c r="D119" s="66" t="s">
        <v>1029</v>
      </c>
      <c r="E119" s="65" t="s">
        <v>1031</v>
      </c>
      <c r="F119" s="64" t="s">
        <v>912</v>
      </c>
      <c r="G119" s="67" t="s">
        <v>913</v>
      </c>
      <c r="H119" s="67">
        <v>800</v>
      </c>
      <c r="I119" s="51">
        <v>2.5130838921940666</v>
      </c>
      <c r="J119" s="47" t="s">
        <v>9</v>
      </c>
    </row>
    <row r="120" spans="1:10">
      <c r="A120" s="63" t="s">
        <v>1354</v>
      </c>
      <c r="B120" s="63" t="s">
        <v>1399</v>
      </c>
      <c r="C120" s="63" t="s">
        <v>1403</v>
      </c>
      <c r="D120" s="66" t="s">
        <v>1032</v>
      </c>
      <c r="E120" s="65" t="s">
        <v>1034</v>
      </c>
      <c r="F120" s="64" t="s">
        <v>912</v>
      </c>
      <c r="G120" s="67" t="s">
        <v>913</v>
      </c>
      <c r="H120" s="67">
        <v>1600</v>
      </c>
      <c r="I120" s="51">
        <v>2.0037000021653935</v>
      </c>
      <c r="J120" s="47" t="s">
        <v>9</v>
      </c>
    </row>
    <row r="121" spans="1:10">
      <c r="A121" s="63" t="s">
        <v>1354</v>
      </c>
      <c r="B121" s="63" t="s">
        <v>1399</v>
      </c>
      <c r="C121" s="63" t="s">
        <v>1403</v>
      </c>
      <c r="D121" s="66" t="s">
        <v>1035</v>
      </c>
      <c r="E121" s="65" t="s">
        <v>1037</v>
      </c>
      <c r="F121" s="64" t="s">
        <v>912</v>
      </c>
      <c r="G121" s="67" t="s">
        <v>913</v>
      </c>
      <c r="H121" s="67">
        <v>1200</v>
      </c>
      <c r="I121" s="51">
        <v>2.141631494883959</v>
      </c>
      <c r="J121" s="47" t="s">
        <v>9</v>
      </c>
    </row>
    <row r="122" spans="1:10">
      <c r="A122" s="63" t="s">
        <v>1354</v>
      </c>
      <c r="B122" s="63" t="s">
        <v>1399</v>
      </c>
      <c r="C122" s="63" t="s">
        <v>1403</v>
      </c>
      <c r="D122" s="66" t="s">
        <v>1038</v>
      </c>
      <c r="E122" s="65" t="s">
        <v>1040</v>
      </c>
      <c r="F122" s="64" t="s">
        <v>912</v>
      </c>
      <c r="G122" s="67" t="s">
        <v>913</v>
      </c>
      <c r="H122" s="67">
        <v>1120</v>
      </c>
      <c r="I122" s="51">
        <v>2.2576792341011243</v>
      </c>
      <c r="J122" s="47" t="s">
        <v>9</v>
      </c>
    </row>
    <row r="123" spans="1:10">
      <c r="A123" s="63" t="s">
        <v>1354</v>
      </c>
      <c r="B123" s="63" t="s">
        <v>1399</v>
      </c>
      <c r="C123" s="63" t="s">
        <v>1403</v>
      </c>
      <c r="D123" s="66" t="s">
        <v>1041</v>
      </c>
      <c r="E123" s="65" t="s">
        <v>1043</v>
      </c>
      <c r="F123" s="64" t="s">
        <v>912</v>
      </c>
      <c r="G123" s="67" t="s">
        <v>913</v>
      </c>
      <c r="H123" s="67">
        <v>800</v>
      </c>
      <c r="I123" s="51">
        <v>2.5130838921940666</v>
      </c>
      <c r="J123" s="47" t="s">
        <v>9</v>
      </c>
    </row>
    <row r="124" spans="1:10">
      <c r="A124" s="63" t="s">
        <v>1354</v>
      </c>
      <c r="B124" s="63" t="s">
        <v>1399</v>
      </c>
      <c r="C124" s="63" t="s">
        <v>1403</v>
      </c>
      <c r="D124" s="66" t="s">
        <v>1044</v>
      </c>
      <c r="E124" s="65" t="s">
        <v>1046</v>
      </c>
      <c r="F124" s="64" t="s">
        <v>912</v>
      </c>
      <c r="G124" s="67" t="s">
        <v>913</v>
      </c>
      <c r="H124" s="67">
        <v>1760</v>
      </c>
      <c r="I124" s="51">
        <v>1.9953443871921313</v>
      </c>
      <c r="J124" s="47" t="s">
        <v>9</v>
      </c>
    </row>
    <row r="125" spans="1:10">
      <c r="A125" s="63" t="s">
        <v>1354</v>
      </c>
      <c r="B125" s="63" t="s">
        <v>1399</v>
      </c>
      <c r="C125" s="63" t="s">
        <v>1403</v>
      </c>
      <c r="D125" s="66" t="s">
        <v>1047</v>
      </c>
      <c r="E125" s="65" t="s">
        <v>1049</v>
      </c>
      <c r="F125" s="64" t="s">
        <v>912</v>
      </c>
      <c r="G125" s="67" t="s">
        <v>913</v>
      </c>
      <c r="H125" s="67">
        <v>1280</v>
      </c>
      <c r="I125" s="51">
        <v>2.1339721811584687</v>
      </c>
      <c r="J125" s="47" t="s">
        <v>9</v>
      </c>
    </row>
    <row r="126" spans="1:10">
      <c r="A126" s="63" t="s">
        <v>1354</v>
      </c>
      <c r="B126" s="63" t="s">
        <v>1399</v>
      </c>
      <c r="C126" s="63" t="s">
        <v>1403</v>
      </c>
      <c r="D126" s="66" t="s">
        <v>1050</v>
      </c>
      <c r="E126" s="65" t="s">
        <v>1052</v>
      </c>
      <c r="F126" s="64" t="s">
        <v>912</v>
      </c>
      <c r="G126" s="67" t="s">
        <v>913</v>
      </c>
      <c r="H126" s="67">
        <v>1120</v>
      </c>
      <c r="I126" s="51">
        <v>2.2576792341011243</v>
      </c>
      <c r="J126" s="47" t="s">
        <v>9</v>
      </c>
    </row>
    <row r="127" spans="1:10">
      <c r="A127" s="63" t="s">
        <v>1354</v>
      </c>
      <c r="B127" s="63" t="s">
        <v>1399</v>
      </c>
      <c r="C127" s="63" t="s">
        <v>1403</v>
      </c>
      <c r="D127" s="66" t="s">
        <v>1053</v>
      </c>
      <c r="E127" s="65" t="s">
        <v>1055</v>
      </c>
      <c r="F127" s="64" t="s">
        <v>912</v>
      </c>
      <c r="G127" s="67" t="s">
        <v>913</v>
      </c>
      <c r="H127" s="67">
        <v>800</v>
      </c>
      <c r="I127" s="51">
        <v>2.5130838921940666</v>
      </c>
      <c r="J127" s="47" t="s">
        <v>9</v>
      </c>
    </row>
    <row r="128" spans="1:10">
      <c r="A128" s="63" t="s">
        <v>1354</v>
      </c>
      <c r="B128" s="63" t="s">
        <v>1404</v>
      </c>
      <c r="C128" s="63" t="s">
        <v>1404</v>
      </c>
      <c r="D128" s="66" t="s">
        <v>1057</v>
      </c>
      <c r="E128" s="65" t="s">
        <v>1058</v>
      </c>
      <c r="F128" s="64" t="s">
        <v>241</v>
      </c>
      <c r="G128" s="67" t="s">
        <v>1059</v>
      </c>
      <c r="H128" s="67">
        <v>120</v>
      </c>
      <c r="I128" s="51">
        <v>15.094746298003967</v>
      </c>
      <c r="J128" s="47" t="s">
        <v>5</v>
      </c>
    </row>
    <row r="129" spans="1:10">
      <c r="A129" s="63" t="s">
        <v>1354</v>
      </c>
      <c r="B129" s="63" t="s">
        <v>1404</v>
      </c>
      <c r="C129" s="63" t="s">
        <v>1404</v>
      </c>
      <c r="D129" s="66" t="s">
        <v>1060</v>
      </c>
      <c r="E129" s="65" t="s">
        <v>1061</v>
      </c>
      <c r="F129" s="64" t="s">
        <v>241</v>
      </c>
      <c r="G129" s="67" t="s">
        <v>1059</v>
      </c>
      <c r="H129" s="67">
        <v>120</v>
      </c>
      <c r="I129" s="51">
        <v>13.640778401587895</v>
      </c>
      <c r="J129" s="47" t="s">
        <v>5</v>
      </c>
    </row>
    <row r="130" spans="1:10">
      <c r="A130" s="63" t="s">
        <v>1354</v>
      </c>
      <c r="B130" s="63" t="s">
        <v>1404</v>
      </c>
      <c r="C130" s="63" t="s">
        <v>1404</v>
      </c>
      <c r="D130" s="66" t="s">
        <v>1063</v>
      </c>
      <c r="E130" s="65" t="s">
        <v>1322</v>
      </c>
      <c r="F130" s="64" t="s">
        <v>241</v>
      </c>
      <c r="G130" s="67" t="s">
        <v>635</v>
      </c>
      <c r="H130" s="67">
        <v>500</v>
      </c>
      <c r="I130" s="51">
        <v>1.7525708760898069</v>
      </c>
      <c r="J130" s="47" t="s">
        <v>5</v>
      </c>
    </row>
    <row r="131" spans="1:10">
      <c r="A131" s="63" t="s">
        <v>1354</v>
      </c>
      <c r="B131" s="63" t="s">
        <v>1404</v>
      </c>
      <c r="C131" s="63" t="s">
        <v>1404</v>
      </c>
      <c r="D131" s="66" t="s">
        <v>1065</v>
      </c>
      <c r="E131" s="65" t="s">
        <v>1324</v>
      </c>
      <c r="F131" s="64" t="s">
        <v>241</v>
      </c>
      <c r="G131" s="67" t="s">
        <v>635</v>
      </c>
      <c r="H131" s="67">
        <v>500</v>
      </c>
      <c r="I131" s="51">
        <v>1.7525708760898069</v>
      </c>
      <c r="J131" s="47" t="s">
        <v>5</v>
      </c>
    </row>
    <row r="132" spans="1:10">
      <c r="A132" s="63" t="s">
        <v>1354</v>
      </c>
      <c r="B132" s="63" t="s">
        <v>1404</v>
      </c>
      <c r="C132" s="63" t="s">
        <v>1404</v>
      </c>
      <c r="D132" s="66" t="s">
        <v>1067</v>
      </c>
      <c r="E132" s="65" t="s">
        <v>1323</v>
      </c>
      <c r="F132" s="64" t="s">
        <v>241</v>
      </c>
      <c r="G132" s="67" t="s">
        <v>635</v>
      </c>
      <c r="H132" s="67">
        <v>500</v>
      </c>
      <c r="I132" s="51">
        <v>1.7525708760898069</v>
      </c>
      <c r="J132" s="47" t="s">
        <v>5</v>
      </c>
    </row>
    <row r="133" spans="1:10">
      <c r="A133" s="63" t="s">
        <v>1354</v>
      </c>
      <c r="B133" s="63" t="s">
        <v>1404</v>
      </c>
      <c r="C133" s="63" t="s">
        <v>1404</v>
      </c>
      <c r="D133" s="66" t="s">
        <v>1069</v>
      </c>
      <c r="E133" s="65" t="s">
        <v>1325</v>
      </c>
      <c r="F133" s="64" t="s">
        <v>241</v>
      </c>
      <c r="G133" s="67" t="s">
        <v>635</v>
      </c>
      <c r="H133" s="67">
        <v>500</v>
      </c>
      <c r="I133" s="51">
        <v>1.7525708760898069</v>
      </c>
      <c r="J133" s="47" t="s">
        <v>5</v>
      </c>
    </row>
    <row r="134" spans="1:10">
      <c r="A134" s="63" t="s">
        <v>1354</v>
      </c>
      <c r="B134" s="63" t="s">
        <v>1404</v>
      </c>
      <c r="C134" s="63" t="s">
        <v>1404</v>
      </c>
      <c r="D134" s="66" t="s">
        <v>1413</v>
      </c>
      <c r="E134" s="65" t="s">
        <v>1074</v>
      </c>
      <c r="F134" s="64" t="s">
        <v>241</v>
      </c>
      <c r="G134" s="67" t="s">
        <v>635</v>
      </c>
      <c r="H134" s="67">
        <v>500</v>
      </c>
      <c r="I134" s="51">
        <v>1.7525708760898069</v>
      </c>
      <c r="J134" s="47" t="s">
        <v>5</v>
      </c>
    </row>
    <row r="135" spans="1:10">
      <c r="A135" s="63" t="s">
        <v>1354</v>
      </c>
      <c r="B135" s="63" t="s">
        <v>1404</v>
      </c>
      <c r="C135" s="63" t="s">
        <v>1404</v>
      </c>
      <c r="D135" s="66" t="s">
        <v>1335</v>
      </c>
      <c r="E135" s="65" t="s">
        <v>1359</v>
      </c>
      <c r="F135" s="64" t="s">
        <v>1344</v>
      </c>
      <c r="G135" s="67" t="s">
        <v>635</v>
      </c>
      <c r="H135" s="67">
        <v>500</v>
      </c>
      <c r="I135" s="51">
        <v>9.1999999999999993</v>
      </c>
      <c r="J135" s="47"/>
    </row>
    <row r="136" spans="1:10">
      <c r="A136" s="63" t="s">
        <v>1354</v>
      </c>
      <c r="B136" s="63" t="s">
        <v>1404</v>
      </c>
      <c r="C136" s="63" t="s">
        <v>1404</v>
      </c>
      <c r="D136" s="66" t="s">
        <v>1337</v>
      </c>
      <c r="E136" s="65" t="s">
        <v>1360</v>
      </c>
      <c r="F136" s="64" t="s">
        <v>1345</v>
      </c>
      <c r="G136" s="67" t="s">
        <v>635</v>
      </c>
      <c r="H136" s="67">
        <v>500</v>
      </c>
      <c r="I136" s="51">
        <v>5.95</v>
      </c>
      <c r="J136" s="47"/>
    </row>
    <row r="137" spans="1:10">
      <c r="A137" s="63" t="s">
        <v>1354</v>
      </c>
      <c r="B137" s="63" t="s">
        <v>1404</v>
      </c>
      <c r="C137" s="63" t="s">
        <v>1404</v>
      </c>
      <c r="D137" s="66" t="s">
        <v>1336</v>
      </c>
      <c r="E137" s="65" t="s">
        <v>1361</v>
      </c>
      <c r="F137" s="64" t="s">
        <v>1346</v>
      </c>
      <c r="G137" s="67" t="s">
        <v>635</v>
      </c>
      <c r="H137" s="67">
        <v>500</v>
      </c>
      <c r="I137" s="51">
        <v>7.99</v>
      </c>
      <c r="J137" s="47"/>
    </row>
    <row r="138" spans="1:10">
      <c r="A138" s="63" t="s">
        <v>1354</v>
      </c>
      <c r="B138" s="63" t="s">
        <v>1404</v>
      </c>
      <c r="C138" s="63" t="s">
        <v>1404</v>
      </c>
      <c r="D138" s="66" t="s">
        <v>1338</v>
      </c>
      <c r="E138" s="65" t="s">
        <v>1362</v>
      </c>
      <c r="F138" s="64" t="s">
        <v>1347</v>
      </c>
      <c r="G138" s="67" t="s">
        <v>635</v>
      </c>
      <c r="H138" s="67">
        <v>500</v>
      </c>
      <c r="I138" s="51">
        <v>12.45</v>
      </c>
      <c r="J138" s="47"/>
    </row>
    <row r="139" spans="1:10">
      <c r="A139" s="63" t="s">
        <v>1354</v>
      </c>
      <c r="B139" s="63" t="s">
        <v>1404</v>
      </c>
      <c r="C139" s="63" t="s">
        <v>1404</v>
      </c>
      <c r="D139" s="66" t="s">
        <v>1339</v>
      </c>
      <c r="E139" s="65" t="s">
        <v>1363</v>
      </c>
      <c r="F139" s="64" t="s">
        <v>1348</v>
      </c>
      <c r="G139" s="67" t="s">
        <v>635</v>
      </c>
      <c r="H139" s="67">
        <v>500</v>
      </c>
      <c r="I139" s="51">
        <v>6.75</v>
      </c>
      <c r="J139" s="47"/>
    </row>
    <row r="140" spans="1:10">
      <c r="A140" s="63" t="s">
        <v>1354</v>
      </c>
      <c r="B140" s="63" t="s">
        <v>1404</v>
      </c>
      <c r="C140" s="63" t="s">
        <v>1404</v>
      </c>
      <c r="D140" s="66" t="s">
        <v>1340</v>
      </c>
      <c r="E140" s="65" t="s">
        <v>1364</v>
      </c>
      <c r="F140" s="64" t="s">
        <v>1349</v>
      </c>
      <c r="G140" s="67" t="s">
        <v>635</v>
      </c>
      <c r="H140" s="67">
        <v>500</v>
      </c>
      <c r="I140" s="51">
        <v>9.1999999999999993</v>
      </c>
      <c r="J140" s="47"/>
    </row>
    <row r="141" spans="1:10">
      <c r="A141" s="63" t="s">
        <v>1354</v>
      </c>
      <c r="B141" s="63" t="s">
        <v>1404</v>
      </c>
      <c r="C141" s="63" t="s">
        <v>1404</v>
      </c>
      <c r="D141" s="66" t="s">
        <v>1341</v>
      </c>
      <c r="E141" s="65" t="s">
        <v>1365</v>
      </c>
      <c r="F141" s="64" t="s">
        <v>1350</v>
      </c>
      <c r="G141" s="67" t="s">
        <v>635</v>
      </c>
      <c r="H141" s="67">
        <v>500</v>
      </c>
      <c r="I141" s="51">
        <v>5.95</v>
      </c>
      <c r="J141" s="47"/>
    </row>
    <row r="142" spans="1:10">
      <c r="A142" s="63" t="s">
        <v>1354</v>
      </c>
      <c r="B142" s="63" t="s">
        <v>1404</v>
      </c>
      <c r="C142" s="63" t="s">
        <v>1404</v>
      </c>
      <c r="D142" s="66" t="s">
        <v>1342</v>
      </c>
      <c r="E142" s="65" t="s">
        <v>1366</v>
      </c>
      <c r="F142" s="64" t="s">
        <v>1351</v>
      </c>
      <c r="G142" s="67" t="s">
        <v>635</v>
      </c>
      <c r="H142" s="67">
        <v>500</v>
      </c>
      <c r="I142" s="51">
        <v>12.45</v>
      </c>
      <c r="J142" s="47"/>
    </row>
    <row r="143" spans="1:10">
      <c r="A143" s="63" t="s">
        <v>1354</v>
      </c>
      <c r="B143" s="63" t="s">
        <v>1404</v>
      </c>
      <c r="C143" s="63" t="s">
        <v>1404</v>
      </c>
      <c r="D143" s="66" t="s">
        <v>1343</v>
      </c>
      <c r="E143" s="65" t="s">
        <v>1367</v>
      </c>
      <c r="F143" s="64" t="s">
        <v>1352</v>
      </c>
      <c r="G143" s="67" t="s">
        <v>635</v>
      </c>
      <c r="H143" s="67">
        <v>500</v>
      </c>
      <c r="I143" s="51">
        <v>6.75</v>
      </c>
      <c r="J143" s="47"/>
    </row>
    <row r="144" spans="1:10">
      <c r="A144" s="63" t="s">
        <v>1354</v>
      </c>
      <c r="B144" s="63" t="s">
        <v>1079</v>
      </c>
      <c r="C144" s="63" t="s">
        <v>685</v>
      </c>
      <c r="D144" s="66" t="s">
        <v>1080</v>
      </c>
      <c r="E144" s="65" t="s">
        <v>1082</v>
      </c>
      <c r="F144" s="64" t="s">
        <v>912</v>
      </c>
      <c r="G144" s="67" t="s">
        <v>635</v>
      </c>
      <c r="H144" s="67">
        <v>4800</v>
      </c>
      <c r="I144" s="51">
        <v>0.48370036106258618</v>
      </c>
      <c r="J144" s="47" t="s">
        <v>9</v>
      </c>
    </row>
    <row r="145" spans="1:10">
      <c r="A145" s="63" t="s">
        <v>1354</v>
      </c>
      <c r="B145" s="63" t="s">
        <v>1079</v>
      </c>
      <c r="C145" s="63" t="s">
        <v>685</v>
      </c>
      <c r="D145" s="66" t="s">
        <v>1083</v>
      </c>
      <c r="E145" s="65" t="s">
        <v>1085</v>
      </c>
      <c r="F145" s="64" t="s">
        <v>912</v>
      </c>
      <c r="G145" s="67" t="s">
        <v>635</v>
      </c>
      <c r="H145" s="67">
        <v>7200</v>
      </c>
      <c r="I145" s="51">
        <v>0.47501980550703066</v>
      </c>
      <c r="J145" s="47" t="s">
        <v>9</v>
      </c>
    </row>
    <row r="146" spans="1:10">
      <c r="A146" s="63" t="s">
        <v>1354</v>
      </c>
      <c r="B146" s="63" t="s">
        <v>1079</v>
      </c>
      <c r="C146" s="63" t="s">
        <v>765</v>
      </c>
      <c r="D146" s="66" t="s">
        <v>1086</v>
      </c>
      <c r="E146" s="65" t="s">
        <v>1088</v>
      </c>
      <c r="F146" s="64" t="s">
        <v>912</v>
      </c>
      <c r="G146" s="67" t="s">
        <v>635</v>
      </c>
      <c r="H146" s="67">
        <v>4800</v>
      </c>
      <c r="I146" s="51">
        <v>0.60972232038899876</v>
      </c>
      <c r="J146" s="47" t="s">
        <v>9</v>
      </c>
    </row>
    <row r="147" spans="1:10">
      <c r="A147" s="63" t="s">
        <v>1354</v>
      </c>
      <c r="B147" s="63" t="s">
        <v>1079</v>
      </c>
      <c r="C147" s="63" t="s">
        <v>765</v>
      </c>
      <c r="D147" s="66" t="s">
        <v>1089</v>
      </c>
      <c r="E147" s="65" t="s">
        <v>1090</v>
      </c>
      <c r="F147" s="64" t="s">
        <v>912</v>
      </c>
      <c r="G147" s="67" t="s">
        <v>635</v>
      </c>
      <c r="H147" s="67">
        <v>7200</v>
      </c>
      <c r="I147" s="51">
        <v>0.60104176483344329</v>
      </c>
      <c r="J147" s="47" t="s">
        <v>9</v>
      </c>
    </row>
    <row r="148" spans="1:10">
      <c r="A148" s="63" t="s">
        <v>1354</v>
      </c>
      <c r="B148" s="63" t="s">
        <v>1079</v>
      </c>
      <c r="C148" s="63" t="s">
        <v>839</v>
      </c>
      <c r="D148" s="66" t="s">
        <v>1097</v>
      </c>
      <c r="E148" s="65" t="s">
        <v>1099</v>
      </c>
      <c r="F148" s="64" t="s">
        <v>912</v>
      </c>
      <c r="G148" s="67" t="s">
        <v>635</v>
      </c>
      <c r="H148" s="67">
        <v>4800</v>
      </c>
      <c r="I148" s="51">
        <v>0.43892940182820278</v>
      </c>
      <c r="J148" s="47" t="s">
        <v>9</v>
      </c>
    </row>
    <row r="149" spans="1:10">
      <c r="A149" s="63" t="s">
        <v>1354</v>
      </c>
      <c r="B149" s="63" t="s">
        <v>1079</v>
      </c>
      <c r="C149" s="63" t="s">
        <v>839</v>
      </c>
      <c r="D149" s="66" t="s">
        <v>1100</v>
      </c>
      <c r="E149" s="65" t="s">
        <v>1101</v>
      </c>
      <c r="F149" s="64" t="s">
        <v>912</v>
      </c>
      <c r="G149" s="67" t="s">
        <v>635</v>
      </c>
      <c r="H149" s="67">
        <v>7200</v>
      </c>
      <c r="I149" s="51">
        <v>0.43024884627264726</v>
      </c>
      <c r="J149" s="47" t="s">
        <v>9</v>
      </c>
    </row>
    <row r="150" spans="1:10" s="37" customFormat="1">
      <c r="A150" s="63" t="s">
        <v>1354</v>
      </c>
      <c r="B150" s="63" t="s">
        <v>1384</v>
      </c>
      <c r="C150" s="63" t="s">
        <v>1385</v>
      </c>
      <c r="D150" s="66" t="s">
        <v>687</v>
      </c>
      <c r="E150" s="65" t="s">
        <v>689</v>
      </c>
      <c r="F150" s="64" t="s">
        <v>197</v>
      </c>
      <c r="G150" s="67" t="s">
        <v>690</v>
      </c>
      <c r="H150" s="67">
        <v>4</v>
      </c>
      <c r="I150" s="69">
        <v>472.85714285714289</v>
      </c>
      <c r="J150" s="47" t="s">
        <v>9</v>
      </c>
    </row>
    <row r="151" spans="1:10" s="37" customFormat="1">
      <c r="A151" s="63" t="s">
        <v>1354</v>
      </c>
      <c r="B151" s="63" t="s">
        <v>1384</v>
      </c>
      <c r="C151" s="63" t="s">
        <v>1385</v>
      </c>
      <c r="D151" s="66" t="s">
        <v>693</v>
      </c>
      <c r="E151" s="65" t="s">
        <v>695</v>
      </c>
      <c r="F151" s="64" t="s">
        <v>197</v>
      </c>
      <c r="G151" s="67" t="s">
        <v>690</v>
      </c>
      <c r="H151" s="67">
        <v>4</v>
      </c>
      <c r="I151" s="69">
        <v>544.28571428571433</v>
      </c>
      <c r="J151" s="47" t="s">
        <v>9</v>
      </c>
    </row>
    <row r="152" spans="1:10">
      <c r="A152" s="63" t="s">
        <v>1354</v>
      </c>
      <c r="B152" s="63" t="s">
        <v>1384</v>
      </c>
      <c r="C152" s="63" t="s">
        <v>1385</v>
      </c>
      <c r="D152" s="66" t="s">
        <v>696</v>
      </c>
      <c r="E152" s="65" t="s">
        <v>698</v>
      </c>
      <c r="F152" s="64" t="s">
        <v>197</v>
      </c>
      <c r="G152" s="67" t="s">
        <v>690</v>
      </c>
      <c r="H152" s="67">
        <v>4</v>
      </c>
      <c r="I152" s="69">
        <v>688.57142857142867</v>
      </c>
      <c r="J152" s="47" t="s">
        <v>9</v>
      </c>
    </row>
    <row r="153" spans="1:10">
      <c r="A153" s="63" t="s">
        <v>1354</v>
      </c>
      <c r="B153" s="63" t="s">
        <v>1384</v>
      </c>
      <c r="C153" s="63" t="s">
        <v>1385</v>
      </c>
      <c r="D153" s="66" t="s">
        <v>699</v>
      </c>
      <c r="E153" s="65" t="s">
        <v>701</v>
      </c>
      <c r="F153" s="64" t="s">
        <v>197</v>
      </c>
      <c r="G153" s="67" t="s">
        <v>690</v>
      </c>
      <c r="H153" s="67">
        <v>4</v>
      </c>
      <c r="I153" s="69">
        <v>1132.8571428571429</v>
      </c>
      <c r="J153" s="47" t="s">
        <v>9</v>
      </c>
    </row>
    <row r="154" spans="1:10">
      <c r="A154" s="63" t="s">
        <v>1354</v>
      </c>
      <c r="B154" s="63" t="s">
        <v>1384</v>
      </c>
      <c r="C154" s="63" t="s">
        <v>1386</v>
      </c>
      <c r="D154" s="66" t="s">
        <v>703</v>
      </c>
      <c r="E154" s="65" t="s">
        <v>705</v>
      </c>
      <c r="F154" s="64" t="s">
        <v>197</v>
      </c>
      <c r="G154" s="67" t="s">
        <v>690</v>
      </c>
      <c r="H154" s="67">
        <v>4</v>
      </c>
      <c r="I154" s="69">
        <v>482.85714285714289</v>
      </c>
      <c r="J154" s="47" t="s">
        <v>9</v>
      </c>
    </row>
    <row r="155" spans="1:10">
      <c r="A155" s="63" t="s">
        <v>1354</v>
      </c>
      <c r="B155" s="63" t="s">
        <v>1384</v>
      </c>
      <c r="C155" s="63" t="s">
        <v>1386</v>
      </c>
      <c r="D155" s="66" t="s">
        <v>706</v>
      </c>
      <c r="E155" s="65" t="s">
        <v>708</v>
      </c>
      <c r="F155" s="64" t="s">
        <v>197</v>
      </c>
      <c r="G155" s="67" t="s">
        <v>690</v>
      </c>
      <c r="H155" s="67">
        <v>4</v>
      </c>
      <c r="I155" s="69">
        <v>571.42857142857144</v>
      </c>
      <c r="J155" s="47" t="s">
        <v>9</v>
      </c>
    </row>
    <row r="156" spans="1:10">
      <c r="A156" s="63" t="s">
        <v>1354</v>
      </c>
      <c r="B156" s="63" t="s">
        <v>1384</v>
      </c>
      <c r="C156" s="63" t="s">
        <v>1386</v>
      </c>
      <c r="D156" s="66" t="s">
        <v>709</v>
      </c>
      <c r="E156" s="65" t="s">
        <v>711</v>
      </c>
      <c r="F156" s="64" t="s">
        <v>197</v>
      </c>
      <c r="G156" s="67" t="s">
        <v>690</v>
      </c>
      <c r="H156" s="67">
        <v>4</v>
      </c>
      <c r="I156" s="69">
        <v>742.85714285714289</v>
      </c>
      <c r="J156" s="47" t="s">
        <v>9</v>
      </c>
    </row>
    <row r="157" spans="1:10" s="37" customFormat="1">
      <c r="A157" s="63" t="s">
        <v>1354</v>
      </c>
      <c r="B157" s="63" t="s">
        <v>1384</v>
      </c>
      <c r="C157" s="63" t="s">
        <v>1386</v>
      </c>
      <c r="D157" s="66" t="s">
        <v>712</v>
      </c>
      <c r="E157" s="65" t="s">
        <v>714</v>
      </c>
      <c r="F157" s="64" t="s">
        <v>715</v>
      </c>
      <c r="G157" s="67" t="s">
        <v>716</v>
      </c>
      <c r="H157" s="67">
        <v>2</v>
      </c>
      <c r="I157" s="69">
        <v>1300</v>
      </c>
      <c r="J157" s="47" t="s">
        <v>9</v>
      </c>
    </row>
    <row r="158" spans="1:10" s="37" customFormat="1">
      <c r="A158" s="63" t="s">
        <v>1354</v>
      </c>
      <c r="B158" s="63" t="s">
        <v>1384</v>
      </c>
      <c r="C158" s="63" t="s">
        <v>1387</v>
      </c>
      <c r="D158" s="66" t="s">
        <v>718</v>
      </c>
      <c r="E158" s="65" t="s">
        <v>720</v>
      </c>
      <c r="F158" s="64" t="s">
        <v>197</v>
      </c>
      <c r="G158" s="67" t="s">
        <v>690</v>
      </c>
      <c r="H158" s="67">
        <v>4</v>
      </c>
      <c r="I158" s="69">
        <v>418.57142857142861</v>
      </c>
      <c r="J158" s="47" t="s">
        <v>9</v>
      </c>
    </row>
    <row r="159" spans="1:10">
      <c r="A159" s="63" t="s">
        <v>1354</v>
      </c>
      <c r="B159" s="63" t="s">
        <v>1384</v>
      </c>
      <c r="C159" s="63" t="s">
        <v>1387</v>
      </c>
      <c r="D159" s="66" t="s">
        <v>721</v>
      </c>
      <c r="E159" s="65" t="s">
        <v>723</v>
      </c>
      <c r="F159" s="64" t="s">
        <v>197</v>
      </c>
      <c r="G159" s="67" t="s">
        <v>690</v>
      </c>
      <c r="H159" s="67">
        <v>4</v>
      </c>
      <c r="I159" s="69">
        <v>487.14285714285717</v>
      </c>
      <c r="J159" s="47" t="s">
        <v>9</v>
      </c>
    </row>
    <row r="160" spans="1:10">
      <c r="A160" s="60" t="s">
        <v>1354</v>
      </c>
      <c r="B160" s="63" t="s">
        <v>1384</v>
      </c>
      <c r="C160" s="63" t="s">
        <v>1387</v>
      </c>
      <c r="D160" s="66" t="s">
        <v>724</v>
      </c>
      <c r="E160" s="65" t="s">
        <v>726</v>
      </c>
      <c r="F160" s="61" t="s">
        <v>197</v>
      </c>
      <c r="G160" s="62" t="s">
        <v>690</v>
      </c>
      <c r="H160" s="62">
        <v>4</v>
      </c>
      <c r="I160" s="69">
        <v>625.71428571428578</v>
      </c>
      <c r="J160" s="47" t="s">
        <v>9</v>
      </c>
    </row>
    <row r="161" spans="1:10">
      <c r="A161" s="63" t="s">
        <v>1354</v>
      </c>
      <c r="B161" s="63" t="s">
        <v>1384</v>
      </c>
      <c r="C161" s="63" t="s">
        <v>1387</v>
      </c>
      <c r="D161" s="66" t="s">
        <v>727</v>
      </c>
      <c r="E161" s="65" t="s">
        <v>729</v>
      </c>
      <c r="F161" s="61" t="s">
        <v>197</v>
      </c>
      <c r="G161" s="67" t="s">
        <v>690</v>
      </c>
      <c r="H161" s="67">
        <v>4</v>
      </c>
      <c r="I161" s="69">
        <v>1050</v>
      </c>
      <c r="J161" s="47" t="s">
        <v>9</v>
      </c>
    </row>
    <row r="162" spans="1:10">
      <c r="A162" s="60" t="s">
        <v>1354</v>
      </c>
      <c r="B162" s="63" t="s">
        <v>1384</v>
      </c>
      <c r="C162" s="63" t="s">
        <v>1388</v>
      </c>
      <c r="D162" s="66" t="s">
        <v>731</v>
      </c>
      <c r="E162" s="65" t="s">
        <v>733</v>
      </c>
      <c r="F162" s="61" t="s">
        <v>197</v>
      </c>
      <c r="G162" s="62" t="s">
        <v>690</v>
      </c>
      <c r="H162" s="62">
        <v>4</v>
      </c>
      <c r="I162" s="69">
        <v>507.14285714285717</v>
      </c>
      <c r="J162" s="47" t="s">
        <v>9</v>
      </c>
    </row>
    <row r="163" spans="1:10">
      <c r="A163" s="63" t="s">
        <v>1354</v>
      </c>
      <c r="B163" s="63" t="s">
        <v>1384</v>
      </c>
      <c r="C163" s="63" t="s">
        <v>1388</v>
      </c>
      <c r="D163" s="66" t="s">
        <v>734</v>
      </c>
      <c r="E163" s="65" t="s">
        <v>736</v>
      </c>
      <c r="F163" s="61" t="s">
        <v>197</v>
      </c>
      <c r="G163" s="67" t="s">
        <v>690</v>
      </c>
      <c r="H163" s="67">
        <v>4</v>
      </c>
      <c r="I163" s="69">
        <v>578.57142857142856</v>
      </c>
      <c r="J163" s="47" t="s">
        <v>9</v>
      </c>
    </row>
    <row r="164" spans="1:10">
      <c r="A164" s="63" t="s">
        <v>1354</v>
      </c>
      <c r="B164" s="63" t="s">
        <v>1384</v>
      </c>
      <c r="C164" s="63" t="s">
        <v>1388</v>
      </c>
      <c r="D164" s="66" t="s">
        <v>737</v>
      </c>
      <c r="E164" s="65" t="s">
        <v>739</v>
      </c>
      <c r="F164" s="61" t="s">
        <v>197</v>
      </c>
      <c r="G164" s="67" t="s">
        <v>690</v>
      </c>
      <c r="H164" s="67">
        <v>4</v>
      </c>
      <c r="I164" s="69">
        <v>714.28571428571433</v>
      </c>
      <c r="J164" s="47" t="s">
        <v>9</v>
      </c>
    </row>
    <row r="165" spans="1:10">
      <c r="A165" s="60" t="s">
        <v>1354</v>
      </c>
      <c r="B165" s="63" t="s">
        <v>1384</v>
      </c>
      <c r="C165" s="63" t="s">
        <v>1388</v>
      </c>
      <c r="D165" s="66" t="s">
        <v>740</v>
      </c>
      <c r="E165" s="65" t="s">
        <v>742</v>
      </c>
      <c r="F165" s="61" t="s">
        <v>197</v>
      </c>
      <c r="G165" s="62" t="s">
        <v>690</v>
      </c>
      <c r="H165" s="62">
        <v>4</v>
      </c>
      <c r="I165" s="69">
        <v>1150</v>
      </c>
      <c r="J165" s="47" t="s">
        <v>9</v>
      </c>
    </row>
    <row r="166" spans="1:10">
      <c r="A166" s="63" t="s">
        <v>1354</v>
      </c>
      <c r="B166" s="63" t="s">
        <v>1384</v>
      </c>
      <c r="C166" s="63" t="s">
        <v>1385</v>
      </c>
      <c r="D166" s="66" t="s">
        <v>744</v>
      </c>
      <c r="E166" s="65" t="s">
        <v>746</v>
      </c>
      <c r="F166" s="64" t="s">
        <v>197</v>
      </c>
      <c r="G166" s="67" t="s">
        <v>690</v>
      </c>
      <c r="H166" s="67">
        <v>4</v>
      </c>
      <c r="I166" s="69">
        <v>2307.1428571428573</v>
      </c>
      <c r="J166" s="47" t="s">
        <v>9</v>
      </c>
    </row>
    <row r="167" spans="1:10">
      <c r="A167" s="60" t="s">
        <v>1354</v>
      </c>
      <c r="B167" s="63" t="s">
        <v>1384</v>
      </c>
      <c r="C167" s="63" t="s">
        <v>1385</v>
      </c>
      <c r="D167" s="66" t="s">
        <v>748</v>
      </c>
      <c r="E167" s="65" t="s">
        <v>750</v>
      </c>
      <c r="F167" s="61" t="s">
        <v>197</v>
      </c>
      <c r="G167" s="62" t="s">
        <v>690</v>
      </c>
      <c r="H167" s="62">
        <v>4</v>
      </c>
      <c r="I167" s="69">
        <v>3992.8571428571431</v>
      </c>
      <c r="J167" s="47" t="s">
        <v>9</v>
      </c>
    </row>
    <row r="168" spans="1:10">
      <c r="A168" s="63" t="s">
        <v>1354</v>
      </c>
      <c r="B168" s="63" t="s">
        <v>1384</v>
      </c>
      <c r="C168" s="63" t="s">
        <v>1387</v>
      </c>
      <c r="D168" s="66" t="s">
        <v>752</v>
      </c>
      <c r="E168" s="65" t="s">
        <v>754</v>
      </c>
      <c r="F168" s="64" t="s">
        <v>197</v>
      </c>
      <c r="G168" s="67" t="s">
        <v>690</v>
      </c>
      <c r="H168" s="67">
        <v>4</v>
      </c>
      <c r="I168" s="69">
        <v>2214.2857142857142</v>
      </c>
      <c r="J168" s="47" t="s">
        <v>9</v>
      </c>
    </row>
    <row r="169" spans="1:10">
      <c r="A169" s="63" t="s">
        <v>1354</v>
      </c>
      <c r="B169" s="63" t="s">
        <v>1384</v>
      </c>
      <c r="C169" s="63" t="s">
        <v>1387</v>
      </c>
      <c r="D169" s="66" t="s">
        <v>755</v>
      </c>
      <c r="E169" s="65" t="s">
        <v>757</v>
      </c>
      <c r="F169" s="64" t="s">
        <v>197</v>
      </c>
      <c r="G169" s="67" t="s">
        <v>690</v>
      </c>
      <c r="H169" s="67">
        <v>4</v>
      </c>
      <c r="I169" s="69">
        <v>3864.2857142857147</v>
      </c>
      <c r="J169" s="47" t="s">
        <v>9</v>
      </c>
    </row>
    <row r="170" spans="1:10">
      <c r="A170" s="63" t="s">
        <v>1354</v>
      </c>
      <c r="B170" s="63" t="s">
        <v>1384</v>
      </c>
      <c r="C170" s="63" t="s">
        <v>1388</v>
      </c>
      <c r="D170" s="66" t="s">
        <v>759</v>
      </c>
      <c r="E170" s="65" t="s">
        <v>761</v>
      </c>
      <c r="F170" s="64" t="s">
        <v>197</v>
      </c>
      <c r="G170" s="67" t="s">
        <v>690</v>
      </c>
      <c r="H170" s="67">
        <v>4</v>
      </c>
      <c r="I170" s="69">
        <v>2350</v>
      </c>
      <c r="J170" s="47" t="s">
        <v>9</v>
      </c>
    </row>
    <row r="171" spans="1:10">
      <c r="A171" s="63" t="s">
        <v>1354</v>
      </c>
      <c r="B171" s="63" t="s">
        <v>1384</v>
      </c>
      <c r="C171" s="63" t="s">
        <v>1388</v>
      </c>
      <c r="D171" s="66" t="s">
        <v>762</v>
      </c>
      <c r="E171" s="65" t="s">
        <v>764</v>
      </c>
      <c r="F171" s="64" t="s">
        <v>197</v>
      </c>
      <c r="G171" s="67" t="s">
        <v>690</v>
      </c>
      <c r="H171" s="67">
        <v>4</v>
      </c>
      <c r="I171" s="69">
        <v>4028.5714285714289</v>
      </c>
      <c r="J171" s="47" t="s">
        <v>9</v>
      </c>
    </row>
    <row r="172" spans="1:10">
      <c r="A172" s="63" t="s">
        <v>1354</v>
      </c>
      <c r="B172" s="63" t="s">
        <v>1384</v>
      </c>
      <c r="C172" s="63" t="s">
        <v>1389</v>
      </c>
      <c r="D172" s="66" t="s">
        <v>766</v>
      </c>
      <c r="E172" s="65" t="s">
        <v>768</v>
      </c>
      <c r="F172" s="64" t="s">
        <v>197</v>
      </c>
      <c r="G172" s="67" t="s">
        <v>690</v>
      </c>
      <c r="H172" s="67">
        <v>4</v>
      </c>
      <c r="I172" s="69">
        <v>820.58823529411768</v>
      </c>
      <c r="J172" s="47" t="s">
        <v>9</v>
      </c>
    </row>
    <row r="173" spans="1:10">
      <c r="A173" s="63" t="s">
        <v>1354</v>
      </c>
      <c r="B173" s="63" t="s">
        <v>1384</v>
      </c>
      <c r="C173" s="63" t="s">
        <v>1389</v>
      </c>
      <c r="D173" s="66" t="s">
        <v>769</v>
      </c>
      <c r="E173" s="65" t="s">
        <v>771</v>
      </c>
      <c r="F173" s="64" t="s">
        <v>197</v>
      </c>
      <c r="G173" s="67" t="s">
        <v>690</v>
      </c>
      <c r="H173" s="67">
        <v>4</v>
      </c>
      <c r="I173" s="69">
        <v>1005.8823529411766</v>
      </c>
      <c r="J173" s="47" t="s">
        <v>9</v>
      </c>
    </row>
    <row r="174" spans="1:10">
      <c r="A174" s="63" t="s">
        <v>1354</v>
      </c>
      <c r="B174" s="63" t="s">
        <v>1384</v>
      </c>
      <c r="C174" s="63" t="s">
        <v>1389</v>
      </c>
      <c r="D174" s="66" t="s">
        <v>772</v>
      </c>
      <c r="E174" s="65" t="s">
        <v>774</v>
      </c>
      <c r="F174" s="64" t="s">
        <v>197</v>
      </c>
      <c r="G174" s="67" t="s">
        <v>690</v>
      </c>
      <c r="H174" s="67">
        <v>4</v>
      </c>
      <c r="I174" s="69">
        <v>1376.4705882352941</v>
      </c>
      <c r="J174" s="47" t="s">
        <v>9</v>
      </c>
    </row>
    <row r="175" spans="1:10">
      <c r="A175" s="63" t="s">
        <v>1354</v>
      </c>
      <c r="B175" s="63" t="s">
        <v>1384</v>
      </c>
      <c r="C175" s="63" t="s">
        <v>1389</v>
      </c>
      <c r="D175" s="66" t="s">
        <v>775</v>
      </c>
      <c r="E175" s="65" t="s">
        <v>777</v>
      </c>
      <c r="F175" s="64" t="s">
        <v>197</v>
      </c>
      <c r="G175" s="67" t="s">
        <v>690</v>
      </c>
      <c r="H175" s="67">
        <v>4</v>
      </c>
      <c r="I175" s="69">
        <v>2500.0000000000005</v>
      </c>
      <c r="J175" s="47" t="s">
        <v>9</v>
      </c>
    </row>
    <row r="176" spans="1:10">
      <c r="A176" s="63" t="s">
        <v>1354</v>
      </c>
      <c r="B176" s="63" t="s">
        <v>1384</v>
      </c>
      <c r="C176" s="63" t="s">
        <v>1389</v>
      </c>
      <c r="D176" s="66" t="s">
        <v>778</v>
      </c>
      <c r="E176" s="65" t="s">
        <v>780</v>
      </c>
      <c r="F176" s="64" t="s">
        <v>197</v>
      </c>
      <c r="G176" s="67" t="s">
        <v>690</v>
      </c>
      <c r="H176" s="67">
        <v>4</v>
      </c>
      <c r="I176" s="69">
        <v>4992.6470588235297</v>
      </c>
      <c r="J176" s="47" t="s">
        <v>9</v>
      </c>
    </row>
    <row r="177" spans="1:10">
      <c r="A177" s="63" t="s">
        <v>1354</v>
      </c>
      <c r="B177" s="63" t="s">
        <v>1384</v>
      </c>
      <c r="C177" s="63" t="s">
        <v>1389</v>
      </c>
      <c r="D177" s="66" t="s">
        <v>781</v>
      </c>
      <c r="E177" s="65" t="s">
        <v>783</v>
      </c>
      <c r="F177" s="64" t="s">
        <v>197</v>
      </c>
      <c r="G177" s="67" t="s">
        <v>690</v>
      </c>
      <c r="H177" s="67">
        <v>4</v>
      </c>
      <c r="I177" s="69">
        <v>9117.6470588235297</v>
      </c>
      <c r="J177" s="47" t="s">
        <v>9</v>
      </c>
    </row>
    <row r="178" spans="1:10">
      <c r="A178" s="63" t="s">
        <v>1354</v>
      </c>
      <c r="B178" s="63" t="s">
        <v>1384</v>
      </c>
      <c r="C178" s="63" t="s">
        <v>1390</v>
      </c>
      <c r="D178" s="66" t="s">
        <v>784</v>
      </c>
      <c r="E178" s="65" t="s">
        <v>786</v>
      </c>
      <c r="F178" s="64" t="s">
        <v>197</v>
      </c>
      <c r="G178" s="67" t="s">
        <v>690</v>
      </c>
      <c r="H178" s="67">
        <v>4</v>
      </c>
      <c r="I178" s="69">
        <v>841.17647058823536</v>
      </c>
      <c r="J178" s="47" t="s">
        <v>9</v>
      </c>
    </row>
    <row r="179" spans="1:10">
      <c r="A179" s="63" t="s">
        <v>1354</v>
      </c>
      <c r="B179" s="63" t="s">
        <v>1384</v>
      </c>
      <c r="C179" s="63" t="s">
        <v>1390</v>
      </c>
      <c r="D179" s="66" t="s">
        <v>787</v>
      </c>
      <c r="E179" s="65" t="s">
        <v>789</v>
      </c>
      <c r="F179" s="64" t="s">
        <v>197</v>
      </c>
      <c r="G179" s="67" t="s">
        <v>690</v>
      </c>
      <c r="H179" s="67">
        <v>4</v>
      </c>
      <c r="I179" s="69">
        <v>1047.0588235294119</v>
      </c>
      <c r="J179" s="47" t="s">
        <v>9</v>
      </c>
    </row>
    <row r="180" spans="1:10">
      <c r="A180" s="63" t="s">
        <v>1354</v>
      </c>
      <c r="B180" s="63" t="s">
        <v>1384</v>
      </c>
      <c r="C180" s="63" t="s">
        <v>1390</v>
      </c>
      <c r="D180" s="66" t="s">
        <v>790</v>
      </c>
      <c r="E180" s="65" t="s">
        <v>792</v>
      </c>
      <c r="F180" s="64" t="s">
        <v>197</v>
      </c>
      <c r="G180" s="67" t="s">
        <v>690</v>
      </c>
      <c r="H180" s="67">
        <v>4</v>
      </c>
      <c r="I180" s="69">
        <v>1448.5294117647061</v>
      </c>
      <c r="J180" s="47" t="s">
        <v>9</v>
      </c>
    </row>
    <row r="181" spans="1:10" s="36" customFormat="1">
      <c r="A181" s="63" t="s">
        <v>1354</v>
      </c>
      <c r="B181" s="63" t="s">
        <v>1384</v>
      </c>
      <c r="C181" s="63" t="s">
        <v>1390</v>
      </c>
      <c r="D181" s="66" t="s">
        <v>793</v>
      </c>
      <c r="E181" s="65" t="s">
        <v>795</v>
      </c>
      <c r="F181" s="64" t="s">
        <v>715</v>
      </c>
      <c r="G181" s="67" t="s">
        <v>716</v>
      </c>
      <c r="H181" s="67">
        <v>2</v>
      </c>
      <c r="I181" s="69">
        <v>2720.588235294118</v>
      </c>
      <c r="J181" s="47" t="s">
        <v>9</v>
      </c>
    </row>
    <row r="182" spans="1:10">
      <c r="A182" s="63" t="s">
        <v>1354</v>
      </c>
      <c r="B182" s="63" t="s">
        <v>1384</v>
      </c>
      <c r="C182" s="63" t="s">
        <v>1391</v>
      </c>
      <c r="D182" s="66" t="s">
        <v>796</v>
      </c>
      <c r="E182" s="65" t="s">
        <v>798</v>
      </c>
      <c r="F182" s="64" t="s">
        <v>197</v>
      </c>
      <c r="G182" s="67" t="s">
        <v>690</v>
      </c>
      <c r="H182" s="67">
        <v>4</v>
      </c>
      <c r="I182" s="69">
        <v>1529.4117647058824</v>
      </c>
      <c r="J182" s="47" t="s">
        <v>9</v>
      </c>
    </row>
    <row r="183" spans="1:10">
      <c r="A183" s="63" t="s">
        <v>1354</v>
      </c>
      <c r="B183" s="63" t="s">
        <v>1384</v>
      </c>
      <c r="C183" s="63" t="s">
        <v>1391</v>
      </c>
      <c r="D183" s="66" t="s">
        <v>799</v>
      </c>
      <c r="E183" s="65" t="s">
        <v>801</v>
      </c>
      <c r="F183" s="64" t="s">
        <v>197</v>
      </c>
      <c r="G183" s="67" t="s">
        <v>690</v>
      </c>
      <c r="H183" s="67">
        <v>4</v>
      </c>
      <c r="I183" s="69">
        <v>1963.2352941176473</v>
      </c>
      <c r="J183" s="47" t="s">
        <v>9</v>
      </c>
    </row>
    <row r="184" spans="1:10">
      <c r="A184" s="63" t="s">
        <v>1354</v>
      </c>
      <c r="B184" s="63" t="s">
        <v>1384</v>
      </c>
      <c r="C184" s="63" t="s">
        <v>1391</v>
      </c>
      <c r="D184" s="66" t="s">
        <v>802</v>
      </c>
      <c r="E184" s="65" t="s">
        <v>804</v>
      </c>
      <c r="F184" s="64" t="s">
        <v>197</v>
      </c>
      <c r="G184" s="67" t="s">
        <v>690</v>
      </c>
      <c r="H184" s="67">
        <v>4</v>
      </c>
      <c r="I184" s="69">
        <v>2830.8823529411766</v>
      </c>
      <c r="J184" s="47" t="s">
        <v>9</v>
      </c>
    </row>
    <row r="185" spans="1:10">
      <c r="A185" s="63" t="s">
        <v>1354</v>
      </c>
      <c r="B185" s="63" t="s">
        <v>1384</v>
      </c>
      <c r="C185" s="63" t="s">
        <v>1391</v>
      </c>
      <c r="D185" s="66" t="s">
        <v>805</v>
      </c>
      <c r="E185" s="65" t="s">
        <v>807</v>
      </c>
      <c r="F185" s="64" t="s">
        <v>715</v>
      </c>
      <c r="G185" s="67" t="s">
        <v>716</v>
      </c>
      <c r="H185" s="67">
        <v>2</v>
      </c>
      <c r="I185" s="69">
        <v>5455.8823529411766</v>
      </c>
      <c r="J185" s="47" t="s">
        <v>9</v>
      </c>
    </row>
    <row r="186" spans="1:10">
      <c r="A186" s="63" t="s">
        <v>1354</v>
      </c>
      <c r="B186" s="63" t="s">
        <v>1384</v>
      </c>
      <c r="C186" s="63" t="s">
        <v>1392</v>
      </c>
      <c r="D186" s="66" t="s">
        <v>808</v>
      </c>
      <c r="E186" s="65" t="s">
        <v>810</v>
      </c>
      <c r="F186" s="64" t="s">
        <v>197</v>
      </c>
      <c r="G186" s="67" t="s">
        <v>690</v>
      </c>
      <c r="H186" s="67">
        <v>4</v>
      </c>
      <c r="I186" s="69">
        <v>4889.7058823529414</v>
      </c>
      <c r="J186" s="47" t="s">
        <v>9</v>
      </c>
    </row>
    <row r="187" spans="1:10">
      <c r="A187" s="63" t="s">
        <v>1354</v>
      </c>
      <c r="B187" s="63" t="s">
        <v>1384</v>
      </c>
      <c r="C187" s="63" t="s">
        <v>1392</v>
      </c>
      <c r="D187" s="66" t="s">
        <v>811</v>
      </c>
      <c r="E187" s="65" t="s">
        <v>813</v>
      </c>
      <c r="F187" s="64" t="s">
        <v>197</v>
      </c>
      <c r="G187" s="67" t="s">
        <v>690</v>
      </c>
      <c r="H187" s="67">
        <v>4</v>
      </c>
      <c r="I187" s="69">
        <v>9022.0588235294126</v>
      </c>
      <c r="J187" s="47" t="s">
        <v>9</v>
      </c>
    </row>
    <row r="188" spans="1:10">
      <c r="A188" s="63" t="s">
        <v>1354</v>
      </c>
      <c r="B188" s="63" t="s">
        <v>1384</v>
      </c>
      <c r="C188" s="63" t="s">
        <v>1393</v>
      </c>
      <c r="D188" s="66" t="s">
        <v>814</v>
      </c>
      <c r="E188" s="65" t="s">
        <v>816</v>
      </c>
      <c r="F188" s="64" t="s">
        <v>197</v>
      </c>
      <c r="G188" s="67" t="s">
        <v>690</v>
      </c>
      <c r="H188" s="67">
        <v>4</v>
      </c>
      <c r="I188" s="69">
        <v>5036.7647058823532</v>
      </c>
      <c r="J188" s="47" t="s">
        <v>9</v>
      </c>
    </row>
    <row r="189" spans="1:10">
      <c r="A189" s="63" t="s">
        <v>1354</v>
      </c>
      <c r="B189" s="63" t="s">
        <v>1384</v>
      </c>
      <c r="C189" s="63" t="s">
        <v>1393</v>
      </c>
      <c r="D189" s="66" t="s">
        <v>817</v>
      </c>
      <c r="E189" s="65" t="s">
        <v>819</v>
      </c>
      <c r="F189" s="64" t="s">
        <v>197</v>
      </c>
      <c r="G189" s="67" t="s">
        <v>690</v>
      </c>
      <c r="H189" s="67">
        <v>4</v>
      </c>
      <c r="I189" s="69">
        <v>9154.4117647058829</v>
      </c>
      <c r="J189" s="47" t="s">
        <v>9</v>
      </c>
    </row>
    <row r="190" spans="1:10">
      <c r="A190" s="63" t="s">
        <v>1354</v>
      </c>
      <c r="B190" s="63" t="s">
        <v>1384</v>
      </c>
      <c r="C190" s="63" t="s">
        <v>1394</v>
      </c>
      <c r="D190" s="66" t="s">
        <v>821</v>
      </c>
      <c r="E190" s="65" t="s">
        <v>823</v>
      </c>
      <c r="F190" s="64" t="s">
        <v>197</v>
      </c>
      <c r="G190" s="67" t="s">
        <v>690</v>
      </c>
      <c r="H190" s="67">
        <v>4</v>
      </c>
      <c r="I190" s="69">
        <v>1531.818181818182</v>
      </c>
      <c r="J190" s="47" t="s">
        <v>9</v>
      </c>
    </row>
    <row r="191" spans="1:10">
      <c r="A191" s="63" t="s">
        <v>1354</v>
      </c>
      <c r="B191" s="63" t="s">
        <v>1384</v>
      </c>
      <c r="C191" s="63" t="s">
        <v>1394</v>
      </c>
      <c r="D191" s="66" t="s">
        <v>824</v>
      </c>
      <c r="E191" s="65" t="s">
        <v>826</v>
      </c>
      <c r="F191" s="64" t="s">
        <v>197</v>
      </c>
      <c r="G191" s="67" t="s">
        <v>690</v>
      </c>
      <c r="H191" s="67">
        <v>4</v>
      </c>
      <c r="I191" s="69">
        <v>1953.0303030303032</v>
      </c>
      <c r="J191" s="47" t="s">
        <v>9</v>
      </c>
    </row>
    <row r="192" spans="1:10">
      <c r="A192" s="63" t="s">
        <v>1354</v>
      </c>
      <c r="B192" s="63" t="s">
        <v>1384</v>
      </c>
      <c r="C192" s="63" t="s">
        <v>1394</v>
      </c>
      <c r="D192" s="66" t="s">
        <v>827</v>
      </c>
      <c r="E192" s="65" t="s">
        <v>829</v>
      </c>
      <c r="F192" s="64" t="s">
        <v>197</v>
      </c>
      <c r="G192" s="67" t="s">
        <v>690</v>
      </c>
      <c r="H192" s="67">
        <v>4</v>
      </c>
      <c r="I192" s="69">
        <v>2792.4242424242429</v>
      </c>
      <c r="J192" s="47" t="s">
        <v>9</v>
      </c>
    </row>
    <row r="193" spans="1:10">
      <c r="A193" s="63" t="s">
        <v>1354</v>
      </c>
      <c r="B193" s="63" t="s">
        <v>1384</v>
      </c>
      <c r="C193" s="63" t="s">
        <v>1394</v>
      </c>
      <c r="D193" s="66" t="s">
        <v>830</v>
      </c>
      <c r="E193" s="65" t="s">
        <v>832</v>
      </c>
      <c r="F193" s="64" t="s">
        <v>197</v>
      </c>
      <c r="G193" s="67" t="s">
        <v>690</v>
      </c>
      <c r="H193" s="67">
        <v>4</v>
      </c>
      <c r="I193" s="69">
        <v>5325.757575757576</v>
      </c>
      <c r="J193" s="47" t="s">
        <v>9</v>
      </c>
    </row>
    <row r="194" spans="1:10">
      <c r="A194" s="63" t="s">
        <v>1354</v>
      </c>
      <c r="B194" s="63" t="s">
        <v>1384</v>
      </c>
      <c r="C194" s="63" t="s">
        <v>1394</v>
      </c>
      <c r="D194" s="66" t="s">
        <v>833</v>
      </c>
      <c r="E194" s="65" t="s">
        <v>835</v>
      </c>
      <c r="F194" s="64" t="s">
        <v>197</v>
      </c>
      <c r="G194" s="67" t="s">
        <v>690</v>
      </c>
      <c r="H194" s="67">
        <v>4</v>
      </c>
      <c r="I194" s="69">
        <v>9280.3030303030318</v>
      </c>
      <c r="J194" s="47" t="s">
        <v>9</v>
      </c>
    </row>
    <row r="195" spans="1:10">
      <c r="A195" s="63" t="s">
        <v>1354</v>
      </c>
      <c r="B195" s="63" t="s">
        <v>1384</v>
      </c>
      <c r="C195" s="63" t="s">
        <v>1394</v>
      </c>
      <c r="D195" s="66" t="s">
        <v>836</v>
      </c>
      <c r="E195" s="65" t="s">
        <v>838</v>
      </c>
      <c r="F195" s="64" t="s">
        <v>197</v>
      </c>
      <c r="G195" s="67" t="s">
        <v>690</v>
      </c>
      <c r="H195" s="67">
        <v>4</v>
      </c>
      <c r="I195" s="69">
        <v>18068.18181818182</v>
      </c>
      <c r="J195" s="47" t="s">
        <v>9</v>
      </c>
    </row>
    <row r="196" spans="1:10">
      <c r="A196" s="63" t="s">
        <v>1354</v>
      </c>
      <c r="B196" s="63" t="s">
        <v>1384</v>
      </c>
      <c r="C196" s="63" t="s">
        <v>1395</v>
      </c>
      <c r="D196" s="66" t="s">
        <v>840</v>
      </c>
      <c r="E196" s="65" t="s">
        <v>842</v>
      </c>
      <c r="F196" s="64" t="s">
        <v>197</v>
      </c>
      <c r="G196" s="67" t="s">
        <v>690</v>
      </c>
      <c r="H196" s="67">
        <v>4</v>
      </c>
      <c r="I196" s="69">
        <v>278.08219178082192</v>
      </c>
      <c r="J196" s="47" t="s">
        <v>9</v>
      </c>
    </row>
    <row r="197" spans="1:10">
      <c r="A197" s="63" t="s">
        <v>1354</v>
      </c>
      <c r="B197" s="63" t="s">
        <v>1384</v>
      </c>
      <c r="C197" s="63" t="s">
        <v>1395</v>
      </c>
      <c r="D197" s="66" t="s">
        <v>844</v>
      </c>
      <c r="E197" s="65" t="s">
        <v>846</v>
      </c>
      <c r="F197" s="64" t="s">
        <v>197</v>
      </c>
      <c r="G197" s="67" t="s">
        <v>690</v>
      </c>
      <c r="H197" s="67">
        <v>4</v>
      </c>
      <c r="I197" s="69">
        <v>287.67123287671234</v>
      </c>
      <c r="J197" s="47" t="s">
        <v>9</v>
      </c>
    </row>
    <row r="198" spans="1:10">
      <c r="A198" s="63" t="s">
        <v>1354</v>
      </c>
      <c r="B198" s="63" t="s">
        <v>1384</v>
      </c>
      <c r="C198" s="63" t="s">
        <v>1395</v>
      </c>
      <c r="D198" s="66" t="s">
        <v>847</v>
      </c>
      <c r="E198" s="65" t="s">
        <v>849</v>
      </c>
      <c r="F198" s="64" t="s">
        <v>197</v>
      </c>
      <c r="G198" s="67" t="s">
        <v>690</v>
      </c>
      <c r="H198" s="67">
        <v>4</v>
      </c>
      <c r="I198" s="69">
        <v>308.21917808219177</v>
      </c>
      <c r="J198" s="47" t="s">
        <v>9</v>
      </c>
    </row>
    <row r="199" spans="1:10">
      <c r="A199" s="63" t="s">
        <v>1354</v>
      </c>
      <c r="B199" s="63" t="s">
        <v>1384</v>
      </c>
      <c r="C199" s="63" t="s">
        <v>1395</v>
      </c>
      <c r="D199" s="66" t="s">
        <v>850</v>
      </c>
      <c r="E199" s="65" t="s">
        <v>852</v>
      </c>
      <c r="F199" s="64" t="s">
        <v>197</v>
      </c>
      <c r="G199" s="67" t="s">
        <v>690</v>
      </c>
      <c r="H199" s="67">
        <v>4</v>
      </c>
      <c r="I199" s="69">
        <v>382.1917808219178</v>
      </c>
      <c r="J199" s="47" t="s">
        <v>9</v>
      </c>
    </row>
    <row r="200" spans="1:10">
      <c r="A200" s="63" t="s">
        <v>1354</v>
      </c>
      <c r="B200" s="63" t="s">
        <v>1384</v>
      </c>
      <c r="C200" s="63" t="s">
        <v>1396</v>
      </c>
      <c r="D200" s="66" t="s">
        <v>853</v>
      </c>
      <c r="E200" s="65" t="s">
        <v>855</v>
      </c>
      <c r="F200" s="64" t="s">
        <v>197</v>
      </c>
      <c r="G200" s="67" t="s">
        <v>690</v>
      </c>
      <c r="H200" s="67">
        <v>4</v>
      </c>
      <c r="I200" s="69">
        <v>278.08219178082192</v>
      </c>
      <c r="J200" s="47" t="s">
        <v>9</v>
      </c>
    </row>
    <row r="201" spans="1:10">
      <c r="A201" s="63" t="s">
        <v>1354</v>
      </c>
      <c r="B201" s="63" t="s">
        <v>1384</v>
      </c>
      <c r="C201" s="63" t="s">
        <v>1396</v>
      </c>
      <c r="D201" s="66" t="s">
        <v>856</v>
      </c>
      <c r="E201" s="65" t="s">
        <v>858</v>
      </c>
      <c r="F201" s="64" t="s">
        <v>197</v>
      </c>
      <c r="G201" s="67" t="s">
        <v>690</v>
      </c>
      <c r="H201" s="67">
        <v>4</v>
      </c>
      <c r="I201" s="69">
        <v>301.36986301369865</v>
      </c>
      <c r="J201" s="47" t="s">
        <v>9</v>
      </c>
    </row>
    <row r="202" spans="1:10">
      <c r="A202" s="63" t="s">
        <v>1354</v>
      </c>
      <c r="B202" s="63" t="s">
        <v>1384</v>
      </c>
      <c r="C202" s="63" t="s">
        <v>1396</v>
      </c>
      <c r="D202" s="66" t="s">
        <v>859</v>
      </c>
      <c r="E202" s="65" t="s">
        <v>861</v>
      </c>
      <c r="F202" s="64" t="s">
        <v>197</v>
      </c>
      <c r="G202" s="67" t="s">
        <v>690</v>
      </c>
      <c r="H202" s="67">
        <v>4</v>
      </c>
      <c r="I202" s="69">
        <v>342.46575342465752</v>
      </c>
      <c r="J202" s="47" t="s">
        <v>9</v>
      </c>
    </row>
    <row r="203" spans="1:10">
      <c r="A203" s="63" t="s">
        <v>1354</v>
      </c>
      <c r="B203" s="63" t="s">
        <v>1384</v>
      </c>
      <c r="C203" s="63" t="s">
        <v>1396</v>
      </c>
      <c r="D203" s="66" t="s">
        <v>862</v>
      </c>
      <c r="E203" s="65" t="s">
        <v>864</v>
      </c>
      <c r="F203" s="64" t="s">
        <v>715</v>
      </c>
      <c r="G203" s="67" t="s">
        <v>690</v>
      </c>
      <c r="H203" s="67">
        <v>4</v>
      </c>
      <c r="I203" s="69">
        <v>472.60273972602744</v>
      </c>
      <c r="J203" s="47" t="s">
        <v>9</v>
      </c>
    </row>
    <row r="204" spans="1:10">
      <c r="A204" s="63" t="s">
        <v>1354</v>
      </c>
      <c r="B204" s="63" t="s">
        <v>1384</v>
      </c>
      <c r="C204" s="63" t="s">
        <v>1397</v>
      </c>
      <c r="D204" s="66" t="s">
        <v>865</v>
      </c>
      <c r="E204" s="65" t="s">
        <v>867</v>
      </c>
      <c r="F204" s="64" t="s">
        <v>197</v>
      </c>
      <c r="G204" s="67" t="s">
        <v>690</v>
      </c>
      <c r="H204" s="67">
        <v>4</v>
      </c>
      <c r="I204" s="69">
        <v>239.72602739726028</v>
      </c>
      <c r="J204" s="47" t="s">
        <v>9</v>
      </c>
    </row>
    <row r="205" spans="1:10">
      <c r="A205" s="63" t="s">
        <v>1354</v>
      </c>
      <c r="B205" s="63" t="s">
        <v>1384</v>
      </c>
      <c r="C205" s="63" t="s">
        <v>1397</v>
      </c>
      <c r="D205" s="66" t="s">
        <v>868</v>
      </c>
      <c r="E205" s="65" t="s">
        <v>870</v>
      </c>
      <c r="F205" s="64" t="s">
        <v>197</v>
      </c>
      <c r="G205" s="67" t="s">
        <v>690</v>
      </c>
      <c r="H205" s="67">
        <v>4</v>
      </c>
      <c r="I205" s="69">
        <v>250.68493150684932</v>
      </c>
      <c r="J205" s="47" t="s">
        <v>9</v>
      </c>
    </row>
    <row r="206" spans="1:10">
      <c r="A206" s="63" t="s">
        <v>1354</v>
      </c>
      <c r="B206" s="63" t="s">
        <v>1384</v>
      </c>
      <c r="C206" s="63" t="s">
        <v>1397</v>
      </c>
      <c r="D206" s="66" t="s">
        <v>871</v>
      </c>
      <c r="E206" s="65" t="s">
        <v>873</v>
      </c>
      <c r="F206" s="64" t="s">
        <v>197</v>
      </c>
      <c r="G206" s="67" t="s">
        <v>690</v>
      </c>
      <c r="H206" s="67">
        <v>4</v>
      </c>
      <c r="I206" s="69">
        <v>273.97260273972603</v>
      </c>
      <c r="J206" s="47" t="s">
        <v>9</v>
      </c>
    </row>
    <row r="207" spans="1:10">
      <c r="A207" s="63" t="s">
        <v>1354</v>
      </c>
      <c r="B207" s="63" t="s">
        <v>1384</v>
      </c>
      <c r="C207" s="63" t="s">
        <v>1397</v>
      </c>
      <c r="D207" s="66" t="s">
        <v>874</v>
      </c>
      <c r="E207" s="65" t="s">
        <v>876</v>
      </c>
      <c r="F207" s="64" t="s">
        <v>197</v>
      </c>
      <c r="G207" s="67" t="s">
        <v>690</v>
      </c>
      <c r="H207" s="67">
        <v>4</v>
      </c>
      <c r="I207" s="69">
        <v>342.46575342465752</v>
      </c>
      <c r="J207" s="47" t="s">
        <v>9</v>
      </c>
    </row>
    <row r="208" spans="1:10">
      <c r="A208" s="63" t="s">
        <v>1354</v>
      </c>
      <c r="B208" s="63" t="s">
        <v>1384</v>
      </c>
      <c r="C208" s="63" t="s">
        <v>1398</v>
      </c>
      <c r="D208" s="66" t="s">
        <v>877</v>
      </c>
      <c r="E208" s="65" t="s">
        <v>879</v>
      </c>
      <c r="F208" s="64" t="s">
        <v>197</v>
      </c>
      <c r="G208" s="67" t="s">
        <v>690</v>
      </c>
      <c r="H208" s="67">
        <v>4</v>
      </c>
      <c r="I208" s="69">
        <v>319.17808219178085</v>
      </c>
      <c r="J208" s="47" t="s">
        <v>9</v>
      </c>
    </row>
    <row r="209" spans="1:10">
      <c r="A209" s="63" t="s">
        <v>1354</v>
      </c>
      <c r="B209" s="63" t="s">
        <v>1384</v>
      </c>
      <c r="C209" s="63" t="s">
        <v>1398</v>
      </c>
      <c r="D209" s="66" t="s">
        <v>880</v>
      </c>
      <c r="E209" s="65" t="s">
        <v>882</v>
      </c>
      <c r="F209" s="64" t="s">
        <v>197</v>
      </c>
      <c r="G209" s="67" t="s">
        <v>690</v>
      </c>
      <c r="H209" s="67">
        <v>4</v>
      </c>
      <c r="I209" s="69">
        <v>328.76712328767127</v>
      </c>
      <c r="J209" s="47" t="s">
        <v>9</v>
      </c>
    </row>
    <row r="210" spans="1:10">
      <c r="A210" s="63" t="s">
        <v>1354</v>
      </c>
      <c r="B210" s="63" t="s">
        <v>1384</v>
      </c>
      <c r="C210" s="63" t="s">
        <v>1398</v>
      </c>
      <c r="D210" s="66" t="s">
        <v>883</v>
      </c>
      <c r="E210" s="65" t="s">
        <v>885</v>
      </c>
      <c r="F210" s="64" t="s">
        <v>197</v>
      </c>
      <c r="G210" s="67" t="s">
        <v>690</v>
      </c>
      <c r="H210" s="67">
        <v>4</v>
      </c>
      <c r="I210" s="69">
        <v>349.3150684931507</v>
      </c>
      <c r="J210" s="47" t="s">
        <v>9</v>
      </c>
    </row>
    <row r="211" spans="1:10">
      <c r="A211" s="63" t="s">
        <v>1354</v>
      </c>
      <c r="B211" s="63" t="s">
        <v>1384</v>
      </c>
      <c r="C211" s="63" t="s">
        <v>1398</v>
      </c>
      <c r="D211" s="66" t="s">
        <v>886</v>
      </c>
      <c r="E211" s="65" t="s">
        <v>888</v>
      </c>
      <c r="F211" s="64" t="s">
        <v>197</v>
      </c>
      <c r="G211" s="67" t="s">
        <v>690</v>
      </c>
      <c r="H211" s="67">
        <v>4</v>
      </c>
      <c r="I211" s="69">
        <v>426.02739726027397</v>
      </c>
      <c r="J211" s="47" t="s">
        <v>9</v>
      </c>
    </row>
    <row r="212" spans="1:10">
      <c r="A212" s="63" t="s">
        <v>1354</v>
      </c>
      <c r="B212" s="63" t="s">
        <v>1384</v>
      </c>
      <c r="C212" s="63" t="s">
        <v>1395</v>
      </c>
      <c r="D212" s="66" t="s">
        <v>889</v>
      </c>
      <c r="E212" s="65" t="s">
        <v>891</v>
      </c>
      <c r="F212" s="64" t="s">
        <v>197</v>
      </c>
      <c r="G212" s="67" t="s">
        <v>690</v>
      </c>
      <c r="H212" s="67">
        <v>4</v>
      </c>
      <c r="I212" s="69">
        <v>808.21917808219177</v>
      </c>
      <c r="J212" s="47" t="s">
        <v>9</v>
      </c>
    </row>
    <row r="213" spans="1:10">
      <c r="A213" s="63" t="s">
        <v>1354</v>
      </c>
      <c r="B213" s="63" t="s">
        <v>1384</v>
      </c>
      <c r="C213" s="63" t="s">
        <v>1395</v>
      </c>
      <c r="D213" s="66" t="s">
        <v>892</v>
      </c>
      <c r="E213" s="65" t="s">
        <v>894</v>
      </c>
      <c r="F213" s="64" t="s">
        <v>197</v>
      </c>
      <c r="G213" s="67" t="s">
        <v>690</v>
      </c>
      <c r="H213" s="67">
        <v>4</v>
      </c>
      <c r="I213" s="69">
        <v>1130.1369863013699</v>
      </c>
      <c r="J213" s="47" t="s">
        <v>9</v>
      </c>
    </row>
    <row r="214" spans="1:10">
      <c r="A214" s="63" t="s">
        <v>1354</v>
      </c>
      <c r="B214" s="63" t="s">
        <v>1384</v>
      </c>
      <c r="C214" s="63" t="s">
        <v>1397</v>
      </c>
      <c r="D214" s="66" t="s">
        <v>895</v>
      </c>
      <c r="E214" s="65" t="s">
        <v>897</v>
      </c>
      <c r="F214" s="64" t="s">
        <v>197</v>
      </c>
      <c r="G214" s="67" t="s">
        <v>690</v>
      </c>
      <c r="H214" s="67">
        <v>4</v>
      </c>
      <c r="I214" s="69">
        <v>719.17808219178085</v>
      </c>
      <c r="J214" s="47" t="s">
        <v>9</v>
      </c>
    </row>
    <row r="215" spans="1:10">
      <c r="A215" s="63" t="s">
        <v>1354</v>
      </c>
      <c r="B215" s="63" t="s">
        <v>1384</v>
      </c>
      <c r="C215" s="63" t="s">
        <v>1397</v>
      </c>
      <c r="D215" s="66" t="s">
        <v>898</v>
      </c>
      <c r="E215" s="65" t="s">
        <v>900</v>
      </c>
      <c r="F215" s="64" t="s">
        <v>197</v>
      </c>
      <c r="G215" s="67" t="s">
        <v>690</v>
      </c>
      <c r="H215" s="67">
        <v>4</v>
      </c>
      <c r="I215" s="69">
        <v>1009.5890410958905</v>
      </c>
      <c r="J215" s="47" t="s">
        <v>9</v>
      </c>
    </row>
    <row r="216" spans="1:10">
      <c r="A216" s="63" t="s">
        <v>1354</v>
      </c>
      <c r="B216" s="63" t="s">
        <v>1384</v>
      </c>
      <c r="C216" s="63" t="s">
        <v>1398</v>
      </c>
      <c r="D216" s="66" t="s">
        <v>901</v>
      </c>
      <c r="E216" s="65" t="s">
        <v>903</v>
      </c>
      <c r="F216" s="64" t="s">
        <v>197</v>
      </c>
      <c r="G216" s="67" t="s">
        <v>690</v>
      </c>
      <c r="H216" s="67">
        <v>4</v>
      </c>
      <c r="I216" s="69">
        <v>849.31506849315076</v>
      </c>
      <c r="J216" s="47" t="s">
        <v>9</v>
      </c>
    </row>
    <row r="217" spans="1:10">
      <c r="A217" s="63" t="s">
        <v>1354</v>
      </c>
      <c r="B217" s="63" t="s">
        <v>1384</v>
      </c>
      <c r="C217" s="63" t="s">
        <v>1398</v>
      </c>
      <c r="D217" s="66" t="s">
        <v>904</v>
      </c>
      <c r="E217" s="65" t="s">
        <v>906</v>
      </c>
      <c r="F217" s="64" t="s">
        <v>197</v>
      </c>
      <c r="G217" s="67" t="s">
        <v>690</v>
      </c>
      <c r="H217" s="67">
        <v>4</v>
      </c>
      <c r="I217" s="69">
        <v>1168.4931506849316</v>
      </c>
      <c r="J217" s="47" t="s">
        <v>9</v>
      </c>
    </row>
    <row r="218" spans="1:10">
      <c r="A218" s="63" t="s">
        <v>1355</v>
      </c>
      <c r="B218" s="63" t="s">
        <v>1408</v>
      </c>
      <c r="C218" s="63" t="s">
        <v>1408</v>
      </c>
      <c r="D218" s="66" t="s">
        <v>1269</v>
      </c>
      <c r="E218" s="65" t="s">
        <v>1109</v>
      </c>
      <c r="F218" s="64" t="s">
        <v>241</v>
      </c>
      <c r="G218" s="67" t="s">
        <v>635</v>
      </c>
      <c r="H218" s="67">
        <v>400</v>
      </c>
      <c r="I218" s="51">
        <v>2.7271706975963546</v>
      </c>
      <c r="J218" s="47" t="s">
        <v>9</v>
      </c>
    </row>
    <row r="219" spans="1:10">
      <c r="A219" s="63" t="s">
        <v>1355</v>
      </c>
      <c r="B219" s="63" t="s">
        <v>1408</v>
      </c>
      <c r="C219" s="63" t="s">
        <v>1408</v>
      </c>
      <c r="D219" s="66" t="s">
        <v>1110</v>
      </c>
      <c r="E219" s="65" t="s">
        <v>1112</v>
      </c>
      <c r="F219" s="64" t="s">
        <v>241</v>
      </c>
      <c r="G219" s="67" t="s">
        <v>635</v>
      </c>
      <c r="H219" s="67">
        <v>400</v>
      </c>
      <c r="I219" s="51">
        <v>3.4192540941352147</v>
      </c>
      <c r="J219" s="47" t="s">
        <v>9</v>
      </c>
    </row>
    <row r="220" spans="1:10">
      <c r="A220" s="63" t="s">
        <v>1355</v>
      </c>
      <c r="B220" s="63" t="s">
        <v>1408</v>
      </c>
      <c r="C220" s="63" t="s">
        <v>1408</v>
      </c>
      <c r="D220" s="66" t="s">
        <v>1113</v>
      </c>
      <c r="E220" s="65" t="s">
        <v>1114</v>
      </c>
      <c r="F220" s="64" t="s">
        <v>241</v>
      </c>
      <c r="G220" s="67" t="s">
        <v>242</v>
      </c>
      <c r="H220" s="67">
        <v>360</v>
      </c>
      <c r="I220" s="51">
        <v>3.5429959196705818</v>
      </c>
      <c r="J220" s="47" t="s">
        <v>9</v>
      </c>
    </row>
    <row r="221" spans="1:10">
      <c r="A221" s="63" t="s">
        <v>1355</v>
      </c>
      <c r="B221" s="63" t="s">
        <v>1408</v>
      </c>
      <c r="C221" s="63" t="s">
        <v>1408</v>
      </c>
      <c r="D221" s="66" t="s">
        <v>1116</v>
      </c>
      <c r="E221" s="65" t="s">
        <v>1118</v>
      </c>
      <c r="F221" s="64" t="s">
        <v>241</v>
      </c>
      <c r="G221" s="67" t="s">
        <v>242</v>
      </c>
      <c r="H221" s="67">
        <v>360</v>
      </c>
      <c r="I221" s="51">
        <v>11.415193530266171</v>
      </c>
      <c r="J221" s="47" t="s">
        <v>9</v>
      </c>
    </row>
    <row r="222" spans="1:10">
      <c r="A222" s="63" t="s">
        <v>1355</v>
      </c>
      <c r="B222" s="63" t="s">
        <v>1408</v>
      </c>
      <c r="C222" s="63" t="s">
        <v>1408</v>
      </c>
      <c r="D222" s="66" t="s">
        <v>1122</v>
      </c>
      <c r="E222" s="65" t="s">
        <v>1124</v>
      </c>
      <c r="F222" s="64" t="s">
        <v>241</v>
      </c>
      <c r="G222" s="67" t="s">
        <v>635</v>
      </c>
      <c r="H222" s="67">
        <v>1200</v>
      </c>
      <c r="I222" s="51">
        <v>3.1340055691123023</v>
      </c>
      <c r="J222" s="47" t="s">
        <v>9</v>
      </c>
    </row>
    <row r="223" spans="1:10">
      <c r="A223" s="63" t="s">
        <v>1355</v>
      </c>
      <c r="B223" s="63" t="s">
        <v>1408</v>
      </c>
      <c r="C223" s="63" t="s">
        <v>1408</v>
      </c>
      <c r="D223" s="66" t="s">
        <v>1125</v>
      </c>
      <c r="E223" s="65" t="s">
        <v>1127</v>
      </c>
      <c r="F223" s="64" t="s">
        <v>241</v>
      </c>
      <c r="G223" s="67" t="s">
        <v>383</v>
      </c>
      <c r="H223" s="67">
        <v>200</v>
      </c>
      <c r="I223" s="51">
        <v>6.7853252759739755</v>
      </c>
      <c r="J223" s="47" t="s">
        <v>9</v>
      </c>
    </row>
    <row r="224" spans="1:10">
      <c r="A224" s="63" t="s">
        <v>1355</v>
      </c>
      <c r="B224" s="63" t="s">
        <v>1408</v>
      </c>
      <c r="C224" s="63" t="s">
        <v>1408</v>
      </c>
      <c r="D224" s="66" t="s">
        <v>1129</v>
      </c>
      <c r="E224" s="65" t="s">
        <v>1131</v>
      </c>
      <c r="F224" s="64" t="s">
        <v>241</v>
      </c>
      <c r="G224" s="67" t="s">
        <v>383</v>
      </c>
      <c r="H224" s="67">
        <v>200</v>
      </c>
      <c r="I224" s="51">
        <v>7.6398272042474344</v>
      </c>
      <c r="J224" s="47" t="s">
        <v>9</v>
      </c>
    </row>
    <row r="225" spans="1:10">
      <c r="A225" s="63" t="s">
        <v>1355</v>
      </c>
      <c r="B225" s="63" t="s">
        <v>1408</v>
      </c>
      <c r="C225" s="63" t="s">
        <v>1408</v>
      </c>
      <c r="D225" s="66" t="s">
        <v>1133</v>
      </c>
      <c r="E225" s="65" t="s">
        <v>1135</v>
      </c>
      <c r="F225" s="64" t="s">
        <v>241</v>
      </c>
      <c r="G225" s="67" t="s">
        <v>635</v>
      </c>
      <c r="H225" s="67">
        <v>900</v>
      </c>
      <c r="I225" s="51">
        <v>1.6008697863672923</v>
      </c>
      <c r="J225" s="47" t="s">
        <v>9</v>
      </c>
    </row>
    <row r="226" spans="1:10">
      <c r="A226" s="63" t="s">
        <v>1355</v>
      </c>
      <c r="B226" s="65" t="s">
        <v>1407</v>
      </c>
      <c r="C226" s="65" t="s">
        <v>1407</v>
      </c>
      <c r="D226" s="66" t="s">
        <v>1142</v>
      </c>
      <c r="E226" s="65" t="s">
        <v>1144</v>
      </c>
      <c r="F226" s="64" t="s">
        <v>241</v>
      </c>
      <c r="G226" s="67" t="s">
        <v>1059</v>
      </c>
      <c r="H226" s="67">
        <v>240</v>
      </c>
      <c r="I226" s="51">
        <v>9.3706445162127689</v>
      </c>
      <c r="J226" s="47" t="s">
        <v>9</v>
      </c>
    </row>
    <row r="227" spans="1:10">
      <c r="A227" s="63" t="s">
        <v>1355</v>
      </c>
      <c r="B227" s="65" t="s">
        <v>1407</v>
      </c>
      <c r="C227" s="65" t="s">
        <v>1407</v>
      </c>
      <c r="D227" s="66" t="s">
        <v>1149</v>
      </c>
      <c r="E227" s="65" t="s">
        <v>1151</v>
      </c>
      <c r="F227" s="64" t="s">
        <v>241</v>
      </c>
      <c r="G227" s="67" t="s">
        <v>1059</v>
      </c>
      <c r="H227" s="67">
        <v>240</v>
      </c>
      <c r="I227" s="51">
        <v>9.3706445162127689</v>
      </c>
      <c r="J227" s="47" t="s">
        <v>9</v>
      </c>
    </row>
    <row r="228" spans="1:10">
      <c r="A228" s="63" t="s">
        <v>1355</v>
      </c>
      <c r="B228" s="65" t="s">
        <v>1407</v>
      </c>
      <c r="C228" s="65" t="s">
        <v>1407</v>
      </c>
      <c r="D228" s="66" t="s">
        <v>1153</v>
      </c>
      <c r="E228" s="65" t="s">
        <v>1155</v>
      </c>
      <c r="F228" s="64" t="s">
        <v>241</v>
      </c>
      <c r="G228" s="67" t="s">
        <v>1059</v>
      </c>
      <c r="H228" s="67">
        <v>240</v>
      </c>
      <c r="I228" s="51">
        <v>27.982630761677768</v>
      </c>
      <c r="J228" s="47" t="s">
        <v>9</v>
      </c>
    </row>
  </sheetData>
  <autoFilter ref="A13:J228" xr:uid="{00000000-0001-0000-0000-000000000000}"/>
  <phoneticPr fontId="16" type="noConversion"/>
  <pageMargins left="0.70866141732283472" right="0.70866141732283472" top="0.74803149606299213" bottom="0.74803149606299213" header="0.31496062992125984" footer="0.31496062992125984"/>
  <pageSetup paperSize="9" scale="1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DEC6-B1D0-4F26-BCF5-9231A03DCF50}">
  <sheetPr>
    <pageSetUpPr fitToPage="1"/>
  </sheetPr>
  <dimension ref="A1:J225"/>
  <sheetViews>
    <sheetView zoomScale="85" zoomScaleNormal="85" workbookViewId="0">
      <selection activeCell="E27" sqref="E27"/>
    </sheetView>
  </sheetViews>
  <sheetFormatPr baseColWidth="10" defaultColWidth="9.140625" defaultRowHeight="14.25"/>
  <cols>
    <col min="1" max="1" width="20.140625" style="1" bestFit="1" customWidth="1"/>
    <col min="2" max="2" width="30.140625" style="1" customWidth="1"/>
    <col min="3" max="3" width="24.140625" style="1" bestFit="1" customWidth="1"/>
    <col min="4" max="4" width="34.140625" style="4" bestFit="1" customWidth="1"/>
    <col min="5" max="5" width="136.140625" style="4" bestFit="1" customWidth="1"/>
    <col min="6" max="6" width="39.140625" style="4" bestFit="1" customWidth="1"/>
    <col min="7" max="7" width="14.140625" style="6" customWidth="1"/>
    <col min="8" max="8" width="16" style="6" customWidth="1"/>
    <col min="9" max="9" width="18" style="6" customWidth="1"/>
    <col min="10" max="10" width="14.140625" style="6" bestFit="1" customWidth="1"/>
    <col min="11" max="16384" width="9.140625" style="1"/>
  </cols>
  <sheetData>
    <row r="1" spans="1:10">
      <c r="B1" s="2" t="s">
        <v>0</v>
      </c>
      <c r="C1" s="50" t="s">
        <v>1333</v>
      </c>
      <c r="E1" s="5"/>
    </row>
    <row r="2" spans="1:10">
      <c r="B2" s="2" t="s">
        <v>2</v>
      </c>
      <c r="C2" s="43">
        <v>78000</v>
      </c>
      <c r="E2" s="5"/>
    </row>
    <row r="3" spans="1:10">
      <c r="B3" s="2" t="s">
        <v>4</v>
      </c>
      <c r="C3" s="44">
        <v>9325.7127</v>
      </c>
      <c r="E3" s="5"/>
    </row>
    <row r="4" spans="1:10">
      <c r="B4" s="2" t="s">
        <v>6</v>
      </c>
      <c r="C4" s="45">
        <v>8961</v>
      </c>
      <c r="E4" s="5"/>
    </row>
    <row r="5" spans="1:10">
      <c r="B5" s="2" t="s">
        <v>8</v>
      </c>
      <c r="C5" s="68">
        <v>7.2435999999999998</v>
      </c>
      <c r="E5" s="5"/>
    </row>
    <row r="6" spans="1:10">
      <c r="A6" s="17" t="s">
        <v>1304</v>
      </c>
      <c r="B6" s="2" t="s">
        <v>10</v>
      </c>
      <c r="C6" s="46">
        <v>1.0407</v>
      </c>
    </row>
    <row r="7" spans="1:10">
      <c r="A7" s="17"/>
      <c r="B7" s="2" t="s">
        <v>1332</v>
      </c>
      <c r="C7" s="70">
        <v>7.5384145199999999</v>
      </c>
    </row>
    <row r="8" spans="1:10">
      <c r="A8" s="19" t="s">
        <v>1450</v>
      </c>
      <c r="B8" s="2" t="s">
        <v>1329</v>
      </c>
      <c r="C8" s="71">
        <v>3000</v>
      </c>
      <c r="D8" s="2"/>
      <c r="E8" s="21"/>
    </row>
    <row r="9" spans="1:10">
      <c r="B9" s="2" t="s">
        <v>1328</v>
      </c>
      <c r="C9" s="71">
        <v>4000</v>
      </c>
      <c r="D9" s="2"/>
      <c r="E9" s="21"/>
    </row>
    <row r="10" spans="1:10">
      <c r="B10" s="2" t="s">
        <v>1330</v>
      </c>
      <c r="C10" s="71">
        <v>3000</v>
      </c>
      <c r="D10" s="2"/>
      <c r="E10" s="21"/>
    </row>
    <row r="11" spans="1:10" s="39" customFormat="1">
      <c r="B11" s="2" t="s">
        <v>1301</v>
      </c>
      <c r="C11" s="71">
        <v>350</v>
      </c>
      <c r="E11" s="38"/>
      <c r="F11" s="53"/>
      <c r="G11" s="38"/>
      <c r="H11" s="38"/>
      <c r="I11" s="48"/>
      <c r="J11" s="38"/>
    </row>
    <row r="12" spans="1:10" ht="15" thickBot="1"/>
    <row r="13" spans="1:10" ht="29.25" thickBot="1">
      <c r="A13" s="26" t="s">
        <v>14</v>
      </c>
      <c r="B13" s="27" t="s">
        <v>1371</v>
      </c>
      <c r="C13" s="27" t="s">
        <v>1372</v>
      </c>
      <c r="D13" s="27" t="s">
        <v>1370</v>
      </c>
      <c r="E13" s="27" t="s">
        <v>21</v>
      </c>
      <c r="F13" s="75" t="s">
        <v>1453</v>
      </c>
      <c r="G13" s="76" t="s">
        <v>26</v>
      </c>
      <c r="H13" s="77" t="s">
        <v>27</v>
      </c>
      <c r="I13" s="80" t="s">
        <v>36</v>
      </c>
      <c r="J13" s="80" t="s">
        <v>40</v>
      </c>
    </row>
    <row r="14" spans="1:10">
      <c r="A14" s="88" t="s">
        <v>55</v>
      </c>
      <c r="B14" s="89" t="s">
        <v>56</v>
      </c>
      <c r="C14" s="90" t="s">
        <v>78</v>
      </c>
      <c r="D14" s="91" t="s">
        <v>86</v>
      </c>
      <c r="E14" s="90" t="s">
        <v>88</v>
      </c>
      <c r="F14" s="89" t="s">
        <v>61</v>
      </c>
      <c r="G14" s="92" t="s">
        <v>62</v>
      </c>
      <c r="H14" s="92">
        <v>9</v>
      </c>
      <c r="I14" s="85">
        <v>367.79749183194667</v>
      </c>
      <c r="J14" s="86" t="s">
        <v>9</v>
      </c>
    </row>
    <row r="15" spans="1:10">
      <c r="A15" s="88" t="s">
        <v>55</v>
      </c>
      <c r="B15" s="89" t="s">
        <v>56</v>
      </c>
      <c r="C15" s="90" t="s">
        <v>78</v>
      </c>
      <c r="D15" s="91" t="s">
        <v>90</v>
      </c>
      <c r="E15" s="90" t="s">
        <v>92</v>
      </c>
      <c r="F15" s="89" t="s">
        <v>61</v>
      </c>
      <c r="G15" s="92" t="s">
        <v>62</v>
      </c>
      <c r="H15" s="92">
        <v>4</v>
      </c>
      <c r="I15" s="85">
        <v>762.88610117384746</v>
      </c>
      <c r="J15" s="86" t="s">
        <v>9</v>
      </c>
    </row>
    <row r="16" spans="1:10" s="32" customFormat="1">
      <c r="A16" s="88" t="s">
        <v>55</v>
      </c>
      <c r="B16" s="89" t="s">
        <v>56</v>
      </c>
      <c r="C16" s="90" t="s">
        <v>109</v>
      </c>
      <c r="D16" s="91" t="s">
        <v>133</v>
      </c>
      <c r="E16" s="90" t="s">
        <v>135</v>
      </c>
      <c r="F16" s="89" t="s">
        <v>61</v>
      </c>
      <c r="G16" s="92" t="s">
        <v>62</v>
      </c>
      <c r="H16" s="92">
        <v>9</v>
      </c>
      <c r="I16" s="85">
        <v>376.02850384689816</v>
      </c>
      <c r="J16" s="86" t="s">
        <v>9</v>
      </c>
    </row>
    <row r="17" spans="1:10" s="32" customFormat="1">
      <c r="A17" s="88" t="s">
        <v>55</v>
      </c>
      <c r="B17" s="89" t="s">
        <v>56</v>
      </c>
      <c r="C17" s="90" t="s">
        <v>109</v>
      </c>
      <c r="D17" s="91" t="s">
        <v>137</v>
      </c>
      <c r="E17" s="90" t="s">
        <v>139</v>
      </c>
      <c r="F17" s="89" t="s">
        <v>61</v>
      </c>
      <c r="G17" s="92" t="s">
        <v>62</v>
      </c>
      <c r="H17" s="92">
        <v>4</v>
      </c>
      <c r="I17" s="85">
        <v>779.99036415224418</v>
      </c>
      <c r="J17" s="86" t="s">
        <v>9</v>
      </c>
    </row>
    <row r="18" spans="1:10" s="32" customFormat="1">
      <c r="A18" s="88" t="s">
        <v>55</v>
      </c>
      <c r="B18" s="89" t="s">
        <v>56</v>
      </c>
      <c r="C18" s="90" t="s">
        <v>109</v>
      </c>
      <c r="D18" s="91" t="s">
        <v>1410</v>
      </c>
      <c r="E18" s="90" t="s">
        <v>135</v>
      </c>
      <c r="F18" s="89" t="s">
        <v>97</v>
      </c>
      <c r="G18" s="92" t="s">
        <v>62</v>
      </c>
      <c r="H18" s="92">
        <v>5.49</v>
      </c>
      <c r="I18" s="85">
        <v>393.20096686796421</v>
      </c>
      <c r="J18" s="86" t="s">
        <v>9</v>
      </c>
    </row>
    <row r="19" spans="1:10">
      <c r="A19" s="88" t="s">
        <v>55</v>
      </c>
      <c r="B19" s="89" t="s">
        <v>56</v>
      </c>
      <c r="C19" s="90" t="s">
        <v>109</v>
      </c>
      <c r="D19" s="91" t="s">
        <v>141</v>
      </c>
      <c r="E19" s="90" t="s">
        <v>143</v>
      </c>
      <c r="F19" s="89" t="s">
        <v>61</v>
      </c>
      <c r="G19" s="92" t="s">
        <v>62</v>
      </c>
      <c r="H19" s="92">
        <v>9</v>
      </c>
      <c r="I19" s="85">
        <v>413.09784208313482</v>
      </c>
      <c r="J19" s="86" t="s">
        <v>9</v>
      </c>
    </row>
    <row r="20" spans="1:10" s="34" customFormat="1">
      <c r="A20" s="88" t="s">
        <v>55</v>
      </c>
      <c r="B20" s="89" t="s">
        <v>56</v>
      </c>
      <c r="C20" s="90" t="s">
        <v>109</v>
      </c>
      <c r="D20" s="91" t="s">
        <v>155</v>
      </c>
      <c r="E20" s="90" t="s">
        <v>157</v>
      </c>
      <c r="F20" s="89" t="s">
        <v>61</v>
      </c>
      <c r="G20" s="92" t="s">
        <v>62</v>
      </c>
      <c r="H20" s="92">
        <v>9</v>
      </c>
      <c r="I20" s="85">
        <v>467.90600705874135</v>
      </c>
      <c r="J20" s="86" t="s">
        <v>9</v>
      </c>
    </row>
    <row r="21" spans="1:10">
      <c r="A21" s="88" t="s">
        <v>55</v>
      </c>
      <c r="B21" s="89" t="s">
        <v>56</v>
      </c>
      <c r="C21" s="90" t="s">
        <v>161</v>
      </c>
      <c r="D21" s="91" t="s">
        <v>169</v>
      </c>
      <c r="E21" s="90" t="s">
        <v>171</v>
      </c>
      <c r="F21" s="89" t="s">
        <v>61</v>
      </c>
      <c r="G21" s="92" t="s">
        <v>62</v>
      </c>
      <c r="H21" s="92">
        <v>6</v>
      </c>
      <c r="I21" s="85">
        <v>480.61834393527096</v>
      </c>
      <c r="J21" s="86" t="s">
        <v>9</v>
      </c>
    </row>
    <row r="22" spans="1:10">
      <c r="A22" s="88" t="s">
        <v>55</v>
      </c>
      <c r="B22" s="89" t="s">
        <v>56</v>
      </c>
      <c r="C22" s="90" t="s">
        <v>161</v>
      </c>
      <c r="D22" s="91" t="s">
        <v>1319</v>
      </c>
      <c r="E22" s="90" t="s">
        <v>1321</v>
      </c>
      <c r="F22" s="89" t="s">
        <v>61</v>
      </c>
      <c r="G22" s="92" t="s">
        <v>62</v>
      </c>
      <c r="H22" s="92">
        <v>4</v>
      </c>
      <c r="I22" s="85">
        <v>1000.5818111671047</v>
      </c>
      <c r="J22" s="86" t="s">
        <v>9</v>
      </c>
    </row>
    <row r="23" spans="1:10">
      <c r="A23" s="88" t="s">
        <v>55</v>
      </c>
      <c r="B23" s="89" t="s">
        <v>201</v>
      </c>
      <c r="C23" s="90" t="s">
        <v>202</v>
      </c>
      <c r="D23" s="91" t="s">
        <v>203</v>
      </c>
      <c r="E23" s="90" t="s">
        <v>205</v>
      </c>
      <c r="F23" s="89" t="s">
        <v>206</v>
      </c>
      <c r="G23" s="92" t="s">
        <v>207</v>
      </c>
      <c r="H23" s="92">
        <v>8640</v>
      </c>
      <c r="I23" s="87">
        <v>0.46203531242904328</v>
      </c>
      <c r="J23" s="86" t="s">
        <v>5</v>
      </c>
    </row>
    <row r="24" spans="1:10">
      <c r="A24" s="88" t="s">
        <v>55</v>
      </c>
      <c r="B24" s="89" t="s">
        <v>201</v>
      </c>
      <c r="C24" s="90" t="s">
        <v>202</v>
      </c>
      <c r="D24" s="91" t="s">
        <v>212</v>
      </c>
      <c r="E24" s="90" t="s">
        <v>214</v>
      </c>
      <c r="F24" s="89" t="s">
        <v>215</v>
      </c>
      <c r="G24" s="92" t="s">
        <v>207</v>
      </c>
      <c r="H24" s="92">
        <v>8640</v>
      </c>
      <c r="I24" s="87">
        <v>0.49777981383662218</v>
      </c>
      <c r="J24" s="86" t="s">
        <v>5</v>
      </c>
    </row>
    <row r="25" spans="1:10" s="32" customFormat="1">
      <c r="A25" s="88" t="s">
        <v>55</v>
      </c>
      <c r="B25" s="89" t="s">
        <v>201</v>
      </c>
      <c r="C25" s="90" t="s">
        <v>202</v>
      </c>
      <c r="D25" s="91" t="s">
        <v>217</v>
      </c>
      <c r="E25" s="90" t="s">
        <v>219</v>
      </c>
      <c r="F25" s="89" t="s">
        <v>206</v>
      </c>
      <c r="G25" s="92" t="s">
        <v>207</v>
      </c>
      <c r="H25" s="92">
        <v>11520</v>
      </c>
      <c r="I25" s="87">
        <v>0.42105332497753856</v>
      </c>
      <c r="J25" s="86" t="s">
        <v>5</v>
      </c>
    </row>
    <row r="26" spans="1:10">
      <c r="A26" s="88" t="s">
        <v>55</v>
      </c>
      <c r="B26" s="89" t="s">
        <v>201</v>
      </c>
      <c r="C26" s="90" t="s">
        <v>202</v>
      </c>
      <c r="D26" s="91" t="s">
        <v>221</v>
      </c>
      <c r="E26" s="90" t="s">
        <v>223</v>
      </c>
      <c r="F26" s="89" t="s">
        <v>215</v>
      </c>
      <c r="G26" s="92" t="s">
        <v>207</v>
      </c>
      <c r="H26" s="92">
        <v>11520</v>
      </c>
      <c r="I26" s="87">
        <v>0.43274925067135911</v>
      </c>
      <c r="J26" s="86" t="s">
        <v>5</v>
      </c>
    </row>
    <row r="27" spans="1:10">
      <c r="A27" s="88" t="s">
        <v>55</v>
      </c>
      <c r="B27" s="89" t="s">
        <v>201</v>
      </c>
      <c r="C27" s="90" t="s">
        <v>202</v>
      </c>
      <c r="D27" s="91" t="s">
        <v>225</v>
      </c>
      <c r="E27" s="90" t="s">
        <v>227</v>
      </c>
      <c r="F27" s="89" t="s">
        <v>215</v>
      </c>
      <c r="G27" s="92" t="s">
        <v>207</v>
      </c>
      <c r="H27" s="92">
        <v>11520</v>
      </c>
      <c r="I27" s="87">
        <v>0.57414454500531942</v>
      </c>
      <c r="J27" s="86" t="s">
        <v>5</v>
      </c>
    </row>
    <row r="28" spans="1:10">
      <c r="A28" s="88" t="s">
        <v>55</v>
      </c>
      <c r="B28" s="89" t="s">
        <v>201</v>
      </c>
      <c r="C28" s="90" t="s">
        <v>202</v>
      </c>
      <c r="D28" s="91" t="s">
        <v>229</v>
      </c>
      <c r="E28" s="90" t="s">
        <v>231</v>
      </c>
      <c r="F28" s="89" t="s">
        <v>215</v>
      </c>
      <c r="G28" s="92" t="s">
        <v>207</v>
      </c>
      <c r="H28" s="92">
        <v>11520</v>
      </c>
      <c r="I28" s="87">
        <v>0.59428996763708497</v>
      </c>
      <c r="J28" s="86" t="s">
        <v>5</v>
      </c>
    </row>
    <row r="29" spans="1:10">
      <c r="A29" s="88" t="s">
        <v>55</v>
      </c>
      <c r="B29" s="89" t="s">
        <v>251</v>
      </c>
      <c r="C29" s="90" t="s">
        <v>252</v>
      </c>
      <c r="D29" s="91" t="s">
        <v>1416</v>
      </c>
      <c r="E29" s="90" t="s">
        <v>255</v>
      </c>
      <c r="F29" s="89" t="s">
        <v>215</v>
      </c>
      <c r="G29" s="92" t="s">
        <v>256</v>
      </c>
      <c r="H29" s="92">
        <v>8064</v>
      </c>
      <c r="I29" s="87">
        <v>1.5769570123183645</v>
      </c>
      <c r="J29" s="86" t="s">
        <v>9</v>
      </c>
    </row>
    <row r="30" spans="1:10">
      <c r="A30" s="88" t="s">
        <v>55</v>
      </c>
      <c r="B30" s="89" t="s">
        <v>251</v>
      </c>
      <c r="C30" s="90" t="s">
        <v>252</v>
      </c>
      <c r="D30" s="91" t="s">
        <v>261</v>
      </c>
      <c r="E30" s="90" t="s">
        <v>262</v>
      </c>
      <c r="F30" s="89" t="s">
        <v>215</v>
      </c>
      <c r="G30" s="92" t="s">
        <v>256</v>
      </c>
      <c r="H30" s="92">
        <v>8064</v>
      </c>
      <c r="I30" s="87">
        <v>1.7913680347587055</v>
      </c>
      <c r="J30" s="86" t="s">
        <v>9</v>
      </c>
    </row>
    <row r="31" spans="1:10">
      <c r="A31" s="88" t="s">
        <v>55</v>
      </c>
      <c r="B31" s="89" t="s">
        <v>251</v>
      </c>
      <c r="C31" s="90" t="s">
        <v>283</v>
      </c>
      <c r="D31" s="91" t="s">
        <v>300</v>
      </c>
      <c r="E31" s="90" t="s">
        <v>302</v>
      </c>
      <c r="F31" s="89" t="s">
        <v>303</v>
      </c>
      <c r="G31" s="92" t="s">
        <v>256</v>
      </c>
      <c r="H31" s="92">
        <v>6912</v>
      </c>
      <c r="I31" s="87">
        <v>1.4421294978105663</v>
      </c>
      <c r="J31" s="86" t="s">
        <v>5</v>
      </c>
    </row>
    <row r="32" spans="1:10">
      <c r="A32" s="88" t="s">
        <v>55</v>
      </c>
      <c r="B32" s="89" t="s">
        <v>251</v>
      </c>
      <c r="C32" s="90" t="s">
        <v>283</v>
      </c>
      <c r="D32" s="91" t="s">
        <v>305</v>
      </c>
      <c r="E32" s="90" t="s">
        <v>307</v>
      </c>
      <c r="F32" s="89" t="s">
        <v>206</v>
      </c>
      <c r="G32" s="92" t="s">
        <v>256</v>
      </c>
      <c r="H32" s="92">
        <v>8064</v>
      </c>
      <c r="I32" s="87">
        <v>1.4209276496635126</v>
      </c>
      <c r="J32" s="86" t="s">
        <v>5</v>
      </c>
    </row>
    <row r="33" spans="1:10">
      <c r="A33" s="88" t="s">
        <v>55</v>
      </c>
      <c r="B33" s="89" t="s">
        <v>251</v>
      </c>
      <c r="C33" s="90" t="s">
        <v>283</v>
      </c>
      <c r="D33" s="91" t="s">
        <v>309</v>
      </c>
      <c r="E33" s="90" t="s">
        <v>311</v>
      </c>
      <c r="F33" s="89" t="s">
        <v>276</v>
      </c>
      <c r="G33" s="92" t="s">
        <v>256</v>
      </c>
      <c r="H33" s="92">
        <v>10368</v>
      </c>
      <c r="I33" s="87">
        <v>1.394142989897482</v>
      </c>
      <c r="J33" s="86" t="s">
        <v>5</v>
      </c>
    </row>
    <row r="34" spans="1:10">
      <c r="A34" s="88" t="s">
        <v>55</v>
      </c>
      <c r="B34" s="89" t="s">
        <v>251</v>
      </c>
      <c r="C34" s="90" t="s">
        <v>321</v>
      </c>
      <c r="D34" s="91" t="s">
        <v>330</v>
      </c>
      <c r="E34" s="90" t="s">
        <v>331</v>
      </c>
      <c r="F34" s="89" t="s">
        <v>303</v>
      </c>
      <c r="G34" s="92" t="s">
        <v>256</v>
      </c>
      <c r="H34" s="92">
        <v>6912</v>
      </c>
      <c r="I34" s="87">
        <v>1.5577480673918274</v>
      </c>
      <c r="J34" s="86" t="s">
        <v>5</v>
      </c>
    </row>
    <row r="35" spans="1:10">
      <c r="A35" s="88" t="s">
        <v>55</v>
      </c>
      <c r="B35" s="89" t="s">
        <v>251</v>
      </c>
      <c r="C35" s="90" t="s">
        <v>321</v>
      </c>
      <c r="D35" s="91" t="s">
        <v>337</v>
      </c>
      <c r="E35" s="90" t="s">
        <v>339</v>
      </c>
      <c r="F35" s="89" t="s">
        <v>270</v>
      </c>
      <c r="G35" s="92" t="s">
        <v>256</v>
      </c>
      <c r="H35" s="92">
        <v>10368</v>
      </c>
      <c r="I35" s="87">
        <v>1.5137303684038852</v>
      </c>
      <c r="J35" s="86" t="s">
        <v>5</v>
      </c>
    </row>
    <row r="36" spans="1:10">
      <c r="A36" s="88" t="s">
        <v>55</v>
      </c>
      <c r="B36" s="89" t="s">
        <v>251</v>
      </c>
      <c r="C36" s="90" t="s">
        <v>321</v>
      </c>
      <c r="D36" s="91" t="s">
        <v>349</v>
      </c>
      <c r="E36" s="90" t="s">
        <v>351</v>
      </c>
      <c r="F36" s="89" t="s">
        <v>276</v>
      </c>
      <c r="G36" s="92" t="s">
        <v>256</v>
      </c>
      <c r="H36" s="92">
        <v>10368</v>
      </c>
      <c r="I36" s="87">
        <v>1.7232849712161702</v>
      </c>
      <c r="J36" s="86" t="s">
        <v>5</v>
      </c>
    </row>
    <row r="37" spans="1:10">
      <c r="A37" s="88" t="s">
        <v>55</v>
      </c>
      <c r="B37" s="89" t="s">
        <v>251</v>
      </c>
      <c r="C37" s="90" t="s">
        <v>376</v>
      </c>
      <c r="D37" s="91" t="s">
        <v>353</v>
      </c>
      <c r="E37" s="90" t="s">
        <v>355</v>
      </c>
      <c r="F37" s="89" t="s">
        <v>356</v>
      </c>
      <c r="G37" s="92" t="s">
        <v>357</v>
      </c>
      <c r="H37" s="92">
        <v>86400</v>
      </c>
      <c r="I37" s="87">
        <v>4.9134393140957862E-2</v>
      </c>
      <c r="J37" s="86" t="s">
        <v>9</v>
      </c>
    </row>
    <row r="38" spans="1:10">
      <c r="A38" s="88" t="s">
        <v>55</v>
      </c>
      <c r="B38" s="89" t="s">
        <v>251</v>
      </c>
      <c r="C38" s="90" t="s">
        <v>376</v>
      </c>
      <c r="D38" s="91" t="s">
        <v>360</v>
      </c>
      <c r="E38" s="90" t="s">
        <v>362</v>
      </c>
      <c r="F38" s="89" t="s">
        <v>356</v>
      </c>
      <c r="G38" s="92" t="s">
        <v>357</v>
      </c>
      <c r="H38" s="92">
        <v>86400</v>
      </c>
      <c r="I38" s="87">
        <v>4.9134393140957862E-2</v>
      </c>
      <c r="J38" s="86" t="s">
        <v>9</v>
      </c>
    </row>
    <row r="39" spans="1:10">
      <c r="A39" s="88" t="s">
        <v>55</v>
      </c>
      <c r="B39" s="89" t="s">
        <v>251</v>
      </c>
      <c r="C39" s="90" t="s">
        <v>376</v>
      </c>
      <c r="D39" s="91" t="s">
        <v>364</v>
      </c>
      <c r="E39" s="90" t="s">
        <v>366</v>
      </c>
      <c r="F39" s="89" t="s">
        <v>356</v>
      </c>
      <c r="G39" s="92" t="s">
        <v>357</v>
      </c>
      <c r="H39" s="92">
        <v>86400</v>
      </c>
      <c r="I39" s="87">
        <v>4.9134393140957862E-2</v>
      </c>
      <c r="J39" s="86" t="s">
        <v>9</v>
      </c>
    </row>
    <row r="40" spans="1:10">
      <c r="A40" s="88" t="s">
        <v>55</v>
      </c>
      <c r="B40" s="89" t="s">
        <v>251</v>
      </c>
      <c r="C40" s="90" t="s">
        <v>376</v>
      </c>
      <c r="D40" s="91" t="s">
        <v>368</v>
      </c>
      <c r="E40" s="90" t="s">
        <v>370</v>
      </c>
      <c r="F40" s="89" t="s">
        <v>356</v>
      </c>
      <c r="G40" s="92" t="s">
        <v>357</v>
      </c>
      <c r="H40" s="92">
        <v>86400</v>
      </c>
      <c r="I40" s="87">
        <v>4.9134393140957862E-2</v>
      </c>
      <c r="J40" s="86" t="s">
        <v>9</v>
      </c>
    </row>
    <row r="41" spans="1:10" s="33" customFormat="1">
      <c r="A41" s="88" t="s">
        <v>55</v>
      </c>
      <c r="B41" s="89" t="s">
        <v>395</v>
      </c>
      <c r="C41" s="90" t="s">
        <v>447</v>
      </c>
      <c r="D41" s="91" t="s">
        <v>448</v>
      </c>
      <c r="E41" s="90" t="s">
        <v>450</v>
      </c>
      <c r="F41" s="89" t="s">
        <v>1446</v>
      </c>
      <c r="G41" s="585" t="s">
        <v>402</v>
      </c>
      <c r="H41" s="92">
        <v>4800</v>
      </c>
      <c r="I41" s="87">
        <v>0.49967092425095755</v>
      </c>
      <c r="J41" s="86" t="s">
        <v>9</v>
      </c>
    </row>
    <row r="42" spans="1:10" s="33" customFormat="1">
      <c r="A42" s="88" t="s">
        <v>55</v>
      </c>
      <c r="B42" s="89" t="s">
        <v>395</v>
      </c>
      <c r="C42" s="90" t="s">
        <v>447</v>
      </c>
      <c r="D42" s="91" t="s">
        <v>453</v>
      </c>
      <c r="E42" s="90" t="s">
        <v>455</v>
      </c>
      <c r="F42" s="89" t="s">
        <v>1446</v>
      </c>
      <c r="G42" s="586"/>
      <c r="H42" s="92">
        <v>4800</v>
      </c>
      <c r="I42" s="87">
        <v>0.55320624358113257</v>
      </c>
      <c r="J42" s="86" t="s">
        <v>9</v>
      </c>
    </row>
    <row r="43" spans="1:10" s="33" customFormat="1">
      <c r="A43" s="88" t="s">
        <v>55</v>
      </c>
      <c r="B43" s="89" t="s">
        <v>395</v>
      </c>
      <c r="C43" s="90" t="s">
        <v>447</v>
      </c>
      <c r="D43" s="91" t="s">
        <v>457</v>
      </c>
      <c r="E43" s="90" t="s">
        <v>459</v>
      </c>
      <c r="F43" s="89" t="s">
        <v>1446</v>
      </c>
      <c r="G43" s="586"/>
      <c r="H43" s="92">
        <v>3200</v>
      </c>
      <c r="I43" s="87">
        <v>0.70726243970734515</v>
      </c>
      <c r="J43" s="86" t="s">
        <v>9</v>
      </c>
    </row>
    <row r="44" spans="1:10" s="33" customFormat="1">
      <c r="A44" s="88" t="s">
        <v>55</v>
      </c>
      <c r="B44" s="89" t="s">
        <v>395</v>
      </c>
      <c r="C44" s="90" t="s">
        <v>447</v>
      </c>
      <c r="D44" s="91" t="s">
        <v>461</v>
      </c>
      <c r="E44" s="90" t="s">
        <v>463</v>
      </c>
      <c r="F44" s="89" t="s">
        <v>1446</v>
      </c>
      <c r="G44" s="586"/>
      <c r="H44" s="92">
        <v>2240</v>
      </c>
      <c r="I44" s="87">
        <v>0.99814729352336529</v>
      </c>
      <c r="J44" s="86" t="s">
        <v>9</v>
      </c>
    </row>
    <row r="45" spans="1:10" s="33" customFormat="1">
      <c r="A45" s="88" t="s">
        <v>55</v>
      </c>
      <c r="B45" s="89" t="s">
        <v>395</v>
      </c>
      <c r="C45" s="90" t="s">
        <v>447</v>
      </c>
      <c r="D45" s="91" t="s">
        <v>465</v>
      </c>
      <c r="E45" s="90" t="s">
        <v>467</v>
      </c>
      <c r="F45" s="89" t="s">
        <v>1446</v>
      </c>
      <c r="G45" s="586"/>
      <c r="H45" s="92">
        <v>1600</v>
      </c>
      <c r="I45" s="87">
        <v>1.300505703732135</v>
      </c>
      <c r="J45" s="86" t="s">
        <v>9</v>
      </c>
    </row>
    <row r="46" spans="1:10" s="35" customFormat="1">
      <c r="A46" s="88" t="s">
        <v>55</v>
      </c>
      <c r="B46" s="89" t="s">
        <v>395</v>
      </c>
      <c r="C46" s="90" t="s">
        <v>447</v>
      </c>
      <c r="D46" s="91" t="s">
        <v>469</v>
      </c>
      <c r="E46" s="90" t="s">
        <v>471</v>
      </c>
      <c r="F46" s="89" t="s">
        <v>1446</v>
      </c>
      <c r="G46" s="586"/>
      <c r="H46" s="92">
        <v>960</v>
      </c>
      <c r="I46" s="87">
        <v>1.9263636872904981</v>
      </c>
      <c r="J46" s="86" t="s">
        <v>9</v>
      </c>
    </row>
    <row r="47" spans="1:10" s="35" customFormat="1">
      <c r="A47" s="88" t="s">
        <v>55</v>
      </c>
      <c r="B47" s="89" t="s">
        <v>395</v>
      </c>
      <c r="C47" s="90" t="s">
        <v>447</v>
      </c>
      <c r="D47" s="91" t="s">
        <v>473</v>
      </c>
      <c r="E47" s="90" t="s">
        <v>475</v>
      </c>
      <c r="F47" s="89" t="s">
        <v>1446</v>
      </c>
      <c r="G47" s="587"/>
      <c r="H47" s="92">
        <v>640</v>
      </c>
      <c r="I47" s="87">
        <v>3.3408056341392145</v>
      </c>
      <c r="J47" s="86" t="s">
        <v>9</v>
      </c>
    </row>
    <row r="48" spans="1:10" s="35" customFormat="1">
      <c r="A48" s="88" t="s">
        <v>55</v>
      </c>
      <c r="B48" s="89" t="s">
        <v>395</v>
      </c>
      <c r="C48" s="90" t="s">
        <v>447</v>
      </c>
      <c r="D48" s="91" t="s">
        <v>477</v>
      </c>
      <c r="E48" s="90" t="s">
        <v>479</v>
      </c>
      <c r="F48" s="89" t="s">
        <v>1446</v>
      </c>
      <c r="G48" s="585" t="s">
        <v>402</v>
      </c>
      <c r="H48" s="92">
        <v>4800</v>
      </c>
      <c r="I48" s="87">
        <v>0.51412284245278628</v>
      </c>
      <c r="J48" s="86" t="s">
        <v>9</v>
      </c>
    </row>
    <row r="49" spans="1:10" s="35" customFormat="1">
      <c r="A49" s="88" t="s">
        <v>55</v>
      </c>
      <c r="B49" s="89" t="s">
        <v>395</v>
      </c>
      <c r="C49" s="90" t="s">
        <v>447</v>
      </c>
      <c r="D49" s="91" t="s">
        <v>480</v>
      </c>
      <c r="E49" s="90" t="s">
        <v>482</v>
      </c>
      <c r="F49" s="89" t="s">
        <v>1446</v>
      </c>
      <c r="G49" s="586"/>
      <c r="H49" s="92">
        <v>4800</v>
      </c>
      <c r="I49" s="87">
        <v>0.57041985859278477</v>
      </c>
      <c r="J49" s="86" t="s">
        <v>9</v>
      </c>
    </row>
    <row r="50" spans="1:10" s="33" customFormat="1">
      <c r="A50" s="88" t="s">
        <v>55</v>
      </c>
      <c r="B50" s="89" t="s">
        <v>395</v>
      </c>
      <c r="C50" s="90" t="s">
        <v>447</v>
      </c>
      <c r="D50" s="91" t="s">
        <v>483</v>
      </c>
      <c r="E50" s="90" t="s">
        <v>485</v>
      </c>
      <c r="F50" s="89" t="s">
        <v>1446</v>
      </c>
      <c r="G50" s="586"/>
      <c r="H50" s="92">
        <v>3200</v>
      </c>
      <c r="I50" s="87">
        <v>0.73179252968466879</v>
      </c>
      <c r="J50" s="86" t="s">
        <v>9</v>
      </c>
    </row>
    <row r="51" spans="1:10" s="33" customFormat="1">
      <c r="A51" s="88" t="s">
        <v>55</v>
      </c>
      <c r="B51" s="89" t="s">
        <v>395</v>
      </c>
      <c r="C51" s="90" t="s">
        <v>447</v>
      </c>
      <c r="D51" s="91" t="s">
        <v>486</v>
      </c>
      <c r="E51" s="90" t="s">
        <v>488</v>
      </c>
      <c r="F51" s="89" t="s">
        <v>1446</v>
      </c>
      <c r="G51" s="586"/>
      <c r="H51" s="92">
        <v>2240</v>
      </c>
      <c r="I51" s="87">
        <v>1.036890149567729</v>
      </c>
      <c r="J51" s="86" t="s">
        <v>9</v>
      </c>
    </row>
    <row r="52" spans="1:10" s="33" customFormat="1">
      <c r="A52" s="88" t="s">
        <v>55</v>
      </c>
      <c r="B52" s="89" t="s">
        <v>395</v>
      </c>
      <c r="C52" s="90" t="s">
        <v>447</v>
      </c>
      <c r="D52" s="91" t="s">
        <v>489</v>
      </c>
      <c r="E52" s="90" t="s">
        <v>491</v>
      </c>
      <c r="F52" s="89" t="s">
        <v>1446</v>
      </c>
      <c r="G52" s="586"/>
      <c r="H52" s="92">
        <v>1600</v>
      </c>
      <c r="I52" s="87">
        <v>1.3539029417172719</v>
      </c>
      <c r="J52" s="86" t="s">
        <v>9</v>
      </c>
    </row>
    <row r="53" spans="1:10" s="33" customFormat="1">
      <c r="A53" s="88" t="s">
        <v>55</v>
      </c>
      <c r="B53" s="89" t="s">
        <v>395</v>
      </c>
      <c r="C53" s="90" t="s">
        <v>447</v>
      </c>
      <c r="D53" s="91" t="s">
        <v>492</v>
      </c>
      <c r="E53" s="90" t="s">
        <v>494</v>
      </c>
      <c r="F53" s="89" t="s">
        <v>1446</v>
      </c>
      <c r="G53" s="586"/>
      <c r="H53" s="92">
        <v>960</v>
      </c>
      <c r="I53" s="87">
        <v>2.0095853272825668</v>
      </c>
      <c r="J53" s="86" t="s">
        <v>9</v>
      </c>
    </row>
    <row r="54" spans="1:10" s="33" customFormat="1">
      <c r="A54" s="88" t="s">
        <v>55</v>
      </c>
      <c r="B54" s="89" t="s">
        <v>395</v>
      </c>
      <c r="C54" s="90" t="s">
        <v>447</v>
      </c>
      <c r="D54" s="91" t="s">
        <v>495</v>
      </c>
      <c r="E54" s="90" t="s">
        <v>497</v>
      </c>
      <c r="F54" s="89" t="s">
        <v>1446</v>
      </c>
      <c r="G54" s="587"/>
      <c r="H54" s="92">
        <v>640</v>
      </c>
      <c r="I54" s="87">
        <v>3.4944394719452458</v>
      </c>
      <c r="J54" s="86" t="s">
        <v>9</v>
      </c>
    </row>
    <row r="55" spans="1:10" s="33" customFormat="1">
      <c r="A55" s="88" t="s">
        <v>55</v>
      </c>
      <c r="B55" s="89" t="s">
        <v>395</v>
      </c>
      <c r="C55" s="90" t="s">
        <v>536</v>
      </c>
      <c r="D55" s="91" t="s">
        <v>537</v>
      </c>
      <c r="E55" s="90" t="s">
        <v>539</v>
      </c>
      <c r="F55" s="89" t="s">
        <v>1446</v>
      </c>
      <c r="G55" s="585" t="s">
        <v>402</v>
      </c>
      <c r="H55" s="92">
        <v>4800</v>
      </c>
      <c r="I55" s="87">
        <v>0.52596375944795037</v>
      </c>
      <c r="J55" s="86" t="s">
        <v>9</v>
      </c>
    </row>
    <row r="56" spans="1:10" s="33" customFormat="1">
      <c r="A56" s="88" t="s">
        <v>55</v>
      </c>
      <c r="B56" s="89" t="s">
        <v>395</v>
      </c>
      <c r="C56" s="90" t="s">
        <v>536</v>
      </c>
      <c r="D56" s="91" t="s">
        <v>542</v>
      </c>
      <c r="E56" s="90" t="s">
        <v>544</v>
      </c>
      <c r="F56" s="89" t="s">
        <v>1446</v>
      </c>
      <c r="G56" s="586"/>
      <c r="H56" s="92">
        <v>4800</v>
      </c>
      <c r="I56" s="87">
        <v>0.59480037191363355</v>
      </c>
      <c r="J56" s="86" t="s">
        <v>9</v>
      </c>
    </row>
    <row r="57" spans="1:10" s="33" customFormat="1">
      <c r="A57" s="88" t="s">
        <v>55</v>
      </c>
      <c r="B57" s="89" t="s">
        <v>395</v>
      </c>
      <c r="C57" s="90" t="s">
        <v>536</v>
      </c>
      <c r="D57" s="91" t="s">
        <v>546</v>
      </c>
      <c r="E57" s="90" t="s">
        <v>548</v>
      </c>
      <c r="F57" s="89" t="s">
        <v>1449</v>
      </c>
      <c r="G57" s="586"/>
      <c r="H57" s="92">
        <v>3200</v>
      </c>
      <c r="I57" s="87">
        <v>0.73588868370339144</v>
      </c>
      <c r="J57" s="86" t="s">
        <v>9</v>
      </c>
    </row>
    <row r="58" spans="1:10" s="33" customFormat="1">
      <c r="A58" s="88" t="s">
        <v>55</v>
      </c>
      <c r="B58" s="89" t="s">
        <v>395</v>
      </c>
      <c r="C58" s="90" t="s">
        <v>536</v>
      </c>
      <c r="D58" s="91" t="s">
        <v>550</v>
      </c>
      <c r="E58" s="90" t="s">
        <v>552</v>
      </c>
      <c r="F58" s="89" t="s">
        <v>1446</v>
      </c>
      <c r="G58" s="586"/>
      <c r="H58" s="92">
        <v>2240</v>
      </c>
      <c r="I58" s="87">
        <v>1.0445231503843242</v>
      </c>
      <c r="J58" s="86" t="s">
        <v>9</v>
      </c>
    </row>
    <row r="59" spans="1:10" s="33" customFormat="1">
      <c r="A59" s="88" t="s">
        <v>55</v>
      </c>
      <c r="B59" s="89" t="s">
        <v>395</v>
      </c>
      <c r="C59" s="90" t="s">
        <v>536</v>
      </c>
      <c r="D59" s="91" t="s">
        <v>554</v>
      </c>
      <c r="E59" s="90" t="s">
        <v>556</v>
      </c>
      <c r="F59" s="89" t="s">
        <v>1446</v>
      </c>
      <c r="G59" s="586"/>
      <c r="H59" s="92">
        <v>1600</v>
      </c>
      <c r="I59" s="87">
        <v>1.3580487669087919</v>
      </c>
      <c r="J59" s="86" t="s">
        <v>9</v>
      </c>
    </row>
    <row r="60" spans="1:10" s="33" customFormat="1">
      <c r="A60" s="88" t="s">
        <v>55</v>
      </c>
      <c r="B60" s="89" t="s">
        <v>395</v>
      </c>
      <c r="C60" s="90" t="s">
        <v>536</v>
      </c>
      <c r="D60" s="91" t="s">
        <v>558</v>
      </c>
      <c r="E60" s="90" t="s">
        <v>560</v>
      </c>
      <c r="F60" s="89" t="s">
        <v>1446</v>
      </c>
      <c r="G60" s="586"/>
      <c r="H60" s="92">
        <v>960</v>
      </c>
      <c r="I60" s="87">
        <v>2.0508736033263397</v>
      </c>
      <c r="J60" s="86" t="s">
        <v>9</v>
      </c>
    </row>
    <row r="61" spans="1:10" s="33" customFormat="1">
      <c r="A61" s="88" t="s">
        <v>55</v>
      </c>
      <c r="B61" s="89" t="s">
        <v>395</v>
      </c>
      <c r="C61" s="90" t="s">
        <v>536</v>
      </c>
      <c r="D61" s="91" t="s">
        <v>562</v>
      </c>
      <c r="E61" s="90" t="s">
        <v>564</v>
      </c>
      <c r="F61" s="89" t="s">
        <v>1446</v>
      </c>
      <c r="G61" s="586"/>
      <c r="H61" s="92">
        <v>640</v>
      </c>
      <c r="I61" s="87">
        <v>3.6523208579579101</v>
      </c>
      <c r="J61" s="86" t="s">
        <v>9</v>
      </c>
    </row>
    <row r="62" spans="1:10" s="33" customFormat="1">
      <c r="A62" s="88" t="s">
        <v>55</v>
      </c>
      <c r="B62" s="89" t="s">
        <v>395</v>
      </c>
      <c r="C62" s="90" t="s">
        <v>536</v>
      </c>
      <c r="D62" s="91" t="s">
        <v>1431</v>
      </c>
      <c r="E62" s="90" t="s">
        <v>1439</v>
      </c>
      <c r="F62" s="89" t="s">
        <v>1447</v>
      </c>
      <c r="G62" s="586"/>
      <c r="H62" s="92">
        <v>416</v>
      </c>
      <c r="I62" s="87">
        <v>5.5641435298403215</v>
      </c>
      <c r="J62" s="86" t="s">
        <v>9</v>
      </c>
    </row>
    <row r="63" spans="1:10" s="33" customFormat="1">
      <c r="A63" s="88" t="s">
        <v>55</v>
      </c>
      <c r="B63" s="89" t="s">
        <v>395</v>
      </c>
      <c r="C63" s="90" t="s">
        <v>536</v>
      </c>
      <c r="D63" s="91" t="s">
        <v>1432</v>
      </c>
      <c r="E63" s="90" t="s">
        <v>1440</v>
      </c>
      <c r="F63" s="89" t="s">
        <v>1447</v>
      </c>
      <c r="G63" s="586"/>
      <c r="H63" s="92">
        <v>288</v>
      </c>
      <c r="I63" s="87">
        <v>7.4344154712959041</v>
      </c>
      <c r="J63" s="86" t="s">
        <v>9</v>
      </c>
    </row>
    <row r="64" spans="1:10" s="33" customFormat="1">
      <c r="A64" s="88" t="s">
        <v>55</v>
      </c>
      <c r="B64" s="89" t="s">
        <v>395</v>
      </c>
      <c r="C64" s="90" t="s">
        <v>536</v>
      </c>
      <c r="D64" s="91" t="s">
        <v>1433</v>
      </c>
      <c r="E64" s="90" t="s">
        <v>1441</v>
      </c>
      <c r="F64" s="89" t="s">
        <v>1447</v>
      </c>
      <c r="G64" s="586"/>
      <c r="H64" s="92">
        <v>224</v>
      </c>
      <c r="I64" s="87">
        <v>9.2525476049742039</v>
      </c>
      <c r="J64" s="86" t="s">
        <v>9</v>
      </c>
    </row>
    <row r="65" spans="1:10" s="33" customFormat="1">
      <c r="A65" s="88" t="s">
        <v>55</v>
      </c>
      <c r="B65" s="89" t="s">
        <v>395</v>
      </c>
      <c r="C65" s="90" t="s">
        <v>536</v>
      </c>
      <c r="D65" s="91" t="s">
        <v>1434</v>
      </c>
      <c r="E65" s="90" t="s">
        <v>1442</v>
      </c>
      <c r="F65" s="89" t="s">
        <v>1447</v>
      </c>
      <c r="G65" s="587"/>
      <c r="H65" s="92">
        <v>160</v>
      </c>
      <c r="I65" s="87">
        <v>11.17787259714674</v>
      </c>
      <c r="J65" s="86" t="s">
        <v>9</v>
      </c>
    </row>
    <row r="66" spans="1:10" s="33" customFormat="1">
      <c r="A66" s="88" t="s">
        <v>55</v>
      </c>
      <c r="B66" s="89" t="s">
        <v>621</v>
      </c>
      <c r="C66" s="90" t="s">
        <v>621</v>
      </c>
      <c r="D66" s="91" t="s">
        <v>1214</v>
      </c>
      <c r="E66" s="90" t="s">
        <v>1357</v>
      </c>
      <c r="F66" s="89" t="s">
        <v>241</v>
      </c>
      <c r="G66" s="92" t="s">
        <v>635</v>
      </c>
      <c r="H66" s="92">
        <v>240</v>
      </c>
      <c r="I66" s="87">
        <v>5.9995812800083508</v>
      </c>
      <c r="J66" s="86" t="s">
        <v>9</v>
      </c>
    </row>
    <row r="67" spans="1:10" s="33" customFormat="1">
      <c r="A67" s="88" t="s">
        <v>55</v>
      </c>
      <c r="B67" s="89" t="s">
        <v>621</v>
      </c>
      <c r="C67" s="90" t="s">
        <v>621</v>
      </c>
      <c r="D67" s="91" t="s">
        <v>1270</v>
      </c>
      <c r="E67" s="90" t="s">
        <v>1358</v>
      </c>
      <c r="F67" s="89" t="s">
        <v>241</v>
      </c>
      <c r="G67" s="92" t="s">
        <v>635</v>
      </c>
      <c r="H67" s="92">
        <v>240</v>
      </c>
      <c r="I67" s="87">
        <v>13.059757622148707</v>
      </c>
      <c r="J67" s="86" t="s">
        <v>9</v>
      </c>
    </row>
    <row r="68" spans="1:10" s="33" customFormat="1">
      <c r="A68" s="88" t="s">
        <v>55</v>
      </c>
      <c r="B68" s="89" t="s">
        <v>621</v>
      </c>
      <c r="C68" s="90" t="s">
        <v>621</v>
      </c>
      <c r="D68" s="91" t="s">
        <v>1415</v>
      </c>
      <c r="E68" s="90" t="s">
        <v>628</v>
      </c>
      <c r="F68" s="89" t="s">
        <v>241</v>
      </c>
      <c r="G68" s="92" t="s">
        <v>635</v>
      </c>
      <c r="H68" s="92">
        <v>240</v>
      </c>
      <c r="I68" s="87">
        <v>6.1170281164597489</v>
      </c>
      <c r="J68" s="86" t="s">
        <v>9</v>
      </c>
    </row>
    <row r="69" spans="1:10" s="33" customFormat="1">
      <c r="A69" s="88" t="s">
        <v>55</v>
      </c>
      <c r="B69" s="89" t="s">
        <v>621</v>
      </c>
      <c r="C69" s="90" t="s">
        <v>621</v>
      </c>
      <c r="D69" s="91" t="s">
        <v>654</v>
      </c>
      <c r="E69" s="90" t="s">
        <v>1316</v>
      </c>
      <c r="F69" s="89" t="s">
        <v>241</v>
      </c>
      <c r="G69" s="92" t="s">
        <v>635</v>
      </c>
      <c r="H69" s="92">
        <v>120</v>
      </c>
      <c r="I69" s="87">
        <v>26.138457184230301</v>
      </c>
      <c r="J69" s="86" t="s">
        <v>9</v>
      </c>
    </row>
    <row r="70" spans="1:10" s="33" customFormat="1">
      <c r="A70" s="88" t="s">
        <v>656</v>
      </c>
      <c r="B70" s="89" t="s">
        <v>657</v>
      </c>
      <c r="C70" s="90" t="s">
        <v>657</v>
      </c>
      <c r="D70" s="91" t="s">
        <v>1452</v>
      </c>
      <c r="E70" s="90" t="s">
        <v>1451</v>
      </c>
      <c r="F70" s="89"/>
      <c r="G70" s="92"/>
      <c r="H70" s="92"/>
      <c r="I70" s="87">
        <v>0.26</v>
      </c>
      <c r="J70" s="86" t="s">
        <v>9</v>
      </c>
    </row>
    <row r="71" spans="1:10" s="33" customFormat="1">
      <c r="A71" s="88" t="s">
        <v>656</v>
      </c>
      <c r="B71" s="89" t="s">
        <v>657</v>
      </c>
      <c r="C71" s="90" t="s">
        <v>657</v>
      </c>
      <c r="D71" s="91" t="s">
        <v>659</v>
      </c>
      <c r="E71" s="90" t="s">
        <v>660</v>
      </c>
      <c r="F71" s="89" t="s">
        <v>661</v>
      </c>
      <c r="G71" s="92" t="s">
        <v>242</v>
      </c>
      <c r="H71" s="92">
        <v>36000</v>
      </c>
      <c r="I71" s="87">
        <v>0.39424346321950732</v>
      </c>
      <c r="J71" s="86" t="s">
        <v>9</v>
      </c>
    </row>
    <row r="72" spans="1:10" s="33" customFormat="1">
      <c r="A72" s="88" t="s">
        <v>656</v>
      </c>
      <c r="B72" s="89" t="s">
        <v>657</v>
      </c>
      <c r="C72" s="90" t="s">
        <v>657</v>
      </c>
      <c r="D72" s="91" t="s">
        <v>665</v>
      </c>
      <c r="E72" s="90" t="s">
        <v>666</v>
      </c>
      <c r="F72" s="89" t="s">
        <v>661</v>
      </c>
      <c r="G72" s="92" t="s">
        <v>242</v>
      </c>
      <c r="H72" s="92">
        <v>36000</v>
      </c>
      <c r="I72" s="87">
        <v>0.39424346321950732</v>
      </c>
      <c r="J72" s="86" t="s">
        <v>9</v>
      </c>
    </row>
    <row r="73" spans="1:10" s="33" customFormat="1">
      <c r="A73" s="88" t="s">
        <v>656</v>
      </c>
      <c r="B73" s="89" t="s">
        <v>657</v>
      </c>
      <c r="C73" s="90" t="s">
        <v>657</v>
      </c>
      <c r="D73" s="91" t="s">
        <v>669</v>
      </c>
      <c r="E73" s="90" t="s">
        <v>670</v>
      </c>
      <c r="F73" s="89" t="s">
        <v>671</v>
      </c>
      <c r="G73" s="92" t="s">
        <v>242</v>
      </c>
      <c r="H73" s="92">
        <v>18000</v>
      </c>
      <c r="I73" s="87">
        <v>0.30078880656495727</v>
      </c>
      <c r="J73" s="86" t="s">
        <v>9</v>
      </c>
    </row>
    <row r="74" spans="1:10">
      <c r="A74" s="88" t="s">
        <v>656</v>
      </c>
      <c r="B74" s="89" t="s">
        <v>657</v>
      </c>
      <c r="C74" s="90" t="s">
        <v>657</v>
      </c>
      <c r="D74" s="91" t="s">
        <v>673</v>
      </c>
      <c r="E74" s="90" t="s">
        <v>674</v>
      </c>
      <c r="F74" s="89" t="s">
        <v>671</v>
      </c>
      <c r="G74" s="92" t="s">
        <v>242</v>
      </c>
      <c r="H74" s="92">
        <v>18000</v>
      </c>
      <c r="I74" s="87">
        <v>0.30078880656495727</v>
      </c>
      <c r="J74" s="86" t="s">
        <v>9</v>
      </c>
    </row>
    <row r="75" spans="1:10">
      <c r="A75" s="88" t="s">
        <v>656</v>
      </c>
      <c r="B75" s="89" t="s">
        <v>676</v>
      </c>
      <c r="C75" s="90" t="s">
        <v>677</v>
      </c>
      <c r="D75" s="91" t="s">
        <v>678</v>
      </c>
      <c r="E75" s="90" t="s">
        <v>680</v>
      </c>
      <c r="F75" s="89" t="s">
        <v>241</v>
      </c>
      <c r="G75" s="92" t="s">
        <v>635</v>
      </c>
      <c r="H75" s="92">
        <v>1800</v>
      </c>
      <c r="I75" s="87">
        <v>1.1031683329994411</v>
      </c>
      <c r="J75" s="86" t="s">
        <v>9</v>
      </c>
    </row>
    <row r="76" spans="1:10" s="37" customFormat="1">
      <c r="A76" s="88" t="s">
        <v>656</v>
      </c>
      <c r="B76" s="89" t="s">
        <v>676</v>
      </c>
      <c r="C76" s="90" t="s">
        <v>677</v>
      </c>
      <c r="D76" s="91" t="s">
        <v>1421</v>
      </c>
      <c r="E76" s="90" t="s">
        <v>683</v>
      </c>
      <c r="F76" s="89" t="s">
        <v>241</v>
      </c>
      <c r="G76" s="92" t="s">
        <v>635</v>
      </c>
      <c r="H76" s="92">
        <v>1800</v>
      </c>
      <c r="I76" s="87">
        <v>0.11959275018010611</v>
      </c>
      <c r="J76" s="86" t="s">
        <v>9</v>
      </c>
    </row>
    <row r="77" spans="1:10">
      <c r="A77" s="88" t="s">
        <v>656</v>
      </c>
      <c r="B77" s="89" t="s">
        <v>907</v>
      </c>
      <c r="C77" s="90" t="s">
        <v>685</v>
      </c>
      <c r="D77" s="91" t="s">
        <v>909</v>
      </c>
      <c r="E77" s="90" t="s">
        <v>911</v>
      </c>
      <c r="F77" s="89" t="s">
        <v>912</v>
      </c>
      <c r="G77" s="92" t="s">
        <v>913</v>
      </c>
      <c r="H77" s="92">
        <v>1440</v>
      </c>
      <c r="I77" s="87">
        <v>1.9865897181998935</v>
      </c>
      <c r="J77" s="86" t="s">
        <v>9</v>
      </c>
    </row>
    <row r="78" spans="1:10">
      <c r="A78" s="88" t="s">
        <v>656</v>
      </c>
      <c r="B78" s="89" t="s">
        <v>907</v>
      </c>
      <c r="C78" s="90" t="s">
        <v>685</v>
      </c>
      <c r="D78" s="91" t="s">
        <v>914</v>
      </c>
      <c r="E78" s="90" t="s">
        <v>916</v>
      </c>
      <c r="F78" s="89" t="s">
        <v>912</v>
      </c>
      <c r="G78" s="92" t="s">
        <v>913</v>
      </c>
      <c r="H78" s="92">
        <v>1120</v>
      </c>
      <c r="I78" s="87">
        <v>2.2049949267128954</v>
      </c>
      <c r="J78" s="86" t="s">
        <v>9</v>
      </c>
    </row>
    <row r="79" spans="1:10">
      <c r="A79" s="88" t="s">
        <v>656</v>
      </c>
      <c r="B79" s="89" t="s">
        <v>907</v>
      </c>
      <c r="C79" s="90" t="s">
        <v>685</v>
      </c>
      <c r="D79" s="91" t="s">
        <v>917</v>
      </c>
      <c r="E79" s="90" t="s">
        <v>919</v>
      </c>
      <c r="F79" s="89" t="s">
        <v>912</v>
      </c>
      <c r="G79" s="92" t="s">
        <v>913</v>
      </c>
      <c r="H79" s="92">
        <v>1040</v>
      </c>
      <c r="I79" s="87">
        <v>2.402371198668257</v>
      </c>
      <c r="J79" s="86" t="s">
        <v>9</v>
      </c>
    </row>
    <row r="80" spans="1:10">
      <c r="A80" s="88" t="s">
        <v>656</v>
      </c>
      <c r="B80" s="89" t="s">
        <v>907</v>
      </c>
      <c r="C80" s="90" t="s">
        <v>685</v>
      </c>
      <c r="D80" s="91" t="s">
        <v>920</v>
      </c>
      <c r="E80" s="90" t="s">
        <v>922</v>
      </c>
      <c r="F80" s="89" t="s">
        <v>912</v>
      </c>
      <c r="G80" s="92" t="s">
        <v>913</v>
      </c>
      <c r="H80" s="92">
        <v>800</v>
      </c>
      <c r="I80" s="87">
        <v>2.8095902068136898</v>
      </c>
      <c r="J80" s="86" t="s">
        <v>9</v>
      </c>
    </row>
    <row r="81" spans="1:10">
      <c r="A81" s="88" t="s">
        <v>656</v>
      </c>
      <c r="B81" s="89" t="s">
        <v>907</v>
      </c>
      <c r="C81" s="90" t="s">
        <v>685</v>
      </c>
      <c r="D81" s="91" t="s">
        <v>924</v>
      </c>
      <c r="E81" s="90" t="s">
        <v>926</v>
      </c>
      <c r="F81" s="89" t="s">
        <v>912</v>
      </c>
      <c r="G81" s="92" t="s">
        <v>913</v>
      </c>
      <c r="H81" s="92">
        <v>1600</v>
      </c>
      <c r="I81" s="87">
        <v>1.9763772998992399</v>
      </c>
      <c r="J81" s="86" t="s">
        <v>9</v>
      </c>
    </row>
    <row r="82" spans="1:10">
      <c r="A82" s="88" t="s">
        <v>656</v>
      </c>
      <c r="B82" s="89" t="s">
        <v>907</v>
      </c>
      <c r="C82" s="90" t="s">
        <v>685</v>
      </c>
      <c r="D82" s="91" t="s">
        <v>927</v>
      </c>
      <c r="E82" s="90" t="s">
        <v>929</v>
      </c>
      <c r="F82" s="89" t="s">
        <v>912</v>
      </c>
      <c r="G82" s="92" t="s">
        <v>913</v>
      </c>
      <c r="H82" s="92">
        <v>1200</v>
      </c>
      <c r="I82" s="87">
        <v>2.1962414253123352</v>
      </c>
      <c r="J82" s="86" t="s">
        <v>9</v>
      </c>
    </row>
    <row r="83" spans="1:10">
      <c r="A83" s="88" t="s">
        <v>656</v>
      </c>
      <c r="B83" s="89" t="s">
        <v>907</v>
      </c>
      <c r="C83" s="90" t="s">
        <v>685</v>
      </c>
      <c r="D83" s="91" t="s">
        <v>930</v>
      </c>
      <c r="E83" s="90" t="s">
        <v>932</v>
      </c>
      <c r="F83" s="89" t="s">
        <v>912</v>
      </c>
      <c r="G83" s="92" t="s">
        <v>913</v>
      </c>
      <c r="H83" s="92">
        <v>1120</v>
      </c>
      <c r="I83" s="87">
        <v>2.3922710047445332</v>
      </c>
      <c r="J83" s="86" t="s">
        <v>9</v>
      </c>
    </row>
    <row r="84" spans="1:10">
      <c r="A84" s="88" t="s">
        <v>656</v>
      </c>
      <c r="B84" s="89" t="s">
        <v>907</v>
      </c>
      <c r="C84" s="90" t="s">
        <v>685</v>
      </c>
      <c r="D84" s="91" t="s">
        <v>933</v>
      </c>
      <c r="E84" s="90" t="s">
        <v>935</v>
      </c>
      <c r="F84" s="89" t="s">
        <v>912</v>
      </c>
      <c r="G84" s="92" t="s">
        <v>913</v>
      </c>
      <c r="H84" s="92">
        <v>800</v>
      </c>
      <c r="I84" s="87">
        <v>2.8095902068136898</v>
      </c>
      <c r="J84" s="86" t="s">
        <v>9</v>
      </c>
    </row>
    <row r="85" spans="1:10">
      <c r="A85" s="88" t="s">
        <v>656</v>
      </c>
      <c r="B85" s="89" t="s">
        <v>907</v>
      </c>
      <c r="C85" s="90" t="s">
        <v>685</v>
      </c>
      <c r="D85" s="91" t="s">
        <v>937</v>
      </c>
      <c r="E85" s="90" t="s">
        <v>939</v>
      </c>
      <c r="F85" s="89" t="s">
        <v>912</v>
      </c>
      <c r="G85" s="92" t="s">
        <v>913</v>
      </c>
      <c r="H85" s="92">
        <v>1760</v>
      </c>
      <c r="I85" s="87">
        <v>1.9680216849259782</v>
      </c>
      <c r="J85" s="86" t="s">
        <v>9</v>
      </c>
    </row>
    <row r="86" spans="1:10">
      <c r="A86" s="88" t="s">
        <v>656</v>
      </c>
      <c r="B86" s="89" t="s">
        <v>907</v>
      </c>
      <c r="C86" s="90" t="s">
        <v>685</v>
      </c>
      <c r="D86" s="91" t="s">
        <v>940</v>
      </c>
      <c r="E86" s="90" t="s">
        <v>942</v>
      </c>
      <c r="F86" s="89" t="s">
        <v>912</v>
      </c>
      <c r="G86" s="92" t="s">
        <v>913</v>
      </c>
      <c r="H86" s="92">
        <v>1280</v>
      </c>
      <c r="I86" s="87">
        <v>2.1885821115868453</v>
      </c>
      <c r="J86" s="86" t="s">
        <v>9</v>
      </c>
    </row>
    <row r="87" spans="1:10">
      <c r="A87" s="88" t="s">
        <v>656</v>
      </c>
      <c r="B87" s="89" t="s">
        <v>907</v>
      </c>
      <c r="C87" s="90" t="s">
        <v>685</v>
      </c>
      <c r="D87" s="91" t="s">
        <v>943</v>
      </c>
      <c r="E87" s="90" t="s">
        <v>945</v>
      </c>
      <c r="F87" s="89" t="s">
        <v>912</v>
      </c>
      <c r="G87" s="92" t="s">
        <v>913</v>
      </c>
      <c r="H87" s="92">
        <v>1120</v>
      </c>
      <c r="I87" s="87">
        <v>2.3922710047445332</v>
      </c>
      <c r="J87" s="86" t="s">
        <v>9</v>
      </c>
    </row>
    <row r="88" spans="1:10">
      <c r="A88" s="88" t="s">
        <v>656</v>
      </c>
      <c r="B88" s="89" t="s">
        <v>907</v>
      </c>
      <c r="C88" s="90" t="s">
        <v>685</v>
      </c>
      <c r="D88" s="91" t="s">
        <v>946</v>
      </c>
      <c r="E88" s="90" t="s">
        <v>948</v>
      </c>
      <c r="F88" s="89" t="s">
        <v>912</v>
      </c>
      <c r="G88" s="92" t="s">
        <v>913</v>
      </c>
      <c r="H88" s="92">
        <v>800</v>
      </c>
      <c r="I88" s="87">
        <v>2.8095902068136898</v>
      </c>
      <c r="J88" s="86" t="s">
        <v>9</v>
      </c>
    </row>
    <row r="89" spans="1:10">
      <c r="A89" s="88" t="s">
        <v>656</v>
      </c>
      <c r="B89" s="89" t="s">
        <v>907</v>
      </c>
      <c r="C89" s="90" t="s">
        <v>765</v>
      </c>
      <c r="D89" s="91" t="s">
        <v>949</v>
      </c>
      <c r="E89" s="90" t="s">
        <v>951</v>
      </c>
      <c r="F89" s="89" t="s">
        <v>912</v>
      </c>
      <c r="G89" s="92" t="s">
        <v>913</v>
      </c>
      <c r="H89" s="92">
        <v>1440</v>
      </c>
      <c r="I89" s="87">
        <v>2.1211943992851334</v>
      </c>
      <c r="J89" s="86" t="s">
        <v>9</v>
      </c>
    </row>
    <row r="90" spans="1:10">
      <c r="A90" s="88" t="s">
        <v>656</v>
      </c>
      <c r="B90" s="89" t="s">
        <v>907</v>
      </c>
      <c r="C90" s="90" t="s">
        <v>765</v>
      </c>
      <c r="D90" s="91" t="s">
        <v>952</v>
      </c>
      <c r="E90" s="90" t="s">
        <v>954</v>
      </c>
      <c r="F90" s="89" t="s">
        <v>912</v>
      </c>
      <c r="G90" s="92" t="s">
        <v>913</v>
      </c>
      <c r="H90" s="92">
        <v>1120</v>
      </c>
      <c r="I90" s="87">
        <v>2.4605487415269014</v>
      </c>
      <c r="J90" s="86" t="s">
        <v>9</v>
      </c>
    </row>
    <row r="91" spans="1:10">
      <c r="A91" s="88" t="s">
        <v>656</v>
      </c>
      <c r="B91" s="89" t="s">
        <v>907</v>
      </c>
      <c r="C91" s="90" t="s">
        <v>765</v>
      </c>
      <c r="D91" s="91" t="s">
        <v>955</v>
      </c>
      <c r="E91" s="90" t="s">
        <v>957</v>
      </c>
      <c r="F91" s="89" t="s">
        <v>912</v>
      </c>
      <c r="G91" s="92" t="s">
        <v>913</v>
      </c>
      <c r="H91" s="92">
        <v>1040</v>
      </c>
      <c r="I91" s="87">
        <v>2.7925296945675027</v>
      </c>
      <c r="J91" s="86" t="s">
        <v>9</v>
      </c>
    </row>
    <row r="92" spans="1:10">
      <c r="A92" s="88" t="s">
        <v>656</v>
      </c>
      <c r="B92" s="89" t="s">
        <v>907</v>
      </c>
      <c r="C92" s="90" t="s">
        <v>765</v>
      </c>
      <c r="D92" s="91" t="s">
        <v>958</v>
      </c>
      <c r="E92" s="90" t="s">
        <v>960</v>
      </c>
      <c r="F92" s="89" t="s">
        <v>912</v>
      </c>
      <c r="G92" s="92" t="s">
        <v>913</v>
      </c>
      <c r="H92" s="92">
        <v>800</v>
      </c>
      <c r="I92" s="87">
        <v>3.4689580648834148</v>
      </c>
      <c r="J92" s="86" t="s">
        <v>9</v>
      </c>
    </row>
    <row r="93" spans="1:10">
      <c r="A93" s="88" t="s">
        <v>656</v>
      </c>
      <c r="B93" s="89" t="s">
        <v>907</v>
      </c>
      <c r="C93" s="90" t="s">
        <v>765</v>
      </c>
      <c r="D93" s="91" t="s">
        <v>961</v>
      </c>
      <c r="E93" s="90" t="s">
        <v>963</v>
      </c>
      <c r="F93" s="89" t="s">
        <v>912</v>
      </c>
      <c r="G93" s="92" t="s">
        <v>913</v>
      </c>
      <c r="H93" s="92">
        <v>1600</v>
      </c>
      <c r="I93" s="87">
        <v>2.1109819809844796</v>
      </c>
      <c r="J93" s="86" t="s">
        <v>9</v>
      </c>
    </row>
    <row r="94" spans="1:10">
      <c r="A94" s="88" t="s">
        <v>656</v>
      </c>
      <c r="B94" s="89" t="s">
        <v>907</v>
      </c>
      <c r="C94" s="90" t="s">
        <v>765</v>
      </c>
      <c r="D94" s="91" t="s">
        <v>964</v>
      </c>
      <c r="E94" s="90" t="s">
        <v>966</v>
      </c>
      <c r="F94" s="89" t="s">
        <v>912</v>
      </c>
      <c r="G94" s="92" t="s">
        <v>913</v>
      </c>
      <c r="H94" s="92">
        <v>1200</v>
      </c>
      <c r="I94" s="87">
        <v>2.4517952401263412</v>
      </c>
      <c r="J94" s="86" t="s">
        <v>9</v>
      </c>
    </row>
    <row r="95" spans="1:10">
      <c r="A95" s="88" t="s">
        <v>656</v>
      </c>
      <c r="B95" s="89" t="s">
        <v>907</v>
      </c>
      <c r="C95" s="90" t="s">
        <v>765</v>
      </c>
      <c r="D95" s="91" t="s">
        <v>967</v>
      </c>
      <c r="E95" s="90" t="s">
        <v>969</v>
      </c>
      <c r="F95" s="89" t="s">
        <v>912</v>
      </c>
      <c r="G95" s="92" t="s">
        <v>913</v>
      </c>
      <c r="H95" s="92">
        <v>1120</v>
      </c>
      <c r="I95" s="87">
        <v>2.7824295006437789</v>
      </c>
      <c r="J95" s="86" t="s">
        <v>9</v>
      </c>
    </row>
    <row r="96" spans="1:10">
      <c r="A96" s="88" t="s">
        <v>656</v>
      </c>
      <c r="B96" s="89" t="s">
        <v>907</v>
      </c>
      <c r="C96" s="90" t="s">
        <v>765</v>
      </c>
      <c r="D96" s="91" t="s">
        <v>970</v>
      </c>
      <c r="E96" s="90" t="s">
        <v>972</v>
      </c>
      <c r="F96" s="89" t="s">
        <v>912</v>
      </c>
      <c r="G96" s="92" t="s">
        <v>913</v>
      </c>
      <c r="H96" s="92">
        <v>800</v>
      </c>
      <c r="I96" s="87">
        <v>3.4689580648834148</v>
      </c>
      <c r="J96" s="86" t="s">
        <v>9</v>
      </c>
    </row>
    <row r="97" spans="1:10">
      <c r="A97" s="88" t="s">
        <v>656</v>
      </c>
      <c r="B97" s="89" t="s">
        <v>907</v>
      </c>
      <c r="C97" s="90" t="s">
        <v>765</v>
      </c>
      <c r="D97" s="91" t="s">
        <v>973</v>
      </c>
      <c r="E97" s="90" t="s">
        <v>974</v>
      </c>
      <c r="F97" s="89" t="s">
        <v>912</v>
      </c>
      <c r="G97" s="92" t="s">
        <v>913</v>
      </c>
      <c r="H97" s="92">
        <v>1760</v>
      </c>
      <c r="I97" s="87">
        <v>2.1026263660112177</v>
      </c>
      <c r="J97" s="86" t="s">
        <v>9</v>
      </c>
    </row>
    <row r="98" spans="1:10">
      <c r="A98" s="88" t="s">
        <v>656</v>
      </c>
      <c r="B98" s="89" t="s">
        <v>907</v>
      </c>
      <c r="C98" s="90" t="s">
        <v>765</v>
      </c>
      <c r="D98" s="91" t="s">
        <v>975</v>
      </c>
      <c r="E98" s="90" t="s">
        <v>977</v>
      </c>
      <c r="F98" s="89" t="s">
        <v>912</v>
      </c>
      <c r="G98" s="92" t="s">
        <v>913</v>
      </c>
      <c r="H98" s="92">
        <v>1280</v>
      </c>
      <c r="I98" s="87">
        <v>2.4441359264008509</v>
      </c>
      <c r="J98" s="86" t="s">
        <v>9</v>
      </c>
    </row>
    <row r="99" spans="1:10">
      <c r="A99" s="88" t="s">
        <v>656</v>
      </c>
      <c r="B99" s="89" t="s">
        <v>907</v>
      </c>
      <c r="C99" s="90" t="s">
        <v>765</v>
      </c>
      <c r="D99" s="91" t="s">
        <v>978</v>
      </c>
      <c r="E99" s="90" t="s">
        <v>980</v>
      </c>
      <c r="F99" s="89" t="s">
        <v>912</v>
      </c>
      <c r="G99" s="92" t="s">
        <v>913</v>
      </c>
      <c r="H99" s="92">
        <v>1120</v>
      </c>
      <c r="I99" s="87">
        <v>2.7824295006437789</v>
      </c>
      <c r="J99" s="86" t="s">
        <v>9</v>
      </c>
    </row>
    <row r="100" spans="1:10">
      <c r="A100" s="88" t="s">
        <v>656</v>
      </c>
      <c r="B100" s="89" t="s">
        <v>907</v>
      </c>
      <c r="C100" s="90" t="s">
        <v>765</v>
      </c>
      <c r="D100" s="91" t="s">
        <v>981</v>
      </c>
      <c r="E100" s="90" t="s">
        <v>983</v>
      </c>
      <c r="F100" s="89" t="s">
        <v>912</v>
      </c>
      <c r="G100" s="92" t="s">
        <v>913</v>
      </c>
      <c r="H100" s="92">
        <v>800</v>
      </c>
      <c r="I100" s="87">
        <v>3.4689580648834148</v>
      </c>
      <c r="J100" s="86" t="s">
        <v>9</v>
      </c>
    </row>
    <row r="101" spans="1:10">
      <c r="A101" s="88" t="s">
        <v>656</v>
      </c>
      <c r="B101" s="89" t="s">
        <v>907</v>
      </c>
      <c r="C101" s="90" t="s">
        <v>820</v>
      </c>
      <c r="D101" s="91" t="s">
        <v>984</v>
      </c>
      <c r="E101" s="90" t="s">
        <v>986</v>
      </c>
      <c r="F101" s="89" t="s">
        <v>912</v>
      </c>
      <c r="G101" s="92" t="s">
        <v>913</v>
      </c>
      <c r="H101" s="92">
        <v>1440</v>
      </c>
      <c r="I101" s="87">
        <v>2.1621610413545547</v>
      </c>
      <c r="J101" s="86" t="s">
        <v>9</v>
      </c>
    </row>
    <row r="102" spans="1:10">
      <c r="A102" s="88" t="s">
        <v>656</v>
      </c>
      <c r="B102" s="89" t="s">
        <v>907</v>
      </c>
      <c r="C102" s="90" t="s">
        <v>820</v>
      </c>
      <c r="D102" s="91" t="s">
        <v>987</v>
      </c>
      <c r="E102" s="90" t="s">
        <v>989</v>
      </c>
      <c r="F102" s="89" t="s">
        <v>912</v>
      </c>
      <c r="G102" s="92" t="s">
        <v>913</v>
      </c>
      <c r="H102" s="92">
        <v>1120</v>
      </c>
      <c r="I102" s="87">
        <v>2.7434136510538547</v>
      </c>
      <c r="J102" s="86" t="s">
        <v>9</v>
      </c>
    </row>
    <row r="103" spans="1:10" s="33" customFormat="1">
      <c r="A103" s="88" t="s">
        <v>656</v>
      </c>
      <c r="B103" s="89" t="s">
        <v>907</v>
      </c>
      <c r="C103" s="90" t="s">
        <v>820</v>
      </c>
      <c r="D103" s="91" t="s">
        <v>990</v>
      </c>
      <c r="E103" s="90" t="s">
        <v>992</v>
      </c>
      <c r="F103" s="89" t="s">
        <v>912</v>
      </c>
      <c r="G103" s="92" t="s">
        <v>913</v>
      </c>
      <c r="H103" s="92">
        <v>1040</v>
      </c>
      <c r="I103" s="87">
        <v>3.3055881166750112</v>
      </c>
      <c r="J103" s="86" t="s">
        <v>9</v>
      </c>
    </row>
    <row r="104" spans="1:10" s="33" customFormat="1">
      <c r="A104" s="88" t="s">
        <v>656</v>
      </c>
      <c r="B104" s="89" t="s">
        <v>907</v>
      </c>
      <c r="C104" s="90" t="s">
        <v>820</v>
      </c>
      <c r="D104" s="91" t="s">
        <v>993</v>
      </c>
      <c r="E104" s="90" t="s">
        <v>995</v>
      </c>
      <c r="F104" s="89" t="s">
        <v>912</v>
      </c>
      <c r="G104" s="92" t="s">
        <v>913</v>
      </c>
      <c r="H104" s="92">
        <v>800</v>
      </c>
      <c r="I104" s="87">
        <v>4.4502066820700188</v>
      </c>
      <c r="J104" s="86" t="s">
        <v>9</v>
      </c>
    </row>
    <row r="105" spans="1:10" s="33" customFormat="1">
      <c r="A105" s="88" t="s">
        <v>656</v>
      </c>
      <c r="B105" s="89" t="s">
        <v>907</v>
      </c>
      <c r="C105" s="90" t="s">
        <v>820</v>
      </c>
      <c r="D105" s="91" t="s">
        <v>996</v>
      </c>
      <c r="E105" s="90" t="s">
        <v>998</v>
      </c>
      <c r="F105" s="89" t="s">
        <v>912</v>
      </c>
      <c r="G105" s="92" t="s">
        <v>913</v>
      </c>
      <c r="H105" s="92">
        <v>1600</v>
      </c>
      <c r="I105" s="87">
        <v>2.1519486230539009</v>
      </c>
      <c r="J105" s="86" t="s">
        <v>9</v>
      </c>
    </row>
    <row r="106" spans="1:10" s="33" customFormat="1">
      <c r="A106" s="88" t="s">
        <v>656</v>
      </c>
      <c r="B106" s="89" t="s">
        <v>907</v>
      </c>
      <c r="C106" s="90" t="s">
        <v>820</v>
      </c>
      <c r="D106" s="91" t="s">
        <v>999</v>
      </c>
      <c r="E106" s="90" t="s">
        <v>1001</v>
      </c>
      <c r="F106" s="89" t="s">
        <v>912</v>
      </c>
      <c r="G106" s="92" t="s">
        <v>913</v>
      </c>
      <c r="H106" s="92">
        <v>1200</v>
      </c>
      <c r="I106" s="87">
        <v>2.7346601496532945</v>
      </c>
      <c r="J106" s="86" t="s">
        <v>9</v>
      </c>
    </row>
    <row r="107" spans="1:10">
      <c r="A107" s="88" t="s">
        <v>656</v>
      </c>
      <c r="B107" s="89" t="s">
        <v>907</v>
      </c>
      <c r="C107" s="90" t="s">
        <v>820</v>
      </c>
      <c r="D107" s="91" t="s">
        <v>1002</v>
      </c>
      <c r="E107" s="90" t="s">
        <v>1004</v>
      </c>
      <c r="F107" s="89" t="s">
        <v>912</v>
      </c>
      <c r="G107" s="92" t="s">
        <v>913</v>
      </c>
      <c r="H107" s="92">
        <v>1120</v>
      </c>
      <c r="I107" s="87">
        <v>3.2954879227512879</v>
      </c>
      <c r="J107" s="86" t="s">
        <v>9</v>
      </c>
    </row>
    <row r="108" spans="1:10">
      <c r="A108" s="88" t="s">
        <v>656</v>
      </c>
      <c r="B108" s="89" t="s">
        <v>907</v>
      </c>
      <c r="C108" s="90" t="s">
        <v>820</v>
      </c>
      <c r="D108" s="91" t="s">
        <v>1005</v>
      </c>
      <c r="E108" s="90" t="s">
        <v>1007</v>
      </c>
      <c r="F108" s="89" t="s">
        <v>912</v>
      </c>
      <c r="G108" s="92" t="s">
        <v>913</v>
      </c>
      <c r="H108" s="92">
        <v>800</v>
      </c>
      <c r="I108" s="87">
        <v>4.4502066820700188</v>
      </c>
      <c r="J108" s="86" t="s">
        <v>9</v>
      </c>
    </row>
    <row r="109" spans="1:10">
      <c r="A109" s="88" t="s">
        <v>656</v>
      </c>
      <c r="B109" s="89" t="s">
        <v>907</v>
      </c>
      <c r="C109" s="90" t="s">
        <v>820</v>
      </c>
      <c r="D109" s="91" t="s">
        <v>1008</v>
      </c>
      <c r="E109" s="90" t="s">
        <v>1010</v>
      </c>
      <c r="F109" s="89" t="s">
        <v>912</v>
      </c>
      <c r="G109" s="92" t="s">
        <v>913</v>
      </c>
      <c r="H109" s="92">
        <v>1760</v>
      </c>
      <c r="I109" s="87">
        <v>2.1435930080806394</v>
      </c>
      <c r="J109" s="86" t="s">
        <v>9</v>
      </c>
    </row>
    <row r="110" spans="1:10">
      <c r="A110" s="88" t="s">
        <v>656</v>
      </c>
      <c r="B110" s="89" t="s">
        <v>907</v>
      </c>
      <c r="C110" s="90" t="s">
        <v>820</v>
      </c>
      <c r="D110" s="91" t="s">
        <v>1011</v>
      </c>
      <c r="E110" s="90" t="s">
        <v>1013</v>
      </c>
      <c r="F110" s="89" t="s">
        <v>912</v>
      </c>
      <c r="G110" s="92" t="s">
        <v>913</v>
      </c>
      <c r="H110" s="92">
        <v>1280</v>
      </c>
      <c r="I110" s="87">
        <v>2.7270008359278042</v>
      </c>
      <c r="J110" s="86" t="s">
        <v>9</v>
      </c>
    </row>
    <row r="111" spans="1:10">
      <c r="A111" s="88" t="s">
        <v>656</v>
      </c>
      <c r="B111" s="89" t="s">
        <v>907</v>
      </c>
      <c r="C111" s="90" t="s">
        <v>820</v>
      </c>
      <c r="D111" s="91" t="s">
        <v>1014</v>
      </c>
      <c r="E111" s="90" t="s">
        <v>1016</v>
      </c>
      <c r="F111" s="89" t="s">
        <v>912</v>
      </c>
      <c r="G111" s="92" t="s">
        <v>913</v>
      </c>
      <c r="H111" s="92">
        <v>1120</v>
      </c>
      <c r="I111" s="87">
        <v>3.2954879227512879</v>
      </c>
      <c r="J111" s="86" t="s">
        <v>9</v>
      </c>
    </row>
    <row r="112" spans="1:10">
      <c r="A112" s="88" t="s">
        <v>656</v>
      </c>
      <c r="B112" s="89" t="s">
        <v>907</v>
      </c>
      <c r="C112" s="90" t="s">
        <v>820</v>
      </c>
      <c r="D112" s="91" t="s">
        <v>1017</v>
      </c>
      <c r="E112" s="90" t="s">
        <v>1019</v>
      </c>
      <c r="F112" s="89" t="s">
        <v>912</v>
      </c>
      <c r="G112" s="92" t="s">
        <v>913</v>
      </c>
      <c r="H112" s="92">
        <v>800</v>
      </c>
      <c r="I112" s="87">
        <v>4.4502066820700188</v>
      </c>
      <c r="J112" s="86" t="s">
        <v>9</v>
      </c>
    </row>
    <row r="113" spans="1:10">
      <c r="A113" s="88" t="s">
        <v>656</v>
      </c>
      <c r="B113" s="89" t="s">
        <v>907</v>
      </c>
      <c r="C113" s="90" t="s">
        <v>839</v>
      </c>
      <c r="D113" s="91" t="s">
        <v>1020</v>
      </c>
      <c r="E113" s="90" t="s">
        <v>1022</v>
      </c>
      <c r="F113" s="89" t="s">
        <v>912</v>
      </c>
      <c r="G113" s="92" t="s">
        <v>913</v>
      </c>
      <c r="H113" s="92">
        <v>1440</v>
      </c>
      <c r="I113" s="87">
        <v>2.0139008129128411</v>
      </c>
      <c r="J113" s="86" t="s">
        <v>9</v>
      </c>
    </row>
    <row r="114" spans="1:10">
      <c r="A114" s="88" t="s">
        <v>656</v>
      </c>
      <c r="B114" s="89" t="s">
        <v>907</v>
      </c>
      <c r="C114" s="90" t="s">
        <v>839</v>
      </c>
      <c r="D114" s="91" t="s">
        <v>1023</v>
      </c>
      <c r="E114" s="90" t="s">
        <v>1025</v>
      </c>
      <c r="F114" s="89" t="s">
        <v>912</v>
      </c>
      <c r="G114" s="92" t="s">
        <v>913</v>
      </c>
      <c r="H114" s="92">
        <v>1120</v>
      </c>
      <c r="I114" s="87">
        <v>2.1503727372870007</v>
      </c>
      <c r="J114" s="86" t="s">
        <v>9</v>
      </c>
    </row>
    <row r="115" spans="1:10">
      <c r="A115" s="88" t="s">
        <v>656</v>
      </c>
      <c r="B115" s="89" t="s">
        <v>907</v>
      </c>
      <c r="C115" s="90" t="s">
        <v>839</v>
      </c>
      <c r="D115" s="91" t="s">
        <v>1026</v>
      </c>
      <c r="E115" s="90" t="s">
        <v>1028</v>
      </c>
      <c r="F115" s="89" t="s">
        <v>912</v>
      </c>
      <c r="G115" s="92" t="s">
        <v>913</v>
      </c>
      <c r="H115" s="92">
        <v>1040</v>
      </c>
      <c r="I115" s="87">
        <v>2.2677665175830168</v>
      </c>
      <c r="J115" s="86" t="s">
        <v>9</v>
      </c>
    </row>
    <row r="116" spans="1:10">
      <c r="A116" s="88" t="s">
        <v>656</v>
      </c>
      <c r="B116" s="89" t="s">
        <v>907</v>
      </c>
      <c r="C116" s="90" t="s">
        <v>839</v>
      </c>
      <c r="D116" s="91" t="s">
        <v>1029</v>
      </c>
      <c r="E116" s="90" t="s">
        <v>1031</v>
      </c>
      <c r="F116" s="89" t="s">
        <v>912</v>
      </c>
      <c r="G116" s="92" t="s">
        <v>913</v>
      </c>
      <c r="H116" s="92">
        <v>800</v>
      </c>
      <c r="I116" s="87">
        <v>2.5130697499302626</v>
      </c>
      <c r="J116" s="86" t="s">
        <v>9</v>
      </c>
    </row>
    <row r="117" spans="1:10">
      <c r="A117" s="88" t="s">
        <v>656</v>
      </c>
      <c r="B117" s="89" t="s">
        <v>907</v>
      </c>
      <c r="C117" s="90" t="s">
        <v>839</v>
      </c>
      <c r="D117" s="91" t="s">
        <v>1032</v>
      </c>
      <c r="E117" s="90" t="s">
        <v>1034</v>
      </c>
      <c r="F117" s="89" t="s">
        <v>912</v>
      </c>
      <c r="G117" s="92" t="s">
        <v>913</v>
      </c>
      <c r="H117" s="92">
        <v>1600</v>
      </c>
      <c r="I117" s="87">
        <v>2.0036883946121873</v>
      </c>
      <c r="J117" s="86" t="s">
        <v>9</v>
      </c>
    </row>
    <row r="118" spans="1:10">
      <c r="A118" s="88" t="s">
        <v>656</v>
      </c>
      <c r="B118" s="89" t="s">
        <v>907</v>
      </c>
      <c r="C118" s="90" t="s">
        <v>839</v>
      </c>
      <c r="D118" s="91" t="s">
        <v>1035</v>
      </c>
      <c r="E118" s="90" t="s">
        <v>1037</v>
      </c>
      <c r="F118" s="89" t="s">
        <v>912</v>
      </c>
      <c r="G118" s="92" t="s">
        <v>913</v>
      </c>
      <c r="H118" s="92">
        <v>1200</v>
      </c>
      <c r="I118" s="87">
        <v>2.1416192358864405</v>
      </c>
      <c r="J118" s="86" t="s">
        <v>9</v>
      </c>
    </row>
    <row r="119" spans="1:10">
      <c r="A119" s="88" t="s">
        <v>656</v>
      </c>
      <c r="B119" s="89" t="s">
        <v>907</v>
      </c>
      <c r="C119" s="90" t="s">
        <v>839</v>
      </c>
      <c r="D119" s="91" t="s">
        <v>1038</v>
      </c>
      <c r="E119" s="90" t="s">
        <v>1040</v>
      </c>
      <c r="F119" s="89" t="s">
        <v>912</v>
      </c>
      <c r="G119" s="92" t="s">
        <v>913</v>
      </c>
      <c r="H119" s="92">
        <v>1120</v>
      </c>
      <c r="I119" s="87">
        <v>2.2576663236592935</v>
      </c>
      <c r="J119" s="86" t="s">
        <v>9</v>
      </c>
    </row>
    <row r="120" spans="1:10">
      <c r="A120" s="88" t="s">
        <v>656</v>
      </c>
      <c r="B120" s="89" t="s">
        <v>907</v>
      </c>
      <c r="C120" s="90" t="s">
        <v>839</v>
      </c>
      <c r="D120" s="91" t="s">
        <v>1041</v>
      </c>
      <c r="E120" s="90" t="s">
        <v>1043</v>
      </c>
      <c r="F120" s="89" t="s">
        <v>912</v>
      </c>
      <c r="G120" s="92" t="s">
        <v>913</v>
      </c>
      <c r="H120" s="92">
        <v>800</v>
      </c>
      <c r="I120" s="87">
        <v>2.5130697499302626</v>
      </c>
      <c r="J120" s="86" t="s">
        <v>9</v>
      </c>
    </row>
    <row r="121" spans="1:10">
      <c r="A121" s="88" t="s">
        <v>656</v>
      </c>
      <c r="B121" s="89" t="s">
        <v>907</v>
      </c>
      <c r="C121" s="90" t="s">
        <v>839</v>
      </c>
      <c r="D121" s="91" t="s">
        <v>1044</v>
      </c>
      <c r="E121" s="90" t="s">
        <v>1046</v>
      </c>
      <c r="F121" s="89" t="s">
        <v>912</v>
      </c>
      <c r="G121" s="92" t="s">
        <v>913</v>
      </c>
      <c r="H121" s="92">
        <v>1760</v>
      </c>
      <c r="I121" s="87">
        <v>1.9953327796389255</v>
      </c>
      <c r="J121" s="86" t="s">
        <v>9</v>
      </c>
    </row>
    <row r="122" spans="1:10">
      <c r="A122" s="88" t="s">
        <v>656</v>
      </c>
      <c r="B122" s="89" t="s">
        <v>907</v>
      </c>
      <c r="C122" s="90" t="s">
        <v>839</v>
      </c>
      <c r="D122" s="91" t="s">
        <v>1047</v>
      </c>
      <c r="E122" s="90" t="s">
        <v>1049</v>
      </c>
      <c r="F122" s="89" t="s">
        <v>912</v>
      </c>
      <c r="G122" s="92" t="s">
        <v>913</v>
      </c>
      <c r="H122" s="92">
        <v>1280</v>
      </c>
      <c r="I122" s="87">
        <v>2.1339599221609502</v>
      </c>
      <c r="J122" s="86" t="s">
        <v>9</v>
      </c>
    </row>
    <row r="123" spans="1:10">
      <c r="A123" s="88" t="s">
        <v>656</v>
      </c>
      <c r="B123" s="89" t="s">
        <v>907</v>
      </c>
      <c r="C123" s="90" t="s">
        <v>839</v>
      </c>
      <c r="D123" s="91" t="s">
        <v>1050</v>
      </c>
      <c r="E123" s="90" t="s">
        <v>1052</v>
      </c>
      <c r="F123" s="89" t="s">
        <v>912</v>
      </c>
      <c r="G123" s="92" t="s">
        <v>913</v>
      </c>
      <c r="H123" s="92">
        <v>1120</v>
      </c>
      <c r="I123" s="87">
        <v>2.2576663236592935</v>
      </c>
      <c r="J123" s="86" t="s">
        <v>9</v>
      </c>
    </row>
    <row r="124" spans="1:10">
      <c r="A124" s="88" t="s">
        <v>656</v>
      </c>
      <c r="B124" s="89" t="s">
        <v>907</v>
      </c>
      <c r="C124" s="90" t="s">
        <v>839</v>
      </c>
      <c r="D124" s="91" t="s">
        <v>1053</v>
      </c>
      <c r="E124" s="90" t="s">
        <v>1055</v>
      </c>
      <c r="F124" s="89" t="s">
        <v>912</v>
      </c>
      <c r="G124" s="92" t="s">
        <v>913</v>
      </c>
      <c r="H124" s="92">
        <v>800</v>
      </c>
      <c r="I124" s="87">
        <v>2.5130697499302626</v>
      </c>
      <c r="J124" s="86" t="s">
        <v>9</v>
      </c>
    </row>
    <row r="125" spans="1:10">
      <c r="A125" s="88" t="s">
        <v>656</v>
      </c>
      <c r="B125" s="89" t="s">
        <v>1056</v>
      </c>
      <c r="C125" s="90" t="s">
        <v>1056</v>
      </c>
      <c r="D125" s="91" t="s">
        <v>1057</v>
      </c>
      <c r="E125" s="90" t="s">
        <v>1058</v>
      </c>
      <c r="F125" s="89" t="s">
        <v>241</v>
      </c>
      <c r="G125" s="92" t="s">
        <v>1059</v>
      </c>
      <c r="H125" s="92">
        <v>120</v>
      </c>
      <c r="I125" s="87">
        <v>15.09367035566396</v>
      </c>
      <c r="J125" s="86" t="s">
        <v>5</v>
      </c>
    </row>
    <row r="126" spans="1:10">
      <c r="A126" s="88" t="s">
        <v>656</v>
      </c>
      <c r="B126" s="89" t="s">
        <v>1056</v>
      </c>
      <c r="C126" s="90" t="s">
        <v>1056</v>
      </c>
      <c r="D126" s="91" t="s">
        <v>1060</v>
      </c>
      <c r="E126" s="90" t="s">
        <v>1061</v>
      </c>
      <c r="F126" s="89" t="s">
        <v>241</v>
      </c>
      <c r="G126" s="92" t="s">
        <v>1059</v>
      </c>
      <c r="H126" s="92">
        <v>120</v>
      </c>
      <c r="I126" s="87">
        <v>13.639815716336312</v>
      </c>
      <c r="J126" s="86" t="s">
        <v>5</v>
      </c>
    </row>
    <row r="127" spans="1:10">
      <c r="A127" s="88" t="s">
        <v>656</v>
      </c>
      <c r="B127" s="89" t="s">
        <v>1056</v>
      </c>
      <c r="C127" s="90" t="s">
        <v>1056</v>
      </c>
      <c r="D127" s="91" t="s">
        <v>1063</v>
      </c>
      <c r="E127" s="90" t="s">
        <v>1322</v>
      </c>
      <c r="F127" s="89" t="s">
        <v>241</v>
      </c>
      <c r="G127" s="92" t="s">
        <v>635</v>
      </c>
      <c r="H127" s="92">
        <v>500</v>
      </c>
      <c r="I127" s="87">
        <v>2.1678431879380073</v>
      </c>
      <c r="J127" s="86" t="s">
        <v>5</v>
      </c>
    </row>
    <row r="128" spans="1:10">
      <c r="A128" s="88" t="s">
        <v>656</v>
      </c>
      <c r="B128" s="89" t="s">
        <v>1056</v>
      </c>
      <c r="C128" s="90" t="s">
        <v>1056</v>
      </c>
      <c r="D128" s="91" t="s">
        <v>1065</v>
      </c>
      <c r="E128" s="90" t="s">
        <v>1324</v>
      </c>
      <c r="F128" s="89" t="s">
        <v>241</v>
      </c>
      <c r="G128" s="92" t="s">
        <v>635</v>
      </c>
      <c r="H128" s="92">
        <v>500</v>
      </c>
      <c r="I128" s="87">
        <v>2.1678431879380073</v>
      </c>
      <c r="J128" s="86" t="s">
        <v>5</v>
      </c>
    </row>
    <row r="129" spans="1:10">
      <c r="A129" s="88" t="s">
        <v>656</v>
      </c>
      <c r="B129" s="89" t="s">
        <v>1056</v>
      </c>
      <c r="C129" s="90" t="s">
        <v>1056</v>
      </c>
      <c r="D129" s="91" t="s">
        <v>1067</v>
      </c>
      <c r="E129" s="90" t="s">
        <v>1323</v>
      </c>
      <c r="F129" s="89" t="s">
        <v>241</v>
      </c>
      <c r="G129" s="92" t="s">
        <v>635</v>
      </c>
      <c r="H129" s="92">
        <v>500</v>
      </c>
      <c r="I129" s="87">
        <v>2.1678431879380073</v>
      </c>
      <c r="J129" s="86" t="s">
        <v>5</v>
      </c>
    </row>
    <row r="130" spans="1:10">
      <c r="A130" s="88" t="s">
        <v>656</v>
      </c>
      <c r="B130" s="89" t="s">
        <v>1056</v>
      </c>
      <c r="C130" s="90" t="s">
        <v>1056</v>
      </c>
      <c r="D130" s="91" t="s">
        <v>1069</v>
      </c>
      <c r="E130" s="90" t="s">
        <v>1325</v>
      </c>
      <c r="F130" s="89" t="s">
        <v>241</v>
      </c>
      <c r="G130" s="92" t="s">
        <v>635</v>
      </c>
      <c r="H130" s="92">
        <v>500</v>
      </c>
      <c r="I130" s="87">
        <v>2.1678431879380073</v>
      </c>
      <c r="J130" s="86" t="s">
        <v>5</v>
      </c>
    </row>
    <row r="131" spans="1:10">
      <c r="A131" s="88" t="s">
        <v>656</v>
      </c>
      <c r="B131" s="89" t="s">
        <v>1056</v>
      </c>
      <c r="C131" s="90" t="s">
        <v>1056</v>
      </c>
      <c r="D131" s="91" t="s">
        <v>1072</v>
      </c>
      <c r="E131" s="90" t="s">
        <v>1074</v>
      </c>
      <c r="F131" s="89" t="s">
        <v>241</v>
      </c>
      <c r="G131" s="92" t="s">
        <v>635</v>
      </c>
      <c r="H131" s="92">
        <v>500</v>
      </c>
      <c r="I131" s="87">
        <v>2.1678431879380073</v>
      </c>
      <c r="J131" s="86" t="s">
        <v>5</v>
      </c>
    </row>
    <row r="132" spans="1:10">
      <c r="A132" s="88" t="s">
        <v>656</v>
      </c>
      <c r="B132" s="89" t="s">
        <v>1056</v>
      </c>
      <c r="C132" s="90" t="s">
        <v>1056</v>
      </c>
      <c r="D132" s="91" t="s">
        <v>1335</v>
      </c>
      <c r="E132" s="90" t="s">
        <v>1359</v>
      </c>
      <c r="F132" s="89" t="s">
        <v>241</v>
      </c>
      <c r="G132" s="92" t="s">
        <v>635</v>
      </c>
      <c r="H132" s="92">
        <v>540</v>
      </c>
      <c r="I132" s="87">
        <v>8.9443656368018072</v>
      </c>
      <c r="J132" s="86" t="s">
        <v>5</v>
      </c>
    </row>
    <row r="133" spans="1:10">
      <c r="A133" s="88" t="s">
        <v>656</v>
      </c>
      <c r="B133" s="89" t="s">
        <v>1056</v>
      </c>
      <c r="C133" s="90" t="s">
        <v>1056</v>
      </c>
      <c r="D133" s="91" t="s">
        <v>1337</v>
      </c>
      <c r="E133" s="90" t="s">
        <v>1360</v>
      </c>
      <c r="F133" s="89" t="s">
        <v>241</v>
      </c>
      <c r="G133" s="92" t="s">
        <v>635</v>
      </c>
      <c r="H133" s="92">
        <v>540</v>
      </c>
      <c r="I133" s="87">
        <v>5.5457444020098965</v>
      </c>
      <c r="J133" s="86" t="s">
        <v>5</v>
      </c>
    </row>
    <row r="134" spans="1:10">
      <c r="A134" s="88" t="s">
        <v>656</v>
      </c>
      <c r="B134" s="89" t="s">
        <v>1056</v>
      </c>
      <c r="C134" s="90" t="s">
        <v>1056</v>
      </c>
      <c r="D134" s="91" t="s">
        <v>1338</v>
      </c>
      <c r="E134" s="90" t="s">
        <v>1362</v>
      </c>
      <c r="F134" s="89" t="s">
        <v>241</v>
      </c>
      <c r="G134" s="92" t="s">
        <v>635</v>
      </c>
      <c r="H134" s="92">
        <v>540</v>
      </c>
      <c r="I134" s="87">
        <v>11.21011312666308</v>
      </c>
      <c r="J134" s="86" t="s">
        <v>5</v>
      </c>
    </row>
    <row r="135" spans="1:10">
      <c r="A135" s="88" t="s">
        <v>656</v>
      </c>
      <c r="B135" s="89" t="s">
        <v>1056</v>
      </c>
      <c r="C135" s="90" t="s">
        <v>1056</v>
      </c>
      <c r="D135" s="91" t="s">
        <v>1339</v>
      </c>
      <c r="E135" s="90" t="s">
        <v>1363</v>
      </c>
      <c r="F135" s="89" t="s">
        <v>241</v>
      </c>
      <c r="G135" s="92" t="s">
        <v>635</v>
      </c>
      <c r="H135" s="92">
        <v>540</v>
      </c>
      <c r="I135" s="87">
        <v>6.6786181469405337</v>
      </c>
      <c r="J135" s="86" t="s">
        <v>5</v>
      </c>
    </row>
    <row r="136" spans="1:10">
      <c r="A136" s="88" t="s">
        <v>656</v>
      </c>
      <c r="B136" s="89" t="s">
        <v>1056</v>
      </c>
      <c r="C136" s="90" t="s">
        <v>1056</v>
      </c>
      <c r="D136" s="91" t="s">
        <v>1340</v>
      </c>
      <c r="E136" s="90" t="s">
        <v>1364</v>
      </c>
      <c r="F136" s="89" t="s">
        <v>241</v>
      </c>
      <c r="G136" s="92" t="s">
        <v>635</v>
      </c>
      <c r="H136" s="92">
        <v>540</v>
      </c>
      <c r="I136" s="87">
        <v>8.9443656368018072</v>
      </c>
      <c r="J136" s="86" t="s">
        <v>5</v>
      </c>
    </row>
    <row r="137" spans="1:10">
      <c r="A137" s="88" t="s">
        <v>656</v>
      </c>
      <c r="B137" s="89" t="s">
        <v>1056</v>
      </c>
      <c r="C137" s="90" t="s">
        <v>1056</v>
      </c>
      <c r="D137" s="91" t="s">
        <v>1341</v>
      </c>
      <c r="E137" s="90" t="s">
        <v>1365</v>
      </c>
      <c r="F137" s="89" t="s">
        <v>241</v>
      </c>
      <c r="G137" s="92" t="s">
        <v>635</v>
      </c>
      <c r="H137" s="92">
        <v>540</v>
      </c>
      <c r="I137" s="87">
        <v>5.5457444020098965</v>
      </c>
      <c r="J137" s="86" t="s">
        <v>5</v>
      </c>
    </row>
    <row r="138" spans="1:10">
      <c r="A138" s="88" t="s">
        <v>656</v>
      </c>
      <c r="B138" s="89" t="s">
        <v>1056</v>
      </c>
      <c r="C138" s="90" t="s">
        <v>1056</v>
      </c>
      <c r="D138" s="91" t="s">
        <v>1342</v>
      </c>
      <c r="E138" s="90" t="s">
        <v>1366</v>
      </c>
      <c r="F138" s="89" t="s">
        <v>241</v>
      </c>
      <c r="G138" s="92" t="s">
        <v>635</v>
      </c>
      <c r="H138" s="92">
        <v>540</v>
      </c>
      <c r="I138" s="87">
        <v>11.21011312666308</v>
      </c>
      <c r="J138" s="86" t="s">
        <v>5</v>
      </c>
    </row>
    <row r="139" spans="1:10">
      <c r="A139" s="88" t="s">
        <v>656</v>
      </c>
      <c r="B139" s="89" t="s">
        <v>1056</v>
      </c>
      <c r="C139" s="90" t="s">
        <v>1056</v>
      </c>
      <c r="D139" s="91" t="s">
        <v>1343</v>
      </c>
      <c r="E139" s="90" t="s">
        <v>1367</v>
      </c>
      <c r="F139" s="89" t="s">
        <v>241</v>
      </c>
      <c r="G139" s="92" t="s">
        <v>635</v>
      </c>
      <c r="H139" s="92">
        <v>540</v>
      </c>
      <c r="I139" s="87">
        <v>6.6786181469405337</v>
      </c>
      <c r="J139" s="86" t="s">
        <v>5</v>
      </c>
    </row>
    <row r="140" spans="1:10">
      <c r="A140" s="88" t="s">
        <v>656</v>
      </c>
      <c r="B140" s="89" t="s">
        <v>1056</v>
      </c>
      <c r="C140" s="90" t="s">
        <v>1056</v>
      </c>
      <c r="D140" s="91" t="s">
        <v>1080</v>
      </c>
      <c r="E140" s="90" t="s">
        <v>1082</v>
      </c>
      <c r="F140" s="89" t="s">
        <v>912</v>
      </c>
      <c r="G140" s="92" t="s">
        <v>635</v>
      </c>
      <c r="H140" s="92">
        <v>4800</v>
      </c>
      <c r="I140" s="87">
        <v>0.48369758235648197</v>
      </c>
      <c r="J140" s="86" t="s">
        <v>9</v>
      </c>
    </row>
    <row r="141" spans="1:10">
      <c r="A141" s="88" t="s">
        <v>656</v>
      </c>
      <c r="B141" s="89" t="s">
        <v>1079</v>
      </c>
      <c r="C141" s="90" t="s">
        <v>1056</v>
      </c>
      <c r="D141" s="91" t="s">
        <v>1083</v>
      </c>
      <c r="E141" s="90" t="s">
        <v>1085</v>
      </c>
      <c r="F141" s="89" t="s">
        <v>912</v>
      </c>
      <c r="G141" s="92" t="s">
        <v>635</v>
      </c>
      <c r="H141" s="92">
        <v>7200</v>
      </c>
      <c r="I141" s="87">
        <v>0.47501702680092645</v>
      </c>
      <c r="J141" s="86" t="s">
        <v>9</v>
      </c>
    </row>
    <row r="142" spans="1:10">
      <c r="A142" s="88" t="s">
        <v>656</v>
      </c>
      <c r="B142" s="89" t="s">
        <v>1079</v>
      </c>
      <c r="C142" s="90" t="s">
        <v>1056</v>
      </c>
      <c r="D142" s="91" t="s">
        <v>1086</v>
      </c>
      <c r="E142" s="90" t="s">
        <v>1088</v>
      </c>
      <c r="F142" s="89" t="s">
        <v>912</v>
      </c>
      <c r="G142" s="92" t="s">
        <v>635</v>
      </c>
      <c r="H142" s="92">
        <v>4800</v>
      </c>
      <c r="I142" s="87">
        <v>0.6097187765319384</v>
      </c>
      <c r="J142" s="86" t="s">
        <v>9</v>
      </c>
    </row>
    <row r="143" spans="1:10">
      <c r="A143" s="88" t="s">
        <v>656</v>
      </c>
      <c r="B143" s="89" t="s">
        <v>1079</v>
      </c>
      <c r="C143" s="90" t="s">
        <v>765</v>
      </c>
      <c r="D143" s="91" t="s">
        <v>1089</v>
      </c>
      <c r="E143" s="90" t="s">
        <v>1090</v>
      </c>
      <c r="F143" s="89" t="s">
        <v>912</v>
      </c>
      <c r="G143" s="92" t="s">
        <v>635</v>
      </c>
      <c r="H143" s="92">
        <v>7200</v>
      </c>
      <c r="I143" s="87">
        <v>0.60103822097638282</v>
      </c>
      <c r="J143" s="86" t="s">
        <v>9</v>
      </c>
    </row>
    <row r="144" spans="1:10">
      <c r="A144" s="88" t="s">
        <v>656</v>
      </c>
      <c r="B144" s="89" t="s">
        <v>1079</v>
      </c>
      <c r="C144" s="90" t="s">
        <v>839</v>
      </c>
      <c r="D144" s="91" t="s">
        <v>1097</v>
      </c>
      <c r="E144" s="90" t="s">
        <v>1099</v>
      </c>
      <c r="F144" s="89" t="s">
        <v>912</v>
      </c>
      <c r="G144" s="92" t="s">
        <v>635</v>
      </c>
      <c r="H144" s="92">
        <v>4800</v>
      </c>
      <c r="I144" s="87">
        <v>0.43892689495204362</v>
      </c>
      <c r="J144" s="86" t="s">
        <v>9</v>
      </c>
    </row>
    <row r="145" spans="1:10">
      <c r="A145" s="88" t="s">
        <v>656</v>
      </c>
      <c r="B145" s="89" t="s">
        <v>1079</v>
      </c>
      <c r="C145" s="90" t="s">
        <v>839</v>
      </c>
      <c r="D145" s="91" t="s">
        <v>1100</v>
      </c>
      <c r="E145" s="90" t="s">
        <v>1101</v>
      </c>
      <c r="F145" s="89" t="s">
        <v>912</v>
      </c>
      <c r="G145" s="92" t="s">
        <v>635</v>
      </c>
      <c r="H145" s="92">
        <v>7200</v>
      </c>
      <c r="I145" s="87">
        <v>0.4302463393964881</v>
      </c>
      <c r="J145" s="86" t="s">
        <v>9</v>
      </c>
    </row>
    <row r="146" spans="1:10">
      <c r="A146" s="88" t="s">
        <v>1102</v>
      </c>
      <c r="B146" s="89" t="s">
        <v>1103</v>
      </c>
      <c r="C146" s="90" t="s">
        <v>1103</v>
      </c>
      <c r="D146" s="91" t="s">
        <v>1418</v>
      </c>
      <c r="E146" s="90" t="s">
        <v>1109</v>
      </c>
      <c r="F146" s="89" t="s">
        <v>241</v>
      </c>
      <c r="G146" s="92" t="s">
        <v>635</v>
      </c>
      <c r="H146" s="92">
        <v>400</v>
      </c>
      <c r="I146" s="87">
        <v>2.7269856920284772</v>
      </c>
      <c r="J146" s="86" t="s">
        <v>9</v>
      </c>
    </row>
    <row r="147" spans="1:10">
      <c r="A147" s="88" t="s">
        <v>1102</v>
      </c>
      <c r="B147" s="89" t="s">
        <v>1103</v>
      </c>
      <c r="C147" s="90" t="s">
        <v>1103</v>
      </c>
      <c r="D147" s="91" t="s">
        <v>1419</v>
      </c>
      <c r="E147" s="90" t="s">
        <v>1112</v>
      </c>
      <c r="F147" s="89" t="s">
        <v>241</v>
      </c>
      <c r="G147" s="92" t="s">
        <v>635</v>
      </c>
      <c r="H147" s="92">
        <v>400</v>
      </c>
      <c r="I147" s="87">
        <v>3.4190177104120956</v>
      </c>
      <c r="J147" s="86" t="s">
        <v>9</v>
      </c>
    </row>
    <row r="148" spans="1:10">
      <c r="A148" s="88" t="s">
        <v>1102</v>
      </c>
      <c r="B148" s="89" t="s">
        <v>1103</v>
      </c>
      <c r="C148" s="90" t="s">
        <v>1103</v>
      </c>
      <c r="D148" s="91" t="s">
        <v>1113</v>
      </c>
      <c r="E148" s="90" t="s">
        <v>1114</v>
      </c>
      <c r="F148" s="89" t="s">
        <v>241</v>
      </c>
      <c r="G148" s="92" t="s">
        <v>242</v>
      </c>
      <c r="H148" s="92">
        <v>360</v>
      </c>
      <c r="I148" s="87">
        <v>3.5427532259096779</v>
      </c>
      <c r="J148" s="86" t="s">
        <v>9</v>
      </c>
    </row>
    <row r="149" spans="1:10">
      <c r="A149" s="88" t="s">
        <v>1102</v>
      </c>
      <c r="B149" s="89" t="s">
        <v>1103</v>
      </c>
      <c r="C149" s="90" t="s">
        <v>1103</v>
      </c>
      <c r="D149" s="91" t="s">
        <v>1116</v>
      </c>
      <c r="E149" s="90" t="s">
        <v>1118</v>
      </c>
      <c r="F149" s="89" t="s">
        <v>241</v>
      </c>
      <c r="G149" s="92" t="s">
        <v>242</v>
      </c>
      <c r="H149" s="92">
        <v>360</v>
      </c>
      <c r="I149" s="87">
        <v>11.414337630269385</v>
      </c>
      <c r="J149" s="86" t="s">
        <v>9</v>
      </c>
    </row>
    <row r="150" spans="1:10">
      <c r="A150" s="88" t="s">
        <v>1102</v>
      </c>
      <c r="B150" s="89" t="s">
        <v>1103</v>
      </c>
      <c r="C150" s="90" t="s">
        <v>1103</v>
      </c>
      <c r="D150" s="91" t="s">
        <v>1417</v>
      </c>
      <c r="E150" s="90" t="s">
        <v>1124</v>
      </c>
      <c r="F150" s="89" t="s">
        <v>241</v>
      </c>
      <c r="G150" s="92" t="s">
        <v>635</v>
      </c>
      <c r="H150" s="92">
        <v>1200</v>
      </c>
      <c r="I150" s="87">
        <v>3.1337705238820455</v>
      </c>
      <c r="J150" s="86" t="s">
        <v>9</v>
      </c>
    </row>
    <row r="151" spans="1:10">
      <c r="A151" s="88" t="s">
        <v>1102</v>
      </c>
      <c r="B151" s="89" t="s">
        <v>1103</v>
      </c>
      <c r="C151" s="90" t="s">
        <v>1103</v>
      </c>
      <c r="D151" s="91" t="s">
        <v>1125</v>
      </c>
      <c r="E151" s="90" t="s">
        <v>1127</v>
      </c>
      <c r="F151" s="89" t="s">
        <v>241</v>
      </c>
      <c r="G151" s="92" t="s">
        <v>383</v>
      </c>
      <c r="H151" s="92">
        <v>200</v>
      </c>
      <c r="I151" s="87">
        <v>6.7848460325980149</v>
      </c>
      <c r="J151" s="86" t="s">
        <v>9</v>
      </c>
    </row>
    <row r="152" spans="1:10">
      <c r="A152" s="88" t="s">
        <v>1102</v>
      </c>
      <c r="B152" s="89" t="s">
        <v>1103</v>
      </c>
      <c r="C152" s="90" t="s">
        <v>1103</v>
      </c>
      <c r="D152" s="91" t="s">
        <v>1129</v>
      </c>
      <c r="E152" s="90" t="s">
        <v>1131</v>
      </c>
      <c r="F152" s="89" t="s">
        <v>241</v>
      </c>
      <c r="G152" s="92" t="s">
        <v>383</v>
      </c>
      <c r="H152" s="92">
        <v>200</v>
      </c>
      <c r="I152" s="87">
        <v>7.6392813992914803</v>
      </c>
      <c r="J152" s="86" t="s">
        <v>9</v>
      </c>
    </row>
    <row r="153" spans="1:10">
      <c r="A153" s="88" t="s">
        <v>1102</v>
      </c>
      <c r="B153" s="89" t="s">
        <v>1103</v>
      </c>
      <c r="C153" s="90" t="s">
        <v>1103</v>
      </c>
      <c r="D153" s="91" t="s">
        <v>1133</v>
      </c>
      <c r="E153" s="90" t="s">
        <v>1135</v>
      </c>
      <c r="F153" s="89" t="s">
        <v>241</v>
      </c>
      <c r="G153" s="92" t="s">
        <v>635</v>
      </c>
      <c r="H153" s="92">
        <v>900</v>
      </c>
      <c r="I153" s="87">
        <v>1.6007566263563753</v>
      </c>
      <c r="J153" s="86" t="s">
        <v>9</v>
      </c>
    </row>
    <row r="154" spans="1:10">
      <c r="A154" s="88" t="s">
        <v>1102</v>
      </c>
      <c r="B154" s="89" t="s">
        <v>1103</v>
      </c>
      <c r="C154" s="90" t="s">
        <v>1103</v>
      </c>
      <c r="D154" s="91" t="s">
        <v>1137</v>
      </c>
      <c r="E154" s="90" t="s">
        <v>1139</v>
      </c>
      <c r="F154" s="89" t="s">
        <v>241</v>
      </c>
      <c r="G154" s="92" t="s">
        <v>635</v>
      </c>
      <c r="H154" s="92">
        <v>400</v>
      </c>
      <c r="I154" s="87">
        <v>3.3519509516173436</v>
      </c>
      <c r="J154" s="86" t="s">
        <v>9</v>
      </c>
    </row>
    <row r="155" spans="1:10">
      <c r="A155" s="88" t="s">
        <v>1102</v>
      </c>
      <c r="B155" s="89" t="s">
        <v>1141</v>
      </c>
      <c r="C155" s="90" t="s">
        <v>1141</v>
      </c>
      <c r="D155" s="91" t="s">
        <v>1420</v>
      </c>
      <c r="E155" s="90" t="s">
        <v>1144</v>
      </c>
      <c r="F155" s="89" t="s">
        <v>241</v>
      </c>
      <c r="G155" s="92" t="s">
        <v>1059</v>
      </c>
      <c r="H155" s="92">
        <v>240</v>
      </c>
      <c r="I155" s="87">
        <v>9.3693807919258827</v>
      </c>
      <c r="J155" s="86" t="s">
        <v>9</v>
      </c>
    </row>
    <row r="156" spans="1:10">
      <c r="A156" s="88" t="s">
        <v>1102</v>
      </c>
      <c r="B156" s="89" t="s">
        <v>1141</v>
      </c>
      <c r="C156" s="90" t="s">
        <v>1141</v>
      </c>
      <c r="D156" s="91" t="s">
        <v>1149</v>
      </c>
      <c r="E156" s="90" t="s">
        <v>1151</v>
      </c>
      <c r="F156" s="89" t="s">
        <v>241</v>
      </c>
      <c r="G156" s="92" t="s">
        <v>1059</v>
      </c>
      <c r="H156" s="92">
        <v>240</v>
      </c>
      <c r="I156" s="87">
        <v>9.3693807919258809</v>
      </c>
      <c r="J156" s="86" t="s">
        <v>9</v>
      </c>
    </row>
    <row r="157" spans="1:10">
      <c r="A157" s="88" t="s">
        <v>1102</v>
      </c>
      <c r="B157" s="89" t="s">
        <v>1141</v>
      </c>
      <c r="C157" s="90" t="s">
        <v>1141</v>
      </c>
      <c r="D157" s="91" t="s">
        <v>1153</v>
      </c>
      <c r="E157" s="90" t="s">
        <v>1155</v>
      </c>
      <c r="F157" s="89" t="s">
        <v>241</v>
      </c>
      <c r="G157" s="92" t="s">
        <v>1059</v>
      </c>
      <c r="H157" s="92">
        <v>240</v>
      </c>
      <c r="I157" s="87">
        <v>27.978705411150859</v>
      </c>
      <c r="J157" s="86" t="s">
        <v>9</v>
      </c>
    </row>
    <row r="158" spans="1:10" s="37" customFormat="1">
      <c r="A158" s="88" t="s">
        <v>656</v>
      </c>
      <c r="B158" s="89" t="s">
        <v>684</v>
      </c>
      <c r="C158" s="90" t="s">
        <v>685</v>
      </c>
      <c r="D158" s="91" t="s">
        <v>687</v>
      </c>
      <c r="E158" s="90" t="s">
        <v>689</v>
      </c>
      <c r="F158" s="89" t="s">
        <v>197</v>
      </c>
      <c r="G158" s="92" t="s">
        <v>690</v>
      </c>
      <c r="H158" s="92">
        <v>4</v>
      </c>
      <c r="I158" s="85">
        <v>472.85714285714289</v>
      </c>
      <c r="J158" s="86" t="s">
        <v>9</v>
      </c>
    </row>
    <row r="159" spans="1:10" s="37" customFormat="1">
      <c r="A159" s="88" t="s">
        <v>656</v>
      </c>
      <c r="B159" s="89" t="s">
        <v>684</v>
      </c>
      <c r="C159" s="90" t="s">
        <v>685</v>
      </c>
      <c r="D159" s="91" t="s">
        <v>693</v>
      </c>
      <c r="E159" s="90" t="s">
        <v>695</v>
      </c>
      <c r="F159" s="89" t="s">
        <v>197</v>
      </c>
      <c r="G159" s="92" t="s">
        <v>690</v>
      </c>
      <c r="H159" s="92">
        <v>4</v>
      </c>
      <c r="I159" s="85">
        <v>544.28571428571433</v>
      </c>
      <c r="J159" s="86" t="s">
        <v>9</v>
      </c>
    </row>
    <row r="160" spans="1:10">
      <c r="A160" s="88" t="s">
        <v>656</v>
      </c>
      <c r="B160" s="89" t="s">
        <v>684</v>
      </c>
      <c r="C160" s="90" t="s">
        <v>685</v>
      </c>
      <c r="D160" s="91" t="s">
        <v>696</v>
      </c>
      <c r="E160" s="90" t="s">
        <v>698</v>
      </c>
      <c r="F160" s="89" t="s">
        <v>197</v>
      </c>
      <c r="G160" s="92" t="s">
        <v>690</v>
      </c>
      <c r="H160" s="92">
        <v>4</v>
      </c>
      <c r="I160" s="85">
        <v>688.57142857142867</v>
      </c>
      <c r="J160" s="86" t="s">
        <v>9</v>
      </c>
    </row>
    <row r="161" spans="1:10">
      <c r="A161" s="88" t="s">
        <v>656</v>
      </c>
      <c r="B161" s="89" t="s">
        <v>684</v>
      </c>
      <c r="C161" s="90" t="s">
        <v>685</v>
      </c>
      <c r="D161" s="91" t="s">
        <v>699</v>
      </c>
      <c r="E161" s="90" t="s">
        <v>701</v>
      </c>
      <c r="F161" s="89" t="s">
        <v>197</v>
      </c>
      <c r="G161" s="92" t="s">
        <v>690</v>
      </c>
      <c r="H161" s="92">
        <v>4</v>
      </c>
      <c r="I161" s="85">
        <v>1132.8571428571429</v>
      </c>
      <c r="J161" s="86" t="s">
        <v>9</v>
      </c>
    </row>
    <row r="162" spans="1:10">
      <c r="A162" s="88" t="s">
        <v>656</v>
      </c>
      <c r="B162" s="89" t="s">
        <v>684</v>
      </c>
      <c r="C162" s="90" t="s">
        <v>685</v>
      </c>
      <c r="D162" s="91" t="s">
        <v>703</v>
      </c>
      <c r="E162" s="90" t="s">
        <v>705</v>
      </c>
      <c r="F162" s="89" t="s">
        <v>197</v>
      </c>
      <c r="G162" s="92" t="s">
        <v>690</v>
      </c>
      <c r="H162" s="92">
        <v>4</v>
      </c>
      <c r="I162" s="85">
        <v>482.85714285714289</v>
      </c>
      <c r="J162" s="86" t="s">
        <v>9</v>
      </c>
    </row>
    <row r="163" spans="1:10">
      <c r="A163" s="88" t="s">
        <v>656</v>
      </c>
      <c r="B163" s="89" t="s">
        <v>684</v>
      </c>
      <c r="C163" s="90" t="s">
        <v>685</v>
      </c>
      <c r="D163" s="91" t="s">
        <v>706</v>
      </c>
      <c r="E163" s="90" t="s">
        <v>708</v>
      </c>
      <c r="F163" s="89" t="s">
        <v>197</v>
      </c>
      <c r="G163" s="92" t="s">
        <v>690</v>
      </c>
      <c r="H163" s="92">
        <v>4</v>
      </c>
      <c r="I163" s="85">
        <v>571.42857142857144</v>
      </c>
      <c r="J163" s="86" t="s">
        <v>9</v>
      </c>
    </row>
    <row r="164" spans="1:10">
      <c r="A164" s="88" t="s">
        <v>656</v>
      </c>
      <c r="B164" s="89" t="s">
        <v>684</v>
      </c>
      <c r="C164" s="90" t="s">
        <v>685</v>
      </c>
      <c r="D164" s="91" t="s">
        <v>709</v>
      </c>
      <c r="E164" s="90" t="s">
        <v>711</v>
      </c>
      <c r="F164" s="89" t="s">
        <v>197</v>
      </c>
      <c r="G164" s="92" t="s">
        <v>690</v>
      </c>
      <c r="H164" s="92">
        <v>4</v>
      </c>
      <c r="I164" s="85">
        <v>742.85714285714289</v>
      </c>
      <c r="J164" s="86" t="s">
        <v>9</v>
      </c>
    </row>
    <row r="165" spans="1:10" s="37" customFormat="1">
      <c r="A165" s="88" t="s">
        <v>656</v>
      </c>
      <c r="B165" s="89" t="s">
        <v>684</v>
      </c>
      <c r="C165" s="90" t="s">
        <v>685</v>
      </c>
      <c r="D165" s="91" t="s">
        <v>712</v>
      </c>
      <c r="E165" s="90" t="s">
        <v>714</v>
      </c>
      <c r="F165" s="89" t="s">
        <v>715</v>
      </c>
      <c r="G165" s="92" t="s">
        <v>716</v>
      </c>
      <c r="H165" s="92">
        <v>2</v>
      </c>
      <c r="I165" s="85">
        <v>1300</v>
      </c>
      <c r="J165" s="86" t="s">
        <v>9</v>
      </c>
    </row>
    <row r="166" spans="1:10" s="37" customFormat="1">
      <c r="A166" s="88" t="s">
        <v>656</v>
      </c>
      <c r="B166" s="89" t="s">
        <v>684</v>
      </c>
      <c r="C166" s="90" t="s">
        <v>685</v>
      </c>
      <c r="D166" s="91" t="s">
        <v>718</v>
      </c>
      <c r="E166" s="90" t="s">
        <v>720</v>
      </c>
      <c r="F166" s="89" t="s">
        <v>197</v>
      </c>
      <c r="G166" s="92" t="s">
        <v>690</v>
      </c>
      <c r="H166" s="92">
        <v>4</v>
      </c>
      <c r="I166" s="85">
        <v>418.57142857142861</v>
      </c>
      <c r="J166" s="86" t="s">
        <v>9</v>
      </c>
    </row>
    <row r="167" spans="1:10">
      <c r="A167" s="88" t="s">
        <v>656</v>
      </c>
      <c r="B167" s="89" t="s">
        <v>684</v>
      </c>
      <c r="C167" s="90" t="s">
        <v>685</v>
      </c>
      <c r="D167" s="91" t="s">
        <v>721</v>
      </c>
      <c r="E167" s="90" t="s">
        <v>723</v>
      </c>
      <c r="F167" s="89" t="s">
        <v>197</v>
      </c>
      <c r="G167" s="92" t="s">
        <v>690</v>
      </c>
      <c r="H167" s="92">
        <v>4</v>
      </c>
      <c r="I167" s="85">
        <v>487.14285714285717</v>
      </c>
      <c r="J167" s="86" t="s">
        <v>9</v>
      </c>
    </row>
    <row r="168" spans="1:10">
      <c r="A168" s="88" t="s">
        <v>656</v>
      </c>
      <c r="B168" s="89" t="s">
        <v>684</v>
      </c>
      <c r="C168" s="90" t="s">
        <v>685</v>
      </c>
      <c r="D168" s="91" t="s">
        <v>724</v>
      </c>
      <c r="E168" s="90" t="s">
        <v>726</v>
      </c>
      <c r="F168" s="89" t="s">
        <v>197</v>
      </c>
      <c r="G168" s="92" t="s">
        <v>690</v>
      </c>
      <c r="H168" s="92">
        <v>4</v>
      </c>
      <c r="I168" s="85">
        <v>625.71428571428578</v>
      </c>
      <c r="J168" s="86" t="s">
        <v>9</v>
      </c>
    </row>
    <row r="169" spans="1:10">
      <c r="A169" s="88" t="s">
        <v>656</v>
      </c>
      <c r="B169" s="89" t="s">
        <v>684</v>
      </c>
      <c r="C169" s="90" t="s">
        <v>685</v>
      </c>
      <c r="D169" s="91" t="s">
        <v>727</v>
      </c>
      <c r="E169" s="90" t="s">
        <v>729</v>
      </c>
      <c r="F169" s="89" t="s">
        <v>197</v>
      </c>
      <c r="G169" s="92" t="s">
        <v>690</v>
      </c>
      <c r="H169" s="92">
        <v>4</v>
      </c>
      <c r="I169" s="85">
        <v>1050</v>
      </c>
      <c r="J169" s="86" t="s">
        <v>9</v>
      </c>
    </row>
    <row r="170" spans="1:10">
      <c r="A170" s="88" t="s">
        <v>656</v>
      </c>
      <c r="B170" s="89" t="s">
        <v>684</v>
      </c>
      <c r="C170" s="90" t="s">
        <v>685</v>
      </c>
      <c r="D170" s="91" t="s">
        <v>731</v>
      </c>
      <c r="E170" s="90" t="s">
        <v>733</v>
      </c>
      <c r="F170" s="89" t="s">
        <v>197</v>
      </c>
      <c r="G170" s="92" t="s">
        <v>690</v>
      </c>
      <c r="H170" s="92">
        <v>4</v>
      </c>
      <c r="I170" s="85">
        <v>507.14285714285717</v>
      </c>
      <c r="J170" s="86" t="s">
        <v>9</v>
      </c>
    </row>
    <row r="171" spans="1:10">
      <c r="A171" s="88" t="s">
        <v>656</v>
      </c>
      <c r="B171" s="89" t="s">
        <v>684</v>
      </c>
      <c r="C171" s="90" t="s">
        <v>685</v>
      </c>
      <c r="D171" s="91" t="s">
        <v>734</v>
      </c>
      <c r="E171" s="90" t="s">
        <v>736</v>
      </c>
      <c r="F171" s="89" t="s">
        <v>197</v>
      </c>
      <c r="G171" s="92" t="s">
        <v>690</v>
      </c>
      <c r="H171" s="92">
        <v>4</v>
      </c>
      <c r="I171" s="85">
        <v>578.57142857142856</v>
      </c>
      <c r="J171" s="86" t="s">
        <v>9</v>
      </c>
    </row>
    <row r="172" spans="1:10">
      <c r="A172" s="88" t="s">
        <v>656</v>
      </c>
      <c r="B172" s="89" t="s">
        <v>684</v>
      </c>
      <c r="C172" s="90" t="s">
        <v>685</v>
      </c>
      <c r="D172" s="91" t="s">
        <v>737</v>
      </c>
      <c r="E172" s="90" t="s">
        <v>739</v>
      </c>
      <c r="F172" s="89" t="s">
        <v>197</v>
      </c>
      <c r="G172" s="92" t="s">
        <v>690</v>
      </c>
      <c r="H172" s="92">
        <v>4</v>
      </c>
      <c r="I172" s="85">
        <v>714.28571428571433</v>
      </c>
      <c r="J172" s="86" t="s">
        <v>9</v>
      </c>
    </row>
    <row r="173" spans="1:10">
      <c r="A173" s="88" t="s">
        <v>656</v>
      </c>
      <c r="B173" s="89" t="s">
        <v>684</v>
      </c>
      <c r="C173" s="90" t="s">
        <v>685</v>
      </c>
      <c r="D173" s="91" t="s">
        <v>740</v>
      </c>
      <c r="E173" s="90" t="s">
        <v>742</v>
      </c>
      <c r="F173" s="89" t="s">
        <v>197</v>
      </c>
      <c r="G173" s="92" t="s">
        <v>690</v>
      </c>
      <c r="H173" s="92">
        <v>4</v>
      </c>
      <c r="I173" s="85">
        <v>1150</v>
      </c>
      <c r="J173" s="86" t="s">
        <v>9</v>
      </c>
    </row>
    <row r="174" spans="1:10">
      <c r="A174" s="88" t="s">
        <v>656</v>
      </c>
      <c r="B174" s="89" t="s">
        <v>684</v>
      </c>
      <c r="C174" s="90" t="s">
        <v>685</v>
      </c>
      <c r="D174" s="91" t="s">
        <v>744</v>
      </c>
      <c r="E174" s="90" t="s">
        <v>746</v>
      </c>
      <c r="F174" s="89" t="s">
        <v>197</v>
      </c>
      <c r="G174" s="92" t="s">
        <v>690</v>
      </c>
      <c r="H174" s="92">
        <v>4</v>
      </c>
      <c r="I174" s="85">
        <v>2307.1428571428573</v>
      </c>
      <c r="J174" s="86" t="s">
        <v>9</v>
      </c>
    </row>
    <row r="175" spans="1:10">
      <c r="A175" s="88" t="s">
        <v>656</v>
      </c>
      <c r="B175" s="89" t="s">
        <v>684</v>
      </c>
      <c r="C175" s="90" t="s">
        <v>685</v>
      </c>
      <c r="D175" s="91" t="s">
        <v>748</v>
      </c>
      <c r="E175" s="90" t="s">
        <v>750</v>
      </c>
      <c r="F175" s="89" t="s">
        <v>197</v>
      </c>
      <c r="G175" s="92" t="s">
        <v>690</v>
      </c>
      <c r="H175" s="92">
        <v>4</v>
      </c>
      <c r="I175" s="85">
        <v>3992.8571428571431</v>
      </c>
      <c r="J175" s="86" t="s">
        <v>9</v>
      </c>
    </row>
    <row r="176" spans="1:10">
      <c r="A176" s="88" t="s">
        <v>656</v>
      </c>
      <c r="B176" s="89" t="s">
        <v>684</v>
      </c>
      <c r="C176" s="90" t="s">
        <v>685</v>
      </c>
      <c r="D176" s="91" t="s">
        <v>752</v>
      </c>
      <c r="E176" s="90" t="s">
        <v>754</v>
      </c>
      <c r="F176" s="89" t="s">
        <v>197</v>
      </c>
      <c r="G176" s="92" t="s">
        <v>690</v>
      </c>
      <c r="H176" s="92">
        <v>4</v>
      </c>
      <c r="I176" s="85">
        <v>2214.2857142857142</v>
      </c>
      <c r="J176" s="86" t="s">
        <v>9</v>
      </c>
    </row>
    <row r="177" spans="1:10">
      <c r="A177" s="88" t="s">
        <v>656</v>
      </c>
      <c r="B177" s="89" t="s">
        <v>684</v>
      </c>
      <c r="C177" s="90" t="s">
        <v>685</v>
      </c>
      <c r="D177" s="91" t="s">
        <v>755</v>
      </c>
      <c r="E177" s="90" t="s">
        <v>757</v>
      </c>
      <c r="F177" s="89" t="s">
        <v>197</v>
      </c>
      <c r="G177" s="92" t="s">
        <v>690</v>
      </c>
      <c r="H177" s="92">
        <v>4</v>
      </c>
      <c r="I177" s="85">
        <v>3864.2857142857147</v>
      </c>
      <c r="J177" s="86" t="s">
        <v>9</v>
      </c>
    </row>
    <row r="178" spans="1:10">
      <c r="A178" s="88" t="s">
        <v>656</v>
      </c>
      <c r="B178" s="89" t="s">
        <v>684</v>
      </c>
      <c r="C178" s="90" t="s">
        <v>685</v>
      </c>
      <c r="D178" s="91" t="s">
        <v>759</v>
      </c>
      <c r="E178" s="90" t="s">
        <v>761</v>
      </c>
      <c r="F178" s="89" t="s">
        <v>197</v>
      </c>
      <c r="G178" s="92" t="s">
        <v>690</v>
      </c>
      <c r="H178" s="92">
        <v>4</v>
      </c>
      <c r="I178" s="85">
        <v>2350</v>
      </c>
      <c r="J178" s="86" t="s">
        <v>9</v>
      </c>
    </row>
    <row r="179" spans="1:10">
      <c r="A179" s="88" t="s">
        <v>656</v>
      </c>
      <c r="B179" s="89" t="s">
        <v>684</v>
      </c>
      <c r="C179" s="90" t="s">
        <v>685</v>
      </c>
      <c r="D179" s="91" t="s">
        <v>762</v>
      </c>
      <c r="E179" s="90" t="s">
        <v>764</v>
      </c>
      <c r="F179" s="89" t="s">
        <v>197</v>
      </c>
      <c r="G179" s="92" t="s">
        <v>690</v>
      </c>
      <c r="H179" s="92">
        <v>4</v>
      </c>
      <c r="I179" s="85">
        <v>4028.5714285714289</v>
      </c>
      <c r="J179" s="86" t="s">
        <v>9</v>
      </c>
    </row>
    <row r="180" spans="1:10">
      <c r="A180" s="88" t="s">
        <v>656</v>
      </c>
      <c r="B180" s="89" t="s">
        <v>684</v>
      </c>
      <c r="C180" s="90" t="s">
        <v>765</v>
      </c>
      <c r="D180" s="91" t="s">
        <v>766</v>
      </c>
      <c r="E180" s="90" t="s">
        <v>768</v>
      </c>
      <c r="F180" s="89" t="s">
        <v>197</v>
      </c>
      <c r="G180" s="92" t="s">
        <v>690</v>
      </c>
      <c r="H180" s="92">
        <v>4</v>
      </c>
      <c r="I180" s="85">
        <v>820.58823529411768</v>
      </c>
      <c r="J180" s="86" t="s">
        <v>9</v>
      </c>
    </row>
    <row r="181" spans="1:10">
      <c r="A181" s="88" t="s">
        <v>656</v>
      </c>
      <c r="B181" s="89" t="s">
        <v>684</v>
      </c>
      <c r="C181" s="90" t="s">
        <v>765</v>
      </c>
      <c r="D181" s="91" t="s">
        <v>769</v>
      </c>
      <c r="E181" s="90" t="s">
        <v>771</v>
      </c>
      <c r="F181" s="89" t="s">
        <v>197</v>
      </c>
      <c r="G181" s="92" t="s">
        <v>690</v>
      </c>
      <c r="H181" s="92">
        <v>4</v>
      </c>
      <c r="I181" s="85">
        <v>1005.8823529411766</v>
      </c>
      <c r="J181" s="86" t="s">
        <v>9</v>
      </c>
    </row>
    <row r="182" spans="1:10">
      <c r="A182" s="88" t="s">
        <v>656</v>
      </c>
      <c r="B182" s="89" t="s">
        <v>684</v>
      </c>
      <c r="C182" s="90" t="s">
        <v>765</v>
      </c>
      <c r="D182" s="91" t="s">
        <v>772</v>
      </c>
      <c r="E182" s="90" t="s">
        <v>774</v>
      </c>
      <c r="F182" s="89" t="s">
        <v>197</v>
      </c>
      <c r="G182" s="92" t="s">
        <v>690</v>
      </c>
      <c r="H182" s="92">
        <v>4</v>
      </c>
      <c r="I182" s="85">
        <v>1376.4705882352941</v>
      </c>
      <c r="J182" s="86" t="s">
        <v>9</v>
      </c>
    </row>
    <row r="183" spans="1:10">
      <c r="A183" s="88" t="s">
        <v>656</v>
      </c>
      <c r="B183" s="89" t="s">
        <v>684</v>
      </c>
      <c r="C183" s="90" t="s">
        <v>765</v>
      </c>
      <c r="D183" s="91" t="s">
        <v>775</v>
      </c>
      <c r="E183" s="90" t="s">
        <v>777</v>
      </c>
      <c r="F183" s="89" t="s">
        <v>197</v>
      </c>
      <c r="G183" s="92" t="s">
        <v>690</v>
      </c>
      <c r="H183" s="92">
        <v>4</v>
      </c>
      <c r="I183" s="85">
        <v>2500.0000000000005</v>
      </c>
      <c r="J183" s="86" t="s">
        <v>9</v>
      </c>
    </row>
    <row r="184" spans="1:10">
      <c r="A184" s="88" t="s">
        <v>656</v>
      </c>
      <c r="B184" s="89" t="s">
        <v>684</v>
      </c>
      <c r="C184" s="90" t="s">
        <v>765</v>
      </c>
      <c r="D184" s="91" t="s">
        <v>778</v>
      </c>
      <c r="E184" s="90" t="s">
        <v>780</v>
      </c>
      <c r="F184" s="89" t="s">
        <v>197</v>
      </c>
      <c r="G184" s="92" t="s">
        <v>690</v>
      </c>
      <c r="H184" s="92">
        <v>4</v>
      </c>
      <c r="I184" s="85">
        <v>4992.6470588235297</v>
      </c>
      <c r="J184" s="86" t="s">
        <v>9</v>
      </c>
    </row>
    <row r="185" spans="1:10">
      <c r="A185" s="88" t="s">
        <v>656</v>
      </c>
      <c r="B185" s="89" t="s">
        <v>684</v>
      </c>
      <c r="C185" s="90" t="s">
        <v>765</v>
      </c>
      <c r="D185" s="91" t="s">
        <v>781</v>
      </c>
      <c r="E185" s="90" t="s">
        <v>783</v>
      </c>
      <c r="F185" s="89" t="s">
        <v>197</v>
      </c>
      <c r="G185" s="92" t="s">
        <v>690</v>
      </c>
      <c r="H185" s="92">
        <v>4</v>
      </c>
      <c r="I185" s="85">
        <v>9117.6470588235297</v>
      </c>
      <c r="J185" s="86" t="s">
        <v>9</v>
      </c>
    </row>
    <row r="186" spans="1:10">
      <c r="A186" s="88" t="s">
        <v>656</v>
      </c>
      <c r="B186" s="89" t="s">
        <v>684</v>
      </c>
      <c r="C186" s="90" t="s">
        <v>765</v>
      </c>
      <c r="D186" s="91" t="s">
        <v>784</v>
      </c>
      <c r="E186" s="90" t="s">
        <v>786</v>
      </c>
      <c r="F186" s="89" t="s">
        <v>197</v>
      </c>
      <c r="G186" s="92" t="s">
        <v>690</v>
      </c>
      <c r="H186" s="92">
        <v>4</v>
      </c>
      <c r="I186" s="85">
        <v>841.17647058823536</v>
      </c>
      <c r="J186" s="86" t="s">
        <v>9</v>
      </c>
    </row>
    <row r="187" spans="1:10">
      <c r="A187" s="88" t="s">
        <v>656</v>
      </c>
      <c r="B187" s="89" t="s">
        <v>684</v>
      </c>
      <c r="C187" s="90" t="s">
        <v>765</v>
      </c>
      <c r="D187" s="91" t="s">
        <v>787</v>
      </c>
      <c r="E187" s="90" t="s">
        <v>789</v>
      </c>
      <c r="F187" s="89" t="s">
        <v>197</v>
      </c>
      <c r="G187" s="92" t="s">
        <v>690</v>
      </c>
      <c r="H187" s="92">
        <v>4</v>
      </c>
      <c r="I187" s="85">
        <v>1047.0588235294119</v>
      </c>
      <c r="J187" s="86" t="s">
        <v>9</v>
      </c>
    </row>
    <row r="188" spans="1:10">
      <c r="A188" s="88" t="s">
        <v>656</v>
      </c>
      <c r="B188" s="89" t="s">
        <v>684</v>
      </c>
      <c r="C188" s="90" t="s">
        <v>765</v>
      </c>
      <c r="D188" s="91" t="s">
        <v>790</v>
      </c>
      <c r="E188" s="90" t="s">
        <v>792</v>
      </c>
      <c r="F188" s="89" t="s">
        <v>197</v>
      </c>
      <c r="G188" s="92" t="s">
        <v>690</v>
      </c>
      <c r="H188" s="92">
        <v>4</v>
      </c>
      <c r="I188" s="85">
        <v>1448.5294117647061</v>
      </c>
      <c r="J188" s="86" t="s">
        <v>9</v>
      </c>
    </row>
    <row r="189" spans="1:10" s="36" customFormat="1">
      <c r="A189" s="88" t="s">
        <v>656</v>
      </c>
      <c r="B189" s="89" t="s">
        <v>684</v>
      </c>
      <c r="C189" s="90" t="s">
        <v>765</v>
      </c>
      <c r="D189" s="91" t="s">
        <v>793</v>
      </c>
      <c r="E189" s="90" t="s">
        <v>795</v>
      </c>
      <c r="F189" s="89" t="s">
        <v>715</v>
      </c>
      <c r="G189" s="92" t="s">
        <v>716</v>
      </c>
      <c r="H189" s="92">
        <v>2</v>
      </c>
      <c r="I189" s="85">
        <v>2720.588235294118</v>
      </c>
      <c r="J189" s="86" t="s">
        <v>9</v>
      </c>
    </row>
    <row r="190" spans="1:10">
      <c r="A190" s="88" t="s">
        <v>656</v>
      </c>
      <c r="B190" s="89" t="s">
        <v>684</v>
      </c>
      <c r="C190" s="90" t="s">
        <v>765</v>
      </c>
      <c r="D190" s="91" t="s">
        <v>796</v>
      </c>
      <c r="E190" s="90" t="s">
        <v>798</v>
      </c>
      <c r="F190" s="89" t="s">
        <v>197</v>
      </c>
      <c r="G190" s="92" t="s">
        <v>690</v>
      </c>
      <c r="H190" s="92">
        <v>4</v>
      </c>
      <c r="I190" s="85">
        <v>1529.4117647058824</v>
      </c>
      <c r="J190" s="86" t="s">
        <v>9</v>
      </c>
    </row>
    <row r="191" spans="1:10">
      <c r="A191" s="88" t="s">
        <v>656</v>
      </c>
      <c r="B191" s="89" t="s">
        <v>684</v>
      </c>
      <c r="C191" s="90" t="s">
        <v>765</v>
      </c>
      <c r="D191" s="91" t="s">
        <v>799</v>
      </c>
      <c r="E191" s="90" t="s">
        <v>801</v>
      </c>
      <c r="F191" s="89" t="s">
        <v>197</v>
      </c>
      <c r="G191" s="92" t="s">
        <v>690</v>
      </c>
      <c r="H191" s="92">
        <v>4</v>
      </c>
      <c r="I191" s="85">
        <v>1963.2352941176473</v>
      </c>
      <c r="J191" s="86" t="s">
        <v>9</v>
      </c>
    </row>
    <row r="192" spans="1:10">
      <c r="A192" s="88" t="s">
        <v>656</v>
      </c>
      <c r="B192" s="89" t="s">
        <v>684</v>
      </c>
      <c r="C192" s="90" t="s">
        <v>765</v>
      </c>
      <c r="D192" s="91" t="s">
        <v>802</v>
      </c>
      <c r="E192" s="90" t="s">
        <v>804</v>
      </c>
      <c r="F192" s="89" t="s">
        <v>197</v>
      </c>
      <c r="G192" s="92" t="s">
        <v>690</v>
      </c>
      <c r="H192" s="92">
        <v>4</v>
      </c>
      <c r="I192" s="85">
        <v>2830.8823529411766</v>
      </c>
      <c r="J192" s="86" t="s">
        <v>9</v>
      </c>
    </row>
    <row r="193" spans="1:10">
      <c r="A193" s="88" t="s">
        <v>656</v>
      </c>
      <c r="B193" s="89" t="s">
        <v>684</v>
      </c>
      <c r="C193" s="90" t="s">
        <v>765</v>
      </c>
      <c r="D193" s="91" t="s">
        <v>805</v>
      </c>
      <c r="E193" s="90" t="s">
        <v>807</v>
      </c>
      <c r="F193" s="89" t="s">
        <v>715</v>
      </c>
      <c r="G193" s="92" t="s">
        <v>716</v>
      </c>
      <c r="H193" s="92">
        <v>2</v>
      </c>
      <c r="I193" s="85">
        <v>5455.8823529411766</v>
      </c>
      <c r="J193" s="86" t="s">
        <v>9</v>
      </c>
    </row>
    <row r="194" spans="1:10">
      <c r="A194" s="88" t="s">
        <v>656</v>
      </c>
      <c r="B194" s="89" t="s">
        <v>684</v>
      </c>
      <c r="C194" s="90" t="s">
        <v>765</v>
      </c>
      <c r="D194" s="91" t="s">
        <v>808</v>
      </c>
      <c r="E194" s="90" t="s">
        <v>810</v>
      </c>
      <c r="F194" s="89" t="s">
        <v>197</v>
      </c>
      <c r="G194" s="92" t="s">
        <v>690</v>
      </c>
      <c r="H194" s="92">
        <v>4</v>
      </c>
      <c r="I194" s="85">
        <v>4889.7058823529414</v>
      </c>
      <c r="J194" s="86" t="s">
        <v>9</v>
      </c>
    </row>
    <row r="195" spans="1:10">
      <c r="A195" s="88" t="s">
        <v>656</v>
      </c>
      <c r="B195" s="89" t="s">
        <v>684</v>
      </c>
      <c r="C195" s="90" t="s">
        <v>765</v>
      </c>
      <c r="D195" s="91" t="s">
        <v>811</v>
      </c>
      <c r="E195" s="90" t="s">
        <v>813</v>
      </c>
      <c r="F195" s="89" t="s">
        <v>197</v>
      </c>
      <c r="G195" s="92" t="s">
        <v>690</v>
      </c>
      <c r="H195" s="92">
        <v>4</v>
      </c>
      <c r="I195" s="85">
        <v>9022.0588235294126</v>
      </c>
      <c r="J195" s="86" t="s">
        <v>9</v>
      </c>
    </row>
    <row r="196" spans="1:10">
      <c r="A196" s="88" t="s">
        <v>656</v>
      </c>
      <c r="B196" s="89" t="s">
        <v>684</v>
      </c>
      <c r="C196" s="90" t="s">
        <v>765</v>
      </c>
      <c r="D196" s="91" t="s">
        <v>814</v>
      </c>
      <c r="E196" s="90" t="s">
        <v>816</v>
      </c>
      <c r="F196" s="89" t="s">
        <v>197</v>
      </c>
      <c r="G196" s="92" t="s">
        <v>690</v>
      </c>
      <c r="H196" s="92">
        <v>4</v>
      </c>
      <c r="I196" s="85">
        <v>5036.7647058823532</v>
      </c>
      <c r="J196" s="86" t="s">
        <v>9</v>
      </c>
    </row>
    <row r="197" spans="1:10">
      <c r="A197" s="88" t="s">
        <v>656</v>
      </c>
      <c r="B197" s="89" t="s">
        <v>684</v>
      </c>
      <c r="C197" s="90" t="s">
        <v>765</v>
      </c>
      <c r="D197" s="91" t="s">
        <v>817</v>
      </c>
      <c r="E197" s="90" t="s">
        <v>819</v>
      </c>
      <c r="F197" s="89" t="s">
        <v>197</v>
      </c>
      <c r="G197" s="92" t="s">
        <v>690</v>
      </c>
      <c r="H197" s="92">
        <v>4</v>
      </c>
      <c r="I197" s="85">
        <v>9154.4117647058829</v>
      </c>
      <c r="J197" s="86" t="s">
        <v>9</v>
      </c>
    </row>
    <row r="198" spans="1:10">
      <c r="A198" s="88" t="s">
        <v>656</v>
      </c>
      <c r="B198" s="89" t="s">
        <v>684</v>
      </c>
      <c r="C198" s="90" t="s">
        <v>820</v>
      </c>
      <c r="D198" s="91" t="s">
        <v>821</v>
      </c>
      <c r="E198" s="90" t="s">
        <v>823</v>
      </c>
      <c r="F198" s="89" t="s">
        <v>197</v>
      </c>
      <c r="G198" s="92" t="s">
        <v>690</v>
      </c>
      <c r="H198" s="92">
        <v>4</v>
      </c>
      <c r="I198" s="85">
        <v>1531.818181818182</v>
      </c>
      <c r="J198" s="86" t="s">
        <v>9</v>
      </c>
    </row>
    <row r="199" spans="1:10">
      <c r="A199" s="88" t="s">
        <v>656</v>
      </c>
      <c r="B199" s="89" t="s">
        <v>684</v>
      </c>
      <c r="C199" s="90" t="s">
        <v>820</v>
      </c>
      <c r="D199" s="91" t="s">
        <v>824</v>
      </c>
      <c r="E199" s="90" t="s">
        <v>826</v>
      </c>
      <c r="F199" s="89" t="s">
        <v>197</v>
      </c>
      <c r="G199" s="92" t="s">
        <v>690</v>
      </c>
      <c r="H199" s="92">
        <v>4</v>
      </c>
      <c r="I199" s="85">
        <v>1953.0303030303032</v>
      </c>
      <c r="J199" s="86" t="s">
        <v>9</v>
      </c>
    </row>
    <row r="200" spans="1:10">
      <c r="A200" s="88" t="s">
        <v>656</v>
      </c>
      <c r="B200" s="89" t="s">
        <v>684</v>
      </c>
      <c r="C200" s="90" t="s">
        <v>820</v>
      </c>
      <c r="D200" s="91" t="s">
        <v>827</v>
      </c>
      <c r="E200" s="90" t="s">
        <v>829</v>
      </c>
      <c r="F200" s="89" t="s">
        <v>197</v>
      </c>
      <c r="G200" s="92" t="s">
        <v>690</v>
      </c>
      <c r="H200" s="92">
        <v>4</v>
      </c>
      <c r="I200" s="85">
        <v>2792.4242424242429</v>
      </c>
      <c r="J200" s="86" t="s">
        <v>9</v>
      </c>
    </row>
    <row r="201" spans="1:10">
      <c r="A201" s="88" t="s">
        <v>656</v>
      </c>
      <c r="B201" s="89" t="s">
        <v>684</v>
      </c>
      <c r="C201" s="90" t="s">
        <v>820</v>
      </c>
      <c r="D201" s="91" t="s">
        <v>830</v>
      </c>
      <c r="E201" s="90" t="s">
        <v>832</v>
      </c>
      <c r="F201" s="89" t="s">
        <v>197</v>
      </c>
      <c r="G201" s="92" t="s">
        <v>690</v>
      </c>
      <c r="H201" s="92">
        <v>4</v>
      </c>
      <c r="I201" s="85">
        <v>5325.757575757576</v>
      </c>
      <c r="J201" s="86" t="s">
        <v>9</v>
      </c>
    </row>
    <row r="202" spans="1:10">
      <c r="A202" s="88" t="s">
        <v>656</v>
      </c>
      <c r="B202" s="89" t="s">
        <v>684</v>
      </c>
      <c r="C202" s="90" t="s">
        <v>820</v>
      </c>
      <c r="D202" s="91" t="s">
        <v>833</v>
      </c>
      <c r="E202" s="90" t="s">
        <v>835</v>
      </c>
      <c r="F202" s="89" t="s">
        <v>197</v>
      </c>
      <c r="G202" s="92" t="s">
        <v>690</v>
      </c>
      <c r="H202" s="92">
        <v>4</v>
      </c>
      <c r="I202" s="85">
        <v>9280.3030303030318</v>
      </c>
      <c r="J202" s="86" t="s">
        <v>9</v>
      </c>
    </row>
    <row r="203" spans="1:10">
      <c r="A203" s="88" t="s">
        <v>656</v>
      </c>
      <c r="B203" s="89" t="s">
        <v>684</v>
      </c>
      <c r="C203" s="90" t="s">
        <v>820</v>
      </c>
      <c r="D203" s="91" t="s">
        <v>836</v>
      </c>
      <c r="E203" s="90" t="s">
        <v>838</v>
      </c>
      <c r="F203" s="89" t="s">
        <v>197</v>
      </c>
      <c r="G203" s="92" t="s">
        <v>690</v>
      </c>
      <c r="H203" s="92">
        <v>4</v>
      </c>
      <c r="I203" s="85">
        <v>18068.18181818182</v>
      </c>
      <c r="J203" s="86" t="s">
        <v>9</v>
      </c>
    </row>
    <row r="204" spans="1:10">
      <c r="A204" s="88" t="s">
        <v>656</v>
      </c>
      <c r="B204" s="89" t="s">
        <v>684</v>
      </c>
      <c r="C204" s="90" t="s">
        <v>839</v>
      </c>
      <c r="D204" s="91" t="s">
        <v>840</v>
      </c>
      <c r="E204" s="90" t="s">
        <v>842</v>
      </c>
      <c r="F204" s="89" t="s">
        <v>197</v>
      </c>
      <c r="G204" s="92" t="s">
        <v>690</v>
      </c>
      <c r="H204" s="92">
        <v>4</v>
      </c>
      <c r="I204" s="85">
        <v>278.08219178082192</v>
      </c>
      <c r="J204" s="86" t="s">
        <v>9</v>
      </c>
    </row>
    <row r="205" spans="1:10">
      <c r="A205" s="88" t="s">
        <v>656</v>
      </c>
      <c r="B205" s="89" t="s">
        <v>684</v>
      </c>
      <c r="C205" s="90" t="s">
        <v>839</v>
      </c>
      <c r="D205" s="91" t="s">
        <v>844</v>
      </c>
      <c r="E205" s="90" t="s">
        <v>846</v>
      </c>
      <c r="F205" s="89" t="s">
        <v>197</v>
      </c>
      <c r="G205" s="92" t="s">
        <v>690</v>
      </c>
      <c r="H205" s="92">
        <v>4</v>
      </c>
      <c r="I205" s="85">
        <v>287.67123287671234</v>
      </c>
      <c r="J205" s="86" t="s">
        <v>9</v>
      </c>
    </row>
    <row r="206" spans="1:10">
      <c r="A206" s="88" t="s">
        <v>656</v>
      </c>
      <c r="B206" s="89" t="s">
        <v>684</v>
      </c>
      <c r="C206" s="90" t="s">
        <v>839</v>
      </c>
      <c r="D206" s="91" t="s">
        <v>847</v>
      </c>
      <c r="E206" s="90" t="s">
        <v>849</v>
      </c>
      <c r="F206" s="89" t="s">
        <v>197</v>
      </c>
      <c r="G206" s="92" t="s">
        <v>690</v>
      </c>
      <c r="H206" s="92">
        <v>4</v>
      </c>
      <c r="I206" s="85">
        <v>308.21917808219177</v>
      </c>
      <c r="J206" s="86" t="s">
        <v>9</v>
      </c>
    </row>
    <row r="207" spans="1:10">
      <c r="A207" s="88" t="s">
        <v>656</v>
      </c>
      <c r="B207" s="89" t="s">
        <v>684</v>
      </c>
      <c r="C207" s="90" t="s">
        <v>839</v>
      </c>
      <c r="D207" s="91" t="s">
        <v>850</v>
      </c>
      <c r="E207" s="90" t="s">
        <v>852</v>
      </c>
      <c r="F207" s="89" t="s">
        <v>197</v>
      </c>
      <c r="G207" s="92" t="s">
        <v>690</v>
      </c>
      <c r="H207" s="92">
        <v>4</v>
      </c>
      <c r="I207" s="85">
        <v>382.1917808219178</v>
      </c>
      <c r="J207" s="86" t="s">
        <v>9</v>
      </c>
    </row>
    <row r="208" spans="1:10">
      <c r="A208" s="88" t="s">
        <v>656</v>
      </c>
      <c r="B208" s="89" t="s">
        <v>684</v>
      </c>
      <c r="C208" s="90" t="s">
        <v>839</v>
      </c>
      <c r="D208" s="91" t="s">
        <v>853</v>
      </c>
      <c r="E208" s="90" t="s">
        <v>855</v>
      </c>
      <c r="F208" s="89" t="s">
        <v>197</v>
      </c>
      <c r="G208" s="92" t="s">
        <v>690</v>
      </c>
      <c r="H208" s="92">
        <v>4</v>
      </c>
      <c r="I208" s="85">
        <v>278.08219178082192</v>
      </c>
      <c r="J208" s="86" t="s">
        <v>9</v>
      </c>
    </row>
    <row r="209" spans="1:10">
      <c r="A209" s="88" t="s">
        <v>656</v>
      </c>
      <c r="B209" s="89" t="s">
        <v>684</v>
      </c>
      <c r="C209" s="90" t="s">
        <v>839</v>
      </c>
      <c r="D209" s="91" t="s">
        <v>856</v>
      </c>
      <c r="E209" s="90" t="s">
        <v>858</v>
      </c>
      <c r="F209" s="89" t="s">
        <v>197</v>
      </c>
      <c r="G209" s="92" t="s">
        <v>690</v>
      </c>
      <c r="H209" s="92">
        <v>4</v>
      </c>
      <c r="I209" s="85">
        <v>301.36986301369865</v>
      </c>
      <c r="J209" s="86" t="s">
        <v>9</v>
      </c>
    </row>
    <row r="210" spans="1:10">
      <c r="A210" s="88" t="s">
        <v>656</v>
      </c>
      <c r="B210" s="89" t="s">
        <v>684</v>
      </c>
      <c r="C210" s="90" t="s">
        <v>839</v>
      </c>
      <c r="D210" s="91" t="s">
        <v>859</v>
      </c>
      <c r="E210" s="90" t="s">
        <v>861</v>
      </c>
      <c r="F210" s="89" t="s">
        <v>197</v>
      </c>
      <c r="G210" s="92" t="s">
        <v>690</v>
      </c>
      <c r="H210" s="92">
        <v>4</v>
      </c>
      <c r="I210" s="85">
        <v>342.46575342465752</v>
      </c>
      <c r="J210" s="86" t="s">
        <v>9</v>
      </c>
    </row>
    <row r="211" spans="1:10">
      <c r="A211" s="88" t="s">
        <v>656</v>
      </c>
      <c r="B211" s="89" t="s">
        <v>684</v>
      </c>
      <c r="C211" s="90" t="s">
        <v>839</v>
      </c>
      <c r="D211" s="91" t="s">
        <v>862</v>
      </c>
      <c r="E211" s="90" t="s">
        <v>864</v>
      </c>
      <c r="F211" s="89" t="s">
        <v>715</v>
      </c>
      <c r="G211" s="92" t="s">
        <v>690</v>
      </c>
      <c r="H211" s="92">
        <v>4</v>
      </c>
      <c r="I211" s="85">
        <v>472.60273972602744</v>
      </c>
      <c r="J211" s="86" t="s">
        <v>9</v>
      </c>
    </row>
    <row r="212" spans="1:10">
      <c r="A212" s="88" t="s">
        <v>656</v>
      </c>
      <c r="B212" s="89" t="s">
        <v>684</v>
      </c>
      <c r="C212" s="90" t="s">
        <v>839</v>
      </c>
      <c r="D212" s="91" t="s">
        <v>865</v>
      </c>
      <c r="E212" s="90" t="s">
        <v>867</v>
      </c>
      <c r="F212" s="89" t="s">
        <v>197</v>
      </c>
      <c r="G212" s="92" t="s">
        <v>690</v>
      </c>
      <c r="H212" s="92">
        <v>4</v>
      </c>
      <c r="I212" s="85">
        <v>239.72602739726028</v>
      </c>
      <c r="J212" s="86" t="s">
        <v>9</v>
      </c>
    </row>
    <row r="213" spans="1:10">
      <c r="A213" s="88" t="s">
        <v>656</v>
      </c>
      <c r="B213" s="89" t="s">
        <v>684</v>
      </c>
      <c r="C213" s="90" t="s">
        <v>839</v>
      </c>
      <c r="D213" s="91" t="s">
        <v>868</v>
      </c>
      <c r="E213" s="90" t="s">
        <v>870</v>
      </c>
      <c r="F213" s="89" t="s">
        <v>197</v>
      </c>
      <c r="G213" s="92" t="s">
        <v>690</v>
      </c>
      <c r="H213" s="92">
        <v>4</v>
      </c>
      <c r="I213" s="85">
        <v>250.68493150684932</v>
      </c>
      <c r="J213" s="86" t="s">
        <v>9</v>
      </c>
    </row>
    <row r="214" spans="1:10">
      <c r="A214" s="88" t="s">
        <v>656</v>
      </c>
      <c r="B214" s="89" t="s">
        <v>684</v>
      </c>
      <c r="C214" s="90" t="s">
        <v>839</v>
      </c>
      <c r="D214" s="91" t="s">
        <v>871</v>
      </c>
      <c r="E214" s="90" t="s">
        <v>873</v>
      </c>
      <c r="F214" s="89" t="s">
        <v>197</v>
      </c>
      <c r="G214" s="92" t="s">
        <v>690</v>
      </c>
      <c r="H214" s="92">
        <v>4</v>
      </c>
      <c r="I214" s="85">
        <v>273.97260273972603</v>
      </c>
      <c r="J214" s="86" t="s">
        <v>9</v>
      </c>
    </row>
    <row r="215" spans="1:10">
      <c r="A215" s="88" t="s">
        <v>656</v>
      </c>
      <c r="B215" s="89" t="s">
        <v>684</v>
      </c>
      <c r="C215" s="90" t="s">
        <v>839</v>
      </c>
      <c r="D215" s="91" t="s">
        <v>874</v>
      </c>
      <c r="E215" s="90" t="s">
        <v>876</v>
      </c>
      <c r="F215" s="89" t="s">
        <v>197</v>
      </c>
      <c r="G215" s="92" t="s">
        <v>690</v>
      </c>
      <c r="H215" s="92">
        <v>4</v>
      </c>
      <c r="I215" s="85">
        <v>342.46575342465752</v>
      </c>
      <c r="J215" s="86" t="s">
        <v>9</v>
      </c>
    </row>
    <row r="216" spans="1:10">
      <c r="A216" s="88" t="s">
        <v>656</v>
      </c>
      <c r="B216" s="89" t="s">
        <v>684</v>
      </c>
      <c r="C216" s="90" t="s">
        <v>839</v>
      </c>
      <c r="D216" s="91" t="s">
        <v>877</v>
      </c>
      <c r="E216" s="90" t="s">
        <v>879</v>
      </c>
      <c r="F216" s="89" t="s">
        <v>197</v>
      </c>
      <c r="G216" s="92" t="s">
        <v>690</v>
      </c>
      <c r="H216" s="92">
        <v>4</v>
      </c>
      <c r="I216" s="85">
        <v>319.17808219178085</v>
      </c>
      <c r="J216" s="86" t="s">
        <v>9</v>
      </c>
    </row>
    <row r="217" spans="1:10">
      <c r="A217" s="88" t="s">
        <v>656</v>
      </c>
      <c r="B217" s="89" t="s">
        <v>684</v>
      </c>
      <c r="C217" s="90" t="s">
        <v>839</v>
      </c>
      <c r="D217" s="91" t="s">
        <v>880</v>
      </c>
      <c r="E217" s="90" t="s">
        <v>882</v>
      </c>
      <c r="F217" s="89" t="s">
        <v>197</v>
      </c>
      <c r="G217" s="92" t="s">
        <v>690</v>
      </c>
      <c r="H217" s="92">
        <v>4</v>
      </c>
      <c r="I217" s="85">
        <v>328.76712328767127</v>
      </c>
      <c r="J217" s="86" t="s">
        <v>9</v>
      </c>
    </row>
    <row r="218" spans="1:10">
      <c r="A218" s="88" t="s">
        <v>656</v>
      </c>
      <c r="B218" s="89" t="s">
        <v>684</v>
      </c>
      <c r="C218" s="90" t="s">
        <v>839</v>
      </c>
      <c r="D218" s="91" t="s">
        <v>883</v>
      </c>
      <c r="E218" s="90" t="s">
        <v>885</v>
      </c>
      <c r="F218" s="89" t="s">
        <v>197</v>
      </c>
      <c r="G218" s="92" t="s">
        <v>690</v>
      </c>
      <c r="H218" s="92">
        <v>4</v>
      </c>
      <c r="I218" s="85">
        <v>349.3150684931507</v>
      </c>
      <c r="J218" s="86" t="s">
        <v>9</v>
      </c>
    </row>
    <row r="219" spans="1:10">
      <c r="A219" s="88" t="s">
        <v>656</v>
      </c>
      <c r="B219" s="89" t="s">
        <v>684</v>
      </c>
      <c r="C219" s="90" t="s">
        <v>839</v>
      </c>
      <c r="D219" s="91" t="s">
        <v>886</v>
      </c>
      <c r="E219" s="90" t="s">
        <v>888</v>
      </c>
      <c r="F219" s="89" t="s">
        <v>197</v>
      </c>
      <c r="G219" s="92" t="s">
        <v>690</v>
      </c>
      <c r="H219" s="92">
        <v>4</v>
      </c>
      <c r="I219" s="85">
        <v>426.02739726027397</v>
      </c>
      <c r="J219" s="86" t="s">
        <v>9</v>
      </c>
    </row>
    <row r="220" spans="1:10">
      <c r="A220" s="88" t="s">
        <v>656</v>
      </c>
      <c r="B220" s="89" t="s">
        <v>684</v>
      </c>
      <c r="C220" s="90" t="s">
        <v>839</v>
      </c>
      <c r="D220" s="91" t="s">
        <v>889</v>
      </c>
      <c r="E220" s="90" t="s">
        <v>891</v>
      </c>
      <c r="F220" s="89" t="s">
        <v>197</v>
      </c>
      <c r="G220" s="92" t="s">
        <v>690</v>
      </c>
      <c r="H220" s="92">
        <v>4</v>
      </c>
      <c r="I220" s="85">
        <v>808.21917808219177</v>
      </c>
      <c r="J220" s="86" t="s">
        <v>9</v>
      </c>
    </row>
    <row r="221" spans="1:10">
      <c r="A221" s="88" t="s">
        <v>656</v>
      </c>
      <c r="B221" s="89" t="s">
        <v>684</v>
      </c>
      <c r="C221" s="90" t="s">
        <v>839</v>
      </c>
      <c r="D221" s="91" t="s">
        <v>892</v>
      </c>
      <c r="E221" s="90" t="s">
        <v>894</v>
      </c>
      <c r="F221" s="89" t="s">
        <v>197</v>
      </c>
      <c r="G221" s="92" t="s">
        <v>690</v>
      </c>
      <c r="H221" s="92">
        <v>4</v>
      </c>
      <c r="I221" s="85">
        <v>1130.1369863013699</v>
      </c>
      <c r="J221" s="86" t="s">
        <v>9</v>
      </c>
    </row>
    <row r="222" spans="1:10">
      <c r="A222" s="88" t="s">
        <v>656</v>
      </c>
      <c r="B222" s="89" t="s">
        <v>684</v>
      </c>
      <c r="C222" s="90" t="s">
        <v>839</v>
      </c>
      <c r="D222" s="91" t="s">
        <v>895</v>
      </c>
      <c r="E222" s="90" t="s">
        <v>897</v>
      </c>
      <c r="F222" s="89" t="s">
        <v>197</v>
      </c>
      <c r="G222" s="92" t="s">
        <v>690</v>
      </c>
      <c r="H222" s="92">
        <v>4</v>
      </c>
      <c r="I222" s="85">
        <v>719.17808219178085</v>
      </c>
      <c r="J222" s="86" t="s">
        <v>9</v>
      </c>
    </row>
    <row r="223" spans="1:10">
      <c r="A223" s="88" t="s">
        <v>656</v>
      </c>
      <c r="B223" s="89" t="s">
        <v>684</v>
      </c>
      <c r="C223" s="90" t="s">
        <v>839</v>
      </c>
      <c r="D223" s="91" t="s">
        <v>898</v>
      </c>
      <c r="E223" s="90" t="s">
        <v>900</v>
      </c>
      <c r="F223" s="89" t="s">
        <v>197</v>
      </c>
      <c r="G223" s="92" t="s">
        <v>690</v>
      </c>
      <c r="H223" s="92">
        <v>4</v>
      </c>
      <c r="I223" s="85">
        <v>1009.5890410958905</v>
      </c>
      <c r="J223" s="86" t="s">
        <v>9</v>
      </c>
    </row>
    <row r="224" spans="1:10">
      <c r="A224" s="88" t="s">
        <v>656</v>
      </c>
      <c r="B224" s="89" t="s">
        <v>684</v>
      </c>
      <c r="C224" s="90" t="s">
        <v>839</v>
      </c>
      <c r="D224" s="91" t="s">
        <v>901</v>
      </c>
      <c r="E224" s="90" t="s">
        <v>903</v>
      </c>
      <c r="F224" s="89" t="s">
        <v>197</v>
      </c>
      <c r="G224" s="92" t="s">
        <v>690</v>
      </c>
      <c r="H224" s="92">
        <v>4</v>
      </c>
      <c r="I224" s="85">
        <v>849.31506849315076</v>
      </c>
      <c r="J224" s="86" t="s">
        <v>9</v>
      </c>
    </row>
    <row r="225" spans="1:10">
      <c r="A225" s="88" t="s">
        <v>656</v>
      </c>
      <c r="B225" s="89" t="s">
        <v>684</v>
      </c>
      <c r="C225" s="90" t="s">
        <v>839</v>
      </c>
      <c r="D225" s="91" t="s">
        <v>904</v>
      </c>
      <c r="E225" s="90" t="s">
        <v>906</v>
      </c>
      <c r="F225" s="89" t="s">
        <v>197</v>
      </c>
      <c r="G225" s="92" t="s">
        <v>690</v>
      </c>
      <c r="H225" s="92">
        <v>4</v>
      </c>
      <c r="I225" s="85">
        <v>1168.4931506849316</v>
      </c>
      <c r="J225" s="86" t="s">
        <v>9</v>
      </c>
    </row>
  </sheetData>
  <autoFilter ref="A13:J225" xr:uid="{00000000-0001-0000-0000-000000000000}"/>
  <mergeCells count="3">
    <mergeCell ref="G41:G47"/>
    <mergeCell ref="G48:G54"/>
    <mergeCell ref="G55:G6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7999-2AF6-46EA-96E1-D427E540B829}">
  <sheetPr>
    <pageSetUpPr fitToPage="1"/>
  </sheetPr>
  <dimension ref="A1:AZ544"/>
  <sheetViews>
    <sheetView zoomScale="85" zoomScaleNormal="85" workbookViewId="0">
      <pane ySplit="13" topLeftCell="A14" activePane="bottomLeft" state="frozen"/>
      <selection pane="bottomLeft" activeCell="M30" sqref="M30"/>
    </sheetView>
  </sheetViews>
  <sheetFormatPr baseColWidth="10" defaultColWidth="9.140625" defaultRowHeight="14.25"/>
  <cols>
    <col min="1" max="1" width="19.140625" style="1" bestFit="1" customWidth="1"/>
    <col min="2" max="2" width="28.140625" style="1" bestFit="1" customWidth="1"/>
    <col min="3" max="3" width="93" style="4" customWidth="1"/>
    <col min="4" max="4" width="11.140625" style="6" bestFit="1" customWidth="1"/>
    <col min="5" max="5" width="15.85546875" style="6" bestFit="1" customWidth="1"/>
    <col min="6" max="6" width="24" style="104" bestFit="1" customWidth="1"/>
    <col min="7" max="7" width="12.140625" style="104" customWidth="1"/>
    <col min="8" max="16384" width="9.140625" style="1"/>
  </cols>
  <sheetData>
    <row r="1" spans="1:7">
      <c r="B1" s="2" t="s">
        <v>0</v>
      </c>
      <c r="C1" s="114" t="s">
        <v>2555</v>
      </c>
      <c r="D1" s="3"/>
      <c r="E1" s="3" t="s">
        <v>1</v>
      </c>
    </row>
    <row r="2" spans="1:7">
      <c r="B2" s="2" t="s">
        <v>2</v>
      </c>
      <c r="C2" s="115">
        <v>80000</v>
      </c>
      <c r="D2" s="12"/>
      <c r="E2" s="12"/>
    </row>
    <row r="3" spans="1:7">
      <c r="B3" s="2" t="s">
        <v>4</v>
      </c>
      <c r="C3" s="116">
        <v>9860</v>
      </c>
      <c r="D3" s="13"/>
      <c r="E3" s="13"/>
    </row>
    <row r="4" spans="1:7">
      <c r="B4" s="2" t="s">
        <v>6</v>
      </c>
      <c r="C4" s="117">
        <v>8500</v>
      </c>
      <c r="D4" s="13"/>
      <c r="E4" s="14"/>
    </row>
    <row r="5" spans="1:7">
      <c r="B5" s="2" t="s">
        <v>8</v>
      </c>
      <c r="C5" s="118">
        <v>7.06</v>
      </c>
      <c r="D5" s="18"/>
      <c r="E5" s="14"/>
    </row>
    <row r="6" spans="1:7">
      <c r="A6" s="17" t="s">
        <v>1304</v>
      </c>
      <c r="B6" s="2" t="s">
        <v>10</v>
      </c>
      <c r="C6" s="119">
        <v>1.1599999999999999</v>
      </c>
      <c r="D6" s="113"/>
      <c r="E6" s="18"/>
    </row>
    <row r="7" spans="1:7">
      <c r="A7" s="17"/>
      <c r="B7" s="2" t="s">
        <v>1332</v>
      </c>
      <c r="C7" s="118">
        <v>8.1895999999999987</v>
      </c>
      <c r="D7" s="113"/>
      <c r="E7" s="18"/>
    </row>
    <row r="8" spans="1:7">
      <c r="A8" s="19" t="s">
        <v>2798</v>
      </c>
      <c r="B8" s="2" t="s">
        <v>1329</v>
      </c>
      <c r="C8" s="120">
        <v>3000</v>
      </c>
      <c r="D8" s="20">
        <v>0</v>
      </c>
      <c r="E8" s="20">
        <v>3000</v>
      </c>
      <c r="F8" s="2"/>
      <c r="G8" s="2"/>
    </row>
    <row r="9" spans="1:7">
      <c r="B9" s="2" t="s">
        <v>1328</v>
      </c>
      <c r="C9" s="120">
        <v>4000</v>
      </c>
      <c r="D9" s="20">
        <v>0</v>
      </c>
      <c r="E9" s="20">
        <v>4000</v>
      </c>
      <c r="F9" s="2"/>
      <c r="G9" s="2"/>
    </row>
    <row r="10" spans="1:7">
      <c r="B10" s="2" t="s">
        <v>1330</v>
      </c>
      <c r="C10" s="120">
        <v>3000</v>
      </c>
      <c r="D10" s="20">
        <v>0</v>
      </c>
      <c r="E10" s="20">
        <v>3000</v>
      </c>
      <c r="F10" s="2"/>
      <c r="G10" s="2"/>
    </row>
    <row r="11" spans="1:7" s="39" customFormat="1">
      <c r="B11" s="2" t="s">
        <v>1301</v>
      </c>
      <c r="C11" s="120">
        <v>350</v>
      </c>
      <c r="D11" s="20"/>
      <c r="E11" s="2"/>
      <c r="F11" s="110"/>
      <c r="G11" s="110"/>
    </row>
    <row r="12" spans="1:7" ht="15" thickBot="1"/>
    <row r="13" spans="1:7" ht="35.1" customHeight="1">
      <c r="A13" s="74" t="s">
        <v>14</v>
      </c>
      <c r="B13" s="75" t="s">
        <v>15</v>
      </c>
      <c r="C13" s="75" t="s">
        <v>16</v>
      </c>
      <c r="D13" s="76" t="s">
        <v>17</v>
      </c>
      <c r="E13" s="76" t="s">
        <v>18</v>
      </c>
      <c r="F13" s="75" t="s">
        <v>19</v>
      </c>
      <c r="G13" s="75" t="s">
        <v>2408</v>
      </c>
    </row>
    <row r="14" spans="1:7" s="129" customFormat="1">
      <c r="A14" s="195" t="s">
        <v>1353</v>
      </c>
      <c r="B14" s="236" t="s">
        <v>1374</v>
      </c>
      <c r="C14" s="237" t="s">
        <v>3146</v>
      </c>
      <c r="D14" s="197" t="s">
        <v>70</v>
      </c>
      <c r="E14" s="197">
        <v>23</v>
      </c>
      <c r="F14" s="238" t="s">
        <v>86</v>
      </c>
      <c r="G14" s="238" t="s">
        <v>2826</v>
      </c>
    </row>
    <row r="15" spans="1:7" s="129" customFormat="1">
      <c r="A15" s="195" t="s">
        <v>1353</v>
      </c>
      <c r="B15" s="236" t="s">
        <v>1374</v>
      </c>
      <c r="C15" s="237" t="s">
        <v>3146</v>
      </c>
      <c r="D15" s="197" t="s">
        <v>70</v>
      </c>
      <c r="E15" s="197">
        <v>23</v>
      </c>
      <c r="F15" s="238" t="s">
        <v>90</v>
      </c>
      <c r="G15" s="238" t="s">
        <v>2827</v>
      </c>
    </row>
    <row r="16" spans="1:7" s="129" customFormat="1">
      <c r="A16" s="195" t="s">
        <v>1353</v>
      </c>
      <c r="B16" s="236" t="s">
        <v>1374</v>
      </c>
      <c r="C16" s="237" t="s">
        <v>3146</v>
      </c>
      <c r="D16" s="197" t="s">
        <v>70</v>
      </c>
      <c r="E16" s="197">
        <v>24</v>
      </c>
      <c r="F16" s="238" t="s">
        <v>1688</v>
      </c>
      <c r="G16" s="238" t="s">
        <v>2825</v>
      </c>
    </row>
    <row r="17" spans="1:7" s="129" customFormat="1">
      <c r="A17" s="195" t="s">
        <v>1353</v>
      </c>
      <c r="B17" s="236" t="s">
        <v>1374</v>
      </c>
      <c r="C17" s="237" t="s">
        <v>3146</v>
      </c>
      <c r="D17" s="197" t="s">
        <v>70</v>
      </c>
      <c r="E17" s="197">
        <v>24</v>
      </c>
      <c r="F17" s="238" t="s">
        <v>1689</v>
      </c>
      <c r="G17" s="238" t="s">
        <v>2825</v>
      </c>
    </row>
    <row r="18" spans="1:7" s="129" customFormat="1">
      <c r="A18" s="195" t="s">
        <v>1353</v>
      </c>
      <c r="B18" s="236" t="s">
        <v>1374</v>
      </c>
      <c r="C18" s="237" t="s">
        <v>3147</v>
      </c>
      <c r="D18" s="197" t="s">
        <v>114</v>
      </c>
      <c r="E18" s="197">
        <v>23</v>
      </c>
      <c r="F18" s="238" t="s">
        <v>115</v>
      </c>
      <c r="G18" s="238" t="s">
        <v>2828</v>
      </c>
    </row>
    <row r="19" spans="1:7" s="129" customFormat="1">
      <c r="A19" s="195" t="s">
        <v>1353</v>
      </c>
      <c r="B19" s="236" t="s">
        <v>1374</v>
      </c>
      <c r="C19" s="237" t="s">
        <v>3147</v>
      </c>
      <c r="D19" s="197" t="s">
        <v>114</v>
      </c>
      <c r="E19" s="197">
        <v>23</v>
      </c>
      <c r="F19" s="238" t="s">
        <v>119</v>
      </c>
      <c r="G19" s="238" t="s">
        <v>2829</v>
      </c>
    </row>
    <row r="20" spans="1:7" s="129" customFormat="1">
      <c r="A20" s="195" t="s">
        <v>1353</v>
      </c>
      <c r="B20" s="236" t="s">
        <v>1374</v>
      </c>
      <c r="C20" s="237" t="s">
        <v>3147</v>
      </c>
      <c r="D20" s="197" t="s">
        <v>70</v>
      </c>
      <c r="E20" s="197">
        <v>23</v>
      </c>
      <c r="F20" s="238" t="s">
        <v>2563</v>
      </c>
      <c r="G20" s="238" t="s">
        <v>2830</v>
      </c>
    </row>
    <row r="21" spans="1:7" s="129" customFormat="1">
      <c r="A21" s="195" t="s">
        <v>1353</v>
      </c>
      <c r="B21" s="236" t="s">
        <v>1374</v>
      </c>
      <c r="C21" s="237" t="s">
        <v>3147</v>
      </c>
      <c r="D21" s="197" t="s">
        <v>70</v>
      </c>
      <c r="E21" s="197">
        <v>23</v>
      </c>
      <c r="F21" s="238" t="s">
        <v>2213</v>
      </c>
      <c r="G21" s="238" t="s">
        <v>2825</v>
      </c>
    </row>
    <row r="22" spans="1:7" s="129" customFormat="1">
      <c r="A22" s="195" t="s">
        <v>1353</v>
      </c>
      <c r="B22" s="236" t="s">
        <v>1374</v>
      </c>
      <c r="C22" s="237" t="s">
        <v>3147</v>
      </c>
      <c r="D22" s="197" t="s">
        <v>132</v>
      </c>
      <c r="E22" s="197">
        <v>23</v>
      </c>
      <c r="F22" s="238" t="s">
        <v>133</v>
      </c>
      <c r="G22" s="238" t="s">
        <v>2831</v>
      </c>
    </row>
    <row r="23" spans="1:7" s="129" customFormat="1">
      <c r="A23" s="195" t="s">
        <v>1353</v>
      </c>
      <c r="B23" s="236" t="s">
        <v>1374</v>
      </c>
      <c r="C23" s="237" t="s">
        <v>3147</v>
      </c>
      <c r="D23" s="197" t="s">
        <v>132</v>
      </c>
      <c r="E23" s="197">
        <v>23</v>
      </c>
      <c r="F23" s="238" t="s">
        <v>137</v>
      </c>
      <c r="G23" s="238" t="s">
        <v>2832</v>
      </c>
    </row>
    <row r="24" spans="1:7" s="129" customFormat="1">
      <c r="A24" s="195" t="s">
        <v>1353</v>
      </c>
      <c r="B24" s="236" t="s">
        <v>1374</v>
      </c>
      <c r="C24" s="237" t="s">
        <v>3147</v>
      </c>
      <c r="D24" s="197" t="s">
        <v>132</v>
      </c>
      <c r="E24" s="197">
        <v>23</v>
      </c>
      <c r="F24" s="238" t="s">
        <v>1815</v>
      </c>
      <c r="G24" s="238" t="s">
        <v>2833</v>
      </c>
    </row>
    <row r="25" spans="1:7" s="129" customFormat="1">
      <c r="A25" s="195" t="s">
        <v>1353</v>
      </c>
      <c r="B25" s="236" t="s">
        <v>1374</v>
      </c>
      <c r="C25" s="237" t="s">
        <v>3147</v>
      </c>
      <c r="D25" s="197" t="s">
        <v>132</v>
      </c>
      <c r="E25" s="197">
        <v>23</v>
      </c>
      <c r="F25" s="238" t="s">
        <v>1816</v>
      </c>
      <c r="G25" s="238" t="s">
        <v>2834</v>
      </c>
    </row>
    <row r="26" spans="1:7" s="129" customFormat="1">
      <c r="A26" s="195" t="s">
        <v>1353</v>
      </c>
      <c r="B26" s="236" t="s">
        <v>1374</v>
      </c>
      <c r="C26" s="237" t="s">
        <v>3147</v>
      </c>
      <c r="D26" s="197" t="s">
        <v>132</v>
      </c>
      <c r="E26" s="197">
        <v>23</v>
      </c>
      <c r="F26" s="238" t="s">
        <v>1410</v>
      </c>
      <c r="G26" s="238" t="s">
        <v>2835</v>
      </c>
    </row>
    <row r="27" spans="1:7" s="129" customFormat="1">
      <c r="A27" s="195" t="s">
        <v>1353</v>
      </c>
      <c r="B27" s="236" t="s">
        <v>1374</v>
      </c>
      <c r="C27" s="237" t="s">
        <v>3147</v>
      </c>
      <c r="D27" s="197" t="s">
        <v>132</v>
      </c>
      <c r="E27" s="197">
        <v>23</v>
      </c>
      <c r="F27" s="238" t="s">
        <v>141</v>
      </c>
      <c r="G27" s="238" t="s">
        <v>2836</v>
      </c>
    </row>
    <row r="28" spans="1:7" s="129" customFormat="1">
      <c r="A28" s="195" t="s">
        <v>1353</v>
      </c>
      <c r="B28" s="236" t="s">
        <v>1374</v>
      </c>
      <c r="C28" s="237" t="s">
        <v>3147</v>
      </c>
      <c r="D28" s="197" t="s">
        <v>132</v>
      </c>
      <c r="E28" s="197">
        <v>23</v>
      </c>
      <c r="F28" s="238" t="s">
        <v>2225</v>
      </c>
      <c r="G28" s="238" t="s">
        <v>2837</v>
      </c>
    </row>
    <row r="29" spans="1:7" s="129" customFormat="1">
      <c r="A29" s="195" t="s">
        <v>1353</v>
      </c>
      <c r="B29" s="236" t="s">
        <v>1374</v>
      </c>
      <c r="C29" s="237" t="s">
        <v>3147</v>
      </c>
      <c r="D29" s="197" t="s">
        <v>132</v>
      </c>
      <c r="E29" s="197">
        <v>23</v>
      </c>
      <c r="F29" s="238" t="s">
        <v>133</v>
      </c>
      <c r="G29" s="238" t="s">
        <v>2831</v>
      </c>
    </row>
    <row r="30" spans="1:7" s="129" customFormat="1">
      <c r="A30" s="195" t="s">
        <v>1353</v>
      </c>
      <c r="B30" s="236" t="s">
        <v>1374</v>
      </c>
      <c r="C30" s="237" t="s">
        <v>3147</v>
      </c>
      <c r="D30" s="197" t="s">
        <v>132</v>
      </c>
      <c r="E30" s="197">
        <v>23</v>
      </c>
      <c r="F30" s="238" t="s">
        <v>137</v>
      </c>
      <c r="G30" s="238" t="s">
        <v>2832</v>
      </c>
    </row>
    <row r="31" spans="1:7" s="129" customFormat="1">
      <c r="A31" s="195" t="s">
        <v>1353</v>
      </c>
      <c r="B31" s="236" t="s">
        <v>1374</v>
      </c>
      <c r="C31" s="237" t="s">
        <v>3147</v>
      </c>
      <c r="D31" s="197" t="s">
        <v>132</v>
      </c>
      <c r="E31" s="197">
        <v>23</v>
      </c>
      <c r="F31" s="238" t="s">
        <v>1815</v>
      </c>
      <c r="G31" s="238" t="s">
        <v>2833</v>
      </c>
    </row>
    <row r="32" spans="1:7" s="129" customFormat="1">
      <c r="A32" s="195" t="s">
        <v>1353</v>
      </c>
      <c r="B32" s="236" t="s">
        <v>1374</v>
      </c>
      <c r="C32" s="237" t="s">
        <v>3147</v>
      </c>
      <c r="D32" s="197" t="s">
        <v>132</v>
      </c>
      <c r="E32" s="197">
        <v>23</v>
      </c>
      <c r="F32" s="238" t="s">
        <v>2560</v>
      </c>
      <c r="G32" s="238" t="s">
        <v>2834</v>
      </c>
    </row>
    <row r="33" spans="1:7" s="129" customFormat="1">
      <c r="A33" s="195" t="s">
        <v>1353</v>
      </c>
      <c r="B33" s="236" t="s">
        <v>1374</v>
      </c>
      <c r="C33" s="237" t="s">
        <v>3147</v>
      </c>
      <c r="D33" s="197" t="s">
        <v>151</v>
      </c>
      <c r="E33" s="197">
        <v>23</v>
      </c>
      <c r="F33" s="238" t="s">
        <v>1588</v>
      </c>
      <c r="G33" s="238" t="s">
        <v>2838</v>
      </c>
    </row>
    <row r="34" spans="1:7" s="129" customFormat="1">
      <c r="A34" s="195" t="s">
        <v>1353</v>
      </c>
      <c r="B34" s="236" t="s">
        <v>1374</v>
      </c>
      <c r="C34" s="237" t="s">
        <v>3147</v>
      </c>
      <c r="D34" s="197" t="s">
        <v>151</v>
      </c>
      <c r="E34" s="197">
        <v>23</v>
      </c>
      <c r="F34" s="238" t="s">
        <v>2221</v>
      </c>
      <c r="G34" s="238" t="s">
        <v>2839</v>
      </c>
    </row>
    <row r="35" spans="1:7" s="129" customFormat="1">
      <c r="A35" s="195" t="s">
        <v>1353</v>
      </c>
      <c r="B35" s="236" t="s">
        <v>1374</v>
      </c>
      <c r="C35" s="237" t="s">
        <v>3147</v>
      </c>
      <c r="D35" s="197" t="s">
        <v>151</v>
      </c>
      <c r="E35" s="197">
        <v>23</v>
      </c>
      <c r="F35" s="238" t="s">
        <v>155</v>
      </c>
      <c r="G35" s="238" t="s">
        <v>2838</v>
      </c>
    </row>
    <row r="36" spans="1:7" s="129" customFormat="1">
      <c r="A36" s="195" t="s">
        <v>1353</v>
      </c>
      <c r="B36" s="236" t="s">
        <v>1374</v>
      </c>
      <c r="C36" s="237" t="s">
        <v>3147</v>
      </c>
      <c r="D36" s="197" t="s">
        <v>151</v>
      </c>
      <c r="E36" s="197">
        <v>23</v>
      </c>
      <c r="F36" s="238" t="s">
        <v>2221</v>
      </c>
      <c r="G36" s="238" t="s">
        <v>2839</v>
      </c>
    </row>
    <row r="37" spans="1:7" s="129" customFormat="1">
      <c r="A37" s="195" t="s">
        <v>1353</v>
      </c>
      <c r="B37" s="236" t="s">
        <v>1374</v>
      </c>
      <c r="C37" s="237" t="s">
        <v>3147</v>
      </c>
      <c r="D37" s="197" t="s">
        <v>151</v>
      </c>
      <c r="E37" s="197">
        <v>23</v>
      </c>
      <c r="F37" s="238" t="s">
        <v>1306</v>
      </c>
      <c r="G37" s="238" t="s">
        <v>2825</v>
      </c>
    </row>
    <row r="38" spans="1:7" s="129" customFormat="1">
      <c r="A38" s="195" t="s">
        <v>1353</v>
      </c>
      <c r="B38" s="236" t="s">
        <v>1374</v>
      </c>
      <c r="C38" s="237" t="s">
        <v>3147</v>
      </c>
      <c r="D38" s="197" t="s">
        <v>151</v>
      </c>
      <c r="E38" s="197">
        <v>23</v>
      </c>
      <c r="F38" s="238" t="s">
        <v>2249</v>
      </c>
      <c r="G38" s="238" t="s">
        <v>2825</v>
      </c>
    </row>
    <row r="39" spans="1:7" s="129" customFormat="1">
      <c r="A39" s="195" t="s">
        <v>1353</v>
      </c>
      <c r="B39" s="236" t="s">
        <v>1374</v>
      </c>
      <c r="C39" s="237" t="s">
        <v>3148</v>
      </c>
      <c r="D39" s="197" t="s">
        <v>151</v>
      </c>
      <c r="E39" s="197">
        <v>23</v>
      </c>
      <c r="F39" s="238" t="s">
        <v>169</v>
      </c>
      <c r="G39" s="238" t="s">
        <v>2840</v>
      </c>
    </row>
    <row r="40" spans="1:7" s="129" customFormat="1">
      <c r="A40" s="195" t="s">
        <v>1353</v>
      </c>
      <c r="B40" s="236" t="s">
        <v>1374</v>
      </c>
      <c r="C40" s="237" t="s">
        <v>3148</v>
      </c>
      <c r="D40" s="197" t="s">
        <v>151</v>
      </c>
      <c r="E40" s="197">
        <v>23</v>
      </c>
      <c r="F40" s="238" t="s">
        <v>1319</v>
      </c>
      <c r="G40" s="238" t="s">
        <v>2841</v>
      </c>
    </row>
    <row r="41" spans="1:7" s="129" customFormat="1">
      <c r="A41" s="195" t="s">
        <v>1353</v>
      </c>
      <c r="B41" s="236" t="s">
        <v>1374</v>
      </c>
      <c r="C41" s="237" t="s">
        <v>3148</v>
      </c>
      <c r="D41" s="197" t="s">
        <v>151</v>
      </c>
      <c r="E41" s="197">
        <v>23</v>
      </c>
      <c r="F41" s="238" t="s">
        <v>1280</v>
      </c>
      <c r="G41" s="238" t="s">
        <v>2840</v>
      </c>
    </row>
    <row r="42" spans="1:7" s="129" customFormat="1">
      <c r="A42" s="195" t="s">
        <v>1353</v>
      </c>
      <c r="B42" s="236" t="s">
        <v>1374</v>
      </c>
      <c r="C42" s="237" t="s">
        <v>3148</v>
      </c>
      <c r="D42" s="197" t="s">
        <v>151</v>
      </c>
      <c r="E42" s="197">
        <v>26</v>
      </c>
      <c r="F42" s="238" t="s">
        <v>1492</v>
      </c>
      <c r="G42" s="238" t="s">
        <v>2825</v>
      </c>
    </row>
    <row r="43" spans="1:7" s="129" customFormat="1">
      <c r="A43" s="195" t="s">
        <v>1353</v>
      </c>
      <c r="B43" s="236" t="s">
        <v>1374</v>
      </c>
      <c r="C43" s="237" t="s">
        <v>3149</v>
      </c>
      <c r="D43" s="197" t="s">
        <v>151</v>
      </c>
      <c r="E43" s="197">
        <v>23</v>
      </c>
      <c r="F43" s="238" t="s">
        <v>1309</v>
      </c>
      <c r="G43" s="238" t="s">
        <v>2825</v>
      </c>
    </row>
    <row r="44" spans="1:7" s="129" customFormat="1">
      <c r="A44" s="195" t="s">
        <v>1353</v>
      </c>
      <c r="B44" s="236" t="s">
        <v>1374</v>
      </c>
      <c r="C44" s="237" t="s">
        <v>3149</v>
      </c>
      <c r="D44" s="197" t="s">
        <v>151</v>
      </c>
      <c r="E44" s="197">
        <v>23</v>
      </c>
      <c r="F44" s="238" t="s">
        <v>1309</v>
      </c>
      <c r="G44" s="238" t="s">
        <v>2825</v>
      </c>
    </row>
    <row r="45" spans="1:7" s="129" customFormat="1">
      <c r="A45" s="195" t="s">
        <v>1353</v>
      </c>
      <c r="B45" s="236" t="s">
        <v>1374</v>
      </c>
      <c r="C45" s="237" t="s">
        <v>3149</v>
      </c>
      <c r="D45" s="197" t="s">
        <v>151</v>
      </c>
      <c r="E45" s="197">
        <v>22</v>
      </c>
      <c r="F45" s="238" t="s">
        <v>1659</v>
      </c>
      <c r="G45" s="238" t="s">
        <v>2825</v>
      </c>
    </row>
    <row r="46" spans="1:7" s="129" customFormat="1">
      <c r="A46" s="195" t="s">
        <v>1353</v>
      </c>
      <c r="B46" s="236" t="s">
        <v>1374</v>
      </c>
      <c r="C46" s="237" t="s">
        <v>3150</v>
      </c>
      <c r="D46" s="197" t="s">
        <v>151</v>
      </c>
      <c r="E46" s="197">
        <v>22</v>
      </c>
      <c r="F46" s="238" t="s">
        <v>2561</v>
      </c>
      <c r="G46" s="238" t="s">
        <v>2842</v>
      </c>
    </row>
    <row r="47" spans="1:7" s="129" customFormat="1">
      <c r="A47" s="195" t="s">
        <v>1353</v>
      </c>
      <c r="B47" s="236" t="s">
        <v>1374</v>
      </c>
      <c r="C47" s="237" t="s">
        <v>3150</v>
      </c>
      <c r="D47" s="197" t="s">
        <v>151</v>
      </c>
      <c r="E47" s="197">
        <v>22</v>
      </c>
      <c r="F47" s="238" t="s">
        <v>1739</v>
      </c>
      <c r="G47" s="238" t="s">
        <v>2825</v>
      </c>
    </row>
    <row r="48" spans="1:7" s="129" customFormat="1">
      <c r="A48" s="195" t="s">
        <v>1353</v>
      </c>
      <c r="B48" s="236" t="s">
        <v>3155</v>
      </c>
      <c r="C48" s="236" t="s">
        <v>3155</v>
      </c>
      <c r="D48" s="197"/>
      <c r="E48" s="197">
        <v>26</v>
      </c>
      <c r="F48" s="238" t="s">
        <v>1754</v>
      </c>
      <c r="G48" s="238" t="s">
        <v>2825</v>
      </c>
    </row>
    <row r="49" spans="1:52" s="129" customFormat="1">
      <c r="A49" s="195" t="s">
        <v>1353</v>
      </c>
      <c r="B49" s="236" t="s">
        <v>3155</v>
      </c>
      <c r="C49" s="236" t="s">
        <v>3155</v>
      </c>
      <c r="D49" s="197"/>
      <c r="E49" s="197">
        <v>22</v>
      </c>
      <c r="F49" s="238" t="s">
        <v>1755</v>
      </c>
      <c r="G49" s="238" t="s">
        <v>2825</v>
      </c>
    </row>
    <row r="50" spans="1:52" s="129" customFormat="1">
      <c r="A50" s="195" t="s">
        <v>1353</v>
      </c>
      <c r="B50" s="236" t="s">
        <v>1374</v>
      </c>
      <c r="C50" s="237" t="s">
        <v>3151</v>
      </c>
      <c r="D50" s="197" t="s">
        <v>132</v>
      </c>
      <c r="E50" s="197" t="s">
        <v>193</v>
      </c>
      <c r="F50" s="238" t="s">
        <v>1777</v>
      </c>
      <c r="G50" s="238" t="s">
        <v>2843</v>
      </c>
    </row>
    <row r="51" spans="1:52" s="129" customFormat="1">
      <c r="A51" s="195" t="s">
        <v>1353</v>
      </c>
      <c r="B51" s="236" t="s">
        <v>1374</v>
      </c>
      <c r="C51" s="237" t="s">
        <v>3151</v>
      </c>
      <c r="D51" s="197" t="s">
        <v>132</v>
      </c>
      <c r="E51" s="197" t="s">
        <v>193</v>
      </c>
      <c r="F51" s="238" t="s">
        <v>1217</v>
      </c>
      <c r="G51" s="238" t="s">
        <v>2844</v>
      </c>
    </row>
    <row r="52" spans="1:52" s="160" customFormat="1">
      <c r="A52" s="195" t="s">
        <v>1353</v>
      </c>
      <c r="B52" s="236" t="s">
        <v>1374</v>
      </c>
      <c r="C52" s="237" t="s">
        <v>3151</v>
      </c>
      <c r="D52" s="197" t="s">
        <v>132</v>
      </c>
      <c r="E52" s="197" t="s">
        <v>193</v>
      </c>
      <c r="F52" s="238" t="s">
        <v>1218</v>
      </c>
      <c r="G52" s="238" t="s">
        <v>2825</v>
      </c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</row>
    <row r="53" spans="1:52" s="129" customFormat="1">
      <c r="A53" s="195" t="s">
        <v>1353</v>
      </c>
      <c r="B53" s="236" t="s">
        <v>1374</v>
      </c>
      <c r="C53" s="237" t="s">
        <v>3151</v>
      </c>
      <c r="D53" s="197" t="s">
        <v>132</v>
      </c>
      <c r="E53" s="197" t="s">
        <v>193</v>
      </c>
      <c r="F53" s="238" t="s">
        <v>1219</v>
      </c>
      <c r="G53" s="238" t="s">
        <v>2825</v>
      </c>
    </row>
    <row r="54" spans="1:52" s="129" customFormat="1">
      <c r="A54" s="195" t="s">
        <v>1353</v>
      </c>
      <c r="B54" s="236" t="s">
        <v>1378</v>
      </c>
      <c r="C54" s="236" t="s">
        <v>1378</v>
      </c>
      <c r="D54" s="128"/>
      <c r="E54" s="128"/>
      <c r="F54" s="234" t="s">
        <v>2554</v>
      </c>
      <c r="G54" s="234" t="s">
        <v>2845</v>
      </c>
    </row>
    <row r="55" spans="1:52" s="129" customFormat="1">
      <c r="A55" s="195" t="s">
        <v>1353</v>
      </c>
      <c r="B55" s="236" t="s">
        <v>1378</v>
      </c>
      <c r="C55" s="236" t="s">
        <v>1378</v>
      </c>
      <c r="D55" s="128"/>
      <c r="E55" s="128"/>
      <c r="F55" s="234" t="s">
        <v>212</v>
      </c>
      <c r="G55" s="234" t="s">
        <v>2846</v>
      </c>
    </row>
    <row r="56" spans="1:52" s="129" customFormat="1">
      <c r="A56" s="195" t="s">
        <v>1353</v>
      </c>
      <c r="B56" s="236" t="s">
        <v>1378</v>
      </c>
      <c r="C56" s="236" t="s">
        <v>1378</v>
      </c>
      <c r="D56" s="128"/>
      <c r="E56" s="128"/>
      <c r="F56" s="234" t="s">
        <v>217</v>
      </c>
      <c r="G56" s="234" t="s">
        <v>2847</v>
      </c>
    </row>
    <row r="57" spans="1:52" s="129" customFormat="1">
      <c r="A57" s="195" t="s">
        <v>1353</v>
      </c>
      <c r="B57" s="236" t="s">
        <v>1378</v>
      </c>
      <c r="C57" s="236" t="s">
        <v>1378</v>
      </c>
      <c r="D57" s="128"/>
      <c r="E57" s="128"/>
      <c r="F57" s="234" t="s">
        <v>221</v>
      </c>
      <c r="G57" s="234" t="s">
        <v>2848</v>
      </c>
    </row>
    <row r="58" spans="1:52" s="129" customFormat="1">
      <c r="A58" s="195" t="s">
        <v>1353</v>
      </c>
      <c r="B58" s="236" t="s">
        <v>1378</v>
      </c>
      <c r="C58" s="236" t="s">
        <v>1378</v>
      </c>
      <c r="D58" s="128"/>
      <c r="E58" s="128"/>
      <c r="F58" s="234" t="s">
        <v>225</v>
      </c>
      <c r="G58" s="234" t="s">
        <v>2849</v>
      </c>
    </row>
    <row r="59" spans="1:52" s="129" customFormat="1">
      <c r="A59" s="195" t="s">
        <v>1353</v>
      </c>
      <c r="B59" s="236" t="s">
        <v>1378</v>
      </c>
      <c r="C59" s="236" t="s">
        <v>1378</v>
      </c>
      <c r="D59" s="128"/>
      <c r="E59" s="128"/>
      <c r="F59" s="234" t="s">
        <v>229</v>
      </c>
      <c r="G59" s="234" t="s">
        <v>2850</v>
      </c>
    </row>
    <row r="60" spans="1:52" s="129" customFormat="1">
      <c r="A60" s="195" t="s">
        <v>1353</v>
      </c>
      <c r="B60" s="237" t="s">
        <v>3152</v>
      </c>
      <c r="C60" s="237" t="s">
        <v>1380</v>
      </c>
      <c r="D60" s="197" t="s">
        <v>253</v>
      </c>
      <c r="E60" s="128"/>
      <c r="F60" s="241" t="s">
        <v>1758</v>
      </c>
      <c r="G60" s="241" t="s">
        <v>2825</v>
      </c>
    </row>
    <row r="61" spans="1:52" s="129" customFormat="1">
      <c r="A61" s="195" t="s">
        <v>1353</v>
      </c>
      <c r="B61" s="237" t="s">
        <v>3152</v>
      </c>
      <c r="C61" s="237" t="s">
        <v>1380</v>
      </c>
      <c r="D61" s="197" t="s">
        <v>266</v>
      </c>
      <c r="E61" s="128"/>
      <c r="F61" s="241" t="s">
        <v>1759</v>
      </c>
      <c r="G61" s="241" t="s">
        <v>2825</v>
      </c>
    </row>
    <row r="62" spans="1:52" s="129" customFormat="1" ht="15.75" customHeight="1">
      <c r="A62" s="195" t="s">
        <v>1353</v>
      </c>
      <c r="B62" s="237" t="s">
        <v>3152</v>
      </c>
      <c r="C62" s="237" t="s">
        <v>1380</v>
      </c>
      <c r="D62" s="197" t="s">
        <v>253</v>
      </c>
      <c r="E62" s="128"/>
      <c r="F62" s="241" t="s">
        <v>1760</v>
      </c>
      <c r="G62" s="241" t="s">
        <v>2825</v>
      </c>
    </row>
    <row r="63" spans="1:52" s="129" customFormat="1">
      <c r="A63" s="195" t="s">
        <v>1353</v>
      </c>
      <c r="B63" s="237" t="s">
        <v>3152</v>
      </c>
      <c r="C63" s="237" t="s">
        <v>1380</v>
      </c>
      <c r="D63" s="197" t="s">
        <v>253</v>
      </c>
      <c r="E63" s="128"/>
      <c r="F63" s="241" t="s">
        <v>2802</v>
      </c>
      <c r="G63" s="241" t="s">
        <v>2825</v>
      </c>
    </row>
    <row r="64" spans="1:52" s="129" customFormat="1">
      <c r="A64" s="195" t="s">
        <v>1353</v>
      </c>
      <c r="B64" s="237" t="s">
        <v>3152</v>
      </c>
      <c r="C64" s="237" t="s">
        <v>3153</v>
      </c>
      <c r="D64" s="197" t="s">
        <v>253</v>
      </c>
      <c r="E64" s="128"/>
      <c r="F64" s="241" t="s">
        <v>1737</v>
      </c>
      <c r="G64" s="241" t="s">
        <v>2825</v>
      </c>
    </row>
    <row r="65" spans="1:7" s="129" customFormat="1">
      <c r="A65" s="195" t="s">
        <v>1353</v>
      </c>
      <c r="B65" s="237" t="s">
        <v>3152</v>
      </c>
      <c r="C65" s="237" t="s">
        <v>283</v>
      </c>
      <c r="D65" s="197" t="s">
        <v>253</v>
      </c>
      <c r="E65" s="128"/>
      <c r="F65" s="241" t="s">
        <v>300</v>
      </c>
      <c r="G65" s="241" t="s">
        <v>2851</v>
      </c>
    </row>
    <row r="66" spans="1:7" s="129" customFormat="1">
      <c r="A66" s="195" t="s">
        <v>1353</v>
      </c>
      <c r="B66" s="237" t="s">
        <v>3152</v>
      </c>
      <c r="C66" s="237" t="s">
        <v>283</v>
      </c>
      <c r="D66" s="197" t="s">
        <v>253</v>
      </c>
      <c r="E66" s="128"/>
      <c r="F66" s="241" t="s">
        <v>309</v>
      </c>
      <c r="G66" s="241" t="s">
        <v>2852</v>
      </c>
    </row>
    <row r="67" spans="1:7" s="129" customFormat="1">
      <c r="A67" s="195" t="s">
        <v>1353</v>
      </c>
      <c r="B67" s="237" t="s">
        <v>3152</v>
      </c>
      <c r="C67" s="237" t="s">
        <v>321</v>
      </c>
      <c r="D67" s="197" t="s">
        <v>253</v>
      </c>
      <c r="E67" s="128"/>
      <c r="F67" s="241" t="s">
        <v>330</v>
      </c>
      <c r="G67" s="241" t="s">
        <v>2853</v>
      </c>
    </row>
    <row r="68" spans="1:7" s="129" customFormat="1">
      <c r="A68" s="195" t="s">
        <v>1353</v>
      </c>
      <c r="B68" s="237" t="s">
        <v>3152</v>
      </c>
      <c r="C68" s="237" t="s">
        <v>321</v>
      </c>
      <c r="D68" s="197" t="s">
        <v>253</v>
      </c>
      <c r="E68" s="128"/>
      <c r="F68" s="241" t="s">
        <v>337</v>
      </c>
      <c r="G68" s="241" t="s">
        <v>2854</v>
      </c>
    </row>
    <row r="69" spans="1:7" s="129" customFormat="1">
      <c r="A69" s="195" t="s">
        <v>1353</v>
      </c>
      <c r="B69" s="237" t="s">
        <v>3152</v>
      </c>
      <c r="C69" s="237" t="s">
        <v>321</v>
      </c>
      <c r="D69" s="197" t="s">
        <v>253</v>
      </c>
      <c r="E69" s="128"/>
      <c r="F69" s="241" t="s">
        <v>349</v>
      </c>
      <c r="G69" s="241" t="s">
        <v>2855</v>
      </c>
    </row>
    <row r="70" spans="1:7" s="129" customFormat="1">
      <c r="A70" s="195" t="s">
        <v>1353</v>
      </c>
      <c r="B70" s="237" t="s">
        <v>3152</v>
      </c>
      <c r="C70" s="237" t="s">
        <v>372</v>
      </c>
      <c r="D70" s="197" t="s">
        <v>253</v>
      </c>
      <c r="E70" s="128"/>
      <c r="F70" s="241" t="s">
        <v>2562</v>
      </c>
      <c r="G70" s="241" t="s">
        <v>2856</v>
      </c>
    </row>
    <row r="71" spans="1:7" s="129" customFormat="1">
      <c r="A71" s="195" t="s">
        <v>1353</v>
      </c>
      <c r="B71" s="237" t="s">
        <v>3152</v>
      </c>
      <c r="C71" s="237" t="s">
        <v>3154</v>
      </c>
      <c r="D71" s="197"/>
      <c r="E71" s="128"/>
      <c r="F71" s="241" t="s">
        <v>353</v>
      </c>
      <c r="G71" s="241" t="s">
        <v>2857</v>
      </c>
    </row>
    <row r="72" spans="1:7" s="129" customFormat="1">
      <c r="A72" s="195" t="s">
        <v>1353</v>
      </c>
      <c r="B72" s="237" t="s">
        <v>3152</v>
      </c>
      <c r="C72" s="237" t="s">
        <v>3154</v>
      </c>
      <c r="D72" s="197"/>
      <c r="E72" s="128"/>
      <c r="F72" s="241" t="s">
        <v>360</v>
      </c>
      <c r="G72" s="241" t="s">
        <v>2858</v>
      </c>
    </row>
    <row r="73" spans="1:7" s="129" customFormat="1">
      <c r="A73" s="195" t="s">
        <v>1353</v>
      </c>
      <c r="B73" s="237" t="s">
        <v>3152</v>
      </c>
      <c r="C73" s="237" t="s">
        <v>3154</v>
      </c>
      <c r="D73" s="197"/>
      <c r="E73" s="128"/>
      <c r="F73" s="241" t="s">
        <v>364</v>
      </c>
      <c r="G73" s="241" t="s">
        <v>2859</v>
      </c>
    </row>
    <row r="74" spans="1:7" s="129" customFormat="1">
      <c r="A74" s="195" t="s">
        <v>1353</v>
      </c>
      <c r="B74" s="237" t="s">
        <v>3152</v>
      </c>
      <c r="C74" s="237" t="s">
        <v>3154</v>
      </c>
      <c r="D74" s="197"/>
      <c r="E74" s="128"/>
      <c r="F74" s="241" t="s">
        <v>368</v>
      </c>
      <c r="G74" s="241" t="s">
        <v>2860</v>
      </c>
    </row>
    <row r="75" spans="1:7" s="129" customFormat="1">
      <c r="A75" s="195" t="s">
        <v>1353</v>
      </c>
      <c r="B75" s="236" t="s">
        <v>1405</v>
      </c>
      <c r="C75" s="237" t="s">
        <v>447</v>
      </c>
      <c r="D75" s="197" t="s">
        <v>253</v>
      </c>
      <c r="E75" s="128">
        <v>26</v>
      </c>
      <c r="F75" s="241" t="s">
        <v>448</v>
      </c>
      <c r="G75" s="241" t="s">
        <v>2861</v>
      </c>
    </row>
    <row r="76" spans="1:7" s="129" customFormat="1">
      <c r="A76" s="195" t="s">
        <v>1353</v>
      </c>
      <c r="B76" s="236" t="s">
        <v>1405</v>
      </c>
      <c r="C76" s="237" t="s">
        <v>447</v>
      </c>
      <c r="D76" s="197" t="s">
        <v>253</v>
      </c>
      <c r="E76" s="128">
        <v>26</v>
      </c>
      <c r="F76" s="241" t="s">
        <v>453</v>
      </c>
      <c r="G76" s="241" t="s">
        <v>2862</v>
      </c>
    </row>
    <row r="77" spans="1:7" s="129" customFormat="1">
      <c r="A77" s="195" t="s">
        <v>1353</v>
      </c>
      <c r="B77" s="236" t="s">
        <v>1405</v>
      </c>
      <c r="C77" s="237" t="s">
        <v>447</v>
      </c>
      <c r="D77" s="197" t="s">
        <v>253</v>
      </c>
      <c r="E77" s="128">
        <v>26</v>
      </c>
      <c r="F77" s="241" t="s">
        <v>457</v>
      </c>
      <c r="G77" s="241" t="s">
        <v>2863</v>
      </c>
    </row>
    <row r="78" spans="1:7" s="129" customFormat="1">
      <c r="A78" s="195" t="s">
        <v>1353</v>
      </c>
      <c r="B78" s="236" t="s">
        <v>1405</v>
      </c>
      <c r="C78" s="237" t="s">
        <v>447</v>
      </c>
      <c r="D78" s="197" t="s">
        <v>253</v>
      </c>
      <c r="E78" s="128">
        <v>26</v>
      </c>
      <c r="F78" s="241" t="s">
        <v>461</v>
      </c>
      <c r="G78" s="241" t="s">
        <v>2864</v>
      </c>
    </row>
    <row r="79" spans="1:7" s="129" customFormat="1">
      <c r="A79" s="195" t="s">
        <v>1353</v>
      </c>
      <c r="B79" s="236" t="s">
        <v>1405</v>
      </c>
      <c r="C79" s="237" t="s">
        <v>447</v>
      </c>
      <c r="D79" s="197" t="s">
        <v>253</v>
      </c>
      <c r="E79" s="128">
        <v>26</v>
      </c>
      <c r="F79" s="241" t="s">
        <v>465</v>
      </c>
      <c r="G79" s="241" t="s">
        <v>2865</v>
      </c>
    </row>
    <row r="80" spans="1:7" s="172" customFormat="1">
      <c r="A80" s="195" t="s">
        <v>1353</v>
      </c>
      <c r="B80" s="236" t="s">
        <v>1405</v>
      </c>
      <c r="C80" s="237" t="s">
        <v>447</v>
      </c>
      <c r="D80" s="197" t="s">
        <v>253</v>
      </c>
      <c r="E80" s="128">
        <v>26</v>
      </c>
      <c r="F80" s="241" t="s">
        <v>469</v>
      </c>
      <c r="G80" s="241" t="s">
        <v>2866</v>
      </c>
    </row>
    <row r="81" spans="1:7" s="172" customFormat="1">
      <c r="A81" s="195" t="s">
        <v>1353</v>
      </c>
      <c r="B81" s="236" t="s">
        <v>1405</v>
      </c>
      <c r="C81" s="237" t="s">
        <v>447</v>
      </c>
      <c r="D81" s="197" t="s">
        <v>253</v>
      </c>
      <c r="E81" s="128">
        <v>26</v>
      </c>
      <c r="F81" s="241" t="s">
        <v>473</v>
      </c>
      <c r="G81" s="241" t="s">
        <v>2867</v>
      </c>
    </row>
    <row r="82" spans="1:7" s="172" customFormat="1">
      <c r="A82" s="195" t="s">
        <v>1353</v>
      </c>
      <c r="B82" s="236" t="s">
        <v>1405</v>
      </c>
      <c r="C82" s="237" t="s">
        <v>447</v>
      </c>
      <c r="D82" s="197" t="s">
        <v>253</v>
      </c>
      <c r="E82" s="128">
        <v>26</v>
      </c>
      <c r="F82" s="241" t="s">
        <v>477</v>
      </c>
      <c r="G82" s="241" t="s">
        <v>2868</v>
      </c>
    </row>
    <row r="83" spans="1:7" s="172" customFormat="1">
      <c r="A83" s="195" t="s">
        <v>1353</v>
      </c>
      <c r="B83" s="236" t="s">
        <v>1405</v>
      </c>
      <c r="C83" s="237" t="s">
        <v>447</v>
      </c>
      <c r="D83" s="197" t="s">
        <v>253</v>
      </c>
      <c r="E83" s="128">
        <v>26</v>
      </c>
      <c r="F83" s="241" t="s">
        <v>480</v>
      </c>
      <c r="G83" s="241" t="s">
        <v>2869</v>
      </c>
    </row>
    <row r="84" spans="1:7" s="129" customFormat="1">
      <c r="A84" s="195" t="s">
        <v>1353</v>
      </c>
      <c r="B84" s="236" t="s">
        <v>1405</v>
      </c>
      <c r="C84" s="237" t="s">
        <v>447</v>
      </c>
      <c r="D84" s="197" t="s">
        <v>253</v>
      </c>
      <c r="E84" s="128">
        <v>26</v>
      </c>
      <c r="F84" s="241" t="s">
        <v>483</v>
      </c>
      <c r="G84" s="241" t="s">
        <v>2870</v>
      </c>
    </row>
    <row r="85" spans="1:7" s="129" customFormat="1">
      <c r="A85" s="195" t="s">
        <v>1353</v>
      </c>
      <c r="B85" s="236" t="s">
        <v>1405</v>
      </c>
      <c r="C85" s="237" t="s">
        <v>447</v>
      </c>
      <c r="D85" s="197" t="s">
        <v>253</v>
      </c>
      <c r="E85" s="128">
        <v>26</v>
      </c>
      <c r="F85" s="241" t="s">
        <v>486</v>
      </c>
      <c r="G85" s="241" t="s">
        <v>2871</v>
      </c>
    </row>
    <row r="86" spans="1:7" s="129" customFormat="1">
      <c r="A86" s="195" t="s">
        <v>1353</v>
      </c>
      <c r="B86" s="236" t="s">
        <v>1405</v>
      </c>
      <c r="C86" s="237" t="s">
        <v>447</v>
      </c>
      <c r="D86" s="197" t="s">
        <v>253</v>
      </c>
      <c r="E86" s="128">
        <v>26</v>
      </c>
      <c r="F86" s="241" t="s">
        <v>489</v>
      </c>
      <c r="G86" s="241" t="s">
        <v>2872</v>
      </c>
    </row>
    <row r="87" spans="1:7" s="129" customFormat="1">
      <c r="A87" s="195" t="s">
        <v>1353</v>
      </c>
      <c r="B87" s="236" t="s">
        <v>1405</v>
      </c>
      <c r="C87" s="237" t="s">
        <v>447</v>
      </c>
      <c r="D87" s="197" t="s">
        <v>253</v>
      </c>
      <c r="E87" s="128">
        <v>26</v>
      </c>
      <c r="F87" s="241" t="s">
        <v>492</v>
      </c>
      <c r="G87" s="241" t="s">
        <v>2873</v>
      </c>
    </row>
    <row r="88" spans="1:7" s="129" customFormat="1">
      <c r="A88" s="195" t="s">
        <v>1353</v>
      </c>
      <c r="B88" s="236" t="s">
        <v>1405</v>
      </c>
      <c r="C88" s="237" t="s">
        <v>447</v>
      </c>
      <c r="D88" s="197" t="s">
        <v>253</v>
      </c>
      <c r="E88" s="128">
        <v>26</v>
      </c>
      <c r="F88" s="241" t="s">
        <v>495</v>
      </c>
      <c r="G88" s="241" t="s">
        <v>2874</v>
      </c>
    </row>
    <row r="89" spans="1:7" s="129" customFormat="1">
      <c r="A89" s="195" t="s">
        <v>1353</v>
      </c>
      <c r="B89" s="236" t="s">
        <v>1405</v>
      </c>
      <c r="C89" s="237" t="s">
        <v>536</v>
      </c>
      <c r="D89" s="197" t="s">
        <v>253</v>
      </c>
      <c r="E89" s="128">
        <v>26</v>
      </c>
      <c r="F89" s="241" t="s">
        <v>1692</v>
      </c>
      <c r="G89" s="241" t="s">
        <v>2875</v>
      </c>
    </row>
    <row r="90" spans="1:7" s="129" customFormat="1">
      <c r="A90" s="195" t="s">
        <v>1353</v>
      </c>
      <c r="B90" s="236" t="s">
        <v>1405</v>
      </c>
      <c r="C90" s="237" t="s">
        <v>536</v>
      </c>
      <c r="D90" s="197" t="s">
        <v>253</v>
      </c>
      <c r="E90" s="128">
        <v>26</v>
      </c>
      <c r="F90" s="241" t="s">
        <v>542</v>
      </c>
      <c r="G90" s="241" t="s">
        <v>2876</v>
      </c>
    </row>
    <row r="91" spans="1:7" s="129" customFormat="1">
      <c r="A91" s="195" t="s">
        <v>1353</v>
      </c>
      <c r="B91" s="236" t="s">
        <v>1405</v>
      </c>
      <c r="C91" s="237" t="s">
        <v>536</v>
      </c>
      <c r="D91" s="197" t="s">
        <v>253</v>
      </c>
      <c r="E91" s="128">
        <v>26</v>
      </c>
      <c r="F91" s="241" t="s">
        <v>546</v>
      </c>
      <c r="G91" s="241" t="s">
        <v>2877</v>
      </c>
    </row>
    <row r="92" spans="1:7" s="129" customFormat="1">
      <c r="A92" s="195" t="s">
        <v>1353</v>
      </c>
      <c r="B92" s="236" t="s">
        <v>1405</v>
      </c>
      <c r="C92" s="237" t="s">
        <v>536</v>
      </c>
      <c r="D92" s="197" t="s">
        <v>253</v>
      </c>
      <c r="E92" s="128">
        <v>26</v>
      </c>
      <c r="F92" s="241" t="s">
        <v>550</v>
      </c>
      <c r="G92" s="241" t="s">
        <v>2878</v>
      </c>
    </row>
    <row r="93" spans="1:7" s="129" customFormat="1">
      <c r="A93" s="195" t="s">
        <v>1353</v>
      </c>
      <c r="B93" s="236" t="s">
        <v>1405</v>
      </c>
      <c r="C93" s="237" t="s">
        <v>536</v>
      </c>
      <c r="D93" s="197" t="s">
        <v>253</v>
      </c>
      <c r="E93" s="128">
        <v>26</v>
      </c>
      <c r="F93" s="241" t="s">
        <v>554</v>
      </c>
      <c r="G93" s="241" t="s">
        <v>2879</v>
      </c>
    </row>
    <row r="94" spans="1:7" s="129" customFormat="1">
      <c r="A94" s="195" t="s">
        <v>1353</v>
      </c>
      <c r="B94" s="236" t="s">
        <v>1405</v>
      </c>
      <c r="C94" s="237" t="s">
        <v>536</v>
      </c>
      <c r="D94" s="197" t="s">
        <v>253</v>
      </c>
      <c r="E94" s="128">
        <v>26</v>
      </c>
      <c r="F94" s="241" t="s">
        <v>558</v>
      </c>
      <c r="G94" s="241" t="s">
        <v>2880</v>
      </c>
    </row>
    <row r="95" spans="1:7" s="129" customFormat="1">
      <c r="A95" s="195" t="s">
        <v>1353</v>
      </c>
      <c r="B95" s="236" t="s">
        <v>1405</v>
      </c>
      <c r="C95" s="237" t="s">
        <v>536</v>
      </c>
      <c r="D95" s="197" t="s">
        <v>253</v>
      </c>
      <c r="E95" s="128">
        <v>26</v>
      </c>
      <c r="F95" s="241" t="s">
        <v>562</v>
      </c>
      <c r="G95" s="241" t="s">
        <v>2881</v>
      </c>
    </row>
    <row r="96" spans="1:7" s="129" customFormat="1">
      <c r="A96" s="195" t="s">
        <v>1353</v>
      </c>
      <c r="B96" s="236" t="s">
        <v>1405</v>
      </c>
      <c r="C96" s="237" t="s">
        <v>536</v>
      </c>
      <c r="D96" s="197" t="s">
        <v>253</v>
      </c>
      <c r="E96" s="128">
        <v>26</v>
      </c>
      <c r="F96" s="241" t="s">
        <v>1431</v>
      </c>
      <c r="G96" s="241" t="s">
        <v>2882</v>
      </c>
    </row>
    <row r="97" spans="1:7" s="129" customFormat="1">
      <c r="A97" s="195" t="s">
        <v>1353</v>
      </c>
      <c r="B97" s="236" t="s">
        <v>1405</v>
      </c>
      <c r="C97" s="237" t="s">
        <v>536</v>
      </c>
      <c r="D97" s="197" t="s">
        <v>253</v>
      </c>
      <c r="E97" s="128">
        <v>26</v>
      </c>
      <c r="F97" s="241" t="s">
        <v>1432</v>
      </c>
      <c r="G97" s="241" t="s">
        <v>2883</v>
      </c>
    </row>
    <row r="98" spans="1:7" s="129" customFormat="1">
      <c r="A98" s="195" t="s">
        <v>1353</v>
      </c>
      <c r="B98" s="236" t="s">
        <v>1405</v>
      </c>
      <c r="C98" s="237" t="s">
        <v>536</v>
      </c>
      <c r="D98" s="197" t="s">
        <v>253</v>
      </c>
      <c r="E98" s="128">
        <v>26</v>
      </c>
      <c r="F98" s="241" t="s">
        <v>2425</v>
      </c>
      <c r="G98" s="241" t="s">
        <v>2825</v>
      </c>
    </row>
    <row r="99" spans="1:7" s="129" customFormat="1">
      <c r="A99" s="195" t="s">
        <v>1353</v>
      </c>
      <c r="B99" s="236" t="s">
        <v>1405</v>
      </c>
      <c r="C99" s="237" t="s">
        <v>536</v>
      </c>
      <c r="D99" s="197" t="s">
        <v>253</v>
      </c>
      <c r="E99" s="128">
        <v>26</v>
      </c>
      <c r="F99" s="241" t="s">
        <v>1434</v>
      </c>
      <c r="G99" s="241" t="s">
        <v>2825</v>
      </c>
    </row>
    <row r="100" spans="1:7" s="129" customFormat="1">
      <c r="A100" s="195" t="s">
        <v>1353</v>
      </c>
      <c r="B100" s="236" t="s">
        <v>1405</v>
      </c>
      <c r="C100" s="237" t="s">
        <v>536</v>
      </c>
      <c r="D100" s="197" t="s">
        <v>253</v>
      </c>
      <c r="E100" s="128">
        <v>26</v>
      </c>
      <c r="F100" s="241" t="s">
        <v>2430</v>
      </c>
      <c r="G100" s="241" t="s">
        <v>2825</v>
      </c>
    </row>
    <row r="101" spans="1:7" s="129" customFormat="1">
      <c r="A101" s="195" t="s">
        <v>1353</v>
      </c>
      <c r="B101" s="236" t="s">
        <v>1405</v>
      </c>
      <c r="C101" s="237" t="s">
        <v>536</v>
      </c>
      <c r="D101" s="197" t="s">
        <v>253</v>
      </c>
      <c r="E101" s="128">
        <v>26</v>
      </c>
      <c r="F101" s="241" t="s">
        <v>2267</v>
      </c>
      <c r="G101" s="241" t="s">
        <v>2825</v>
      </c>
    </row>
    <row r="102" spans="1:7" s="129" customFormat="1">
      <c r="A102" s="195" t="s">
        <v>1353</v>
      </c>
      <c r="B102" s="236" t="s">
        <v>1405</v>
      </c>
      <c r="C102" s="237" t="s">
        <v>536</v>
      </c>
      <c r="D102" s="197" t="s">
        <v>253</v>
      </c>
      <c r="E102" s="128">
        <v>26</v>
      </c>
      <c r="F102" s="241" t="s">
        <v>2268</v>
      </c>
      <c r="G102" s="241" t="s">
        <v>2825</v>
      </c>
    </row>
    <row r="103" spans="1:7" s="129" customFormat="1">
      <c r="A103" s="195" t="s">
        <v>1353</v>
      </c>
      <c r="B103" s="236" t="s">
        <v>1405</v>
      </c>
      <c r="C103" s="237" t="s">
        <v>614</v>
      </c>
      <c r="D103" s="197" t="s">
        <v>253</v>
      </c>
      <c r="E103" s="128">
        <v>26</v>
      </c>
      <c r="F103" s="241" t="s">
        <v>615</v>
      </c>
      <c r="G103" s="241" t="s">
        <v>2884</v>
      </c>
    </row>
    <row r="104" spans="1:7" s="129" customFormat="1">
      <c r="A104" s="195" t="s">
        <v>1353</v>
      </c>
      <c r="B104" s="236" t="s">
        <v>1405</v>
      </c>
      <c r="C104" s="237" t="s">
        <v>614</v>
      </c>
      <c r="D104" s="197" t="s">
        <v>253</v>
      </c>
      <c r="E104" s="128">
        <v>26</v>
      </c>
      <c r="F104" s="241" t="s">
        <v>616</v>
      </c>
      <c r="G104" s="241" t="s">
        <v>2885</v>
      </c>
    </row>
    <row r="105" spans="1:7" s="129" customFormat="1">
      <c r="A105" s="195" t="s">
        <v>1353</v>
      </c>
      <c r="B105" s="236" t="s">
        <v>1405</v>
      </c>
      <c r="C105" s="237" t="s">
        <v>614</v>
      </c>
      <c r="D105" s="197" t="s">
        <v>253</v>
      </c>
      <c r="E105" s="128">
        <v>26</v>
      </c>
      <c r="F105" s="241" t="s">
        <v>617</v>
      </c>
      <c r="G105" s="241" t="s">
        <v>2886</v>
      </c>
    </row>
    <row r="106" spans="1:7" s="129" customFormat="1">
      <c r="A106" s="195" t="s">
        <v>1353</v>
      </c>
      <c r="B106" s="236" t="s">
        <v>1405</v>
      </c>
      <c r="C106" s="237" t="s">
        <v>614</v>
      </c>
      <c r="D106" s="197" t="s">
        <v>253</v>
      </c>
      <c r="E106" s="128">
        <v>26</v>
      </c>
      <c r="F106" s="241" t="s">
        <v>618</v>
      </c>
      <c r="G106" s="241" t="s">
        <v>2887</v>
      </c>
    </row>
    <row r="107" spans="1:7" s="129" customFormat="1">
      <c r="A107" s="195" t="s">
        <v>1353</v>
      </c>
      <c r="B107" s="236" t="s">
        <v>1405</v>
      </c>
      <c r="C107" s="237" t="s">
        <v>614</v>
      </c>
      <c r="D107" s="197" t="s">
        <v>253</v>
      </c>
      <c r="E107" s="128">
        <v>26</v>
      </c>
      <c r="F107" s="241" t="s">
        <v>619</v>
      </c>
      <c r="G107" s="241" t="s">
        <v>2888</v>
      </c>
    </row>
    <row r="108" spans="1:7" s="129" customFormat="1">
      <c r="A108" s="195" t="s">
        <v>1353</v>
      </c>
      <c r="B108" s="236" t="s">
        <v>1405</v>
      </c>
      <c r="C108" s="237" t="s">
        <v>614</v>
      </c>
      <c r="D108" s="197" t="s">
        <v>253</v>
      </c>
      <c r="E108" s="128">
        <v>26</v>
      </c>
      <c r="F108" s="241" t="s">
        <v>620</v>
      </c>
      <c r="G108" s="241" t="s">
        <v>2889</v>
      </c>
    </row>
    <row r="109" spans="1:7" s="129" customFormat="1" ht="12.75" customHeight="1">
      <c r="A109" s="195" t="s">
        <v>1353</v>
      </c>
      <c r="B109" s="195" t="s">
        <v>1406</v>
      </c>
      <c r="C109" s="195" t="s">
        <v>1406</v>
      </c>
      <c r="D109" s="197" t="s">
        <v>622</v>
      </c>
      <c r="E109" s="128"/>
      <c r="F109" s="241" t="s">
        <v>1738</v>
      </c>
      <c r="G109" s="241" t="s">
        <v>2890</v>
      </c>
    </row>
    <row r="110" spans="1:7" s="129" customFormat="1">
      <c r="A110" s="195" t="s">
        <v>1353</v>
      </c>
      <c r="B110" s="195" t="s">
        <v>1406</v>
      </c>
      <c r="C110" s="195" t="s">
        <v>1406</v>
      </c>
      <c r="D110" s="197" t="s">
        <v>622</v>
      </c>
      <c r="E110" s="128"/>
      <c r="F110" s="241" t="s">
        <v>2211</v>
      </c>
      <c r="G110" s="241" t="s">
        <v>2891</v>
      </c>
    </row>
    <row r="111" spans="1:7" s="129" customFormat="1">
      <c r="A111" s="195" t="s">
        <v>1353</v>
      </c>
      <c r="B111" s="195" t="s">
        <v>1406</v>
      </c>
      <c r="C111" s="195" t="s">
        <v>1406</v>
      </c>
      <c r="D111" s="197" t="s">
        <v>622</v>
      </c>
      <c r="E111" s="128"/>
      <c r="F111" s="241" t="s">
        <v>1215</v>
      </c>
      <c r="G111" s="241" t="s">
        <v>2892</v>
      </c>
    </row>
    <row r="112" spans="1:7" s="129" customFormat="1">
      <c r="A112" s="195" t="s">
        <v>1353</v>
      </c>
      <c r="B112" s="195" t="s">
        <v>1406</v>
      </c>
      <c r="C112" s="195" t="s">
        <v>1406</v>
      </c>
      <c r="D112" s="197" t="s">
        <v>622</v>
      </c>
      <c r="E112" s="128"/>
      <c r="F112" s="241" t="s">
        <v>646</v>
      </c>
      <c r="G112" s="241" t="s">
        <v>2893</v>
      </c>
    </row>
    <row r="113" spans="1:7" s="129" customFormat="1">
      <c r="A113" s="195" t="s">
        <v>1353</v>
      </c>
      <c r="B113" s="195" t="s">
        <v>1406</v>
      </c>
      <c r="C113" s="195" t="s">
        <v>1406</v>
      </c>
      <c r="D113" s="197" t="s">
        <v>266</v>
      </c>
      <c r="E113" s="128"/>
      <c r="F113" s="241" t="s">
        <v>654</v>
      </c>
      <c r="G113" s="241" t="s">
        <v>2894</v>
      </c>
    </row>
    <row r="114" spans="1:7" s="129" customFormat="1">
      <c r="A114" s="195" t="s">
        <v>1353</v>
      </c>
      <c r="B114" s="237" t="s">
        <v>3156</v>
      </c>
      <c r="C114" s="237" t="s">
        <v>1571</v>
      </c>
      <c r="D114" s="197"/>
      <c r="E114" s="128">
        <v>24</v>
      </c>
      <c r="F114" s="241" t="s">
        <v>1572</v>
      </c>
      <c r="G114" s="241" t="s">
        <v>2825</v>
      </c>
    </row>
    <row r="115" spans="1:7" s="129" customFormat="1">
      <c r="A115" s="195" t="s">
        <v>1353</v>
      </c>
      <c r="B115" s="237" t="s">
        <v>3156</v>
      </c>
      <c r="C115" s="237" t="s">
        <v>1571</v>
      </c>
      <c r="D115" s="197"/>
      <c r="E115" s="128">
        <v>24</v>
      </c>
      <c r="F115" s="241" t="s">
        <v>1573</v>
      </c>
      <c r="G115" s="241" t="s">
        <v>2825</v>
      </c>
    </row>
    <row r="116" spans="1:7" s="129" customFormat="1">
      <c r="A116" s="195" t="s">
        <v>1353</v>
      </c>
      <c r="B116" s="237" t="s">
        <v>3156</v>
      </c>
      <c r="C116" s="237" t="s">
        <v>1571</v>
      </c>
      <c r="D116" s="197"/>
      <c r="E116" s="128">
        <v>24</v>
      </c>
      <c r="F116" s="241" t="s">
        <v>1574</v>
      </c>
      <c r="G116" s="241" t="s">
        <v>2825</v>
      </c>
    </row>
    <row r="117" spans="1:7" s="129" customFormat="1">
      <c r="A117" s="195" t="s">
        <v>1353</v>
      </c>
      <c r="B117" s="237" t="s">
        <v>3156</v>
      </c>
      <c r="C117" s="237" t="s">
        <v>1571</v>
      </c>
      <c r="D117" s="197"/>
      <c r="E117" s="128">
        <v>24</v>
      </c>
      <c r="F117" s="241" t="s">
        <v>1575</v>
      </c>
      <c r="G117" s="241" t="s">
        <v>2825</v>
      </c>
    </row>
    <row r="118" spans="1:7" s="129" customFormat="1">
      <c r="A118" s="195" t="s">
        <v>1353</v>
      </c>
      <c r="B118" s="237" t="s">
        <v>3156</v>
      </c>
      <c r="C118" s="237" t="s">
        <v>1571</v>
      </c>
      <c r="D118" s="197"/>
      <c r="E118" s="128">
        <v>24</v>
      </c>
      <c r="F118" s="241" t="s">
        <v>1576</v>
      </c>
      <c r="G118" s="241" t="s">
        <v>2825</v>
      </c>
    </row>
    <row r="119" spans="1:7" s="129" customFormat="1">
      <c r="A119" s="195" t="s">
        <v>1353</v>
      </c>
      <c r="B119" s="237" t="s">
        <v>3156</v>
      </c>
      <c r="C119" s="237" t="s">
        <v>1571</v>
      </c>
      <c r="D119" s="197"/>
      <c r="E119" s="128">
        <v>20</v>
      </c>
      <c r="F119" s="241" t="s">
        <v>1577</v>
      </c>
      <c r="G119" s="241" t="s">
        <v>2825</v>
      </c>
    </row>
    <row r="120" spans="1:7" s="129" customFormat="1">
      <c r="A120" s="195" t="s">
        <v>1353</v>
      </c>
      <c r="B120" s="237" t="s">
        <v>3156</v>
      </c>
      <c r="C120" s="237" t="s">
        <v>1571</v>
      </c>
      <c r="D120" s="197"/>
      <c r="E120" s="128">
        <v>20</v>
      </c>
      <c r="F120" s="241" t="s">
        <v>1578</v>
      </c>
      <c r="G120" s="241" t="s">
        <v>2825</v>
      </c>
    </row>
    <row r="121" spans="1:7" s="129" customFormat="1">
      <c r="A121" s="195" t="s">
        <v>1353</v>
      </c>
      <c r="B121" s="237" t="s">
        <v>3156</v>
      </c>
      <c r="C121" s="237" t="s">
        <v>1571</v>
      </c>
      <c r="D121" s="197"/>
      <c r="E121" s="128">
        <v>20</v>
      </c>
      <c r="F121" s="241" t="s">
        <v>1579</v>
      </c>
      <c r="G121" s="241" t="s">
        <v>2825</v>
      </c>
    </row>
    <row r="122" spans="1:7" s="129" customFormat="1">
      <c r="A122" s="195" t="s">
        <v>1353</v>
      </c>
      <c r="B122" s="237" t="s">
        <v>3156</v>
      </c>
      <c r="C122" s="237" t="s">
        <v>1571</v>
      </c>
      <c r="D122" s="197"/>
      <c r="E122" s="128">
        <v>20</v>
      </c>
      <c r="F122" s="241" t="s">
        <v>1580</v>
      </c>
      <c r="G122" s="241" t="s">
        <v>2825</v>
      </c>
    </row>
    <row r="123" spans="1:7" s="129" customFormat="1">
      <c r="A123" s="195" t="s">
        <v>1353</v>
      </c>
      <c r="B123" s="237" t="s">
        <v>3156</v>
      </c>
      <c r="C123" s="237" t="s">
        <v>1571</v>
      </c>
      <c r="D123" s="197"/>
      <c r="E123" s="128">
        <v>20</v>
      </c>
      <c r="F123" s="241" t="s">
        <v>1581</v>
      </c>
      <c r="G123" s="241" t="s">
        <v>2825</v>
      </c>
    </row>
    <row r="124" spans="1:7" s="129" customFormat="1">
      <c r="A124" s="195" t="s">
        <v>1354</v>
      </c>
      <c r="B124" s="195" t="s">
        <v>1373</v>
      </c>
      <c r="C124" s="195" t="s">
        <v>1373</v>
      </c>
      <c r="D124" s="128" t="s">
        <v>658</v>
      </c>
      <c r="E124" s="128"/>
      <c r="F124" s="241" t="s">
        <v>659</v>
      </c>
      <c r="G124" s="241" t="s">
        <v>2895</v>
      </c>
    </row>
    <row r="125" spans="1:7" s="129" customFormat="1">
      <c r="A125" s="195" t="s">
        <v>1354</v>
      </c>
      <c r="B125" s="195" t="s">
        <v>1373</v>
      </c>
      <c r="C125" s="195" t="s">
        <v>1373</v>
      </c>
      <c r="D125" s="128" t="s">
        <v>658</v>
      </c>
      <c r="E125" s="128"/>
      <c r="F125" s="241" t="s">
        <v>665</v>
      </c>
      <c r="G125" s="241" t="s">
        <v>2896</v>
      </c>
    </row>
    <row r="126" spans="1:7" s="129" customFormat="1">
      <c r="A126" s="195" t="s">
        <v>1354</v>
      </c>
      <c r="B126" s="195" t="s">
        <v>1373</v>
      </c>
      <c r="C126" s="195" t="s">
        <v>1373</v>
      </c>
      <c r="D126" s="128" t="s">
        <v>1779</v>
      </c>
      <c r="E126" s="128"/>
      <c r="F126" s="241" t="s">
        <v>2426</v>
      </c>
      <c r="G126" s="241" t="s">
        <v>2825</v>
      </c>
    </row>
    <row r="127" spans="1:7" s="129" customFormat="1">
      <c r="A127" s="195" t="s">
        <v>1354</v>
      </c>
      <c r="B127" s="195" t="s">
        <v>1373</v>
      </c>
      <c r="C127" s="195" t="s">
        <v>1373</v>
      </c>
      <c r="D127" s="128" t="s">
        <v>1779</v>
      </c>
      <c r="E127" s="128"/>
      <c r="F127" s="241" t="s">
        <v>1780</v>
      </c>
      <c r="G127" s="241" t="s">
        <v>2825</v>
      </c>
    </row>
    <row r="128" spans="1:7" s="129" customFormat="1">
      <c r="A128" s="195" t="s">
        <v>1354</v>
      </c>
      <c r="B128" s="195" t="s">
        <v>1373</v>
      </c>
      <c r="C128" s="195" t="s">
        <v>1373</v>
      </c>
      <c r="D128" s="128" t="s">
        <v>668</v>
      </c>
      <c r="E128" s="128"/>
      <c r="F128" s="241" t="s">
        <v>669</v>
      </c>
      <c r="G128" s="241" t="s">
        <v>2897</v>
      </c>
    </row>
    <row r="129" spans="1:7" s="129" customFormat="1">
      <c r="A129" s="195" t="s">
        <v>1354</v>
      </c>
      <c r="B129" s="195" t="s">
        <v>1373</v>
      </c>
      <c r="C129" s="195" t="s">
        <v>1373</v>
      </c>
      <c r="D129" s="128" t="s">
        <v>668</v>
      </c>
      <c r="E129" s="128"/>
      <c r="F129" s="241" t="s">
        <v>673</v>
      </c>
      <c r="G129" s="241" t="s">
        <v>2898</v>
      </c>
    </row>
    <row r="130" spans="1:7" s="129" customFormat="1">
      <c r="A130" s="195" t="s">
        <v>1354</v>
      </c>
      <c r="B130" s="195" t="s">
        <v>1373</v>
      </c>
      <c r="C130" s="195" t="s">
        <v>1373</v>
      </c>
      <c r="D130" s="128" t="s">
        <v>1782</v>
      </c>
      <c r="E130" s="128"/>
      <c r="F130" s="241" t="s">
        <v>1783</v>
      </c>
      <c r="G130" s="241" t="s">
        <v>2825</v>
      </c>
    </row>
    <row r="131" spans="1:7" s="129" customFormat="1">
      <c r="A131" s="195" t="s">
        <v>1354</v>
      </c>
      <c r="B131" s="195" t="s">
        <v>1373</v>
      </c>
      <c r="C131" s="195" t="s">
        <v>1373</v>
      </c>
      <c r="D131" s="128" t="s">
        <v>668</v>
      </c>
      <c r="E131" s="128"/>
      <c r="F131" s="241" t="s">
        <v>1452</v>
      </c>
      <c r="G131" s="241" t="s">
        <v>2825</v>
      </c>
    </row>
    <row r="132" spans="1:7" s="129" customFormat="1">
      <c r="A132" s="195" t="s">
        <v>1354</v>
      </c>
      <c r="B132" s="195" t="s">
        <v>1373</v>
      </c>
      <c r="C132" s="195" t="s">
        <v>1373</v>
      </c>
      <c r="D132" s="128" t="s">
        <v>668</v>
      </c>
      <c r="E132" s="128"/>
      <c r="F132" s="241" t="s">
        <v>2805</v>
      </c>
      <c r="G132" s="241" t="s">
        <v>2825</v>
      </c>
    </row>
    <row r="133" spans="1:7" s="129" customFormat="1">
      <c r="A133" s="195" t="s">
        <v>1354</v>
      </c>
      <c r="B133" s="195" t="s">
        <v>1382</v>
      </c>
      <c r="C133" s="236" t="s">
        <v>677</v>
      </c>
      <c r="D133" s="128"/>
      <c r="E133" s="128"/>
      <c r="F133" s="238" t="s">
        <v>1456</v>
      </c>
      <c r="G133" s="238" t="s">
        <v>2899</v>
      </c>
    </row>
    <row r="134" spans="1:7" s="129" customFormat="1">
      <c r="A134" s="195" t="s">
        <v>1354</v>
      </c>
      <c r="B134" s="195" t="s">
        <v>1382</v>
      </c>
      <c r="C134" s="236" t="s">
        <v>677</v>
      </c>
      <c r="D134" s="128"/>
      <c r="E134" s="128"/>
      <c r="F134" s="238" t="s">
        <v>681</v>
      </c>
      <c r="G134" s="238" t="s">
        <v>2900</v>
      </c>
    </row>
    <row r="135" spans="1:7" s="129" customFormat="1">
      <c r="A135" s="195" t="s">
        <v>1354</v>
      </c>
      <c r="B135" s="195" t="s">
        <v>1399</v>
      </c>
      <c r="C135" s="236" t="s">
        <v>908</v>
      </c>
      <c r="D135" s="128" t="s">
        <v>685</v>
      </c>
      <c r="E135" s="128"/>
      <c r="F135" s="241" t="s">
        <v>909</v>
      </c>
      <c r="G135" s="241" t="s">
        <v>2901</v>
      </c>
    </row>
    <row r="136" spans="1:7" s="129" customFormat="1">
      <c r="A136" s="195" t="s">
        <v>1354</v>
      </c>
      <c r="B136" s="195" t="s">
        <v>1399</v>
      </c>
      <c r="C136" s="236" t="s">
        <v>908</v>
      </c>
      <c r="D136" s="128" t="s">
        <v>685</v>
      </c>
      <c r="E136" s="128"/>
      <c r="F136" s="241" t="s">
        <v>914</v>
      </c>
      <c r="G136" s="241" t="s">
        <v>2902</v>
      </c>
    </row>
    <row r="137" spans="1:7" s="129" customFormat="1">
      <c r="A137" s="195" t="s">
        <v>1354</v>
      </c>
      <c r="B137" s="195" t="s">
        <v>1399</v>
      </c>
      <c r="C137" s="236" t="s">
        <v>908</v>
      </c>
      <c r="D137" s="128" t="s">
        <v>685</v>
      </c>
      <c r="E137" s="128"/>
      <c r="F137" s="241" t="s">
        <v>917</v>
      </c>
      <c r="G137" s="241" t="s">
        <v>2903</v>
      </c>
    </row>
    <row r="138" spans="1:7" s="129" customFormat="1">
      <c r="A138" s="195" t="s">
        <v>1354</v>
      </c>
      <c r="B138" s="195" t="s">
        <v>1399</v>
      </c>
      <c r="C138" s="236" t="s">
        <v>908</v>
      </c>
      <c r="D138" s="128" t="s">
        <v>685</v>
      </c>
      <c r="E138" s="128"/>
      <c r="F138" s="241" t="s">
        <v>920</v>
      </c>
      <c r="G138" s="241" t="s">
        <v>2904</v>
      </c>
    </row>
    <row r="139" spans="1:7" s="129" customFormat="1">
      <c r="A139" s="195" t="s">
        <v>1354</v>
      </c>
      <c r="B139" s="195" t="s">
        <v>1399</v>
      </c>
      <c r="C139" s="236" t="s">
        <v>908</v>
      </c>
      <c r="D139" s="128" t="s">
        <v>685</v>
      </c>
      <c r="E139" s="128"/>
      <c r="F139" s="241" t="s">
        <v>2427</v>
      </c>
      <c r="G139" s="241" t="s">
        <v>2825</v>
      </c>
    </row>
    <row r="140" spans="1:7" s="129" customFormat="1">
      <c r="A140" s="195" t="s">
        <v>1354</v>
      </c>
      <c r="B140" s="195" t="s">
        <v>1399</v>
      </c>
      <c r="C140" s="236" t="s">
        <v>908</v>
      </c>
      <c r="D140" s="128" t="s">
        <v>685</v>
      </c>
      <c r="E140" s="128"/>
      <c r="F140" s="241" t="s">
        <v>1595</v>
      </c>
      <c r="G140" s="241" t="s">
        <v>2825</v>
      </c>
    </row>
    <row r="141" spans="1:7" s="129" customFormat="1">
      <c r="A141" s="195" t="s">
        <v>1354</v>
      </c>
      <c r="B141" s="195" t="s">
        <v>1399</v>
      </c>
      <c r="C141" s="236" t="s">
        <v>923</v>
      </c>
      <c r="D141" s="128" t="s">
        <v>685</v>
      </c>
      <c r="E141" s="128"/>
      <c r="F141" s="241" t="s">
        <v>924</v>
      </c>
      <c r="G141" s="241" t="s">
        <v>2905</v>
      </c>
    </row>
    <row r="142" spans="1:7" s="129" customFormat="1">
      <c r="A142" s="195" t="s">
        <v>1354</v>
      </c>
      <c r="B142" s="195" t="s">
        <v>1399</v>
      </c>
      <c r="C142" s="236" t="s">
        <v>923</v>
      </c>
      <c r="D142" s="128" t="s">
        <v>685</v>
      </c>
      <c r="E142" s="128"/>
      <c r="F142" s="241" t="s">
        <v>927</v>
      </c>
      <c r="G142" s="241" t="s">
        <v>2906</v>
      </c>
    </row>
    <row r="143" spans="1:7" s="129" customFormat="1">
      <c r="A143" s="195" t="s">
        <v>1354</v>
      </c>
      <c r="B143" s="195" t="s">
        <v>1399</v>
      </c>
      <c r="C143" s="236" t="s">
        <v>923</v>
      </c>
      <c r="D143" s="128" t="s">
        <v>685</v>
      </c>
      <c r="E143" s="128"/>
      <c r="F143" s="241" t="s">
        <v>930</v>
      </c>
      <c r="G143" s="241" t="s">
        <v>2907</v>
      </c>
    </row>
    <row r="144" spans="1:7" s="129" customFormat="1">
      <c r="A144" s="195" t="s">
        <v>1354</v>
      </c>
      <c r="B144" s="195" t="s">
        <v>1399</v>
      </c>
      <c r="C144" s="236" t="s">
        <v>923</v>
      </c>
      <c r="D144" s="128" t="s">
        <v>685</v>
      </c>
      <c r="E144" s="128"/>
      <c r="F144" s="241" t="s">
        <v>933</v>
      </c>
      <c r="G144" s="241" t="s">
        <v>2908</v>
      </c>
    </row>
    <row r="145" spans="1:7" s="129" customFormat="1">
      <c r="A145" s="195" t="s">
        <v>1354</v>
      </c>
      <c r="B145" s="195" t="s">
        <v>1399</v>
      </c>
      <c r="C145" s="236" t="s">
        <v>923</v>
      </c>
      <c r="D145" s="128" t="s">
        <v>685</v>
      </c>
      <c r="E145" s="128"/>
      <c r="F145" s="241" t="s">
        <v>2428</v>
      </c>
      <c r="G145" s="241" t="s">
        <v>2825</v>
      </c>
    </row>
    <row r="146" spans="1:7" s="129" customFormat="1">
      <c r="A146" s="195" t="s">
        <v>1354</v>
      </c>
      <c r="B146" s="195" t="s">
        <v>1399</v>
      </c>
      <c r="C146" s="236" t="s">
        <v>923</v>
      </c>
      <c r="D146" s="128" t="s">
        <v>685</v>
      </c>
      <c r="E146" s="128"/>
      <c r="F146" s="241" t="s">
        <v>1600</v>
      </c>
      <c r="G146" s="241" t="s">
        <v>2825</v>
      </c>
    </row>
    <row r="147" spans="1:7" s="129" customFormat="1">
      <c r="A147" s="195" t="s">
        <v>1354</v>
      </c>
      <c r="B147" s="195" t="s">
        <v>1399</v>
      </c>
      <c r="C147" s="236" t="s">
        <v>936</v>
      </c>
      <c r="D147" s="128" t="s">
        <v>685</v>
      </c>
      <c r="E147" s="128"/>
      <c r="F147" s="241" t="s">
        <v>937</v>
      </c>
      <c r="G147" s="241" t="s">
        <v>2909</v>
      </c>
    </row>
    <row r="148" spans="1:7" s="129" customFormat="1">
      <c r="A148" s="195" t="s">
        <v>1354</v>
      </c>
      <c r="B148" s="195" t="s">
        <v>1399</v>
      </c>
      <c r="C148" s="236" t="s">
        <v>936</v>
      </c>
      <c r="D148" s="128" t="s">
        <v>685</v>
      </c>
      <c r="E148" s="128"/>
      <c r="F148" s="241" t="s">
        <v>940</v>
      </c>
      <c r="G148" s="241" t="s">
        <v>2910</v>
      </c>
    </row>
    <row r="149" spans="1:7" s="129" customFormat="1">
      <c r="A149" s="195" t="s">
        <v>1354</v>
      </c>
      <c r="B149" s="195" t="s">
        <v>1399</v>
      </c>
      <c r="C149" s="236" t="s">
        <v>936</v>
      </c>
      <c r="D149" s="128" t="s">
        <v>685</v>
      </c>
      <c r="E149" s="128"/>
      <c r="F149" s="241" t="s">
        <v>943</v>
      </c>
      <c r="G149" s="241" t="s">
        <v>2911</v>
      </c>
    </row>
    <row r="150" spans="1:7" s="129" customFormat="1">
      <c r="A150" s="195" t="s">
        <v>1354</v>
      </c>
      <c r="B150" s="195" t="s">
        <v>1399</v>
      </c>
      <c r="C150" s="236" t="s">
        <v>936</v>
      </c>
      <c r="D150" s="128" t="s">
        <v>685</v>
      </c>
      <c r="E150" s="128"/>
      <c r="F150" s="241" t="s">
        <v>946</v>
      </c>
      <c r="G150" s="241" t="s">
        <v>2912</v>
      </c>
    </row>
    <row r="151" spans="1:7" s="129" customFormat="1">
      <c r="A151" s="195" t="s">
        <v>1354</v>
      </c>
      <c r="B151" s="195" t="s">
        <v>1399</v>
      </c>
      <c r="C151" s="236" t="s">
        <v>936</v>
      </c>
      <c r="D151" s="128" t="s">
        <v>685</v>
      </c>
      <c r="E151" s="128"/>
      <c r="F151" s="241" t="s">
        <v>1605</v>
      </c>
      <c r="G151" s="241" t="s">
        <v>2825</v>
      </c>
    </row>
    <row r="152" spans="1:7" s="129" customFormat="1">
      <c r="A152" s="195" t="s">
        <v>1354</v>
      </c>
      <c r="B152" s="195" t="s">
        <v>1399</v>
      </c>
      <c r="C152" s="236" t="s">
        <v>936</v>
      </c>
      <c r="D152" s="128" t="s">
        <v>685</v>
      </c>
      <c r="E152" s="128"/>
      <c r="F152" s="241" t="s">
        <v>1606</v>
      </c>
      <c r="G152" s="241" t="s">
        <v>2825</v>
      </c>
    </row>
    <row r="153" spans="1:7" s="129" customFormat="1">
      <c r="A153" s="195" t="s">
        <v>1354</v>
      </c>
      <c r="B153" s="195" t="s">
        <v>1399</v>
      </c>
      <c r="C153" s="236" t="s">
        <v>908</v>
      </c>
      <c r="D153" s="128" t="s">
        <v>765</v>
      </c>
      <c r="E153" s="128"/>
      <c r="F153" s="241" t="s">
        <v>949</v>
      </c>
      <c r="G153" s="241" t="s">
        <v>2913</v>
      </c>
    </row>
    <row r="154" spans="1:7" s="129" customFormat="1">
      <c r="A154" s="195" t="s">
        <v>1354</v>
      </c>
      <c r="B154" s="195" t="s">
        <v>1399</v>
      </c>
      <c r="C154" s="236" t="s">
        <v>908</v>
      </c>
      <c r="D154" s="128" t="s">
        <v>765</v>
      </c>
      <c r="E154" s="128"/>
      <c r="F154" s="241" t="s">
        <v>952</v>
      </c>
      <c r="G154" s="241" t="s">
        <v>2914</v>
      </c>
    </row>
    <row r="155" spans="1:7" s="129" customFormat="1">
      <c r="A155" s="195" t="s">
        <v>1354</v>
      </c>
      <c r="B155" s="195" t="s">
        <v>1399</v>
      </c>
      <c r="C155" s="236" t="s">
        <v>908</v>
      </c>
      <c r="D155" s="128" t="s">
        <v>765</v>
      </c>
      <c r="E155" s="128"/>
      <c r="F155" s="241" t="s">
        <v>955</v>
      </c>
      <c r="G155" s="241" t="s">
        <v>2915</v>
      </c>
    </row>
    <row r="156" spans="1:7" s="129" customFormat="1">
      <c r="A156" s="195" t="s">
        <v>1354</v>
      </c>
      <c r="B156" s="195" t="s">
        <v>1399</v>
      </c>
      <c r="C156" s="236" t="s">
        <v>908</v>
      </c>
      <c r="D156" s="128" t="s">
        <v>765</v>
      </c>
      <c r="E156" s="128"/>
      <c r="F156" s="241" t="s">
        <v>958</v>
      </c>
      <c r="G156" s="241" t="s">
        <v>2916</v>
      </c>
    </row>
    <row r="157" spans="1:7" s="129" customFormat="1">
      <c r="A157" s="195" t="s">
        <v>1354</v>
      </c>
      <c r="B157" s="195" t="s">
        <v>1399</v>
      </c>
      <c r="C157" s="236" t="s">
        <v>908</v>
      </c>
      <c r="D157" s="128" t="s">
        <v>765</v>
      </c>
      <c r="E157" s="128"/>
      <c r="F157" s="241" t="s">
        <v>1611</v>
      </c>
      <c r="G157" s="241" t="s">
        <v>2825</v>
      </c>
    </row>
    <row r="158" spans="1:7" s="129" customFormat="1">
      <c r="A158" s="195" t="s">
        <v>1354</v>
      </c>
      <c r="B158" s="195" t="s">
        <v>1399</v>
      </c>
      <c r="C158" s="236" t="s">
        <v>908</v>
      </c>
      <c r="D158" s="128" t="s">
        <v>765</v>
      </c>
      <c r="E158" s="128"/>
      <c r="F158" s="241" t="s">
        <v>1612</v>
      </c>
      <c r="G158" s="241" t="s">
        <v>2825</v>
      </c>
    </row>
    <row r="159" spans="1:7" s="129" customFormat="1">
      <c r="A159" s="195" t="s">
        <v>1354</v>
      </c>
      <c r="B159" s="195" t="s">
        <v>1399</v>
      </c>
      <c r="C159" s="236" t="s">
        <v>923</v>
      </c>
      <c r="D159" s="128" t="s">
        <v>765</v>
      </c>
      <c r="E159" s="128"/>
      <c r="F159" s="241" t="s">
        <v>961</v>
      </c>
      <c r="G159" s="241" t="s">
        <v>2917</v>
      </c>
    </row>
    <row r="160" spans="1:7" s="129" customFormat="1">
      <c r="A160" s="195" t="s">
        <v>1354</v>
      </c>
      <c r="B160" s="195" t="s">
        <v>1399</v>
      </c>
      <c r="C160" s="236" t="s">
        <v>923</v>
      </c>
      <c r="D160" s="128" t="s">
        <v>765</v>
      </c>
      <c r="E160" s="128"/>
      <c r="F160" s="241" t="s">
        <v>964</v>
      </c>
      <c r="G160" s="241" t="s">
        <v>2918</v>
      </c>
    </row>
    <row r="161" spans="1:7" s="129" customFormat="1">
      <c r="A161" s="195" t="s">
        <v>1354</v>
      </c>
      <c r="B161" s="195" t="s">
        <v>1399</v>
      </c>
      <c r="C161" s="236" t="s">
        <v>923</v>
      </c>
      <c r="D161" s="128" t="s">
        <v>765</v>
      </c>
      <c r="E161" s="128"/>
      <c r="F161" s="241" t="s">
        <v>967</v>
      </c>
      <c r="G161" s="241" t="s">
        <v>2919</v>
      </c>
    </row>
    <row r="162" spans="1:7" s="129" customFormat="1">
      <c r="A162" s="195" t="s">
        <v>1354</v>
      </c>
      <c r="B162" s="195" t="s">
        <v>1399</v>
      </c>
      <c r="C162" s="236" t="s">
        <v>923</v>
      </c>
      <c r="D162" s="128" t="s">
        <v>765</v>
      </c>
      <c r="E162" s="128"/>
      <c r="F162" s="241" t="s">
        <v>970</v>
      </c>
      <c r="G162" s="241" t="s">
        <v>2920</v>
      </c>
    </row>
    <row r="163" spans="1:7" s="129" customFormat="1">
      <c r="A163" s="195" t="s">
        <v>1354</v>
      </c>
      <c r="B163" s="195" t="s">
        <v>1399</v>
      </c>
      <c r="C163" s="236" t="s">
        <v>923</v>
      </c>
      <c r="D163" s="128" t="s">
        <v>765</v>
      </c>
      <c r="E163" s="128"/>
      <c r="F163" s="241" t="s">
        <v>1617</v>
      </c>
      <c r="G163" s="241" t="s">
        <v>2825</v>
      </c>
    </row>
    <row r="164" spans="1:7" s="129" customFormat="1">
      <c r="A164" s="195" t="s">
        <v>1354</v>
      </c>
      <c r="B164" s="195" t="s">
        <v>1399</v>
      </c>
      <c r="C164" s="236" t="s">
        <v>923</v>
      </c>
      <c r="D164" s="128" t="s">
        <v>765</v>
      </c>
      <c r="E164" s="128"/>
      <c r="F164" s="241" t="s">
        <v>1618</v>
      </c>
      <c r="G164" s="241" t="s">
        <v>2825</v>
      </c>
    </row>
    <row r="165" spans="1:7" s="129" customFormat="1">
      <c r="A165" s="195" t="s">
        <v>1354</v>
      </c>
      <c r="B165" s="195" t="s">
        <v>1399</v>
      </c>
      <c r="C165" s="236" t="s">
        <v>936</v>
      </c>
      <c r="D165" s="128" t="s">
        <v>765</v>
      </c>
      <c r="E165" s="128"/>
      <c r="F165" s="241" t="s">
        <v>973</v>
      </c>
      <c r="G165" s="241" t="s">
        <v>2921</v>
      </c>
    </row>
    <row r="166" spans="1:7" s="129" customFormat="1">
      <c r="A166" s="195" t="s">
        <v>1354</v>
      </c>
      <c r="B166" s="195" t="s">
        <v>1399</v>
      </c>
      <c r="C166" s="236" t="s">
        <v>936</v>
      </c>
      <c r="D166" s="128" t="s">
        <v>765</v>
      </c>
      <c r="E166" s="128"/>
      <c r="F166" s="241" t="s">
        <v>975</v>
      </c>
      <c r="G166" s="241" t="s">
        <v>2922</v>
      </c>
    </row>
    <row r="167" spans="1:7" s="129" customFormat="1">
      <c r="A167" s="195" t="s">
        <v>1354</v>
      </c>
      <c r="B167" s="195" t="s">
        <v>1399</v>
      </c>
      <c r="C167" s="236" t="s">
        <v>936</v>
      </c>
      <c r="D167" s="128" t="s">
        <v>765</v>
      </c>
      <c r="E167" s="128"/>
      <c r="F167" s="241" t="s">
        <v>978</v>
      </c>
      <c r="G167" s="241" t="s">
        <v>2923</v>
      </c>
    </row>
    <row r="168" spans="1:7" s="129" customFormat="1">
      <c r="A168" s="195" t="s">
        <v>1354</v>
      </c>
      <c r="B168" s="195" t="s">
        <v>1399</v>
      </c>
      <c r="C168" s="236" t="s">
        <v>936</v>
      </c>
      <c r="D168" s="128" t="s">
        <v>765</v>
      </c>
      <c r="E168" s="128"/>
      <c r="F168" s="241" t="s">
        <v>981</v>
      </c>
      <c r="G168" s="241" t="s">
        <v>2924</v>
      </c>
    </row>
    <row r="169" spans="1:7" s="129" customFormat="1">
      <c r="A169" s="195" t="s">
        <v>1354</v>
      </c>
      <c r="B169" s="195" t="s">
        <v>1399</v>
      </c>
      <c r="C169" s="236" t="s">
        <v>936</v>
      </c>
      <c r="D169" s="128" t="s">
        <v>765</v>
      </c>
      <c r="E169" s="128"/>
      <c r="F169" s="241" t="s">
        <v>1474</v>
      </c>
      <c r="G169" s="241" t="s">
        <v>2825</v>
      </c>
    </row>
    <row r="170" spans="1:7" s="129" customFormat="1">
      <c r="A170" s="195" t="s">
        <v>1354</v>
      </c>
      <c r="B170" s="195" t="s">
        <v>1399</v>
      </c>
      <c r="C170" s="236" t="s">
        <v>936</v>
      </c>
      <c r="D170" s="128" t="s">
        <v>765</v>
      </c>
      <c r="E170" s="128"/>
      <c r="F170" s="241" t="s">
        <v>1623</v>
      </c>
      <c r="G170" s="241" t="s">
        <v>2825</v>
      </c>
    </row>
    <row r="171" spans="1:7" s="129" customFormat="1">
      <c r="A171" s="195" t="s">
        <v>1354</v>
      </c>
      <c r="B171" s="195" t="s">
        <v>1399</v>
      </c>
      <c r="C171" s="236" t="s">
        <v>908</v>
      </c>
      <c r="D171" s="128" t="s">
        <v>820</v>
      </c>
      <c r="E171" s="128"/>
      <c r="F171" s="241" t="s">
        <v>984</v>
      </c>
      <c r="G171" s="241" t="s">
        <v>2925</v>
      </c>
    </row>
    <row r="172" spans="1:7" s="129" customFormat="1">
      <c r="A172" s="195" t="s">
        <v>1354</v>
      </c>
      <c r="B172" s="195" t="s">
        <v>1399</v>
      </c>
      <c r="C172" s="236" t="s">
        <v>908</v>
      </c>
      <c r="D172" s="128" t="s">
        <v>820</v>
      </c>
      <c r="E172" s="128"/>
      <c r="F172" s="241" t="s">
        <v>987</v>
      </c>
      <c r="G172" s="241" t="s">
        <v>2926</v>
      </c>
    </row>
    <row r="173" spans="1:7" s="129" customFormat="1">
      <c r="A173" s="195" t="s">
        <v>1354</v>
      </c>
      <c r="B173" s="195" t="s">
        <v>1399</v>
      </c>
      <c r="C173" s="236" t="s">
        <v>908</v>
      </c>
      <c r="D173" s="128" t="s">
        <v>820</v>
      </c>
      <c r="E173" s="128"/>
      <c r="F173" s="241" t="s">
        <v>990</v>
      </c>
      <c r="G173" s="241" t="s">
        <v>2927</v>
      </c>
    </row>
    <row r="174" spans="1:7" s="129" customFormat="1">
      <c r="A174" s="195" t="s">
        <v>1354</v>
      </c>
      <c r="B174" s="195" t="s">
        <v>1399</v>
      </c>
      <c r="C174" s="236" t="s">
        <v>908</v>
      </c>
      <c r="D174" s="128" t="s">
        <v>820</v>
      </c>
      <c r="E174" s="128"/>
      <c r="F174" s="241" t="s">
        <v>993</v>
      </c>
      <c r="G174" s="241" t="s">
        <v>2928</v>
      </c>
    </row>
    <row r="175" spans="1:7" s="129" customFormat="1">
      <c r="A175" s="195" t="s">
        <v>1354</v>
      </c>
      <c r="B175" s="195" t="s">
        <v>1399</v>
      </c>
      <c r="C175" s="236" t="s">
        <v>908</v>
      </c>
      <c r="D175" s="128" t="s">
        <v>820</v>
      </c>
      <c r="E175" s="128"/>
      <c r="F175" s="241" t="s">
        <v>1626</v>
      </c>
      <c r="G175" s="241" t="s">
        <v>2825</v>
      </c>
    </row>
    <row r="176" spans="1:7" s="129" customFormat="1">
      <c r="A176" s="195" t="s">
        <v>1354</v>
      </c>
      <c r="B176" s="195" t="s">
        <v>1399</v>
      </c>
      <c r="C176" s="236" t="s">
        <v>908</v>
      </c>
      <c r="D176" s="128" t="s">
        <v>820</v>
      </c>
      <c r="E176" s="128"/>
      <c r="F176" s="241" t="s">
        <v>1627</v>
      </c>
      <c r="G176" s="241" t="s">
        <v>2825</v>
      </c>
    </row>
    <row r="177" spans="1:7" s="129" customFormat="1">
      <c r="A177" s="195" t="s">
        <v>1354</v>
      </c>
      <c r="B177" s="195" t="s">
        <v>1399</v>
      </c>
      <c r="C177" s="236" t="s">
        <v>923</v>
      </c>
      <c r="D177" s="128" t="s">
        <v>820</v>
      </c>
      <c r="E177" s="128"/>
      <c r="F177" s="241" t="s">
        <v>996</v>
      </c>
      <c r="G177" s="241" t="s">
        <v>2929</v>
      </c>
    </row>
    <row r="178" spans="1:7" s="129" customFormat="1">
      <c r="A178" s="195" t="s">
        <v>1354</v>
      </c>
      <c r="B178" s="195" t="s">
        <v>1399</v>
      </c>
      <c r="C178" s="236" t="s">
        <v>923</v>
      </c>
      <c r="D178" s="128" t="s">
        <v>820</v>
      </c>
      <c r="E178" s="128"/>
      <c r="F178" s="241" t="s">
        <v>999</v>
      </c>
      <c r="G178" s="241" t="s">
        <v>2930</v>
      </c>
    </row>
    <row r="179" spans="1:7" s="129" customFormat="1">
      <c r="A179" s="195" t="s">
        <v>1354</v>
      </c>
      <c r="B179" s="195" t="s">
        <v>1399</v>
      </c>
      <c r="C179" s="236" t="s">
        <v>923</v>
      </c>
      <c r="D179" s="128" t="s">
        <v>820</v>
      </c>
      <c r="E179" s="128"/>
      <c r="F179" s="241" t="s">
        <v>1002</v>
      </c>
      <c r="G179" s="241" t="s">
        <v>2931</v>
      </c>
    </row>
    <row r="180" spans="1:7" s="129" customFormat="1">
      <c r="A180" s="195" t="s">
        <v>1354</v>
      </c>
      <c r="B180" s="195" t="s">
        <v>1399</v>
      </c>
      <c r="C180" s="236" t="s">
        <v>923</v>
      </c>
      <c r="D180" s="128" t="s">
        <v>820</v>
      </c>
      <c r="E180" s="128"/>
      <c r="F180" s="241" t="s">
        <v>1005</v>
      </c>
      <c r="G180" s="241" t="s">
        <v>2932</v>
      </c>
    </row>
    <row r="181" spans="1:7" s="129" customFormat="1">
      <c r="A181" s="195" t="s">
        <v>1354</v>
      </c>
      <c r="B181" s="195" t="s">
        <v>1399</v>
      </c>
      <c r="C181" s="236" t="s">
        <v>923</v>
      </c>
      <c r="D181" s="128" t="s">
        <v>820</v>
      </c>
      <c r="E181" s="128"/>
      <c r="F181" s="241" t="s">
        <v>1632</v>
      </c>
      <c r="G181" s="241" t="s">
        <v>2825</v>
      </c>
    </row>
    <row r="182" spans="1:7" s="129" customFormat="1">
      <c r="A182" s="195" t="s">
        <v>1354</v>
      </c>
      <c r="B182" s="195" t="s">
        <v>1399</v>
      </c>
      <c r="C182" s="236" t="s">
        <v>923</v>
      </c>
      <c r="D182" s="128" t="s">
        <v>820</v>
      </c>
      <c r="E182" s="128"/>
      <c r="F182" s="241" t="s">
        <v>1633</v>
      </c>
      <c r="G182" s="241" t="s">
        <v>2825</v>
      </c>
    </row>
    <row r="183" spans="1:7" s="129" customFormat="1">
      <c r="A183" s="195" t="s">
        <v>1354</v>
      </c>
      <c r="B183" s="195" t="s">
        <v>1399</v>
      </c>
      <c r="C183" s="236" t="s">
        <v>936</v>
      </c>
      <c r="D183" s="128" t="s">
        <v>820</v>
      </c>
      <c r="E183" s="128"/>
      <c r="F183" s="241" t="s">
        <v>1008</v>
      </c>
      <c r="G183" s="241" t="s">
        <v>2933</v>
      </c>
    </row>
    <row r="184" spans="1:7" s="129" customFormat="1">
      <c r="A184" s="195" t="s">
        <v>1354</v>
      </c>
      <c r="B184" s="195" t="s">
        <v>1399</v>
      </c>
      <c r="C184" s="236" t="s">
        <v>936</v>
      </c>
      <c r="D184" s="128" t="s">
        <v>820</v>
      </c>
      <c r="E184" s="128"/>
      <c r="F184" s="241" t="s">
        <v>1011</v>
      </c>
      <c r="G184" s="241" t="s">
        <v>2934</v>
      </c>
    </row>
    <row r="185" spans="1:7" s="129" customFormat="1">
      <c r="A185" s="195" t="s">
        <v>1354</v>
      </c>
      <c r="B185" s="195" t="s">
        <v>1399</v>
      </c>
      <c r="C185" s="236" t="s">
        <v>936</v>
      </c>
      <c r="D185" s="128" t="s">
        <v>820</v>
      </c>
      <c r="E185" s="128"/>
      <c r="F185" s="241" t="s">
        <v>1014</v>
      </c>
      <c r="G185" s="241" t="s">
        <v>2935</v>
      </c>
    </row>
    <row r="186" spans="1:7" s="129" customFormat="1">
      <c r="A186" s="195" t="s">
        <v>1354</v>
      </c>
      <c r="B186" s="195" t="s">
        <v>1399</v>
      </c>
      <c r="C186" s="236" t="s">
        <v>936</v>
      </c>
      <c r="D186" s="128" t="s">
        <v>820</v>
      </c>
      <c r="E186" s="128"/>
      <c r="F186" s="241" t="s">
        <v>1017</v>
      </c>
      <c r="G186" s="241" t="s">
        <v>2936</v>
      </c>
    </row>
    <row r="187" spans="1:7" s="129" customFormat="1">
      <c r="A187" s="195" t="s">
        <v>1354</v>
      </c>
      <c r="B187" s="195" t="s">
        <v>1399</v>
      </c>
      <c r="C187" s="236" t="s">
        <v>936</v>
      </c>
      <c r="D187" s="128" t="s">
        <v>820</v>
      </c>
      <c r="E187" s="128"/>
      <c r="F187" s="241" t="s">
        <v>1638</v>
      </c>
      <c r="G187" s="241" t="s">
        <v>2825</v>
      </c>
    </row>
    <row r="188" spans="1:7" s="129" customFormat="1">
      <c r="A188" s="195" t="s">
        <v>1354</v>
      </c>
      <c r="B188" s="195" t="s">
        <v>1399</v>
      </c>
      <c r="C188" s="236" t="s">
        <v>936</v>
      </c>
      <c r="D188" s="128" t="s">
        <v>820</v>
      </c>
      <c r="E188" s="128"/>
      <c r="F188" s="241" t="s">
        <v>1639</v>
      </c>
      <c r="G188" s="241" t="s">
        <v>2825</v>
      </c>
    </row>
    <row r="189" spans="1:7" s="129" customFormat="1">
      <c r="A189" s="195" t="s">
        <v>1354</v>
      </c>
      <c r="B189" s="195" t="s">
        <v>1399</v>
      </c>
      <c r="C189" s="236" t="s">
        <v>908</v>
      </c>
      <c r="D189" s="128" t="s">
        <v>2632</v>
      </c>
      <c r="E189" s="128"/>
      <c r="F189" s="241" t="s">
        <v>1020</v>
      </c>
      <c r="G189" s="241" t="s">
        <v>2937</v>
      </c>
    </row>
    <row r="190" spans="1:7" s="129" customFormat="1">
      <c r="A190" s="195" t="s">
        <v>1354</v>
      </c>
      <c r="B190" s="195" t="s">
        <v>1399</v>
      </c>
      <c r="C190" s="236" t="s">
        <v>908</v>
      </c>
      <c r="D190" s="128" t="s">
        <v>2632</v>
      </c>
      <c r="E190" s="128"/>
      <c r="F190" s="241" t="s">
        <v>1023</v>
      </c>
      <c r="G190" s="241" t="s">
        <v>2938</v>
      </c>
    </row>
    <row r="191" spans="1:7" s="129" customFormat="1">
      <c r="A191" s="195" t="s">
        <v>1354</v>
      </c>
      <c r="B191" s="195" t="s">
        <v>1399</v>
      </c>
      <c r="C191" s="236" t="s">
        <v>908</v>
      </c>
      <c r="D191" s="128" t="s">
        <v>2632</v>
      </c>
      <c r="E191" s="128"/>
      <c r="F191" s="241" t="s">
        <v>1026</v>
      </c>
      <c r="G191" s="241" t="s">
        <v>2939</v>
      </c>
    </row>
    <row r="192" spans="1:7" s="129" customFormat="1">
      <c r="A192" s="195" t="s">
        <v>1354</v>
      </c>
      <c r="B192" s="195" t="s">
        <v>1399</v>
      </c>
      <c r="C192" s="236" t="s">
        <v>908</v>
      </c>
      <c r="D192" s="128" t="s">
        <v>2632</v>
      </c>
      <c r="E192" s="128"/>
      <c r="F192" s="241" t="s">
        <v>1029</v>
      </c>
      <c r="G192" s="241" t="s">
        <v>2940</v>
      </c>
    </row>
    <row r="193" spans="1:7" s="129" customFormat="1">
      <c r="A193" s="195" t="s">
        <v>1354</v>
      </c>
      <c r="B193" s="195" t="s">
        <v>1399</v>
      </c>
      <c r="C193" s="236" t="s">
        <v>908</v>
      </c>
      <c r="D193" s="128" t="s">
        <v>2632</v>
      </c>
      <c r="E193" s="128"/>
      <c r="F193" s="241" t="s">
        <v>2429</v>
      </c>
      <c r="G193" s="241" t="s">
        <v>2825</v>
      </c>
    </row>
    <row r="194" spans="1:7" s="129" customFormat="1">
      <c r="A194" s="195" t="s">
        <v>1354</v>
      </c>
      <c r="B194" s="195" t="s">
        <v>1399</v>
      </c>
      <c r="C194" s="236" t="s">
        <v>908</v>
      </c>
      <c r="D194" s="128" t="s">
        <v>2632</v>
      </c>
      <c r="E194" s="128"/>
      <c r="F194" s="241" t="s">
        <v>1645</v>
      </c>
      <c r="G194" s="241" t="s">
        <v>2825</v>
      </c>
    </row>
    <row r="195" spans="1:7" s="129" customFormat="1">
      <c r="A195" s="195" t="s">
        <v>1354</v>
      </c>
      <c r="B195" s="195" t="s">
        <v>1399</v>
      </c>
      <c r="C195" s="236" t="s">
        <v>923</v>
      </c>
      <c r="D195" s="128" t="s">
        <v>2632</v>
      </c>
      <c r="E195" s="128"/>
      <c r="F195" s="241" t="s">
        <v>1032</v>
      </c>
      <c r="G195" s="241" t="s">
        <v>2941</v>
      </c>
    </row>
    <row r="196" spans="1:7" s="129" customFormat="1">
      <c r="A196" s="195" t="s">
        <v>1354</v>
      </c>
      <c r="B196" s="195" t="s">
        <v>1399</v>
      </c>
      <c r="C196" s="236" t="s">
        <v>923</v>
      </c>
      <c r="D196" s="128" t="s">
        <v>2632</v>
      </c>
      <c r="E196" s="128"/>
      <c r="F196" s="241" t="s">
        <v>1035</v>
      </c>
      <c r="G196" s="241" t="s">
        <v>2942</v>
      </c>
    </row>
    <row r="197" spans="1:7" s="129" customFormat="1">
      <c r="A197" s="195" t="s">
        <v>1354</v>
      </c>
      <c r="B197" s="195" t="s">
        <v>1399</v>
      </c>
      <c r="C197" s="236" t="s">
        <v>923</v>
      </c>
      <c r="D197" s="128" t="s">
        <v>2632</v>
      </c>
      <c r="E197" s="128"/>
      <c r="F197" s="241" t="s">
        <v>1038</v>
      </c>
      <c r="G197" s="241" t="s">
        <v>2943</v>
      </c>
    </row>
    <row r="198" spans="1:7" s="129" customFormat="1">
      <c r="A198" s="195" t="s">
        <v>1354</v>
      </c>
      <c r="B198" s="195" t="s">
        <v>1399</v>
      </c>
      <c r="C198" s="236" t="s">
        <v>923</v>
      </c>
      <c r="D198" s="128" t="s">
        <v>2632</v>
      </c>
      <c r="E198" s="128"/>
      <c r="F198" s="241" t="s">
        <v>1041</v>
      </c>
      <c r="G198" s="241" t="s">
        <v>2944</v>
      </c>
    </row>
    <row r="199" spans="1:7" s="129" customFormat="1">
      <c r="A199" s="195" t="s">
        <v>1354</v>
      </c>
      <c r="B199" s="195" t="s">
        <v>1399</v>
      </c>
      <c r="C199" s="236" t="s">
        <v>923</v>
      </c>
      <c r="D199" s="128" t="s">
        <v>2632</v>
      </c>
      <c r="E199" s="128"/>
      <c r="F199" s="241" t="s">
        <v>1471</v>
      </c>
      <c r="G199" s="241" t="s">
        <v>2825</v>
      </c>
    </row>
    <row r="200" spans="1:7" s="129" customFormat="1">
      <c r="A200" s="195" t="s">
        <v>1354</v>
      </c>
      <c r="B200" s="195" t="s">
        <v>1399</v>
      </c>
      <c r="C200" s="236" t="s">
        <v>923</v>
      </c>
      <c r="D200" s="128" t="s">
        <v>2632</v>
      </c>
      <c r="E200" s="128"/>
      <c r="F200" s="241" t="s">
        <v>1650</v>
      </c>
      <c r="G200" s="241" t="s">
        <v>2825</v>
      </c>
    </row>
    <row r="201" spans="1:7" s="129" customFormat="1">
      <c r="A201" s="195" t="s">
        <v>1354</v>
      </c>
      <c r="B201" s="195" t="s">
        <v>1399</v>
      </c>
      <c r="C201" s="236" t="s">
        <v>936</v>
      </c>
      <c r="D201" s="128" t="s">
        <v>2632</v>
      </c>
      <c r="E201" s="128"/>
      <c r="F201" s="241" t="s">
        <v>1044</v>
      </c>
      <c r="G201" s="241" t="s">
        <v>2945</v>
      </c>
    </row>
    <row r="202" spans="1:7" s="129" customFormat="1">
      <c r="A202" s="195" t="s">
        <v>1354</v>
      </c>
      <c r="B202" s="195" t="s">
        <v>1399</v>
      </c>
      <c r="C202" s="236" t="s">
        <v>936</v>
      </c>
      <c r="D202" s="128" t="s">
        <v>2632</v>
      </c>
      <c r="E202" s="128"/>
      <c r="F202" s="241" t="s">
        <v>1047</v>
      </c>
      <c r="G202" s="241" t="s">
        <v>2946</v>
      </c>
    </row>
    <row r="203" spans="1:7" s="129" customFormat="1">
      <c r="A203" s="195" t="s">
        <v>1354</v>
      </c>
      <c r="B203" s="195" t="s">
        <v>1399</v>
      </c>
      <c r="C203" s="236" t="s">
        <v>936</v>
      </c>
      <c r="D203" s="128" t="s">
        <v>2632</v>
      </c>
      <c r="E203" s="128"/>
      <c r="F203" s="241" t="s">
        <v>1050</v>
      </c>
      <c r="G203" s="241" t="s">
        <v>2947</v>
      </c>
    </row>
    <row r="204" spans="1:7" s="129" customFormat="1">
      <c r="A204" s="195" t="s">
        <v>1354</v>
      </c>
      <c r="B204" s="195" t="s">
        <v>1399</v>
      </c>
      <c r="C204" s="236" t="s">
        <v>936</v>
      </c>
      <c r="D204" s="128" t="s">
        <v>2632</v>
      </c>
      <c r="E204" s="128"/>
      <c r="F204" s="241" t="s">
        <v>1053</v>
      </c>
      <c r="G204" s="241" t="s">
        <v>2948</v>
      </c>
    </row>
    <row r="205" spans="1:7" s="129" customFormat="1">
      <c r="A205" s="195" t="s">
        <v>1354</v>
      </c>
      <c r="B205" s="195" t="s">
        <v>1399</v>
      </c>
      <c r="C205" s="236" t="s">
        <v>936</v>
      </c>
      <c r="D205" s="128" t="s">
        <v>2632</v>
      </c>
      <c r="E205" s="128"/>
      <c r="F205" s="241" t="s">
        <v>1653</v>
      </c>
      <c r="G205" s="241" t="s">
        <v>2825</v>
      </c>
    </row>
    <row r="206" spans="1:7" s="129" customFormat="1">
      <c r="A206" s="195" t="s">
        <v>1354</v>
      </c>
      <c r="B206" s="195" t="s">
        <v>1399</v>
      </c>
      <c r="C206" s="236" t="s">
        <v>936</v>
      </c>
      <c r="D206" s="128" t="s">
        <v>2632</v>
      </c>
      <c r="E206" s="128"/>
      <c r="F206" s="241" t="s">
        <v>1654</v>
      </c>
      <c r="G206" s="241" t="s">
        <v>2825</v>
      </c>
    </row>
    <row r="207" spans="1:7" s="129" customFormat="1">
      <c r="A207" s="195" t="s">
        <v>1354</v>
      </c>
      <c r="B207" s="195" t="s">
        <v>1399</v>
      </c>
      <c r="C207" s="236" t="s">
        <v>936</v>
      </c>
      <c r="D207" s="128" t="s">
        <v>2632</v>
      </c>
      <c r="E207" s="128"/>
      <c r="F207" s="241" t="s">
        <v>1044</v>
      </c>
      <c r="G207" s="241" t="s">
        <v>2945</v>
      </c>
    </row>
    <row r="208" spans="1:7" s="129" customFormat="1">
      <c r="A208" s="195" t="s">
        <v>1354</v>
      </c>
      <c r="B208" s="195" t="s">
        <v>1399</v>
      </c>
      <c r="C208" s="236" t="s">
        <v>936</v>
      </c>
      <c r="D208" s="128" t="s">
        <v>2632</v>
      </c>
      <c r="E208" s="128"/>
      <c r="F208" s="241" t="s">
        <v>1047</v>
      </c>
      <c r="G208" s="241" t="s">
        <v>2946</v>
      </c>
    </row>
    <row r="209" spans="1:7" s="129" customFormat="1">
      <c r="A209" s="195" t="s">
        <v>1354</v>
      </c>
      <c r="B209" s="195" t="s">
        <v>1399</v>
      </c>
      <c r="C209" s="236" t="s">
        <v>936</v>
      </c>
      <c r="D209" s="128" t="s">
        <v>2632</v>
      </c>
      <c r="E209" s="128"/>
      <c r="F209" s="241" t="s">
        <v>1050</v>
      </c>
      <c r="G209" s="241" t="s">
        <v>2947</v>
      </c>
    </row>
    <row r="210" spans="1:7" s="129" customFormat="1">
      <c r="A210" s="195" t="s">
        <v>1354</v>
      </c>
      <c r="B210" s="195" t="s">
        <v>1399</v>
      </c>
      <c r="C210" s="236" t="s">
        <v>936</v>
      </c>
      <c r="D210" s="128" t="s">
        <v>2632</v>
      </c>
      <c r="E210" s="128"/>
      <c r="F210" s="241" t="s">
        <v>1053</v>
      </c>
      <c r="G210" s="241" t="s">
        <v>2948</v>
      </c>
    </row>
    <row r="211" spans="1:7" s="129" customFormat="1">
      <c r="A211" s="195" t="s">
        <v>1354</v>
      </c>
      <c r="B211" s="195" t="s">
        <v>1399</v>
      </c>
      <c r="C211" s="236" t="s">
        <v>936</v>
      </c>
      <c r="D211" s="128" t="s">
        <v>2632</v>
      </c>
      <c r="E211" s="128"/>
      <c r="F211" s="241" t="s">
        <v>1784</v>
      </c>
      <c r="G211" s="241" t="s">
        <v>2825</v>
      </c>
    </row>
    <row r="212" spans="1:7" s="129" customFormat="1">
      <c r="A212" s="195" t="s">
        <v>1354</v>
      </c>
      <c r="B212" s="195" t="s">
        <v>1399</v>
      </c>
      <c r="C212" s="236" t="s">
        <v>908</v>
      </c>
      <c r="D212" s="128" t="s">
        <v>1785</v>
      </c>
      <c r="E212" s="128"/>
      <c r="F212" s="241" t="s">
        <v>1020</v>
      </c>
      <c r="G212" s="241" t="s">
        <v>2937</v>
      </c>
    </row>
    <row r="213" spans="1:7" s="129" customFormat="1">
      <c r="A213" s="195" t="s">
        <v>1354</v>
      </c>
      <c r="B213" s="195" t="s">
        <v>1399</v>
      </c>
      <c r="C213" s="236" t="s">
        <v>908</v>
      </c>
      <c r="D213" s="128" t="s">
        <v>1785</v>
      </c>
      <c r="E213" s="128"/>
      <c r="F213" s="241" t="s">
        <v>1023</v>
      </c>
      <c r="G213" s="241" t="s">
        <v>2938</v>
      </c>
    </row>
    <row r="214" spans="1:7" s="129" customFormat="1">
      <c r="A214" s="195" t="s">
        <v>1354</v>
      </c>
      <c r="B214" s="195" t="s">
        <v>1399</v>
      </c>
      <c r="C214" s="236" t="s">
        <v>908</v>
      </c>
      <c r="D214" s="128" t="s">
        <v>1785</v>
      </c>
      <c r="E214" s="128"/>
      <c r="F214" s="241" t="s">
        <v>1026</v>
      </c>
      <c r="G214" s="241" t="s">
        <v>2939</v>
      </c>
    </row>
    <row r="215" spans="1:7" s="129" customFormat="1">
      <c r="A215" s="195" t="s">
        <v>1354</v>
      </c>
      <c r="B215" s="195" t="s">
        <v>1399</v>
      </c>
      <c r="C215" s="236" t="s">
        <v>908</v>
      </c>
      <c r="D215" s="128" t="s">
        <v>1785</v>
      </c>
      <c r="E215" s="128"/>
      <c r="F215" s="241" t="s">
        <v>1029</v>
      </c>
      <c r="G215" s="241" t="s">
        <v>2940</v>
      </c>
    </row>
    <row r="216" spans="1:7" s="129" customFormat="1">
      <c r="A216" s="195" t="s">
        <v>1354</v>
      </c>
      <c r="B216" s="195" t="s">
        <v>1399</v>
      </c>
      <c r="C216" s="236" t="s">
        <v>908</v>
      </c>
      <c r="D216" s="128" t="s">
        <v>1785</v>
      </c>
      <c r="E216" s="128"/>
      <c r="F216" s="241" t="s">
        <v>1644</v>
      </c>
      <c r="G216" s="241" t="s">
        <v>2825</v>
      </c>
    </row>
    <row r="217" spans="1:7" s="129" customFormat="1">
      <c r="A217" s="195" t="s">
        <v>1354</v>
      </c>
      <c r="B217" s="195" t="s">
        <v>1399</v>
      </c>
      <c r="C217" s="236" t="s">
        <v>908</v>
      </c>
      <c r="D217" s="128" t="s">
        <v>1785</v>
      </c>
      <c r="E217" s="128"/>
      <c r="F217" s="241" t="s">
        <v>1645</v>
      </c>
      <c r="G217" s="241" t="s">
        <v>2825</v>
      </c>
    </row>
    <row r="218" spans="1:7" s="129" customFormat="1">
      <c r="A218" s="195" t="s">
        <v>1354</v>
      </c>
      <c r="B218" s="195" t="s">
        <v>1399</v>
      </c>
      <c r="C218" s="236" t="s">
        <v>923</v>
      </c>
      <c r="D218" s="128" t="s">
        <v>1785</v>
      </c>
      <c r="E218" s="128"/>
      <c r="F218" s="241" t="s">
        <v>1032</v>
      </c>
      <c r="G218" s="241" t="s">
        <v>2941</v>
      </c>
    </row>
    <row r="219" spans="1:7" s="129" customFormat="1">
      <c r="A219" s="195" t="s">
        <v>1354</v>
      </c>
      <c r="B219" s="195" t="s">
        <v>1399</v>
      </c>
      <c r="C219" s="236" t="s">
        <v>923</v>
      </c>
      <c r="D219" s="128" t="s">
        <v>1785</v>
      </c>
      <c r="E219" s="128"/>
      <c r="F219" s="241" t="s">
        <v>1035</v>
      </c>
      <c r="G219" s="241" t="s">
        <v>2942</v>
      </c>
    </row>
    <row r="220" spans="1:7" s="129" customFormat="1">
      <c r="A220" s="195" t="s">
        <v>1354</v>
      </c>
      <c r="B220" s="195" t="s">
        <v>1399</v>
      </c>
      <c r="C220" s="236" t="s">
        <v>923</v>
      </c>
      <c r="D220" s="128" t="s">
        <v>1785</v>
      </c>
      <c r="E220" s="128"/>
      <c r="F220" s="241" t="s">
        <v>1038</v>
      </c>
      <c r="G220" s="241" t="s">
        <v>2943</v>
      </c>
    </row>
    <row r="221" spans="1:7" s="129" customFormat="1">
      <c r="A221" s="195" t="s">
        <v>1354</v>
      </c>
      <c r="B221" s="195" t="s">
        <v>1399</v>
      </c>
      <c r="C221" s="236" t="s">
        <v>923</v>
      </c>
      <c r="D221" s="128" t="s">
        <v>1785</v>
      </c>
      <c r="E221" s="128"/>
      <c r="F221" s="241" t="s">
        <v>1041</v>
      </c>
      <c r="G221" s="241" t="s">
        <v>2944</v>
      </c>
    </row>
    <row r="222" spans="1:7" s="129" customFormat="1">
      <c r="A222" s="195" t="s">
        <v>1354</v>
      </c>
      <c r="B222" s="195" t="s">
        <v>1399</v>
      </c>
      <c r="C222" s="236" t="s">
        <v>923</v>
      </c>
      <c r="D222" s="128" t="s">
        <v>1785</v>
      </c>
      <c r="E222" s="128"/>
      <c r="F222" s="241" t="s">
        <v>1471</v>
      </c>
      <c r="G222" s="241" t="s">
        <v>2825</v>
      </c>
    </row>
    <row r="223" spans="1:7" s="129" customFormat="1">
      <c r="A223" s="195" t="s">
        <v>1354</v>
      </c>
      <c r="B223" s="195" t="s">
        <v>1399</v>
      </c>
      <c r="C223" s="236" t="s">
        <v>923</v>
      </c>
      <c r="D223" s="128" t="s">
        <v>1785</v>
      </c>
      <c r="E223" s="128"/>
      <c r="F223" s="241" t="s">
        <v>1650</v>
      </c>
      <c r="G223" s="241" t="s">
        <v>2825</v>
      </c>
    </row>
    <row r="224" spans="1:7" s="129" customFormat="1">
      <c r="A224" s="195" t="s">
        <v>1354</v>
      </c>
      <c r="B224" s="195" t="s">
        <v>1399</v>
      </c>
      <c r="C224" s="236" t="s">
        <v>936</v>
      </c>
      <c r="D224" s="128" t="s">
        <v>1785</v>
      </c>
      <c r="E224" s="128"/>
      <c r="F224" s="241" t="s">
        <v>1044</v>
      </c>
      <c r="G224" s="241" t="s">
        <v>2945</v>
      </c>
    </row>
    <row r="225" spans="1:7" s="129" customFormat="1">
      <c r="A225" s="195" t="s">
        <v>1354</v>
      </c>
      <c r="B225" s="195" t="s">
        <v>1399</v>
      </c>
      <c r="C225" s="236" t="s">
        <v>936</v>
      </c>
      <c r="D225" s="128" t="s">
        <v>1785</v>
      </c>
      <c r="E225" s="128"/>
      <c r="F225" s="241" t="s">
        <v>1047</v>
      </c>
      <c r="G225" s="241" t="s">
        <v>2946</v>
      </c>
    </row>
    <row r="226" spans="1:7" s="129" customFormat="1">
      <c r="A226" s="195" t="s">
        <v>1354</v>
      </c>
      <c r="B226" s="195" t="s">
        <v>1399</v>
      </c>
      <c r="C226" s="236" t="s">
        <v>936</v>
      </c>
      <c r="D226" s="128" t="s">
        <v>1785</v>
      </c>
      <c r="E226" s="128"/>
      <c r="F226" s="241" t="s">
        <v>1050</v>
      </c>
      <c r="G226" s="241" t="s">
        <v>2947</v>
      </c>
    </row>
    <row r="227" spans="1:7" s="129" customFormat="1">
      <c r="A227" s="195" t="s">
        <v>1354</v>
      </c>
      <c r="B227" s="195" t="s">
        <v>1399</v>
      </c>
      <c r="C227" s="236" t="s">
        <v>936</v>
      </c>
      <c r="D227" s="128" t="s">
        <v>1785</v>
      </c>
      <c r="E227" s="128"/>
      <c r="F227" s="241" t="s">
        <v>1053</v>
      </c>
      <c r="G227" s="241" t="s">
        <v>2948</v>
      </c>
    </row>
    <row r="228" spans="1:7" s="129" customFormat="1">
      <c r="A228" s="195" t="s">
        <v>1354</v>
      </c>
      <c r="B228" s="195" t="s">
        <v>1399</v>
      </c>
      <c r="C228" s="236" t="s">
        <v>936</v>
      </c>
      <c r="D228" s="128" t="s">
        <v>1785</v>
      </c>
      <c r="E228" s="128"/>
      <c r="F228" s="241" t="s">
        <v>1653</v>
      </c>
      <c r="G228" s="241" t="s">
        <v>2825</v>
      </c>
    </row>
    <row r="229" spans="1:7" s="129" customFormat="1">
      <c r="A229" s="195" t="s">
        <v>1354</v>
      </c>
      <c r="B229" s="195" t="s">
        <v>1399</v>
      </c>
      <c r="C229" s="236" t="s">
        <v>936</v>
      </c>
      <c r="D229" s="128" t="s">
        <v>1785</v>
      </c>
      <c r="E229" s="128"/>
      <c r="F229" s="241" t="s">
        <v>1654</v>
      </c>
      <c r="G229" s="241" t="s">
        <v>2825</v>
      </c>
    </row>
    <row r="230" spans="1:7" s="129" customFormat="1">
      <c r="A230" s="195" t="s">
        <v>1354</v>
      </c>
      <c r="B230" s="195" t="s">
        <v>1399</v>
      </c>
      <c r="C230" s="236" t="s">
        <v>936</v>
      </c>
      <c r="D230" s="128" t="s">
        <v>1785</v>
      </c>
      <c r="E230" s="128"/>
      <c r="F230" s="241" t="s">
        <v>1044</v>
      </c>
      <c r="G230" s="241" t="s">
        <v>2945</v>
      </c>
    </row>
    <row r="231" spans="1:7" s="129" customFormat="1">
      <c r="A231" s="195" t="s">
        <v>1354</v>
      </c>
      <c r="B231" s="195" t="s">
        <v>1399</v>
      </c>
      <c r="C231" s="236" t="s">
        <v>936</v>
      </c>
      <c r="D231" s="128" t="s">
        <v>1785</v>
      </c>
      <c r="E231" s="128"/>
      <c r="F231" s="241" t="s">
        <v>1047</v>
      </c>
      <c r="G231" s="241" t="s">
        <v>2946</v>
      </c>
    </row>
    <row r="232" spans="1:7" s="129" customFormat="1">
      <c r="A232" s="195" t="s">
        <v>1354</v>
      </c>
      <c r="B232" s="195" t="s">
        <v>1399</v>
      </c>
      <c r="C232" s="236" t="s">
        <v>936</v>
      </c>
      <c r="D232" s="128" t="s">
        <v>1785</v>
      </c>
      <c r="E232" s="128"/>
      <c r="F232" s="241" t="s">
        <v>1050</v>
      </c>
      <c r="G232" s="241" t="s">
        <v>2947</v>
      </c>
    </row>
    <row r="233" spans="1:7" s="129" customFormat="1">
      <c r="A233" s="195" t="s">
        <v>1354</v>
      </c>
      <c r="B233" s="195" t="s">
        <v>1399</v>
      </c>
      <c r="C233" s="236" t="s">
        <v>936</v>
      </c>
      <c r="D233" s="128" t="s">
        <v>1785</v>
      </c>
      <c r="E233" s="128"/>
      <c r="F233" s="241" t="s">
        <v>1053</v>
      </c>
      <c r="G233" s="241" t="s">
        <v>2948</v>
      </c>
    </row>
    <row r="234" spans="1:7" s="129" customFormat="1">
      <c r="A234" s="195" t="s">
        <v>1354</v>
      </c>
      <c r="B234" s="195" t="s">
        <v>1399</v>
      </c>
      <c r="C234" s="236" t="s">
        <v>936</v>
      </c>
      <c r="D234" s="128" t="s">
        <v>1785</v>
      </c>
      <c r="E234" s="128"/>
      <c r="F234" s="241" t="s">
        <v>1784</v>
      </c>
      <c r="G234" s="241" t="s">
        <v>2825</v>
      </c>
    </row>
    <row r="235" spans="1:7" s="129" customFormat="1">
      <c r="A235" s="195" t="s">
        <v>1354</v>
      </c>
      <c r="B235" s="195" t="s">
        <v>1404</v>
      </c>
      <c r="C235" s="195" t="s">
        <v>1404</v>
      </c>
      <c r="D235" s="128"/>
      <c r="E235" s="128"/>
      <c r="F235" s="241" t="s">
        <v>1057</v>
      </c>
      <c r="G235" s="241" t="s">
        <v>2949</v>
      </c>
    </row>
    <row r="236" spans="1:7" s="129" customFormat="1">
      <c r="A236" s="195" t="s">
        <v>1354</v>
      </c>
      <c r="B236" s="195" t="s">
        <v>1404</v>
      </c>
      <c r="C236" s="195" t="s">
        <v>1404</v>
      </c>
      <c r="D236" s="128"/>
      <c r="E236" s="128"/>
      <c r="F236" s="241" t="s">
        <v>1455</v>
      </c>
      <c r="G236" s="241" t="s">
        <v>2950</v>
      </c>
    </row>
    <row r="237" spans="1:7" s="129" customFormat="1">
      <c r="A237" s="195" t="s">
        <v>1354</v>
      </c>
      <c r="B237" s="195" t="s">
        <v>1404</v>
      </c>
      <c r="C237" s="195" t="s">
        <v>1404</v>
      </c>
      <c r="D237" s="128"/>
      <c r="E237" s="128"/>
      <c r="F237" s="241" t="s">
        <v>1708</v>
      </c>
      <c r="G237" s="241" t="s">
        <v>2825</v>
      </c>
    </row>
    <row r="238" spans="1:7" s="129" customFormat="1">
      <c r="A238" s="195" t="s">
        <v>1354</v>
      </c>
      <c r="B238" s="195" t="s">
        <v>1404</v>
      </c>
      <c r="C238" s="195" t="s">
        <v>1404</v>
      </c>
      <c r="D238" s="128"/>
      <c r="E238" s="128"/>
      <c r="F238" s="241" t="s">
        <v>1709</v>
      </c>
      <c r="G238" s="241" t="s">
        <v>2825</v>
      </c>
    </row>
    <row r="239" spans="1:7" s="129" customFormat="1">
      <c r="A239" s="195" t="s">
        <v>1354</v>
      </c>
      <c r="B239" s="195" t="s">
        <v>1404</v>
      </c>
      <c r="C239" s="195" t="s">
        <v>1404</v>
      </c>
      <c r="D239" s="128"/>
      <c r="E239" s="128"/>
      <c r="F239" s="241" t="s">
        <v>1710</v>
      </c>
      <c r="G239" s="241" t="s">
        <v>2825</v>
      </c>
    </row>
    <row r="240" spans="1:7" s="129" customFormat="1">
      <c r="A240" s="195" t="s">
        <v>1354</v>
      </c>
      <c r="B240" s="195" t="s">
        <v>1404</v>
      </c>
      <c r="C240" s="195" t="s">
        <v>1404</v>
      </c>
      <c r="D240" s="128"/>
      <c r="E240" s="128"/>
      <c r="F240" s="241" t="s">
        <v>1711</v>
      </c>
      <c r="G240" s="241" t="s">
        <v>2825</v>
      </c>
    </row>
    <row r="241" spans="1:7" s="129" customFormat="1">
      <c r="A241" s="195" t="s">
        <v>1354</v>
      </c>
      <c r="B241" s="195" t="s">
        <v>1404</v>
      </c>
      <c r="C241" s="195" t="s">
        <v>1404</v>
      </c>
      <c r="D241" s="128"/>
      <c r="E241" s="128"/>
      <c r="F241" s="241" t="s">
        <v>1712</v>
      </c>
      <c r="G241" s="241" t="s">
        <v>2825</v>
      </c>
    </row>
    <row r="242" spans="1:7" s="129" customFormat="1">
      <c r="A242" s="195" t="s">
        <v>1354</v>
      </c>
      <c r="B242" s="195" t="s">
        <v>1404</v>
      </c>
      <c r="C242" s="195" t="s">
        <v>1404</v>
      </c>
      <c r="D242" s="128"/>
      <c r="E242" s="128"/>
      <c r="F242" s="241" t="s">
        <v>1713</v>
      </c>
      <c r="G242" s="241" t="s">
        <v>2825</v>
      </c>
    </row>
    <row r="243" spans="1:7" s="129" customFormat="1">
      <c r="A243" s="195" t="s">
        <v>1354</v>
      </c>
      <c r="B243" s="195" t="s">
        <v>1404</v>
      </c>
      <c r="C243" s="195" t="s">
        <v>1404</v>
      </c>
      <c r="D243" s="128"/>
      <c r="E243" s="128"/>
      <c r="F243" s="241" t="s">
        <v>1714</v>
      </c>
      <c r="G243" s="241" t="s">
        <v>2825</v>
      </c>
    </row>
    <row r="244" spans="1:7" s="129" customFormat="1">
      <c r="A244" s="195" t="s">
        <v>1354</v>
      </c>
      <c r="B244" s="195" t="s">
        <v>1404</v>
      </c>
      <c r="C244" s="195" t="s">
        <v>1404</v>
      </c>
      <c r="D244" s="128"/>
      <c r="E244" s="128"/>
      <c r="F244" s="241" t="s">
        <v>2212</v>
      </c>
      <c r="G244" s="241" t="s">
        <v>2825</v>
      </c>
    </row>
    <row r="245" spans="1:7" s="129" customFormat="1">
      <c r="A245" s="195" t="s">
        <v>1354</v>
      </c>
      <c r="B245" s="195" t="s">
        <v>1404</v>
      </c>
      <c r="C245" s="195" t="s">
        <v>1404</v>
      </c>
      <c r="D245" s="128" t="s">
        <v>923</v>
      </c>
      <c r="E245" s="128"/>
      <c r="F245" s="241" t="s">
        <v>2438</v>
      </c>
      <c r="G245" s="241" t="s">
        <v>2951</v>
      </c>
    </row>
    <row r="246" spans="1:7" s="129" customFormat="1">
      <c r="A246" s="195" t="s">
        <v>1354</v>
      </c>
      <c r="B246" s="195" t="s">
        <v>1404</v>
      </c>
      <c r="C246" s="195" t="s">
        <v>1404</v>
      </c>
      <c r="D246" s="128" t="s">
        <v>923</v>
      </c>
      <c r="E246" s="128"/>
      <c r="F246" s="241" t="s">
        <v>1694</v>
      </c>
      <c r="G246" s="241" t="s">
        <v>2952</v>
      </c>
    </row>
    <row r="247" spans="1:7" s="129" customFormat="1">
      <c r="A247" s="195" t="s">
        <v>1354</v>
      </c>
      <c r="B247" s="195" t="s">
        <v>1404</v>
      </c>
      <c r="C247" s="195" t="s">
        <v>1404</v>
      </c>
      <c r="D247" s="128" t="s">
        <v>923</v>
      </c>
      <c r="E247" s="128"/>
      <c r="F247" s="241" t="s">
        <v>1067</v>
      </c>
      <c r="G247" s="241" t="s">
        <v>2953</v>
      </c>
    </row>
    <row r="248" spans="1:7" s="129" customFormat="1">
      <c r="A248" s="195" t="s">
        <v>1354</v>
      </c>
      <c r="B248" s="195" t="s">
        <v>1404</v>
      </c>
      <c r="C248" s="195" t="s">
        <v>1404</v>
      </c>
      <c r="D248" s="128" t="s">
        <v>923</v>
      </c>
      <c r="E248" s="128"/>
      <c r="F248" s="241" t="s">
        <v>1069</v>
      </c>
      <c r="G248" s="241" t="s">
        <v>2954</v>
      </c>
    </row>
    <row r="249" spans="1:7" s="129" customFormat="1">
      <c r="A249" s="195" t="s">
        <v>1354</v>
      </c>
      <c r="B249" s="195" t="s">
        <v>1404</v>
      </c>
      <c r="C249" s="195" t="s">
        <v>1404</v>
      </c>
      <c r="D249" s="128" t="s">
        <v>1071</v>
      </c>
      <c r="E249" s="128"/>
      <c r="F249" s="241" t="s">
        <v>1072</v>
      </c>
      <c r="G249" s="241" t="s">
        <v>2955</v>
      </c>
    </row>
    <row r="250" spans="1:7" s="129" customFormat="1">
      <c r="A250" s="195" t="s">
        <v>1354</v>
      </c>
      <c r="B250" s="195" t="s">
        <v>1404</v>
      </c>
      <c r="C250" s="195" t="s">
        <v>1404</v>
      </c>
      <c r="D250" s="128" t="s">
        <v>668</v>
      </c>
      <c r="E250" s="195"/>
      <c r="F250" s="238" t="s">
        <v>1335</v>
      </c>
      <c r="G250" s="238" t="s">
        <v>2956</v>
      </c>
    </row>
    <row r="251" spans="1:7" s="129" customFormat="1">
      <c r="A251" s="195" t="s">
        <v>1354</v>
      </c>
      <c r="B251" s="195" t="s">
        <v>1404</v>
      </c>
      <c r="C251" s="195" t="s">
        <v>1404</v>
      </c>
      <c r="D251" s="128" t="s">
        <v>668</v>
      </c>
      <c r="E251" s="195"/>
      <c r="F251" s="238" t="s">
        <v>1337</v>
      </c>
      <c r="G251" s="238" t="s">
        <v>2957</v>
      </c>
    </row>
    <row r="252" spans="1:7" s="129" customFormat="1">
      <c r="A252" s="195" t="s">
        <v>1354</v>
      </c>
      <c r="B252" s="195" t="s">
        <v>1404</v>
      </c>
      <c r="C252" s="195" t="s">
        <v>1404</v>
      </c>
      <c r="D252" s="128" t="s">
        <v>658</v>
      </c>
      <c r="E252" s="195"/>
      <c r="F252" s="238" t="s">
        <v>1338</v>
      </c>
      <c r="G252" s="238" t="s">
        <v>2958</v>
      </c>
    </row>
    <row r="253" spans="1:7" s="129" customFormat="1">
      <c r="A253" s="195" t="s">
        <v>1354</v>
      </c>
      <c r="B253" s="195" t="s">
        <v>1404</v>
      </c>
      <c r="C253" s="195" t="s">
        <v>1404</v>
      </c>
      <c r="D253" s="128" t="s">
        <v>658</v>
      </c>
      <c r="E253" s="195"/>
      <c r="F253" s="238" t="s">
        <v>1339</v>
      </c>
      <c r="G253" s="238" t="s">
        <v>2959</v>
      </c>
    </row>
    <row r="254" spans="1:7" s="129" customFormat="1">
      <c r="A254" s="195" t="s">
        <v>1354</v>
      </c>
      <c r="B254" s="195" t="s">
        <v>1404</v>
      </c>
      <c r="C254" s="195" t="s">
        <v>1404</v>
      </c>
      <c r="D254" s="128" t="s">
        <v>668</v>
      </c>
      <c r="E254" s="195"/>
      <c r="F254" s="238" t="s">
        <v>1340</v>
      </c>
      <c r="G254" s="238" t="s">
        <v>2960</v>
      </c>
    </row>
    <row r="255" spans="1:7" s="129" customFormat="1">
      <c r="A255" s="195" t="s">
        <v>1354</v>
      </c>
      <c r="B255" s="195" t="s">
        <v>1404</v>
      </c>
      <c r="C255" s="195" t="s">
        <v>1404</v>
      </c>
      <c r="D255" s="128" t="s">
        <v>668</v>
      </c>
      <c r="E255" s="195"/>
      <c r="F255" s="238" t="s">
        <v>1341</v>
      </c>
      <c r="G255" s="238" t="s">
        <v>2961</v>
      </c>
    </row>
    <row r="256" spans="1:7" s="129" customFormat="1">
      <c r="A256" s="195" t="s">
        <v>1354</v>
      </c>
      <c r="B256" s="195" t="s">
        <v>1404</v>
      </c>
      <c r="C256" s="195" t="s">
        <v>1404</v>
      </c>
      <c r="D256" s="128" t="s">
        <v>658</v>
      </c>
      <c r="E256" s="195"/>
      <c r="F256" s="238" t="s">
        <v>1342</v>
      </c>
      <c r="G256" s="238" t="s">
        <v>2962</v>
      </c>
    </row>
    <row r="257" spans="1:7" s="129" customFormat="1">
      <c r="A257" s="195" t="s">
        <v>1354</v>
      </c>
      <c r="B257" s="195" t="s">
        <v>1404</v>
      </c>
      <c r="C257" s="195" t="s">
        <v>1404</v>
      </c>
      <c r="D257" s="128" t="s">
        <v>658</v>
      </c>
      <c r="E257" s="195"/>
      <c r="F257" s="238" t="s">
        <v>1343</v>
      </c>
      <c r="G257" s="238" t="s">
        <v>2963</v>
      </c>
    </row>
    <row r="258" spans="1:7" s="129" customFormat="1">
      <c r="A258" s="195" t="s">
        <v>1354</v>
      </c>
      <c r="B258" s="195" t="s">
        <v>1079</v>
      </c>
      <c r="C258" s="236" t="s">
        <v>668</v>
      </c>
      <c r="D258" s="128" t="s">
        <v>1679</v>
      </c>
      <c r="E258" s="128"/>
      <c r="F258" s="241" t="s">
        <v>1080</v>
      </c>
      <c r="G258" s="241" t="s">
        <v>2964</v>
      </c>
    </row>
    <row r="259" spans="1:7" s="129" customFormat="1">
      <c r="A259" s="195" t="s">
        <v>1354</v>
      </c>
      <c r="B259" s="195" t="s">
        <v>1079</v>
      </c>
      <c r="C259" s="236" t="s">
        <v>658</v>
      </c>
      <c r="D259" s="128" t="s">
        <v>1679</v>
      </c>
      <c r="E259" s="128"/>
      <c r="F259" s="241" t="s">
        <v>1083</v>
      </c>
      <c r="G259" s="241" t="s">
        <v>2965</v>
      </c>
    </row>
    <row r="260" spans="1:7" s="129" customFormat="1">
      <c r="A260" s="195" t="s">
        <v>1354</v>
      </c>
      <c r="B260" s="195" t="s">
        <v>1079</v>
      </c>
      <c r="C260" s="236" t="s">
        <v>668</v>
      </c>
      <c r="D260" s="128" t="s">
        <v>1686</v>
      </c>
      <c r="E260" s="128"/>
      <c r="F260" s="241" t="s">
        <v>1086</v>
      </c>
      <c r="G260" s="241" t="s">
        <v>2966</v>
      </c>
    </row>
    <row r="261" spans="1:7" s="129" customFormat="1">
      <c r="A261" s="195" t="s">
        <v>1354</v>
      </c>
      <c r="B261" s="195" t="s">
        <v>1079</v>
      </c>
      <c r="C261" s="236" t="s">
        <v>658</v>
      </c>
      <c r="D261" s="128" t="s">
        <v>765</v>
      </c>
      <c r="E261" s="128"/>
      <c r="F261" s="241" t="s">
        <v>1089</v>
      </c>
      <c r="G261" s="241" t="s">
        <v>2967</v>
      </c>
    </row>
    <row r="262" spans="1:7" s="129" customFormat="1">
      <c r="A262" s="195" t="s">
        <v>1354</v>
      </c>
      <c r="B262" s="195" t="s">
        <v>1079</v>
      </c>
      <c r="C262" s="236" t="s">
        <v>668</v>
      </c>
      <c r="D262" s="128" t="s">
        <v>1736</v>
      </c>
      <c r="E262" s="128"/>
      <c r="F262" s="241" t="s">
        <v>1097</v>
      </c>
      <c r="G262" s="241" t="s">
        <v>2968</v>
      </c>
    </row>
    <row r="263" spans="1:7" s="129" customFormat="1">
      <c r="A263" s="195" t="s">
        <v>1354</v>
      </c>
      <c r="B263" s="195" t="s">
        <v>1079</v>
      </c>
      <c r="C263" s="236" t="s">
        <v>658</v>
      </c>
      <c r="D263" s="128" t="s">
        <v>1736</v>
      </c>
      <c r="E263" s="128"/>
      <c r="F263" s="241" t="s">
        <v>1693</v>
      </c>
      <c r="G263" s="241" t="s">
        <v>2969</v>
      </c>
    </row>
    <row r="264" spans="1:7" s="129" customFormat="1">
      <c r="A264" s="195" t="s">
        <v>1354</v>
      </c>
      <c r="B264" s="195" t="s">
        <v>1079</v>
      </c>
      <c r="C264" s="236" t="s">
        <v>668</v>
      </c>
      <c r="D264" s="128" t="s">
        <v>1786</v>
      </c>
      <c r="E264" s="128"/>
      <c r="F264" s="241" t="s">
        <v>1097</v>
      </c>
      <c r="G264" s="241" t="s">
        <v>2968</v>
      </c>
    </row>
    <row r="265" spans="1:7" s="129" customFormat="1">
      <c r="A265" s="195" t="s">
        <v>1354</v>
      </c>
      <c r="B265" s="195" t="s">
        <v>1079</v>
      </c>
      <c r="C265" s="236" t="s">
        <v>658</v>
      </c>
      <c r="D265" s="128" t="s">
        <v>1786</v>
      </c>
      <c r="E265" s="128"/>
      <c r="F265" s="241" t="s">
        <v>1100</v>
      </c>
      <c r="G265" s="241" t="s">
        <v>2969</v>
      </c>
    </row>
    <row r="266" spans="1:7" s="129" customFormat="1">
      <c r="A266" s="195" t="s">
        <v>1354</v>
      </c>
      <c r="B266" s="195" t="s">
        <v>1079</v>
      </c>
      <c r="C266" s="236" t="s">
        <v>2530</v>
      </c>
      <c r="D266" s="128" t="s">
        <v>1679</v>
      </c>
      <c r="E266" s="128"/>
      <c r="F266" s="234" t="s">
        <v>2524</v>
      </c>
      <c r="G266" s="241"/>
    </row>
    <row r="267" spans="1:7" s="129" customFormat="1">
      <c r="A267" s="195" t="s">
        <v>1354</v>
      </c>
      <c r="B267" s="195" t="s">
        <v>1079</v>
      </c>
      <c r="C267" s="236" t="s">
        <v>2531</v>
      </c>
      <c r="D267" s="128" t="s">
        <v>1679</v>
      </c>
      <c r="E267" s="128"/>
      <c r="F267" s="234" t="s">
        <v>2525</v>
      </c>
      <c r="G267" s="241"/>
    </row>
    <row r="268" spans="1:7" s="129" customFormat="1">
      <c r="A268" s="195" t="s">
        <v>1354</v>
      </c>
      <c r="B268" s="195" t="s">
        <v>1079</v>
      </c>
      <c r="C268" s="236" t="s">
        <v>2530</v>
      </c>
      <c r="D268" s="128" t="s">
        <v>1686</v>
      </c>
      <c r="E268" s="128"/>
      <c r="F268" s="234" t="s">
        <v>2526</v>
      </c>
      <c r="G268" s="241"/>
    </row>
    <row r="269" spans="1:7" s="129" customFormat="1">
      <c r="A269" s="195" t="s">
        <v>1354</v>
      </c>
      <c r="B269" s="195" t="s">
        <v>1079</v>
      </c>
      <c r="C269" s="236" t="s">
        <v>2531</v>
      </c>
      <c r="D269" s="128" t="s">
        <v>765</v>
      </c>
      <c r="E269" s="128"/>
      <c r="F269" s="234" t="s">
        <v>2527</v>
      </c>
      <c r="G269" s="241"/>
    </row>
    <row r="270" spans="1:7" s="129" customFormat="1">
      <c r="A270" s="195" t="s">
        <v>1354</v>
      </c>
      <c r="B270" s="195" t="s">
        <v>1079</v>
      </c>
      <c r="C270" s="236" t="s">
        <v>2530</v>
      </c>
      <c r="D270" s="128" t="s">
        <v>820</v>
      </c>
      <c r="E270" s="128"/>
      <c r="F270" s="234" t="s">
        <v>2528</v>
      </c>
      <c r="G270" s="241"/>
    </row>
    <row r="271" spans="1:7" s="129" customFormat="1">
      <c r="A271" s="195" t="s">
        <v>1354</v>
      </c>
      <c r="B271" s="195" t="s">
        <v>1079</v>
      </c>
      <c r="C271" s="236" t="s">
        <v>2531</v>
      </c>
      <c r="D271" s="128" t="s">
        <v>820</v>
      </c>
      <c r="E271" s="128"/>
      <c r="F271" s="234" t="s">
        <v>2529</v>
      </c>
      <c r="G271" s="241"/>
    </row>
    <row r="272" spans="1:7" s="129" customFormat="1">
      <c r="A272" s="195" t="s">
        <v>1354</v>
      </c>
      <c r="B272" s="195" t="s">
        <v>1079</v>
      </c>
      <c r="C272" s="236" t="s">
        <v>2530</v>
      </c>
      <c r="D272" s="128" t="s">
        <v>1786</v>
      </c>
      <c r="E272" s="128"/>
      <c r="F272" s="234" t="s">
        <v>2522</v>
      </c>
      <c r="G272" s="241"/>
    </row>
    <row r="273" spans="1:7" s="129" customFormat="1">
      <c r="A273" s="195" t="s">
        <v>1354</v>
      </c>
      <c r="B273" s="195" t="s">
        <v>1079</v>
      </c>
      <c r="C273" s="236" t="s">
        <v>2531</v>
      </c>
      <c r="D273" s="128" t="s">
        <v>1786</v>
      </c>
      <c r="E273" s="128"/>
      <c r="F273" s="234" t="s">
        <v>2523</v>
      </c>
      <c r="G273" s="241"/>
    </row>
    <row r="274" spans="1:7" s="129" customFormat="1">
      <c r="A274" s="195" t="s">
        <v>1102</v>
      </c>
      <c r="B274" s="195" t="s">
        <v>1408</v>
      </c>
      <c r="C274" s="195" t="s">
        <v>1408</v>
      </c>
      <c r="D274" s="128"/>
      <c r="E274" s="128"/>
      <c r="F274" s="241" t="s">
        <v>1418</v>
      </c>
      <c r="G274" s="241" t="s">
        <v>2970</v>
      </c>
    </row>
    <row r="275" spans="1:7" s="129" customFormat="1">
      <c r="A275" s="237" t="s">
        <v>1102</v>
      </c>
      <c r="B275" s="195" t="s">
        <v>1408</v>
      </c>
      <c r="C275" s="195" t="s">
        <v>1408</v>
      </c>
      <c r="D275" s="197"/>
      <c r="E275" s="128"/>
      <c r="F275" s="241" t="s">
        <v>1419</v>
      </c>
      <c r="G275" s="241" t="s">
        <v>2971</v>
      </c>
    </row>
    <row r="276" spans="1:7" s="129" customFormat="1">
      <c r="A276" s="237" t="s">
        <v>1102</v>
      </c>
      <c r="B276" s="195" t="s">
        <v>1408</v>
      </c>
      <c r="C276" s="195" t="s">
        <v>1408</v>
      </c>
      <c r="D276" s="197"/>
      <c r="E276" s="128"/>
      <c r="F276" s="241" t="s">
        <v>1113</v>
      </c>
      <c r="G276" s="241" t="s">
        <v>2972</v>
      </c>
    </row>
    <row r="277" spans="1:7" s="129" customFormat="1">
      <c r="A277" s="237" t="s">
        <v>1102</v>
      </c>
      <c r="B277" s="195" t="s">
        <v>1408</v>
      </c>
      <c r="C277" s="195" t="s">
        <v>1408</v>
      </c>
      <c r="D277" s="197"/>
      <c r="E277" s="128"/>
      <c r="F277" s="241" t="s">
        <v>1116</v>
      </c>
      <c r="G277" s="241" t="s">
        <v>2973</v>
      </c>
    </row>
    <row r="278" spans="1:7" s="129" customFormat="1">
      <c r="A278" s="195" t="s">
        <v>1102</v>
      </c>
      <c r="B278" s="195" t="s">
        <v>1408</v>
      </c>
      <c r="C278" s="195" t="s">
        <v>1408</v>
      </c>
      <c r="D278" s="128"/>
      <c r="E278" s="128"/>
      <c r="F278" s="241" t="s">
        <v>1417</v>
      </c>
      <c r="G278" s="241" t="s">
        <v>2974</v>
      </c>
    </row>
    <row r="279" spans="1:7" s="129" customFormat="1">
      <c r="A279" s="195" t="s">
        <v>1102</v>
      </c>
      <c r="B279" s="195" t="s">
        <v>1408</v>
      </c>
      <c r="C279" s="195" t="s">
        <v>1408</v>
      </c>
      <c r="D279" s="128"/>
      <c r="E279" s="128"/>
      <c r="F279" s="238" t="s">
        <v>1125</v>
      </c>
      <c r="G279" s="238" t="s">
        <v>2975</v>
      </c>
    </row>
    <row r="280" spans="1:7" s="129" customFormat="1">
      <c r="A280" s="195" t="s">
        <v>1102</v>
      </c>
      <c r="B280" s="195" t="s">
        <v>1408</v>
      </c>
      <c r="C280" s="195" t="s">
        <v>1408</v>
      </c>
      <c r="D280" s="128"/>
      <c r="E280" s="128"/>
      <c r="F280" s="238" t="s">
        <v>1129</v>
      </c>
      <c r="G280" s="238" t="s">
        <v>2976</v>
      </c>
    </row>
    <row r="281" spans="1:7" s="129" customFormat="1">
      <c r="A281" s="195" t="s">
        <v>1102</v>
      </c>
      <c r="B281" s="195" t="s">
        <v>1408</v>
      </c>
      <c r="C281" s="195" t="s">
        <v>1408</v>
      </c>
      <c r="D281" s="128"/>
      <c r="E281" s="128"/>
      <c r="F281" s="241" t="s">
        <v>1133</v>
      </c>
      <c r="G281" s="241" t="s">
        <v>2977</v>
      </c>
    </row>
    <row r="282" spans="1:7" s="129" customFormat="1">
      <c r="A282" s="237" t="s">
        <v>1102</v>
      </c>
      <c r="B282" s="195" t="s">
        <v>1408</v>
      </c>
      <c r="C282" s="195" t="s">
        <v>1408</v>
      </c>
      <c r="D282" s="197"/>
      <c r="E282" s="128"/>
      <c r="F282" s="241" t="s">
        <v>1137</v>
      </c>
      <c r="G282" s="241" t="s">
        <v>2978</v>
      </c>
    </row>
    <row r="283" spans="1:7" s="129" customFormat="1">
      <c r="A283" s="237" t="s">
        <v>1102</v>
      </c>
      <c r="B283" s="237" t="s">
        <v>1407</v>
      </c>
      <c r="C283" s="237" t="s">
        <v>1141</v>
      </c>
      <c r="D283" s="197"/>
      <c r="E283" s="128"/>
      <c r="F283" s="241" t="s">
        <v>1420</v>
      </c>
      <c r="G283" s="241" t="s">
        <v>2979</v>
      </c>
    </row>
    <row r="284" spans="1:7" s="129" customFormat="1">
      <c r="A284" s="237" t="s">
        <v>1102</v>
      </c>
      <c r="B284" s="237" t="s">
        <v>1407</v>
      </c>
      <c r="C284" s="237" t="s">
        <v>1141</v>
      </c>
      <c r="D284" s="197"/>
      <c r="E284" s="128"/>
      <c r="F284" s="241" t="s">
        <v>1149</v>
      </c>
      <c r="G284" s="241" t="s">
        <v>2980</v>
      </c>
    </row>
    <row r="285" spans="1:7" s="129" customFormat="1">
      <c r="A285" s="195" t="s">
        <v>1102</v>
      </c>
      <c r="B285" s="237" t="s">
        <v>1407</v>
      </c>
      <c r="C285" s="236" t="s">
        <v>1141</v>
      </c>
      <c r="D285" s="128"/>
      <c r="E285" s="128"/>
      <c r="F285" s="241" t="s">
        <v>1153</v>
      </c>
      <c r="G285" s="241" t="s">
        <v>2981</v>
      </c>
    </row>
    <row r="286" spans="1:7" s="129" customFormat="1">
      <c r="A286" s="195" t="s">
        <v>1354</v>
      </c>
      <c r="B286" s="195" t="s">
        <v>1384</v>
      </c>
      <c r="C286" s="236" t="s">
        <v>3160</v>
      </c>
      <c r="D286" s="128" t="s">
        <v>685</v>
      </c>
      <c r="E286" s="128"/>
      <c r="F286" s="241" t="s">
        <v>2633</v>
      </c>
      <c r="G286" s="241" t="s">
        <v>2825</v>
      </c>
    </row>
    <row r="287" spans="1:7" s="129" customFormat="1">
      <c r="A287" s="195" t="s">
        <v>1354</v>
      </c>
      <c r="B287" s="195" t="s">
        <v>1384</v>
      </c>
      <c r="C287" s="236" t="s">
        <v>3160</v>
      </c>
      <c r="D287" s="128" t="s">
        <v>685</v>
      </c>
      <c r="E287" s="128"/>
      <c r="F287" s="241" t="s">
        <v>1671</v>
      </c>
      <c r="G287" s="241" t="s">
        <v>3026</v>
      </c>
    </row>
    <row r="288" spans="1:7" s="129" customFormat="1">
      <c r="A288" s="195" t="s">
        <v>1354</v>
      </c>
      <c r="B288" s="195" t="s">
        <v>1384</v>
      </c>
      <c r="C288" s="236" t="s">
        <v>3160</v>
      </c>
      <c r="D288" s="128" t="s">
        <v>685</v>
      </c>
      <c r="E288" s="128"/>
      <c r="F288" s="241" t="s">
        <v>1672</v>
      </c>
      <c r="G288" s="241" t="s">
        <v>3027</v>
      </c>
    </row>
    <row r="289" spans="1:7" s="129" customFormat="1">
      <c r="A289" s="195" t="s">
        <v>1354</v>
      </c>
      <c r="B289" s="195" t="s">
        <v>1384</v>
      </c>
      <c r="C289" s="236" t="s">
        <v>3159</v>
      </c>
      <c r="D289" s="128" t="s">
        <v>685</v>
      </c>
      <c r="E289" s="128"/>
      <c r="F289" s="241" t="s">
        <v>703</v>
      </c>
      <c r="G289" s="241" t="s">
        <v>2982</v>
      </c>
    </row>
    <row r="290" spans="1:7" s="129" customFormat="1">
      <c r="A290" s="195" t="s">
        <v>1354</v>
      </c>
      <c r="B290" s="195" t="s">
        <v>1384</v>
      </c>
      <c r="C290" s="236" t="s">
        <v>3159</v>
      </c>
      <c r="D290" s="128" t="s">
        <v>685</v>
      </c>
      <c r="E290" s="128"/>
      <c r="F290" s="241" t="s">
        <v>706</v>
      </c>
      <c r="G290" s="241" t="s">
        <v>2983</v>
      </c>
    </row>
    <row r="291" spans="1:7" s="129" customFormat="1">
      <c r="A291" s="195" t="s">
        <v>1354</v>
      </c>
      <c r="B291" s="195" t="s">
        <v>1384</v>
      </c>
      <c r="C291" s="236" t="s">
        <v>3159</v>
      </c>
      <c r="D291" s="128" t="s">
        <v>685</v>
      </c>
      <c r="E291" s="128"/>
      <c r="F291" s="241" t="s">
        <v>709</v>
      </c>
      <c r="G291" s="241" t="s">
        <v>2984</v>
      </c>
    </row>
    <row r="292" spans="1:7" s="129" customFormat="1">
      <c r="A292" s="195" t="s">
        <v>1354</v>
      </c>
      <c r="B292" s="195" t="s">
        <v>1384</v>
      </c>
      <c r="C292" s="236" t="s">
        <v>3159</v>
      </c>
      <c r="D292" s="128" t="s">
        <v>685</v>
      </c>
      <c r="E292" s="128"/>
      <c r="F292" s="241" t="s">
        <v>712</v>
      </c>
      <c r="G292" s="241" t="s">
        <v>2985</v>
      </c>
    </row>
    <row r="293" spans="1:7" s="129" customFormat="1">
      <c r="A293" s="195" t="s">
        <v>1354</v>
      </c>
      <c r="B293" s="195" t="s">
        <v>1384</v>
      </c>
      <c r="C293" s="236" t="s">
        <v>3158</v>
      </c>
      <c r="D293" s="128" t="s">
        <v>685</v>
      </c>
      <c r="E293" s="128"/>
      <c r="F293" s="241" t="s">
        <v>718</v>
      </c>
      <c r="G293" s="241" t="s">
        <v>2986</v>
      </c>
    </row>
    <row r="294" spans="1:7" s="129" customFormat="1">
      <c r="A294" s="195" t="s">
        <v>1354</v>
      </c>
      <c r="B294" s="195" t="s">
        <v>1384</v>
      </c>
      <c r="C294" s="236" t="s">
        <v>3158</v>
      </c>
      <c r="D294" s="128" t="s">
        <v>685</v>
      </c>
      <c r="E294" s="128"/>
      <c r="F294" s="241" t="s">
        <v>721</v>
      </c>
      <c r="G294" s="241" t="s">
        <v>2987</v>
      </c>
    </row>
    <row r="295" spans="1:7" s="129" customFormat="1">
      <c r="A295" s="195" t="s">
        <v>1354</v>
      </c>
      <c r="B295" s="195" t="s">
        <v>1384</v>
      </c>
      <c r="C295" s="236" t="s">
        <v>3158</v>
      </c>
      <c r="D295" s="128" t="s">
        <v>685</v>
      </c>
      <c r="E295" s="128"/>
      <c r="F295" s="241" t="s">
        <v>724</v>
      </c>
      <c r="G295" s="241" t="s">
        <v>2988</v>
      </c>
    </row>
    <row r="296" spans="1:7" s="129" customFormat="1">
      <c r="A296" s="195" t="s">
        <v>1354</v>
      </c>
      <c r="B296" s="195" t="s">
        <v>1384</v>
      </c>
      <c r="C296" s="236" t="s">
        <v>3158</v>
      </c>
      <c r="D296" s="128" t="s">
        <v>685</v>
      </c>
      <c r="E296" s="128"/>
      <c r="F296" s="241" t="s">
        <v>727</v>
      </c>
      <c r="G296" s="241" t="s">
        <v>2989</v>
      </c>
    </row>
    <row r="297" spans="1:7" s="129" customFormat="1">
      <c r="A297" s="195" t="s">
        <v>1354</v>
      </c>
      <c r="B297" s="195" t="s">
        <v>1384</v>
      </c>
      <c r="C297" s="236" t="s">
        <v>3157</v>
      </c>
      <c r="D297" s="128" t="s">
        <v>685</v>
      </c>
      <c r="E297" s="128"/>
      <c r="F297" s="241" t="s">
        <v>731</v>
      </c>
      <c r="G297" s="241" t="s">
        <v>2990</v>
      </c>
    </row>
    <row r="298" spans="1:7" s="129" customFormat="1">
      <c r="A298" s="195" t="s">
        <v>1354</v>
      </c>
      <c r="B298" s="195" t="s">
        <v>1384</v>
      </c>
      <c r="C298" s="236" t="s">
        <v>3157</v>
      </c>
      <c r="D298" s="128" t="s">
        <v>685</v>
      </c>
      <c r="E298" s="128"/>
      <c r="F298" s="241" t="s">
        <v>734</v>
      </c>
      <c r="G298" s="241" t="s">
        <v>2991</v>
      </c>
    </row>
    <row r="299" spans="1:7" s="129" customFormat="1">
      <c r="A299" s="195" t="s">
        <v>1354</v>
      </c>
      <c r="B299" s="195" t="s">
        <v>1384</v>
      </c>
      <c r="C299" s="236" t="s">
        <v>3157</v>
      </c>
      <c r="D299" s="128" t="s">
        <v>685</v>
      </c>
      <c r="E299" s="128"/>
      <c r="F299" s="241" t="s">
        <v>737</v>
      </c>
      <c r="G299" s="241" t="s">
        <v>2992</v>
      </c>
    </row>
    <row r="300" spans="1:7" s="129" customFormat="1">
      <c r="A300" s="195" t="s">
        <v>1354</v>
      </c>
      <c r="B300" s="195" t="s">
        <v>1384</v>
      </c>
      <c r="C300" s="236" t="s">
        <v>3157</v>
      </c>
      <c r="D300" s="128" t="s">
        <v>685</v>
      </c>
      <c r="E300" s="128"/>
      <c r="F300" s="241" t="s">
        <v>740</v>
      </c>
      <c r="G300" s="241" t="s">
        <v>2993</v>
      </c>
    </row>
    <row r="301" spans="1:7" s="129" customFormat="1">
      <c r="A301" s="195" t="s">
        <v>1354</v>
      </c>
      <c r="B301" s="195" t="s">
        <v>1384</v>
      </c>
      <c r="C301" s="236" t="s">
        <v>3157</v>
      </c>
      <c r="D301" s="128" t="s">
        <v>685</v>
      </c>
      <c r="E301" s="128"/>
      <c r="F301" s="241" t="s">
        <v>2272</v>
      </c>
      <c r="G301" s="241" t="s">
        <v>2825</v>
      </c>
    </row>
    <row r="302" spans="1:7" s="129" customFormat="1">
      <c r="A302" s="195" t="s">
        <v>1354</v>
      </c>
      <c r="B302" s="195" t="s">
        <v>1384</v>
      </c>
      <c r="C302" s="236" t="s">
        <v>3157</v>
      </c>
      <c r="D302" s="128" t="s">
        <v>685</v>
      </c>
      <c r="E302" s="128"/>
      <c r="F302" s="241" t="s">
        <v>2273</v>
      </c>
      <c r="G302" s="241" t="s">
        <v>2825</v>
      </c>
    </row>
    <row r="303" spans="1:7" s="129" customFormat="1">
      <c r="A303" s="195" t="s">
        <v>1354</v>
      </c>
      <c r="B303" s="195" t="s">
        <v>1384</v>
      </c>
      <c r="C303" s="236" t="s">
        <v>3157</v>
      </c>
      <c r="D303" s="128" t="s">
        <v>685</v>
      </c>
      <c r="E303" s="128"/>
      <c r="F303" s="241" t="s">
        <v>2279</v>
      </c>
      <c r="G303" s="241" t="s">
        <v>2825</v>
      </c>
    </row>
    <row r="304" spans="1:7" s="129" customFormat="1">
      <c r="A304" s="195" t="s">
        <v>1354</v>
      </c>
      <c r="B304" s="195" t="s">
        <v>1384</v>
      </c>
      <c r="C304" s="236" t="s">
        <v>3157</v>
      </c>
      <c r="D304" s="128" t="s">
        <v>685</v>
      </c>
      <c r="E304" s="128"/>
      <c r="F304" s="241" t="s">
        <v>2280</v>
      </c>
      <c r="G304" s="241" t="s">
        <v>2825</v>
      </c>
    </row>
    <row r="305" spans="1:7" s="129" customFormat="1">
      <c r="A305" s="195" t="s">
        <v>1354</v>
      </c>
      <c r="B305" s="195" t="s">
        <v>1384</v>
      </c>
      <c r="C305" s="236" t="s">
        <v>3157</v>
      </c>
      <c r="D305" s="128" t="s">
        <v>685</v>
      </c>
      <c r="E305" s="128"/>
      <c r="F305" s="241" t="s">
        <v>2281</v>
      </c>
      <c r="G305" s="241" t="s">
        <v>2825</v>
      </c>
    </row>
    <row r="306" spans="1:7" s="129" customFormat="1">
      <c r="A306" s="195" t="s">
        <v>1354</v>
      </c>
      <c r="B306" s="195" t="s">
        <v>1384</v>
      </c>
      <c r="C306" s="236" t="s">
        <v>3157</v>
      </c>
      <c r="D306" s="128" t="s">
        <v>685</v>
      </c>
      <c r="E306" s="128"/>
      <c r="F306" s="241" t="s">
        <v>2282</v>
      </c>
      <c r="G306" s="241" t="s">
        <v>2825</v>
      </c>
    </row>
    <row r="307" spans="1:7" s="129" customFormat="1">
      <c r="A307" s="195" t="s">
        <v>1354</v>
      </c>
      <c r="B307" s="195" t="s">
        <v>1384</v>
      </c>
      <c r="C307" s="236" t="s">
        <v>3157</v>
      </c>
      <c r="D307" s="128" t="s">
        <v>685</v>
      </c>
      <c r="E307" s="128"/>
      <c r="F307" s="241" t="s">
        <v>2283</v>
      </c>
      <c r="G307" s="241" t="s">
        <v>2825</v>
      </c>
    </row>
    <row r="308" spans="1:7" s="129" customFormat="1">
      <c r="A308" s="195" t="s">
        <v>1354</v>
      </c>
      <c r="B308" s="195" t="s">
        <v>1384</v>
      </c>
      <c r="C308" s="236" t="s">
        <v>3165</v>
      </c>
      <c r="D308" s="128" t="s">
        <v>685</v>
      </c>
      <c r="E308" s="128"/>
      <c r="F308" s="241" t="s">
        <v>2419</v>
      </c>
      <c r="G308" s="241" t="s">
        <v>2825</v>
      </c>
    </row>
    <row r="309" spans="1:7" s="129" customFormat="1">
      <c r="A309" s="195" t="s">
        <v>1354</v>
      </c>
      <c r="B309" s="195" t="s">
        <v>1384</v>
      </c>
      <c r="C309" s="236" t="s">
        <v>3164</v>
      </c>
      <c r="D309" s="128" t="s">
        <v>685</v>
      </c>
      <c r="E309" s="128"/>
      <c r="F309" s="241" t="s">
        <v>752</v>
      </c>
      <c r="G309" s="241" t="s">
        <v>2994</v>
      </c>
    </row>
    <row r="310" spans="1:7" s="129" customFormat="1">
      <c r="A310" s="195" t="s">
        <v>1354</v>
      </c>
      <c r="B310" s="195" t="s">
        <v>1384</v>
      </c>
      <c r="C310" s="236" t="s">
        <v>3164</v>
      </c>
      <c r="D310" s="128" t="s">
        <v>685</v>
      </c>
      <c r="E310" s="128"/>
      <c r="F310" s="241" t="s">
        <v>755</v>
      </c>
      <c r="G310" s="241" t="s">
        <v>2995</v>
      </c>
    </row>
    <row r="311" spans="1:7" s="129" customFormat="1">
      <c r="A311" s="195" t="s">
        <v>1354</v>
      </c>
      <c r="B311" s="195" t="s">
        <v>1384</v>
      </c>
      <c r="C311" s="236" t="s">
        <v>3161</v>
      </c>
      <c r="D311" s="128" t="s">
        <v>685</v>
      </c>
      <c r="E311" s="128"/>
      <c r="F311" s="241" t="s">
        <v>759</v>
      </c>
      <c r="G311" s="241" t="s">
        <v>2996</v>
      </c>
    </row>
    <row r="312" spans="1:7" s="129" customFormat="1">
      <c r="A312" s="195" t="s">
        <v>1354</v>
      </c>
      <c r="B312" s="195" t="s">
        <v>1384</v>
      </c>
      <c r="C312" s="236" t="s">
        <v>3161</v>
      </c>
      <c r="D312" s="128" t="s">
        <v>685</v>
      </c>
      <c r="E312" s="128"/>
      <c r="F312" s="241" t="s">
        <v>762</v>
      </c>
      <c r="G312" s="241" t="s">
        <v>2997</v>
      </c>
    </row>
    <row r="313" spans="1:7" s="129" customFormat="1">
      <c r="A313" s="195" t="s">
        <v>1354</v>
      </c>
      <c r="B313" s="195" t="s">
        <v>1384</v>
      </c>
      <c r="C313" s="236" t="s">
        <v>3162</v>
      </c>
      <c r="D313" s="128" t="s">
        <v>1679</v>
      </c>
      <c r="E313" s="128"/>
      <c r="F313" s="241" t="s">
        <v>2295</v>
      </c>
      <c r="G313" s="241" t="s">
        <v>2825</v>
      </c>
    </row>
    <row r="314" spans="1:7" s="129" customFormat="1">
      <c r="A314" s="195" t="s">
        <v>1354</v>
      </c>
      <c r="B314" s="195" t="s">
        <v>1384</v>
      </c>
      <c r="C314" s="236" t="s">
        <v>3162</v>
      </c>
      <c r="D314" s="128" t="s">
        <v>1679</v>
      </c>
      <c r="E314" s="128"/>
      <c r="F314" s="241" t="s">
        <v>2296</v>
      </c>
      <c r="G314" s="241" t="s">
        <v>2825</v>
      </c>
    </row>
    <row r="315" spans="1:7" s="129" customFormat="1">
      <c r="A315" s="195" t="s">
        <v>1354</v>
      </c>
      <c r="B315" s="195" t="s">
        <v>1384</v>
      </c>
      <c r="C315" s="236" t="s">
        <v>3162</v>
      </c>
      <c r="D315" s="128" t="s">
        <v>1679</v>
      </c>
      <c r="E315" s="128"/>
      <c r="F315" s="241" t="s">
        <v>2297</v>
      </c>
      <c r="G315" s="241" t="s">
        <v>2825</v>
      </c>
    </row>
    <row r="316" spans="1:7" s="129" customFormat="1">
      <c r="A316" s="195" t="s">
        <v>1354</v>
      </c>
      <c r="B316" s="195" t="s">
        <v>1384</v>
      </c>
      <c r="C316" s="236" t="s">
        <v>3163</v>
      </c>
      <c r="D316" s="128" t="s">
        <v>1679</v>
      </c>
      <c r="E316" s="128"/>
      <c r="F316" s="241" t="s">
        <v>2344</v>
      </c>
      <c r="G316" s="241" t="s">
        <v>2825</v>
      </c>
    </row>
    <row r="317" spans="1:7" s="129" customFormat="1">
      <c r="A317" s="195" t="s">
        <v>1354</v>
      </c>
      <c r="B317" s="195" t="s">
        <v>1384</v>
      </c>
      <c r="C317" s="236" t="s">
        <v>3163</v>
      </c>
      <c r="D317" s="128" t="s">
        <v>1679</v>
      </c>
      <c r="E317" s="128"/>
      <c r="F317" s="241" t="s">
        <v>2304</v>
      </c>
      <c r="G317" s="241" t="s">
        <v>2825</v>
      </c>
    </row>
    <row r="318" spans="1:7" s="129" customFormat="1">
      <c r="A318" s="195" t="s">
        <v>1354</v>
      </c>
      <c r="B318" s="195" t="s">
        <v>1384</v>
      </c>
      <c r="C318" s="236" t="s">
        <v>3163</v>
      </c>
      <c r="D318" s="128" t="s">
        <v>1679</v>
      </c>
      <c r="E318" s="128"/>
      <c r="F318" s="241" t="s">
        <v>2305</v>
      </c>
      <c r="G318" s="241" t="s">
        <v>2825</v>
      </c>
    </row>
    <row r="319" spans="1:7" s="129" customFormat="1">
      <c r="A319" s="195" t="s">
        <v>1354</v>
      </c>
      <c r="B319" s="195" t="s">
        <v>1384</v>
      </c>
      <c r="C319" s="236" t="s">
        <v>3157</v>
      </c>
      <c r="D319" s="128" t="s">
        <v>765</v>
      </c>
      <c r="E319" s="128"/>
      <c r="F319" s="241" t="s">
        <v>2311</v>
      </c>
      <c r="G319" s="241" t="s">
        <v>2825</v>
      </c>
    </row>
    <row r="320" spans="1:7" s="129" customFormat="1">
      <c r="A320" s="195" t="s">
        <v>1354</v>
      </c>
      <c r="B320" s="195" t="s">
        <v>1384</v>
      </c>
      <c r="C320" s="236" t="s">
        <v>3157</v>
      </c>
      <c r="D320" s="128" t="s">
        <v>765</v>
      </c>
      <c r="E320" s="128"/>
      <c r="F320" s="241" t="s">
        <v>2312</v>
      </c>
      <c r="G320" s="241" t="s">
        <v>2825</v>
      </c>
    </row>
    <row r="321" spans="1:7" s="129" customFormat="1">
      <c r="A321" s="195" t="s">
        <v>1354</v>
      </c>
      <c r="B321" s="195" t="s">
        <v>1384</v>
      </c>
      <c r="C321" s="236" t="s">
        <v>3160</v>
      </c>
      <c r="D321" s="128" t="s">
        <v>765</v>
      </c>
      <c r="E321" s="128"/>
      <c r="F321" s="241" t="s">
        <v>2320</v>
      </c>
      <c r="G321" s="241" t="s">
        <v>2825</v>
      </c>
    </row>
    <row r="322" spans="1:7" s="129" customFormat="1">
      <c r="A322" s="195" t="s">
        <v>1354</v>
      </c>
      <c r="B322" s="195" t="s">
        <v>1384</v>
      </c>
      <c r="C322" s="236" t="s">
        <v>3160</v>
      </c>
      <c r="D322" s="128" t="s">
        <v>765</v>
      </c>
      <c r="E322" s="128"/>
      <c r="F322" s="241" t="s">
        <v>2321</v>
      </c>
      <c r="G322" s="241" t="s">
        <v>2825</v>
      </c>
    </row>
    <row r="323" spans="1:7" s="129" customFormat="1">
      <c r="A323" s="195" t="s">
        <v>1354</v>
      </c>
      <c r="B323" s="195" t="s">
        <v>1384</v>
      </c>
      <c r="C323" s="236" t="s">
        <v>3160</v>
      </c>
      <c r="D323" s="128" t="s">
        <v>765</v>
      </c>
      <c r="E323" s="128"/>
      <c r="F323" s="241" t="s">
        <v>1680</v>
      </c>
      <c r="G323" s="241" t="s">
        <v>2825</v>
      </c>
    </row>
    <row r="324" spans="1:7" s="129" customFormat="1">
      <c r="A324" s="195" t="s">
        <v>1354</v>
      </c>
      <c r="B324" s="195" t="s">
        <v>1384</v>
      </c>
      <c r="C324" s="236" t="s">
        <v>3165</v>
      </c>
      <c r="D324" s="128" t="s">
        <v>765</v>
      </c>
      <c r="E324" s="128"/>
      <c r="F324" s="241" t="s">
        <v>1681</v>
      </c>
      <c r="G324" s="241" t="s">
        <v>2825</v>
      </c>
    </row>
    <row r="325" spans="1:7" s="129" customFormat="1">
      <c r="A325" s="195" t="s">
        <v>1354</v>
      </c>
      <c r="B325" s="195" t="s">
        <v>1384</v>
      </c>
      <c r="C325" s="236" t="s">
        <v>3159</v>
      </c>
      <c r="D325" s="128" t="s">
        <v>765</v>
      </c>
      <c r="E325" s="128"/>
      <c r="F325" s="241" t="s">
        <v>784</v>
      </c>
      <c r="G325" s="241" t="s">
        <v>2998</v>
      </c>
    </row>
    <row r="326" spans="1:7" s="129" customFormat="1">
      <c r="A326" s="195" t="s">
        <v>1354</v>
      </c>
      <c r="B326" s="195" t="s">
        <v>1384</v>
      </c>
      <c r="C326" s="236" t="s">
        <v>3159</v>
      </c>
      <c r="D326" s="128" t="s">
        <v>765</v>
      </c>
      <c r="E326" s="128"/>
      <c r="F326" s="241" t="s">
        <v>2404</v>
      </c>
      <c r="G326" s="241" t="s">
        <v>2999</v>
      </c>
    </row>
    <row r="327" spans="1:7" s="129" customFormat="1">
      <c r="A327" s="195" t="s">
        <v>1354</v>
      </c>
      <c r="B327" s="195" t="s">
        <v>1384</v>
      </c>
      <c r="C327" s="236" t="s">
        <v>3159</v>
      </c>
      <c r="D327" s="128" t="s">
        <v>765</v>
      </c>
      <c r="E327" s="128"/>
      <c r="F327" s="241" t="s">
        <v>790</v>
      </c>
      <c r="G327" s="241" t="s">
        <v>3000</v>
      </c>
    </row>
    <row r="328" spans="1:7" s="172" customFormat="1">
      <c r="A328" s="195" t="s">
        <v>1354</v>
      </c>
      <c r="B328" s="195" t="s">
        <v>1384</v>
      </c>
      <c r="C328" s="236" t="s">
        <v>3159</v>
      </c>
      <c r="D328" s="128" t="s">
        <v>765</v>
      </c>
      <c r="E328" s="128"/>
      <c r="F328" s="241" t="s">
        <v>793</v>
      </c>
      <c r="G328" s="241" t="s">
        <v>3001</v>
      </c>
    </row>
    <row r="329" spans="1:7" s="129" customFormat="1">
      <c r="A329" s="195" t="s">
        <v>1354</v>
      </c>
      <c r="B329" s="195" t="s">
        <v>1384</v>
      </c>
      <c r="C329" s="236" t="s">
        <v>3159</v>
      </c>
      <c r="D329" s="128" t="s">
        <v>2351</v>
      </c>
      <c r="E329" s="128"/>
      <c r="F329" s="241" t="s">
        <v>796</v>
      </c>
      <c r="G329" s="241" t="s">
        <v>3002</v>
      </c>
    </row>
    <row r="330" spans="1:7" s="129" customFormat="1">
      <c r="A330" s="195" t="s">
        <v>1354</v>
      </c>
      <c r="B330" s="195" t="s">
        <v>1384</v>
      </c>
      <c r="C330" s="236" t="s">
        <v>3159</v>
      </c>
      <c r="D330" s="128" t="s">
        <v>2351</v>
      </c>
      <c r="E330" s="128"/>
      <c r="F330" s="241" t="s">
        <v>799</v>
      </c>
      <c r="G330" s="241" t="s">
        <v>3003</v>
      </c>
    </row>
    <row r="331" spans="1:7" s="129" customFormat="1">
      <c r="A331" s="195" t="s">
        <v>1354</v>
      </c>
      <c r="B331" s="195" t="s">
        <v>1384</v>
      </c>
      <c r="C331" s="236" t="s">
        <v>3159</v>
      </c>
      <c r="D331" s="128" t="s">
        <v>2351</v>
      </c>
      <c r="E331" s="128"/>
      <c r="F331" s="241" t="s">
        <v>802</v>
      </c>
      <c r="G331" s="241" t="s">
        <v>3004</v>
      </c>
    </row>
    <row r="332" spans="1:7" s="129" customFormat="1">
      <c r="A332" s="195" t="s">
        <v>1354</v>
      </c>
      <c r="B332" s="195" t="s">
        <v>1384</v>
      </c>
      <c r="C332" s="236" t="s">
        <v>3159</v>
      </c>
      <c r="D332" s="128" t="s">
        <v>2351</v>
      </c>
      <c r="E332" s="128"/>
      <c r="F332" s="241" t="s">
        <v>805</v>
      </c>
      <c r="G332" s="241" t="s">
        <v>3005</v>
      </c>
    </row>
    <row r="333" spans="1:7" s="129" customFormat="1">
      <c r="A333" s="195" t="s">
        <v>1354</v>
      </c>
      <c r="B333" s="195" t="s">
        <v>1384</v>
      </c>
      <c r="C333" s="236" t="s">
        <v>3164</v>
      </c>
      <c r="D333" s="128" t="s">
        <v>765</v>
      </c>
      <c r="E333" s="128"/>
      <c r="F333" s="241" t="s">
        <v>808</v>
      </c>
      <c r="G333" s="241" t="s">
        <v>3006</v>
      </c>
    </row>
    <row r="334" spans="1:7" s="129" customFormat="1">
      <c r="A334" s="195" t="s">
        <v>1354</v>
      </c>
      <c r="B334" s="195" t="s">
        <v>1384</v>
      </c>
      <c r="C334" s="236" t="s">
        <v>3164</v>
      </c>
      <c r="D334" s="128" t="s">
        <v>765</v>
      </c>
      <c r="E334" s="128"/>
      <c r="F334" s="241" t="s">
        <v>811</v>
      </c>
      <c r="G334" s="241" t="s">
        <v>3007</v>
      </c>
    </row>
    <row r="335" spans="1:7" s="129" customFormat="1">
      <c r="A335" s="195" t="s">
        <v>1354</v>
      </c>
      <c r="B335" s="195" t="s">
        <v>1384</v>
      </c>
      <c r="C335" s="236" t="s">
        <v>3161</v>
      </c>
      <c r="D335" s="128" t="s">
        <v>765</v>
      </c>
      <c r="E335" s="128"/>
      <c r="F335" s="241" t="s">
        <v>814</v>
      </c>
      <c r="G335" s="241" t="s">
        <v>3008</v>
      </c>
    </row>
    <row r="336" spans="1:7" s="129" customFormat="1">
      <c r="A336" s="195" t="s">
        <v>1354</v>
      </c>
      <c r="B336" s="195" t="s">
        <v>1384</v>
      </c>
      <c r="C336" s="236" t="s">
        <v>3161</v>
      </c>
      <c r="D336" s="128" t="s">
        <v>765</v>
      </c>
      <c r="E336" s="128"/>
      <c r="F336" s="241" t="s">
        <v>817</v>
      </c>
      <c r="G336" s="241" t="s">
        <v>3009</v>
      </c>
    </row>
    <row r="337" spans="1:7" s="129" customFormat="1">
      <c r="A337" s="195" t="s">
        <v>1354</v>
      </c>
      <c r="B337" s="195" t="s">
        <v>1384</v>
      </c>
      <c r="C337" s="236" t="s">
        <v>3162</v>
      </c>
      <c r="D337" s="128" t="s">
        <v>1686</v>
      </c>
      <c r="E337" s="128"/>
      <c r="F337" s="241" t="s">
        <v>2329</v>
      </c>
      <c r="G337" s="241" t="s">
        <v>2825</v>
      </c>
    </row>
    <row r="338" spans="1:7" s="129" customFormat="1">
      <c r="A338" s="195" t="s">
        <v>1354</v>
      </c>
      <c r="B338" s="195" t="s">
        <v>1384</v>
      </c>
      <c r="C338" s="236" t="s">
        <v>3162</v>
      </c>
      <c r="D338" s="128" t="s">
        <v>1686</v>
      </c>
      <c r="E338" s="128"/>
      <c r="F338" s="241" t="s">
        <v>2330</v>
      </c>
      <c r="G338" s="241" t="s">
        <v>2825</v>
      </c>
    </row>
    <row r="339" spans="1:7" s="129" customFormat="1">
      <c r="A339" s="195" t="s">
        <v>1354</v>
      </c>
      <c r="B339" s="195" t="s">
        <v>1384</v>
      </c>
      <c r="C339" s="236" t="s">
        <v>3162</v>
      </c>
      <c r="D339" s="128" t="s">
        <v>1686</v>
      </c>
      <c r="E339" s="128"/>
      <c r="F339" s="241" t="s">
        <v>2331</v>
      </c>
      <c r="G339" s="241" t="s">
        <v>2825</v>
      </c>
    </row>
    <row r="340" spans="1:7" s="129" customFormat="1">
      <c r="A340" s="195" t="s">
        <v>1354</v>
      </c>
      <c r="B340" s="195" t="s">
        <v>1384</v>
      </c>
      <c r="C340" s="236" t="s">
        <v>3163</v>
      </c>
      <c r="D340" s="128" t="s">
        <v>1686</v>
      </c>
      <c r="E340" s="128"/>
      <c r="F340" s="241" t="s">
        <v>2341</v>
      </c>
      <c r="G340" s="241" t="s">
        <v>2825</v>
      </c>
    </row>
    <row r="341" spans="1:7" s="129" customFormat="1">
      <c r="A341" s="195" t="s">
        <v>1354</v>
      </c>
      <c r="B341" s="195" t="s">
        <v>1384</v>
      </c>
      <c r="C341" s="236" t="s">
        <v>3163</v>
      </c>
      <c r="D341" s="128" t="s">
        <v>1686</v>
      </c>
      <c r="E341" s="128"/>
      <c r="F341" s="241" t="s">
        <v>2342</v>
      </c>
      <c r="G341" s="241" t="s">
        <v>2825</v>
      </c>
    </row>
    <row r="342" spans="1:7" s="129" customFormat="1" ht="12.75" customHeight="1">
      <c r="A342" s="195" t="s">
        <v>1354</v>
      </c>
      <c r="B342" s="195" t="s">
        <v>1384</v>
      </c>
      <c r="C342" s="236" t="s">
        <v>3163</v>
      </c>
      <c r="D342" s="128" t="s">
        <v>1686</v>
      </c>
      <c r="E342" s="128"/>
      <c r="F342" s="241" t="s">
        <v>2343</v>
      </c>
      <c r="G342" s="241" t="s">
        <v>2825</v>
      </c>
    </row>
    <row r="343" spans="1:7" s="129" customFormat="1">
      <c r="A343" s="195" t="s">
        <v>1354</v>
      </c>
      <c r="B343" s="195" t="s">
        <v>1384</v>
      </c>
      <c r="C343" s="236" t="s">
        <v>3160</v>
      </c>
      <c r="D343" s="128" t="s">
        <v>839</v>
      </c>
      <c r="E343" s="128"/>
      <c r="F343" s="241" t="s">
        <v>2241</v>
      </c>
      <c r="G343" s="241" t="s">
        <v>3028</v>
      </c>
    </row>
    <row r="344" spans="1:7" s="129" customFormat="1">
      <c r="A344" s="195" t="s">
        <v>1354</v>
      </c>
      <c r="B344" s="195" t="s">
        <v>1384</v>
      </c>
      <c r="C344" s="236" t="s">
        <v>3160</v>
      </c>
      <c r="D344" s="128" t="s">
        <v>839</v>
      </c>
      <c r="E344" s="128"/>
      <c r="F344" s="241" t="s">
        <v>1660</v>
      </c>
      <c r="G344" s="241" t="s">
        <v>3029</v>
      </c>
    </row>
    <row r="345" spans="1:7" s="129" customFormat="1">
      <c r="A345" s="195" t="s">
        <v>1354</v>
      </c>
      <c r="B345" s="195" t="s">
        <v>1384</v>
      </c>
      <c r="C345" s="236" t="s">
        <v>3160</v>
      </c>
      <c r="D345" s="128" t="s">
        <v>839</v>
      </c>
      <c r="E345" s="128"/>
      <c r="F345" s="241" t="s">
        <v>1661</v>
      </c>
      <c r="G345" s="241" t="s">
        <v>3030</v>
      </c>
    </row>
    <row r="346" spans="1:7" s="129" customFormat="1">
      <c r="A346" s="195" t="s">
        <v>1354</v>
      </c>
      <c r="B346" s="195" t="s">
        <v>1384</v>
      </c>
      <c r="C346" s="236" t="s">
        <v>3159</v>
      </c>
      <c r="D346" s="128" t="s">
        <v>839</v>
      </c>
      <c r="E346" s="128"/>
      <c r="F346" s="241" t="s">
        <v>853</v>
      </c>
      <c r="G346" s="241" t="s">
        <v>3010</v>
      </c>
    </row>
    <row r="347" spans="1:7" s="129" customFormat="1">
      <c r="A347" s="195" t="s">
        <v>1354</v>
      </c>
      <c r="B347" s="195" t="s">
        <v>1384</v>
      </c>
      <c r="C347" s="236" t="s">
        <v>3159</v>
      </c>
      <c r="D347" s="128" t="s">
        <v>839</v>
      </c>
      <c r="E347" s="128"/>
      <c r="F347" s="241" t="s">
        <v>856</v>
      </c>
      <c r="G347" s="241" t="s">
        <v>3011</v>
      </c>
    </row>
    <row r="348" spans="1:7" s="129" customFormat="1">
      <c r="A348" s="195" t="s">
        <v>1354</v>
      </c>
      <c r="B348" s="195" t="s">
        <v>1384</v>
      </c>
      <c r="C348" s="236" t="s">
        <v>3159</v>
      </c>
      <c r="D348" s="128" t="s">
        <v>839</v>
      </c>
      <c r="E348" s="128"/>
      <c r="F348" s="241" t="s">
        <v>859</v>
      </c>
      <c r="G348" s="241" t="s">
        <v>3012</v>
      </c>
    </row>
    <row r="349" spans="1:7" s="129" customFormat="1">
      <c r="A349" s="195" t="s">
        <v>1354</v>
      </c>
      <c r="B349" s="195" t="s">
        <v>1384</v>
      </c>
      <c r="C349" s="236" t="s">
        <v>3159</v>
      </c>
      <c r="D349" s="128" t="s">
        <v>839</v>
      </c>
      <c r="E349" s="128"/>
      <c r="F349" s="241" t="s">
        <v>862</v>
      </c>
      <c r="G349" s="241" t="s">
        <v>3013</v>
      </c>
    </row>
    <row r="350" spans="1:7" s="129" customFormat="1">
      <c r="A350" s="195" t="s">
        <v>1354</v>
      </c>
      <c r="B350" s="195" t="s">
        <v>1384</v>
      </c>
      <c r="C350" s="236" t="s">
        <v>3158</v>
      </c>
      <c r="D350" s="128" t="s">
        <v>839</v>
      </c>
      <c r="E350" s="128"/>
      <c r="F350" s="241" t="s">
        <v>865</v>
      </c>
      <c r="G350" s="241" t="s">
        <v>3014</v>
      </c>
    </row>
    <row r="351" spans="1:7" s="129" customFormat="1">
      <c r="A351" s="195" t="s">
        <v>1354</v>
      </c>
      <c r="B351" s="195" t="s">
        <v>1384</v>
      </c>
      <c r="C351" s="236" t="s">
        <v>3158</v>
      </c>
      <c r="D351" s="128" t="s">
        <v>839</v>
      </c>
      <c r="E351" s="128"/>
      <c r="F351" s="241" t="s">
        <v>868</v>
      </c>
      <c r="G351" s="241" t="s">
        <v>3015</v>
      </c>
    </row>
    <row r="352" spans="1:7" s="129" customFormat="1">
      <c r="A352" s="195" t="s">
        <v>1354</v>
      </c>
      <c r="B352" s="195" t="s">
        <v>1384</v>
      </c>
      <c r="C352" s="236" t="s">
        <v>3158</v>
      </c>
      <c r="D352" s="128" t="s">
        <v>839</v>
      </c>
      <c r="E352" s="128"/>
      <c r="F352" s="241" t="s">
        <v>871</v>
      </c>
      <c r="G352" s="241" t="s">
        <v>3016</v>
      </c>
    </row>
    <row r="353" spans="1:7" s="129" customFormat="1">
      <c r="A353" s="195" t="s">
        <v>1354</v>
      </c>
      <c r="B353" s="195" t="s">
        <v>1384</v>
      </c>
      <c r="C353" s="236" t="s">
        <v>3158</v>
      </c>
      <c r="D353" s="128" t="s">
        <v>839</v>
      </c>
      <c r="E353" s="128"/>
      <c r="F353" s="241" t="s">
        <v>874</v>
      </c>
      <c r="G353" s="241" t="s">
        <v>3017</v>
      </c>
    </row>
    <row r="354" spans="1:7" s="129" customFormat="1">
      <c r="A354" s="195" t="s">
        <v>1354</v>
      </c>
      <c r="B354" s="195" t="s">
        <v>1384</v>
      </c>
      <c r="C354" s="236" t="s">
        <v>3157</v>
      </c>
      <c r="D354" s="128" t="s">
        <v>839</v>
      </c>
      <c r="E354" s="128"/>
      <c r="F354" s="241" t="s">
        <v>877</v>
      </c>
      <c r="G354" s="241" t="s">
        <v>3018</v>
      </c>
    </row>
    <row r="355" spans="1:7" s="129" customFormat="1">
      <c r="A355" s="195" t="s">
        <v>1354</v>
      </c>
      <c r="B355" s="195" t="s">
        <v>1384</v>
      </c>
      <c r="C355" s="236" t="s">
        <v>3157</v>
      </c>
      <c r="D355" s="128" t="s">
        <v>839</v>
      </c>
      <c r="E355" s="128"/>
      <c r="F355" s="241" t="s">
        <v>880</v>
      </c>
      <c r="G355" s="241" t="s">
        <v>3019</v>
      </c>
    </row>
    <row r="356" spans="1:7" s="129" customFormat="1">
      <c r="A356" s="195" t="s">
        <v>1354</v>
      </c>
      <c r="B356" s="195" t="s">
        <v>1384</v>
      </c>
      <c r="C356" s="236" t="s">
        <v>3157</v>
      </c>
      <c r="D356" s="128" t="s">
        <v>839</v>
      </c>
      <c r="E356" s="128"/>
      <c r="F356" s="241" t="s">
        <v>2409</v>
      </c>
      <c r="G356" s="241" t="s">
        <v>3020</v>
      </c>
    </row>
    <row r="357" spans="1:7" s="129" customFormat="1">
      <c r="A357" s="195" t="s">
        <v>1354</v>
      </c>
      <c r="B357" s="195" t="s">
        <v>1384</v>
      </c>
      <c r="C357" s="236" t="s">
        <v>3157</v>
      </c>
      <c r="D357" s="128" t="s">
        <v>839</v>
      </c>
      <c r="E357" s="128"/>
      <c r="F357" s="241" t="s">
        <v>2410</v>
      </c>
      <c r="G357" s="241" t="s">
        <v>3021</v>
      </c>
    </row>
    <row r="358" spans="1:7" s="129" customFormat="1">
      <c r="A358" s="195" t="s">
        <v>1354</v>
      </c>
      <c r="B358" s="195" t="s">
        <v>1384</v>
      </c>
      <c r="C358" s="236" t="s">
        <v>3157</v>
      </c>
      <c r="D358" s="128" t="s">
        <v>839</v>
      </c>
      <c r="E358" s="128"/>
      <c r="F358" s="241" t="s">
        <v>2405</v>
      </c>
      <c r="G358" s="241" t="s">
        <v>2825</v>
      </c>
    </row>
    <row r="359" spans="1:7" s="129" customFormat="1">
      <c r="A359" s="195" t="s">
        <v>1354</v>
      </c>
      <c r="B359" s="195" t="s">
        <v>1384</v>
      </c>
      <c r="C359" s="236" t="s">
        <v>3157</v>
      </c>
      <c r="D359" s="128" t="s">
        <v>839</v>
      </c>
      <c r="E359" s="128"/>
      <c r="F359" s="241" t="s">
        <v>2352</v>
      </c>
      <c r="G359" s="241" t="s">
        <v>2825</v>
      </c>
    </row>
    <row r="360" spans="1:7" s="129" customFormat="1">
      <c r="A360" s="195" t="s">
        <v>1354</v>
      </c>
      <c r="B360" s="195" t="s">
        <v>1384</v>
      </c>
      <c r="C360" s="236" t="s">
        <v>3157</v>
      </c>
      <c r="D360" s="128" t="s">
        <v>839</v>
      </c>
      <c r="E360" s="128"/>
      <c r="F360" s="241" t="s">
        <v>2358</v>
      </c>
      <c r="G360" s="241" t="s">
        <v>2825</v>
      </c>
    </row>
    <row r="361" spans="1:7" s="129" customFormat="1">
      <c r="A361" s="195" t="s">
        <v>1354</v>
      </c>
      <c r="B361" s="195" t="s">
        <v>1384</v>
      </c>
      <c r="C361" s="236" t="s">
        <v>3157</v>
      </c>
      <c r="D361" s="128" t="s">
        <v>839</v>
      </c>
      <c r="E361" s="128"/>
      <c r="F361" s="241" t="s">
        <v>2359</v>
      </c>
      <c r="G361" s="241" t="s">
        <v>2825</v>
      </c>
    </row>
    <row r="362" spans="1:7" s="129" customFormat="1">
      <c r="A362" s="195" t="s">
        <v>1354</v>
      </c>
      <c r="B362" s="195" t="s">
        <v>1384</v>
      </c>
      <c r="C362" s="236" t="s">
        <v>3157</v>
      </c>
      <c r="D362" s="128" t="s">
        <v>839</v>
      </c>
      <c r="E362" s="128"/>
      <c r="F362" s="241" t="s">
        <v>2360</v>
      </c>
      <c r="G362" s="241" t="s">
        <v>2825</v>
      </c>
    </row>
    <row r="363" spans="1:7" s="129" customFormat="1">
      <c r="A363" s="195" t="s">
        <v>1354</v>
      </c>
      <c r="B363" s="195" t="s">
        <v>1384</v>
      </c>
      <c r="C363" s="236" t="s">
        <v>3157</v>
      </c>
      <c r="D363" s="128" t="s">
        <v>839</v>
      </c>
      <c r="E363" s="128"/>
      <c r="F363" s="241" t="s">
        <v>2361</v>
      </c>
      <c r="G363" s="241" t="s">
        <v>2825</v>
      </c>
    </row>
    <row r="364" spans="1:7" s="129" customFormat="1">
      <c r="A364" s="195" t="s">
        <v>1354</v>
      </c>
      <c r="B364" s="195" t="s">
        <v>1384</v>
      </c>
      <c r="C364" s="236" t="s">
        <v>3157</v>
      </c>
      <c r="D364" s="128" t="s">
        <v>839</v>
      </c>
      <c r="E364" s="128"/>
      <c r="F364" s="241" t="s">
        <v>2362</v>
      </c>
      <c r="G364" s="241" t="s">
        <v>2825</v>
      </c>
    </row>
    <row r="365" spans="1:7" s="129" customFormat="1">
      <c r="A365" s="195" t="s">
        <v>1354</v>
      </c>
      <c r="B365" s="195" t="s">
        <v>1384</v>
      </c>
      <c r="C365" s="236" t="s">
        <v>3165</v>
      </c>
      <c r="D365" s="128" t="s">
        <v>839</v>
      </c>
      <c r="E365" s="128"/>
      <c r="F365" s="241" t="s">
        <v>1667</v>
      </c>
      <c r="G365" s="241" t="s">
        <v>2825</v>
      </c>
    </row>
    <row r="366" spans="1:7" s="129" customFormat="1">
      <c r="A366" s="195" t="s">
        <v>1354</v>
      </c>
      <c r="B366" s="195" t="s">
        <v>1384</v>
      </c>
      <c r="C366" s="236" t="s">
        <v>3164</v>
      </c>
      <c r="D366" s="128" t="s">
        <v>839</v>
      </c>
      <c r="E366" s="128"/>
      <c r="F366" s="241" t="s">
        <v>898</v>
      </c>
      <c r="G366" s="241" t="s">
        <v>3023</v>
      </c>
    </row>
    <row r="367" spans="1:7" s="129" customFormat="1">
      <c r="A367" s="195" t="s">
        <v>1354</v>
      </c>
      <c r="B367" s="195" t="s">
        <v>1384</v>
      </c>
      <c r="C367" s="236" t="s">
        <v>3164</v>
      </c>
      <c r="D367" s="128" t="s">
        <v>839</v>
      </c>
      <c r="E367" s="128"/>
      <c r="F367" s="241" t="s">
        <v>895</v>
      </c>
      <c r="G367" s="241" t="s">
        <v>3022</v>
      </c>
    </row>
    <row r="368" spans="1:7" s="129" customFormat="1">
      <c r="A368" s="195" t="s">
        <v>1354</v>
      </c>
      <c r="B368" s="195" t="s">
        <v>1384</v>
      </c>
      <c r="C368" s="236" t="s">
        <v>3164</v>
      </c>
      <c r="D368" s="128" t="s">
        <v>839</v>
      </c>
      <c r="E368" s="128"/>
      <c r="F368" s="241" t="s">
        <v>2420</v>
      </c>
      <c r="G368" s="241" t="s">
        <v>2825</v>
      </c>
    </row>
    <row r="369" spans="1:7" s="129" customFormat="1">
      <c r="A369" s="195" t="s">
        <v>1354</v>
      </c>
      <c r="B369" s="195" t="s">
        <v>1384</v>
      </c>
      <c r="C369" s="236" t="s">
        <v>3161</v>
      </c>
      <c r="D369" s="128" t="s">
        <v>839</v>
      </c>
      <c r="E369" s="128"/>
      <c r="F369" s="241" t="s">
        <v>901</v>
      </c>
      <c r="G369" s="241" t="s">
        <v>3024</v>
      </c>
    </row>
    <row r="370" spans="1:7" s="129" customFormat="1">
      <c r="A370" s="195" t="s">
        <v>1354</v>
      </c>
      <c r="B370" s="195" t="s">
        <v>1384</v>
      </c>
      <c r="C370" s="236" t="s">
        <v>3161</v>
      </c>
      <c r="D370" s="128" t="s">
        <v>839</v>
      </c>
      <c r="E370" s="128"/>
      <c r="F370" s="241" t="s">
        <v>904</v>
      </c>
      <c r="G370" s="241" t="s">
        <v>3025</v>
      </c>
    </row>
    <row r="371" spans="1:7" s="129" customFormat="1">
      <c r="A371" s="195" t="s">
        <v>1354</v>
      </c>
      <c r="B371" s="195" t="s">
        <v>1384</v>
      </c>
      <c r="C371" s="236" t="s">
        <v>3162</v>
      </c>
      <c r="D371" s="128" t="s">
        <v>839</v>
      </c>
      <c r="E371" s="128"/>
      <c r="F371" s="241" t="s">
        <v>2372</v>
      </c>
      <c r="G371" s="241" t="s">
        <v>2825</v>
      </c>
    </row>
    <row r="372" spans="1:7" s="129" customFormat="1">
      <c r="A372" s="195" t="s">
        <v>1354</v>
      </c>
      <c r="B372" s="195" t="s">
        <v>1384</v>
      </c>
      <c r="C372" s="236" t="s">
        <v>3162</v>
      </c>
      <c r="D372" s="128" t="s">
        <v>839</v>
      </c>
      <c r="E372" s="128"/>
      <c r="F372" s="241" t="s">
        <v>2373</v>
      </c>
      <c r="G372" s="241" t="s">
        <v>2825</v>
      </c>
    </row>
    <row r="373" spans="1:7" s="129" customFormat="1">
      <c r="A373" s="195" t="s">
        <v>1354</v>
      </c>
      <c r="B373" s="195" t="s">
        <v>1384</v>
      </c>
      <c r="C373" s="236" t="s">
        <v>3162</v>
      </c>
      <c r="D373" s="128" t="s">
        <v>839</v>
      </c>
      <c r="E373" s="128"/>
      <c r="F373" s="241" t="s">
        <v>2374</v>
      </c>
      <c r="G373" s="241" t="s">
        <v>2825</v>
      </c>
    </row>
    <row r="374" spans="1:7" s="129" customFormat="1">
      <c r="A374" s="195" t="s">
        <v>1354</v>
      </c>
      <c r="B374" s="195" t="s">
        <v>1384</v>
      </c>
      <c r="C374" s="236" t="s">
        <v>3162</v>
      </c>
      <c r="D374" s="128" t="s">
        <v>839</v>
      </c>
      <c r="E374" s="128"/>
      <c r="F374" s="241" t="s">
        <v>2375</v>
      </c>
      <c r="G374" s="241" t="s">
        <v>2825</v>
      </c>
    </row>
    <row r="375" spans="1:7" s="129" customFormat="1">
      <c r="A375" s="195" t="s">
        <v>1354</v>
      </c>
      <c r="B375" s="195" t="s">
        <v>1384</v>
      </c>
      <c r="C375" s="236" t="s">
        <v>3162</v>
      </c>
      <c r="D375" s="128" t="s">
        <v>839</v>
      </c>
      <c r="E375" s="128"/>
      <c r="F375" s="241" t="s">
        <v>2376</v>
      </c>
      <c r="G375" s="241" t="s">
        <v>2825</v>
      </c>
    </row>
    <row r="376" spans="1:7" s="129" customFormat="1">
      <c r="A376" s="195" t="s">
        <v>1354</v>
      </c>
      <c r="B376" s="195" t="s">
        <v>1384</v>
      </c>
      <c r="C376" s="236" t="s">
        <v>3163</v>
      </c>
      <c r="D376" s="128" t="s">
        <v>839</v>
      </c>
      <c r="E376" s="128"/>
      <c r="F376" s="241" t="s">
        <v>2400</v>
      </c>
      <c r="G376" s="241" t="s">
        <v>2825</v>
      </c>
    </row>
    <row r="377" spans="1:7" s="129" customFormat="1">
      <c r="A377" s="195" t="s">
        <v>1354</v>
      </c>
      <c r="B377" s="195" t="s">
        <v>1384</v>
      </c>
      <c r="C377" s="236" t="s">
        <v>3163</v>
      </c>
      <c r="D377" s="128" t="s">
        <v>839</v>
      </c>
      <c r="E377" s="128"/>
      <c r="F377" s="241" t="s">
        <v>2399</v>
      </c>
      <c r="G377" s="241" t="s">
        <v>2825</v>
      </c>
    </row>
    <row r="378" spans="1:7" s="129" customFormat="1">
      <c r="A378" s="195" t="s">
        <v>1354</v>
      </c>
      <c r="B378" s="195" t="s">
        <v>1384</v>
      </c>
      <c r="C378" s="236" t="s">
        <v>3163</v>
      </c>
      <c r="D378" s="128" t="s">
        <v>839</v>
      </c>
      <c r="E378" s="128"/>
      <c r="F378" s="241" t="s">
        <v>2391</v>
      </c>
      <c r="G378" s="241" t="s">
        <v>2825</v>
      </c>
    </row>
    <row r="379" spans="1:7" s="129" customFormat="1">
      <c r="A379" s="195" t="s">
        <v>1354</v>
      </c>
      <c r="B379" s="195" t="s">
        <v>1384</v>
      </c>
      <c r="C379" s="236" t="s">
        <v>3163</v>
      </c>
      <c r="D379" s="128" t="s">
        <v>839</v>
      </c>
      <c r="E379" s="128"/>
      <c r="F379" s="241" t="s">
        <v>2392</v>
      </c>
      <c r="G379" s="241" t="s">
        <v>2825</v>
      </c>
    </row>
    <row r="380" spans="1:7" s="129" customFormat="1">
      <c r="A380" s="195" t="s">
        <v>1354</v>
      </c>
      <c r="B380" s="195" t="s">
        <v>1384</v>
      </c>
      <c r="C380" s="236" t="s">
        <v>3163</v>
      </c>
      <c r="D380" s="128" t="s">
        <v>839</v>
      </c>
      <c r="E380" s="128"/>
      <c r="F380" s="241" t="s">
        <v>2393</v>
      </c>
      <c r="G380" s="241" t="s">
        <v>2825</v>
      </c>
    </row>
    <row r="381" spans="1:7" s="129" customFormat="1">
      <c r="A381" s="195" t="s">
        <v>1354</v>
      </c>
      <c r="B381" s="195" t="s">
        <v>1384</v>
      </c>
      <c r="C381" s="236" t="s">
        <v>3163</v>
      </c>
      <c r="D381" s="128" t="s">
        <v>839</v>
      </c>
      <c r="E381" s="128"/>
      <c r="F381" s="241" t="s">
        <v>2394</v>
      </c>
      <c r="G381" s="241" t="s">
        <v>2825</v>
      </c>
    </row>
    <row r="382" spans="1:7" s="129" customFormat="1">
      <c r="A382" s="195" t="s">
        <v>1102</v>
      </c>
      <c r="B382" s="239" t="s">
        <v>3167</v>
      </c>
      <c r="C382" s="237" t="s">
        <v>1845</v>
      </c>
      <c r="D382" s="128"/>
      <c r="E382" s="128"/>
      <c r="F382" s="242" t="s">
        <v>2255</v>
      </c>
      <c r="G382" s="242" t="s">
        <v>2825</v>
      </c>
    </row>
    <row r="383" spans="1:7" s="129" customFormat="1">
      <c r="A383" s="195" t="s">
        <v>1102</v>
      </c>
      <c r="B383" s="239" t="s">
        <v>3167</v>
      </c>
      <c r="C383" s="237" t="s">
        <v>1845</v>
      </c>
      <c r="D383" s="128"/>
      <c r="E383" s="128"/>
      <c r="F383" s="242" t="s">
        <v>2256</v>
      </c>
      <c r="G383" s="242" t="s">
        <v>2825</v>
      </c>
    </row>
    <row r="384" spans="1:7" s="129" customFormat="1">
      <c r="A384" s="195" t="s">
        <v>1102</v>
      </c>
      <c r="B384" s="239" t="s">
        <v>3167</v>
      </c>
      <c r="C384" s="237" t="s">
        <v>1845</v>
      </c>
      <c r="D384" s="128"/>
      <c r="E384" s="128"/>
      <c r="F384" s="242" t="s">
        <v>2257</v>
      </c>
      <c r="G384" s="242" t="s">
        <v>2825</v>
      </c>
    </row>
    <row r="385" spans="1:7" s="129" customFormat="1">
      <c r="A385" s="195" t="s">
        <v>1102</v>
      </c>
      <c r="B385" s="239" t="s">
        <v>3167</v>
      </c>
      <c r="C385" s="237" t="s">
        <v>1845</v>
      </c>
      <c r="D385" s="128"/>
      <c r="E385" s="128"/>
      <c r="F385" s="242" t="s">
        <v>2254</v>
      </c>
      <c r="G385" s="242" t="s">
        <v>2825</v>
      </c>
    </row>
    <row r="386" spans="1:7" s="129" customFormat="1">
      <c r="A386" s="195" t="s">
        <v>1102</v>
      </c>
      <c r="B386" s="239" t="s">
        <v>3167</v>
      </c>
      <c r="C386" s="237" t="s">
        <v>1845</v>
      </c>
      <c r="D386" s="128"/>
      <c r="E386" s="128"/>
      <c r="F386" s="242" t="s">
        <v>2259</v>
      </c>
      <c r="G386" s="242" t="s">
        <v>2825</v>
      </c>
    </row>
    <row r="387" spans="1:7" s="129" customFormat="1">
      <c r="A387" s="195" t="s">
        <v>1102</v>
      </c>
      <c r="B387" s="239" t="s">
        <v>3167</v>
      </c>
      <c r="C387" s="237" t="s">
        <v>1845</v>
      </c>
      <c r="D387" s="128"/>
      <c r="E387" s="128"/>
      <c r="F387" s="242" t="s">
        <v>2258</v>
      </c>
      <c r="G387" s="242" t="s">
        <v>2825</v>
      </c>
    </row>
    <row r="388" spans="1:7" s="129" customFormat="1">
      <c r="A388" s="195" t="s">
        <v>1102</v>
      </c>
      <c r="B388" s="239" t="s">
        <v>3167</v>
      </c>
      <c r="C388" s="237" t="s">
        <v>1845</v>
      </c>
      <c r="D388" s="128"/>
      <c r="E388" s="128"/>
      <c r="F388" s="242" t="s">
        <v>2260</v>
      </c>
      <c r="G388" s="242" t="s">
        <v>2825</v>
      </c>
    </row>
    <row r="389" spans="1:7" s="129" customFormat="1">
      <c r="A389" s="195" t="s">
        <v>1102</v>
      </c>
      <c r="B389" s="239" t="s">
        <v>3167</v>
      </c>
      <c r="C389" s="237" t="s">
        <v>1845</v>
      </c>
      <c r="D389" s="128"/>
      <c r="E389" s="128"/>
      <c r="F389" s="242" t="s">
        <v>2253</v>
      </c>
      <c r="G389" s="242" t="s">
        <v>2825</v>
      </c>
    </row>
    <row r="390" spans="1:7" s="129" customFormat="1">
      <c r="A390" s="195" t="s">
        <v>1102</v>
      </c>
      <c r="B390" s="239" t="s">
        <v>3167</v>
      </c>
      <c r="C390" s="237" t="s">
        <v>1845</v>
      </c>
      <c r="D390" s="128"/>
      <c r="E390" s="128"/>
      <c r="F390" s="242" t="s">
        <v>2261</v>
      </c>
      <c r="G390" s="242" t="s">
        <v>2825</v>
      </c>
    </row>
    <row r="391" spans="1:7" s="129" customFormat="1">
      <c r="A391" s="195" t="s">
        <v>1102</v>
      </c>
      <c r="B391" s="239" t="s">
        <v>3167</v>
      </c>
      <c r="C391" s="237" t="s">
        <v>1845</v>
      </c>
      <c r="D391" s="128"/>
      <c r="E391" s="128"/>
      <c r="F391" s="242" t="s">
        <v>2262</v>
      </c>
      <c r="G391" s="242" t="s">
        <v>2825</v>
      </c>
    </row>
    <row r="392" spans="1:7" s="129" customFormat="1">
      <c r="A392" s="195" t="s">
        <v>1102</v>
      </c>
      <c r="B392" s="239" t="s">
        <v>3167</v>
      </c>
      <c r="C392" s="237" t="s">
        <v>1845</v>
      </c>
      <c r="D392" s="128"/>
      <c r="E392" s="128"/>
      <c r="F392" s="242" t="s">
        <v>2263</v>
      </c>
      <c r="G392" s="242" t="s">
        <v>2825</v>
      </c>
    </row>
    <row r="393" spans="1:7" s="129" customFormat="1">
      <c r="A393" s="195" t="s">
        <v>1102</v>
      </c>
      <c r="B393" s="239" t="s">
        <v>3167</v>
      </c>
      <c r="C393" s="237" t="s">
        <v>1845</v>
      </c>
      <c r="D393" s="128"/>
      <c r="E393" s="128"/>
      <c r="F393" s="242" t="s">
        <v>2264</v>
      </c>
      <c r="G393" s="242" t="s">
        <v>2825</v>
      </c>
    </row>
    <row r="394" spans="1:7" s="129" customFormat="1">
      <c r="A394" s="195" t="s">
        <v>1102</v>
      </c>
      <c r="B394" s="239" t="s">
        <v>3167</v>
      </c>
      <c r="C394" s="237" t="s">
        <v>1845</v>
      </c>
      <c r="D394" s="128"/>
      <c r="E394" s="128"/>
      <c r="F394" s="242" t="s">
        <v>2265</v>
      </c>
      <c r="G394" s="242" t="s">
        <v>2825</v>
      </c>
    </row>
    <row r="395" spans="1:7" s="129" customFormat="1">
      <c r="A395" s="195" t="s">
        <v>1102</v>
      </c>
      <c r="B395" s="239" t="s">
        <v>3167</v>
      </c>
      <c r="C395" s="237" t="s">
        <v>1845</v>
      </c>
      <c r="D395" s="128"/>
      <c r="E395" s="128"/>
      <c r="F395" s="242" t="s">
        <v>2266</v>
      </c>
      <c r="G395" s="242" t="s">
        <v>2825</v>
      </c>
    </row>
    <row r="396" spans="1:7" s="129" customFormat="1">
      <c r="A396" s="195" t="s">
        <v>1102</v>
      </c>
      <c r="B396" s="239" t="s">
        <v>3166</v>
      </c>
      <c r="C396" s="237" t="s">
        <v>1845</v>
      </c>
      <c r="D396" s="128" t="s">
        <v>2636</v>
      </c>
      <c r="E396" s="128"/>
      <c r="F396" s="238" t="s">
        <v>1847</v>
      </c>
      <c r="G396" s="238" t="s">
        <v>3031</v>
      </c>
    </row>
    <row r="397" spans="1:7" s="129" customFormat="1">
      <c r="A397" s="195" t="s">
        <v>1102</v>
      </c>
      <c r="B397" s="239" t="s">
        <v>3166</v>
      </c>
      <c r="C397" s="237" t="s">
        <v>1845</v>
      </c>
      <c r="D397" s="128" t="s">
        <v>2637</v>
      </c>
      <c r="E397" s="128"/>
      <c r="F397" s="238" t="s">
        <v>1848</v>
      </c>
      <c r="G397" s="238" t="s">
        <v>3032</v>
      </c>
    </row>
    <row r="398" spans="1:7" s="129" customFormat="1">
      <c r="A398" s="195" t="s">
        <v>1102</v>
      </c>
      <c r="B398" s="239" t="s">
        <v>3166</v>
      </c>
      <c r="C398" s="237" t="s">
        <v>1845</v>
      </c>
      <c r="D398" s="128" t="s">
        <v>2638</v>
      </c>
      <c r="E398" s="128"/>
      <c r="F398" s="238" t="s">
        <v>1849</v>
      </c>
      <c r="G398" s="238" t="s">
        <v>3033</v>
      </c>
    </row>
    <row r="399" spans="1:7" s="129" customFormat="1">
      <c r="A399" s="195" t="s">
        <v>1102</v>
      </c>
      <c r="B399" s="239" t="s">
        <v>3166</v>
      </c>
      <c r="C399" s="237" t="s">
        <v>1845</v>
      </c>
      <c r="D399" s="128" t="s">
        <v>2639</v>
      </c>
      <c r="E399" s="128"/>
      <c r="F399" s="238" t="s">
        <v>1850</v>
      </c>
      <c r="G399" s="238" t="s">
        <v>3034</v>
      </c>
    </row>
    <row r="400" spans="1:7" s="129" customFormat="1">
      <c r="A400" s="195" t="s">
        <v>1102</v>
      </c>
      <c r="B400" s="239" t="s">
        <v>3166</v>
      </c>
      <c r="C400" s="237" t="s">
        <v>1845</v>
      </c>
      <c r="D400" s="128" t="s">
        <v>2640</v>
      </c>
      <c r="E400" s="128"/>
      <c r="F400" s="238" t="s">
        <v>1851</v>
      </c>
      <c r="G400" s="238" t="s">
        <v>3035</v>
      </c>
    </row>
    <row r="401" spans="1:7" s="129" customFormat="1">
      <c r="A401" s="195" t="s">
        <v>1102</v>
      </c>
      <c r="B401" s="239" t="s">
        <v>3166</v>
      </c>
      <c r="C401" s="237" t="s">
        <v>1845</v>
      </c>
      <c r="D401" s="128" t="s">
        <v>2640</v>
      </c>
      <c r="E401" s="128"/>
      <c r="F401" s="238" t="s">
        <v>1852</v>
      </c>
      <c r="G401" s="238" t="s">
        <v>3036</v>
      </c>
    </row>
    <row r="402" spans="1:7" s="129" customFormat="1">
      <c r="A402" s="195" t="s">
        <v>1102</v>
      </c>
      <c r="B402" s="239" t="s">
        <v>3166</v>
      </c>
      <c r="C402" s="237" t="s">
        <v>1845</v>
      </c>
      <c r="D402" s="128" t="s">
        <v>2636</v>
      </c>
      <c r="E402" s="128"/>
      <c r="F402" s="238" t="s">
        <v>1853</v>
      </c>
      <c r="G402" s="238" t="s">
        <v>3037</v>
      </c>
    </row>
    <row r="403" spans="1:7" s="129" customFormat="1">
      <c r="A403" s="195" t="s">
        <v>1102</v>
      </c>
      <c r="B403" s="239" t="s">
        <v>3166</v>
      </c>
      <c r="C403" s="237" t="s">
        <v>1845</v>
      </c>
      <c r="D403" s="128" t="s">
        <v>2637</v>
      </c>
      <c r="E403" s="128"/>
      <c r="F403" s="238" t="s">
        <v>1854</v>
      </c>
      <c r="G403" s="238" t="s">
        <v>3038</v>
      </c>
    </row>
    <row r="404" spans="1:7" s="129" customFormat="1">
      <c r="A404" s="195" t="s">
        <v>1102</v>
      </c>
      <c r="B404" s="239" t="s">
        <v>3166</v>
      </c>
      <c r="C404" s="237" t="s">
        <v>1845</v>
      </c>
      <c r="D404" s="128" t="s">
        <v>2638</v>
      </c>
      <c r="E404" s="128"/>
      <c r="F404" s="238" t="s">
        <v>1855</v>
      </c>
      <c r="G404" s="238" t="s">
        <v>3039</v>
      </c>
    </row>
    <row r="405" spans="1:7" s="129" customFormat="1">
      <c r="A405" s="195" t="s">
        <v>1102</v>
      </c>
      <c r="B405" s="239" t="s">
        <v>3166</v>
      </c>
      <c r="C405" s="237" t="s">
        <v>1845</v>
      </c>
      <c r="D405" s="128" t="s">
        <v>2639</v>
      </c>
      <c r="E405" s="128"/>
      <c r="F405" s="238" t="s">
        <v>1856</v>
      </c>
      <c r="G405" s="238" t="s">
        <v>3040</v>
      </c>
    </row>
    <row r="406" spans="1:7" s="129" customFormat="1">
      <c r="A406" s="195" t="s">
        <v>1102</v>
      </c>
      <c r="B406" s="239" t="s">
        <v>3166</v>
      </c>
      <c r="C406" s="237" t="s">
        <v>1845</v>
      </c>
      <c r="D406" s="128" t="s">
        <v>2640</v>
      </c>
      <c r="E406" s="128"/>
      <c r="F406" s="238" t="s">
        <v>1857</v>
      </c>
      <c r="G406" s="238" t="s">
        <v>3041</v>
      </c>
    </row>
    <row r="407" spans="1:7" s="129" customFormat="1">
      <c r="A407" s="195" t="s">
        <v>1102</v>
      </c>
      <c r="B407" s="239" t="s">
        <v>3166</v>
      </c>
      <c r="C407" s="237" t="s">
        <v>1845</v>
      </c>
      <c r="D407" s="128" t="s">
        <v>2640</v>
      </c>
      <c r="E407" s="128"/>
      <c r="F407" s="238" t="s">
        <v>1858</v>
      </c>
      <c r="G407" s="238" t="s">
        <v>3042</v>
      </c>
    </row>
    <row r="408" spans="1:7" s="129" customFormat="1">
      <c r="A408" s="195" t="s">
        <v>1102</v>
      </c>
      <c r="B408" s="239" t="s">
        <v>3166</v>
      </c>
      <c r="C408" s="237" t="s">
        <v>1845</v>
      </c>
      <c r="D408" s="128" t="s">
        <v>2640</v>
      </c>
      <c r="E408" s="128"/>
      <c r="F408" s="238" t="s">
        <v>1859</v>
      </c>
      <c r="G408" s="238" t="s">
        <v>3043</v>
      </c>
    </row>
    <row r="409" spans="1:7" s="129" customFormat="1">
      <c r="A409" s="195" t="s">
        <v>1102</v>
      </c>
      <c r="B409" s="239" t="s">
        <v>3166</v>
      </c>
      <c r="C409" s="237" t="s">
        <v>1845</v>
      </c>
      <c r="D409" s="128" t="s">
        <v>2640</v>
      </c>
      <c r="E409" s="128"/>
      <c r="F409" s="238" t="s">
        <v>1860</v>
      </c>
      <c r="G409" s="238" t="s">
        <v>3044</v>
      </c>
    </row>
    <row r="410" spans="1:7" s="129" customFormat="1">
      <c r="A410" s="195" t="s">
        <v>1102</v>
      </c>
      <c r="B410" s="239" t="s">
        <v>3166</v>
      </c>
      <c r="C410" s="237" t="s">
        <v>1845</v>
      </c>
      <c r="D410" s="128" t="s">
        <v>2640</v>
      </c>
      <c r="E410" s="128"/>
      <c r="F410" s="238" t="s">
        <v>1861</v>
      </c>
      <c r="G410" s="238" t="s">
        <v>3045</v>
      </c>
    </row>
    <row r="411" spans="1:7" s="129" customFormat="1">
      <c r="A411" s="195" t="s">
        <v>1102</v>
      </c>
      <c r="B411" s="239" t="s">
        <v>3166</v>
      </c>
      <c r="C411" s="237" t="s">
        <v>1845</v>
      </c>
      <c r="D411" s="128" t="s">
        <v>2638</v>
      </c>
      <c r="E411" s="128"/>
      <c r="F411" s="238" t="s">
        <v>1862</v>
      </c>
      <c r="G411" s="238" t="s">
        <v>3046</v>
      </c>
    </row>
    <row r="412" spans="1:7" s="129" customFormat="1">
      <c r="A412" s="195" t="s">
        <v>1102</v>
      </c>
      <c r="B412" s="239" t="s">
        <v>3166</v>
      </c>
      <c r="C412" s="237" t="s">
        <v>1845</v>
      </c>
      <c r="D412" s="128" t="s">
        <v>2639</v>
      </c>
      <c r="E412" s="128"/>
      <c r="F412" s="238" t="s">
        <v>1863</v>
      </c>
      <c r="G412" s="238" t="s">
        <v>3047</v>
      </c>
    </row>
    <row r="413" spans="1:7" s="129" customFormat="1">
      <c r="A413" s="195" t="s">
        <v>1102</v>
      </c>
      <c r="B413" s="239" t="s">
        <v>3166</v>
      </c>
      <c r="C413" s="237" t="s">
        <v>1845</v>
      </c>
      <c r="D413" s="128" t="s">
        <v>2640</v>
      </c>
      <c r="E413" s="128"/>
      <c r="F413" s="238" t="s">
        <v>1864</v>
      </c>
      <c r="G413" s="238" t="s">
        <v>3048</v>
      </c>
    </row>
    <row r="414" spans="1:7" s="129" customFormat="1">
      <c r="A414" s="195" t="s">
        <v>1102</v>
      </c>
      <c r="B414" s="239" t="s">
        <v>3166</v>
      </c>
      <c r="C414" s="237" t="s">
        <v>1845</v>
      </c>
      <c r="D414" s="128" t="s">
        <v>2640</v>
      </c>
      <c r="E414" s="128"/>
      <c r="F414" s="238" t="s">
        <v>1865</v>
      </c>
      <c r="G414" s="238" t="s">
        <v>3049</v>
      </c>
    </row>
    <row r="415" spans="1:7" s="129" customFormat="1">
      <c r="A415" s="195" t="s">
        <v>1102</v>
      </c>
      <c r="B415" s="239" t="s">
        <v>3166</v>
      </c>
      <c r="C415" s="237" t="s">
        <v>1845</v>
      </c>
      <c r="D415" s="128" t="s">
        <v>2640</v>
      </c>
      <c r="E415" s="128"/>
      <c r="F415" s="238" t="s">
        <v>1866</v>
      </c>
      <c r="G415" s="238" t="s">
        <v>3050</v>
      </c>
    </row>
    <row r="416" spans="1:7" s="129" customFormat="1">
      <c r="A416" s="195" t="s">
        <v>1102</v>
      </c>
      <c r="B416" s="239" t="s">
        <v>3166</v>
      </c>
      <c r="C416" s="237" t="s">
        <v>1845</v>
      </c>
      <c r="D416" s="128" t="s">
        <v>2640</v>
      </c>
      <c r="E416" s="128"/>
      <c r="F416" s="238" t="s">
        <v>1867</v>
      </c>
      <c r="G416" s="238" t="s">
        <v>3051</v>
      </c>
    </row>
    <row r="417" spans="1:7" s="129" customFormat="1">
      <c r="A417" s="195" t="s">
        <v>1102</v>
      </c>
      <c r="B417" s="239" t="s">
        <v>3166</v>
      </c>
      <c r="C417" s="237" t="s">
        <v>1845</v>
      </c>
      <c r="D417" s="128"/>
      <c r="E417" s="128"/>
      <c r="F417" s="238" t="s">
        <v>1868</v>
      </c>
      <c r="G417" s="238" t="s">
        <v>2825</v>
      </c>
    </row>
    <row r="418" spans="1:7" s="129" customFormat="1">
      <c r="A418" s="195" t="s">
        <v>1102</v>
      </c>
      <c r="B418" s="239" t="s">
        <v>3166</v>
      </c>
      <c r="C418" s="237" t="s">
        <v>1845</v>
      </c>
      <c r="D418" s="128"/>
      <c r="E418" s="128"/>
      <c r="F418" s="238" t="s">
        <v>1869</v>
      </c>
      <c r="G418" s="238" t="s">
        <v>2825</v>
      </c>
    </row>
    <row r="419" spans="1:7" s="129" customFormat="1">
      <c r="A419" s="195" t="s">
        <v>1102</v>
      </c>
      <c r="B419" s="239" t="s">
        <v>3166</v>
      </c>
      <c r="C419" s="237" t="s">
        <v>1845</v>
      </c>
      <c r="D419" s="128"/>
      <c r="E419" s="128"/>
      <c r="F419" s="238" t="s">
        <v>1870</v>
      </c>
      <c r="G419" s="238" t="s">
        <v>2825</v>
      </c>
    </row>
    <row r="420" spans="1:7" s="129" customFormat="1">
      <c r="A420" s="195" t="s">
        <v>1102</v>
      </c>
      <c r="B420" s="239" t="s">
        <v>3166</v>
      </c>
      <c r="C420" s="237" t="s">
        <v>1845</v>
      </c>
      <c r="D420" s="128"/>
      <c r="E420" s="128"/>
      <c r="F420" s="238" t="s">
        <v>1871</v>
      </c>
      <c r="G420" s="238" t="s">
        <v>2825</v>
      </c>
    </row>
    <row r="421" spans="1:7" s="129" customFormat="1">
      <c r="A421" s="195" t="s">
        <v>1102</v>
      </c>
      <c r="B421" s="239" t="s">
        <v>3166</v>
      </c>
      <c r="C421" s="237" t="s">
        <v>1845</v>
      </c>
      <c r="D421" s="128"/>
      <c r="E421" s="128"/>
      <c r="F421" s="238" t="s">
        <v>1872</v>
      </c>
      <c r="G421" s="238" t="s">
        <v>2825</v>
      </c>
    </row>
    <row r="422" spans="1:7" s="129" customFormat="1">
      <c r="A422" s="195" t="s">
        <v>1102</v>
      </c>
      <c r="B422" s="239" t="s">
        <v>3166</v>
      </c>
      <c r="C422" s="237" t="s">
        <v>1845</v>
      </c>
      <c r="D422" s="128"/>
      <c r="E422" s="128"/>
      <c r="F422" s="238" t="s">
        <v>1873</v>
      </c>
      <c r="G422" s="238" t="s">
        <v>2825</v>
      </c>
    </row>
    <row r="423" spans="1:7" s="129" customFormat="1">
      <c r="A423" s="195" t="s">
        <v>1102</v>
      </c>
      <c r="B423" s="239" t="s">
        <v>3166</v>
      </c>
      <c r="C423" s="237" t="s">
        <v>2207</v>
      </c>
      <c r="D423" s="128" t="s">
        <v>2636</v>
      </c>
      <c r="E423" s="128"/>
      <c r="F423" s="238" t="s">
        <v>1874</v>
      </c>
      <c r="G423" s="238" t="s">
        <v>3052</v>
      </c>
    </row>
    <row r="424" spans="1:7" s="129" customFormat="1">
      <c r="A424" s="195" t="s">
        <v>1102</v>
      </c>
      <c r="B424" s="239" t="s">
        <v>3166</v>
      </c>
      <c r="C424" s="237" t="s">
        <v>2207</v>
      </c>
      <c r="D424" s="128" t="s">
        <v>2637</v>
      </c>
      <c r="E424" s="128"/>
      <c r="F424" s="238" t="s">
        <v>1875</v>
      </c>
      <c r="G424" s="238" t="s">
        <v>3053</v>
      </c>
    </row>
    <row r="425" spans="1:7" s="129" customFormat="1">
      <c r="A425" s="195" t="s">
        <v>1102</v>
      </c>
      <c r="B425" s="239" t="s">
        <v>3166</v>
      </c>
      <c r="C425" s="237" t="s">
        <v>2207</v>
      </c>
      <c r="D425" s="128" t="s">
        <v>2638</v>
      </c>
      <c r="E425" s="128"/>
      <c r="F425" s="238" t="s">
        <v>1876</v>
      </c>
      <c r="G425" s="238" t="s">
        <v>3054</v>
      </c>
    </row>
    <row r="426" spans="1:7" s="129" customFormat="1">
      <c r="A426" s="195" t="s">
        <v>1102</v>
      </c>
      <c r="B426" s="239" t="s">
        <v>3166</v>
      </c>
      <c r="C426" s="237" t="s">
        <v>2207</v>
      </c>
      <c r="D426" s="128" t="s">
        <v>2639</v>
      </c>
      <c r="E426" s="128"/>
      <c r="F426" s="238" t="s">
        <v>1877</v>
      </c>
      <c r="G426" s="238" t="s">
        <v>3055</v>
      </c>
    </row>
    <row r="427" spans="1:7" s="129" customFormat="1">
      <c r="A427" s="195" t="s">
        <v>1102</v>
      </c>
      <c r="B427" s="239" t="s">
        <v>3166</v>
      </c>
      <c r="C427" s="237" t="s">
        <v>2207</v>
      </c>
      <c r="D427" s="128" t="s">
        <v>2640</v>
      </c>
      <c r="E427" s="128"/>
      <c r="F427" s="238" t="s">
        <v>1878</v>
      </c>
      <c r="G427" s="238" t="s">
        <v>3056</v>
      </c>
    </row>
    <row r="428" spans="1:7" s="129" customFormat="1">
      <c r="A428" s="195" t="s">
        <v>1102</v>
      </c>
      <c r="B428" s="239" t="s">
        <v>3166</v>
      </c>
      <c r="C428" s="237" t="s">
        <v>2207</v>
      </c>
      <c r="D428" s="128" t="s">
        <v>2636</v>
      </c>
      <c r="E428" s="128"/>
      <c r="F428" s="238" t="s">
        <v>1879</v>
      </c>
      <c r="G428" s="238" t="s">
        <v>3057</v>
      </c>
    </row>
    <row r="429" spans="1:7" s="129" customFormat="1">
      <c r="A429" s="195" t="s">
        <v>1102</v>
      </c>
      <c r="B429" s="239" t="s">
        <v>3166</v>
      </c>
      <c r="C429" s="237" t="s">
        <v>2207</v>
      </c>
      <c r="D429" s="128" t="s">
        <v>2638</v>
      </c>
      <c r="E429" s="128"/>
      <c r="F429" s="238" t="s">
        <v>1880</v>
      </c>
      <c r="G429" s="238" t="s">
        <v>3058</v>
      </c>
    </row>
    <row r="430" spans="1:7" s="129" customFormat="1">
      <c r="A430" s="195" t="s">
        <v>1102</v>
      </c>
      <c r="B430" s="239" t="s">
        <v>3166</v>
      </c>
      <c r="C430" s="237" t="s">
        <v>2207</v>
      </c>
      <c r="D430" s="128" t="s">
        <v>2640</v>
      </c>
      <c r="E430" s="128"/>
      <c r="F430" s="238" t="s">
        <v>1881</v>
      </c>
      <c r="G430" s="238" t="s">
        <v>3059</v>
      </c>
    </row>
    <row r="431" spans="1:7" s="129" customFormat="1">
      <c r="A431" s="195" t="s">
        <v>1102</v>
      </c>
      <c r="B431" s="239" t="s">
        <v>3166</v>
      </c>
      <c r="C431" s="237" t="s">
        <v>2207</v>
      </c>
      <c r="D431" s="128" t="s">
        <v>2640</v>
      </c>
      <c r="E431" s="128"/>
      <c r="F431" s="238" t="s">
        <v>1882</v>
      </c>
      <c r="G431" s="238" t="s">
        <v>3060</v>
      </c>
    </row>
    <row r="432" spans="1:7" s="129" customFormat="1">
      <c r="A432" s="195" t="s">
        <v>1102</v>
      </c>
      <c r="B432" s="239" t="s">
        <v>3166</v>
      </c>
      <c r="C432" s="237" t="s">
        <v>2207</v>
      </c>
      <c r="D432" s="128" t="s">
        <v>2636</v>
      </c>
      <c r="E432" s="128"/>
      <c r="F432" s="238" t="s">
        <v>1883</v>
      </c>
      <c r="G432" s="238" t="s">
        <v>3061</v>
      </c>
    </row>
    <row r="433" spans="1:7" s="129" customFormat="1">
      <c r="A433" s="195" t="s">
        <v>1102</v>
      </c>
      <c r="B433" s="239" t="s">
        <v>3166</v>
      </c>
      <c r="C433" s="237" t="s">
        <v>2207</v>
      </c>
      <c r="D433" s="128" t="s">
        <v>2637</v>
      </c>
      <c r="E433" s="128"/>
      <c r="F433" s="238" t="s">
        <v>1884</v>
      </c>
      <c r="G433" s="238" t="s">
        <v>3062</v>
      </c>
    </row>
    <row r="434" spans="1:7" s="129" customFormat="1">
      <c r="A434" s="195" t="s">
        <v>1102</v>
      </c>
      <c r="B434" s="239" t="s">
        <v>3166</v>
      </c>
      <c r="C434" s="237" t="s">
        <v>2207</v>
      </c>
      <c r="D434" s="128" t="s">
        <v>2638</v>
      </c>
      <c r="E434" s="128"/>
      <c r="F434" s="238" t="s">
        <v>1885</v>
      </c>
      <c r="G434" s="238" t="s">
        <v>3063</v>
      </c>
    </row>
    <row r="435" spans="1:7" s="129" customFormat="1">
      <c r="A435" s="195" t="s">
        <v>1102</v>
      </c>
      <c r="B435" s="239" t="s">
        <v>3166</v>
      </c>
      <c r="C435" s="237" t="s">
        <v>2207</v>
      </c>
      <c r="D435" s="128" t="s">
        <v>2639</v>
      </c>
      <c r="E435" s="128"/>
      <c r="F435" s="238" t="s">
        <v>1886</v>
      </c>
      <c r="G435" s="238" t="s">
        <v>3064</v>
      </c>
    </row>
    <row r="436" spans="1:7" s="129" customFormat="1">
      <c r="A436" s="195" t="s">
        <v>1102</v>
      </c>
      <c r="B436" s="239" t="s">
        <v>3166</v>
      </c>
      <c r="C436" s="237" t="s">
        <v>2207</v>
      </c>
      <c r="D436" s="128" t="s">
        <v>2640</v>
      </c>
      <c r="E436" s="128"/>
      <c r="F436" s="238" t="s">
        <v>1887</v>
      </c>
      <c r="G436" s="238" t="s">
        <v>3065</v>
      </c>
    </row>
    <row r="437" spans="1:7" s="129" customFormat="1">
      <c r="A437" s="195" t="s">
        <v>1102</v>
      </c>
      <c r="B437" s="239" t="s">
        <v>3166</v>
      </c>
      <c r="C437" s="237" t="s">
        <v>2207</v>
      </c>
      <c r="D437" s="128" t="s">
        <v>2636</v>
      </c>
      <c r="E437" s="128"/>
      <c r="F437" s="238" t="s">
        <v>1888</v>
      </c>
      <c r="G437" s="238" t="s">
        <v>3066</v>
      </c>
    </row>
    <row r="438" spans="1:7" s="129" customFormat="1">
      <c r="A438" s="195" t="s">
        <v>1102</v>
      </c>
      <c r="B438" s="239" t="s">
        <v>3166</v>
      </c>
      <c r="C438" s="237" t="s">
        <v>2207</v>
      </c>
      <c r="D438" s="128" t="s">
        <v>2638</v>
      </c>
      <c r="E438" s="128"/>
      <c r="F438" s="238" t="s">
        <v>1889</v>
      </c>
      <c r="G438" s="238" t="s">
        <v>3067</v>
      </c>
    </row>
    <row r="439" spans="1:7" s="129" customFormat="1">
      <c r="A439" s="195" t="s">
        <v>1102</v>
      </c>
      <c r="B439" s="239" t="s">
        <v>3166</v>
      </c>
      <c r="C439" s="237" t="s">
        <v>2207</v>
      </c>
      <c r="D439" s="128" t="s">
        <v>2640</v>
      </c>
      <c r="E439" s="128"/>
      <c r="F439" s="238" t="s">
        <v>1890</v>
      </c>
      <c r="G439" s="238" t="s">
        <v>3068</v>
      </c>
    </row>
    <row r="440" spans="1:7" s="129" customFormat="1">
      <c r="A440" s="195" t="s">
        <v>1102</v>
      </c>
      <c r="B440" s="239" t="s">
        <v>3166</v>
      </c>
      <c r="C440" s="237" t="s">
        <v>2207</v>
      </c>
      <c r="D440" s="128" t="s">
        <v>2640</v>
      </c>
      <c r="E440" s="128"/>
      <c r="F440" s="238" t="s">
        <v>1891</v>
      </c>
      <c r="G440" s="238" t="s">
        <v>3069</v>
      </c>
    </row>
    <row r="441" spans="1:7" s="129" customFormat="1">
      <c r="A441" s="195" t="s">
        <v>1102</v>
      </c>
      <c r="B441" s="239" t="s">
        <v>3166</v>
      </c>
      <c r="C441" s="237" t="s">
        <v>2207</v>
      </c>
      <c r="D441" s="128" t="s">
        <v>2640</v>
      </c>
      <c r="E441" s="128"/>
      <c r="F441" s="238" t="s">
        <v>1892</v>
      </c>
      <c r="G441" s="238" t="s">
        <v>3070</v>
      </c>
    </row>
    <row r="442" spans="1:7" s="129" customFormat="1">
      <c r="A442" s="195" t="s">
        <v>1102</v>
      </c>
      <c r="B442" s="239" t="s">
        <v>3166</v>
      </c>
      <c r="C442" s="237" t="s">
        <v>2207</v>
      </c>
      <c r="D442" s="128" t="s">
        <v>2639</v>
      </c>
      <c r="E442" s="128"/>
      <c r="F442" s="238" t="s">
        <v>1893</v>
      </c>
      <c r="G442" s="238" t="s">
        <v>3071</v>
      </c>
    </row>
    <row r="443" spans="1:7" s="129" customFormat="1">
      <c r="A443" s="195" t="s">
        <v>1102</v>
      </c>
      <c r="B443" s="239" t="s">
        <v>3166</v>
      </c>
      <c r="C443" s="237" t="s">
        <v>2207</v>
      </c>
      <c r="D443" s="128" t="s">
        <v>2640</v>
      </c>
      <c r="E443" s="128"/>
      <c r="F443" s="238" t="s">
        <v>1894</v>
      </c>
      <c r="G443" s="238" t="s">
        <v>3072</v>
      </c>
    </row>
    <row r="444" spans="1:7" s="129" customFormat="1">
      <c r="A444" s="195" t="s">
        <v>1102</v>
      </c>
      <c r="B444" s="239" t="s">
        <v>3166</v>
      </c>
      <c r="C444" s="237" t="s">
        <v>2207</v>
      </c>
      <c r="D444" s="128" t="s">
        <v>2641</v>
      </c>
      <c r="E444" s="128"/>
      <c r="F444" s="238" t="s">
        <v>1895</v>
      </c>
      <c r="G444" s="238" t="s">
        <v>3073</v>
      </c>
    </row>
    <row r="445" spans="1:7" s="129" customFormat="1">
      <c r="A445" s="195" t="s">
        <v>1102</v>
      </c>
      <c r="B445" s="239" t="s">
        <v>3166</v>
      </c>
      <c r="C445" s="237" t="s">
        <v>2207</v>
      </c>
      <c r="D445" s="128" t="s">
        <v>2640</v>
      </c>
      <c r="E445" s="128"/>
      <c r="F445" s="238" t="s">
        <v>1896</v>
      </c>
      <c r="G445" s="238" t="s">
        <v>3074</v>
      </c>
    </row>
    <row r="446" spans="1:7" s="129" customFormat="1">
      <c r="A446" s="195" t="s">
        <v>1102</v>
      </c>
      <c r="B446" s="239" t="s">
        <v>3166</v>
      </c>
      <c r="C446" s="237" t="s">
        <v>2207</v>
      </c>
      <c r="D446" s="128" t="s">
        <v>2640</v>
      </c>
      <c r="E446" s="128"/>
      <c r="F446" s="238" t="s">
        <v>1897</v>
      </c>
      <c r="G446" s="238" t="s">
        <v>3075</v>
      </c>
    </row>
    <row r="447" spans="1:7" s="129" customFormat="1">
      <c r="A447" s="195" t="s">
        <v>1102</v>
      </c>
      <c r="B447" s="239" t="s">
        <v>3166</v>
      </c>
      <c r="C447" s="237" t="s">
        <v>2207</v>
      </c>
      <c r="D447" s="128" t="s">
        <v>2641</v>
      </c>
      <c r="E447" s="128"/>
      <c r="F447" s="238" t="s">
        <v>1898</v>
      </c>
      <c r="G447" s="238" t="s">
        <v>3076</v>
      </c>
    </row>
    <row r="448" spans="1:7" s="129" customFormat="1">
      <c r="A448" s="195" t="s">
        <v>1102</v>
      </c>
      <c r="B448" s="239" t="s">
        <v>3166</v>
      </c>
      <c r="C448" s="237" t="s">
        <v>2207</v>
      </c>
      <c r="D448" s="128" t="s">
        <v>2639</v>
      </c>
      <c r="E448" s="128"/>
      <c r="F448" s="238" t="s">
        <v>1899</v>
      </c>
      <c r="G448" s="238" t="s">
        <v>3077</v>
      </c>
    </row>
    <row r="449" spans="1:7" s="129" customFormat="1">
      <c r="A449" s="195" t="s">
        <v>1102</v>
      </c>
      <c r="B449" s="239" t="s">
        <v>3166</v>
      </c>
      <c r="C449" s="237" t="s">
        <v>2207</v>
      </c>
      <c r="D449" s="128" t="s">
        <v>2640</v>
      </c>
      <c r="E449" s="128"/>
      <c r="F449" s="238" t="s">
        <v>1900</v>
      </c>
      <c r="G449" s="238" t="s">
        <v>3078</v>
      </c>
    </row>
    <row r="450" spans="1:7" s="129" customFormat="1">
      <c r="A450" s="195" t="s">
        <v>1102</v>
      </c>
      <c r="B450" s="239" t="s">
        <v>3166</v>
      </c>
      <c r="C450" s="237" t="s">
        <v>2207</v>
      </c>
      <c r="D450" s="128" t="s">
        <v>2641</v>
      </c>
      <c r="E450" s="128"/>
      <c r="F450" s="238" t="s">
        <v>1901</v>
      </c>
      <c r="G450" s="238" t="s">
        <v>3079</v>
      </c>
    </row>
    <row r="451" spans="1:7" s="129" customFormat="1">
      <c r="A451" s="195" t="s">
        <v>1102</v>
      </c>
      <c r="B451" s="239" t="s">
        <v>3166</v>
      </c>
      <c r="C451" s="237" t="s">
        <v>2207</v>
      </c>
      <c r="D451" s="128" t="s">
        <v>2640</v>
      </c>
      <c r="E451" s="128"/>
      <c r="F451" s="238" t="s">
        <v>1902</v>
      </c>
      <c r="G451" s="238" t="s">
        <v>3080</v>
      </c>
    </row>
    <row r="452" spans="1:7" s="129" customFormat="1">
      <c r="A452" s="195" t="s">
        <v>1102</v>
      </c>
      <c r="B452" s="239" t="s">
        <v>3166</v>
      </c>
      <c r="C452" s="237" t="s">
        <v>2207</v>
      </c>
      <c r="D452" s="128" t="s">
        <v>2640</v>
      </c>
      <c r="E452" s="128"/>
      <c r="F452" s="238" t="s">
        <v>1903</v>
      </c>
      <c r="G452" s="238" t="s">
        <v>3081</v>
      </c>
    </row>
    <row r="453" spans="1:7" s="129" customFormat="1">
      <c r="A453" s="195" t="s">
        <v>1102</v>
      </c>
      <c r="B453" s="239" t="s">
        <v>3166</v>
      </c>
      <c r="C453" s="237" t="s">
        <v>2207</v>
      </c>
      <c r="D453" s="128" t="s">
        <v>2641</v>
      </c>
      <c r="E453" s="128"/>
      <c r="F453" s="238" t="s">
        <v>1904</v>
      </c>
      <c r="G453" s="238" t="s">
        <v>3082</v>
      </c>
    </row>
    <row r="454" spans="1:7" s="129" customFormat="1">
      <c r="A454" s="195" t="s">
        <v>1102</v>
      </c>
      <c r="B454" s="239" t="s">
        <v>3166</v>
      </c>
      <c r="C454" s="237" t="s">
        <v>2207</v>
      </c>
      <c r="D454" s="128" t="s">
        <v>2636</v>
      </c>
      <c r="E454" s="128"/>
      <c r="F454" s="238" t="s">
        <v>1905</v>
      </c>
      <c r="G454" s="238" t="s">
        <v>3083</v>
      </c>
    </row>
    <row r="455" spans="1:7" s="129" customFormat="1">
      <c r="A455" s="195" t="s">
        <v>1102</v>
      </c>
      <c r="B455" s="239" t="s">
        <v>3166</v>
      </c>
      <c r="C455" s="237" t="s">
        <v>2207</v>
      </c>
      <c r="D455" s="128" t="s">
        <v>2637</v>
      </c>
      <c r="E455" s="128"/>
      <c r="F455" s="238" t="s">
        <v>1906</v>
      </c>
      <c r="G455" s="238" t="s">
        <v>3084</v>
      </c>
    </row>
    <row r="456" spans="1:7" s="129" customFormat="1">
      <c r="A456" s="195" t="s">
        <v>1102</v>
      </c>
      <c r="B456" s="239" t="s">
        <v>3166</v>
      </c>
      <c r="C456" s="237" t="s">
        <v>2207</v>
      </c>
      <c r="D456" s="128" t="s">
        <v>2638</v>
      </c>
      <c r="E456" s="128"/>
      <c r="F456" s="238" t="s">
        <v>1907</v>
      </c>
      <c r="G456" s="238" t="s">
        <v>3085</v>
      </c>
    </row>
    <row r="457" spans="1:7" s="129" customFormat="1">
      <c r="A457" s="195" t="s">
        <v>1102</v>
      </c>
      <c r="B457" s="239" t="s">
        <v>3166</v>
      </c>
      <c r="C457" s="237" t="s">
        <v>2207</v>
      </c>
      <c r="D457" s="128" t="s">
        <v>2639</v>
      </c>
      <c r="E457" s="128"/>
      <c r="F457" s="238" t="s">
        <v>1908</v>
      </c>
      <c r="G457" s="238" t="s">
        <v>3086</v>
      </c>
    </row>
    <row r="458" spans="1:7" s="129" customFormat="1">
      <c r="A458" s="195" t="s">
        <v>1102</v>
      </c>
      <c r="B458" s="239" t="s">
        <v>3166</v>
      </c>
      <c r="C458" s="237" t="s">
        <v>2207</v>
      </c>
      <c r="D458" s="128" t="s">
        <v>2640</v>
      </c>
      <c r="E458" s="128"/>
      <c r="F458" s="238" t="s">
        <v>1909</v>
      </c>
      <c r="G458" s="238" t="s">
        <v>3087</v>
      </c>
    </row>
    <row r="459" spans="1:7" s="129" customFormat="1">
      <c r="A459" s="195" t="s">
        <v>1102</v>
      </c>
      <c r="B459" s="239" t="s">
        <v>3166</v>
      </c>
      <c r="C459" s="237" t="s">
        <v>2207</v>
      </c>
      <c r="D459" s="128" t="s">
        <v>2636</v>
      </c>
      <c r="E459" s="128"/>
      <c r="F459" s="238" t="s">
        <v>1910</v>
      </c>
      <c r="G459" s="238" t="s">
        <v>3088</v>
      </c>
    </row>
    <row r="460" spans="1:7" s="129" customFormat="1">
      <c r="A460" s="195" t="s">
        <v>1102</v>
      </c>
      <c r="B460" s="239" t="s">
        <v>3166</v>
      </c>
      <c r="C460" s="237" t="s">
        <v>2207</v>
      </c>
      <c r="D460" s="128" t="s">
        <v>2638</v>
      </c>
      <c r="E460" s="128"/>
      <c r="F460" s="238" t="s">
        <v>1911</v>
      </c>
      <c r="G460" s="238" t="s">
        <v>3089</v>
      </c>
    </row>
    <row r="461" spans="1:7" s="129" customFormat="1">
      <c r="A461" s="195" t="s">
        <v>1102</v>
      </c>
      <c r="B461" s="239" t="s">
        <v>3166</v>
      </c>
      <c r="C461" s="237" t="s">
        <v>2207</v>
      </c>
      <c r="D461" s="128" t="s">
        <v>2640</v>
      </c>
      <c r="E461" s="128"/>
      <c r="F461" s="238" t="s">
        <v>1912</v>
      </c>
      <c r="G461" s="238" t="s">
        <v>3090</v>
      </c>
    </row>
    <row r="462" spans="1:7" s="129" customFormat="1">
      <c r="A462" s="195" t="s">
        <v>1102</v>
      </c>
      <c r="B462" s="239" t="s">
        <v>3166</v>
      </c>
      <c r="C462" s="237" t="s">
        <v>2207</v>
      </c>
      <c r="D462" s="128" t="s">
        <v>2641</v>
      </c>
      <c r="E462" s="128"/>
      <c r="F462" s="238" t="s">
        <v>1913</v>
      </c>
      <c r="G462" s="238" t="s">
        <v>3091</v>
      </c>
    </row>
    <row r="463" spans="1:7" s="129" customFormat="1">
      <c r="A463" s="195" t="s">
        <v>1102</v>
      </c>
      <c r="B463" s="239" t="s">
        <v>3166</v>
      </c>
      <c r="C463" s="237" t="s">
        <v>2207</v>
      </c>
      <c r="D463" s="128" t="s">
        <v>2640</v>
      </c>
      <c r="E463" s="128"/>
      <c r="F463" s="238" t="s">
        <v>1914</v>
      </c>
      <c r="G463" s="238" t="s">
        <v>3092</v>
      </c>
    </row>
    <row r="464" spans="1:7" s="129" customFormat="1">
      <c r="A464" s="195" t="s">
        <v>1102</v>
      </c>
      <c r="B464" s="239" t="s">
        <v>3166</v>
      </c>
      <c r="C464" s="237" t="s">
        <v>2207</v>
      </c>
      <c r="D464" s="128" t="s">
        <v>2636</v>
      </c>
      <c r="E464" s="128"/>
      <c r="F464" s="238" t="s">
        <v>1915</v>
      </c>
      <c r="G464" s="238" t="s">
        <v>3093</v>
      </c>
    </row>
    <row r="465" spans="1:7" s="129" customFormat="1">
      <c r="A465" s="195" t="s">
        <v>1102</v>
      </c>
      <c r="B465" s="239" t="s">
        <v>3166</v>
      </c>
      <c r="C465" s="237" t="s">
        <v>2207</v>
      </c>
      <c r="D465" s="128" t="s">
        <v>2637</v>
      </c>
      <c r="E465" s="128"/>
      <c r="F465" s="238" t="s">
        <v>1916</v>
      </c>
      <c r="G465" s="238" t="s">
        <v>3094</v>
      </c>
    </row>
    <row r="466" spans="1:7" s="129" customFormat="1">
      <c r="A466" s="195" t="s">
        <v>1102</v>
      </c>
      <c r="B466" s="239" t="s">
        <v>3166</v>
      </c>
      <c r="C466" s="237" t="s">
        <v>2207</v>
      </c>
      <c r="D466" s="128" t="s">
        <v>2638</v>
      </c>
      <c r="E466" s="128"/>
      <c r="F466" s="238" t="s">
        <v>1917</v>
      </c>
      <c r="G466" s="238" t="s">
        <v>3095</v>
      </c>
    </row>
    <row r="467" spans="1:7" s="129" customFormat="1">
      <c r="A467" s="195" t="s">
        <v>1102</v>
      </c>
      <c r="B467" s="239" t="s">
        <v>3166</v>
      </c>
      <c r="C467" s="237" t="s">
        <v>2207</v>
      </c>
      <c r="D467" s="128" t="s">
        <v>2639</v>
      </c>
      <c r="E467" s="128"/>
      <c r="F467" s="238" t="s">
        <v>1918</v>
      </c>
      <c r="G467" s="238" t="s">
        <v>3096</v>
      </c>
    </row>
    <row r="468" spans="1:7" s="129" customFormat="1">
      <c r="A468" s="195" t="s">
        <v>1102</v>
      </c>
      <c r="B468" s="239" t="s">
        <v>3166</v>
      </c>
      <c r="C468" s="237" t="s">
        <v>2207</v>
      </c>
      <c r="D468" s="128" t="s">
        <v>2640</v>
      </c>
      <c r="E468" s="128"/>
      <c r="F468" s="238" t="s">
        <v>1919</v>
      </c>
      <c r="G468" s="238" t="s">
        <v>3097</v>
      </c>
    </row>
    <row r="469" spans="1:7" s="129" customFormat="1">
      <c r="A469" s="195" t="s">
        <v>1102</v>
      </c>
      <c r="B469" s="239" t="s">
        <v>3166</v>
      </c>
      <c r="C469" s="237" t="s">
        <v>2207</v>
      </c>
      <c r="D469" s="128" t="s">
        <v>2636</v>
      </c>
      <c r="E469" s="128"/>
      <c r="F469" s="238" t="s">
        <v>1920</v>
      </c>
      <c r="G469" s="238" t="s">
        <v>3098</v>
      </c>
    </row>
    <row r="470" spans="1:7" s="129" customFormat="1">
      <c r="A470" s="195" t="s">
        <v>1102</v>
      </c>
      <c r="B470" s="239" t="s">
        <v>3166</v>
      </c>
      <c r="C470" s="237" t="s">
        <v>2207</v>
      </c>
      <c r="D470" s="128" t="s">
        <v>2638</v>
      </c>
      <c r="E470" s="128"/>
      <c r="F470" s="238" t="s">
        <v>1921</v>
      </c>
      <c r="G470" s="238" t="s">
        <v>3099</v>
      </c>
    </row>
    <row r="471" spans="1:7" s="129" customFormat="1">
      <c r="A471" s="195" t="s">
        <v>1102</v>
      </c>
      <c r="B471" s="239" t="s">
        <v>3166</v>
      </c>
      <c r="C471" s="237" t="s">
        <v>2207</v>
      </c>
      <c r="D471" s="128" t="s">
        <v>2640</v>
      </c>
      <c r="E471" s="128"/>
      <c r="F471" s="238" t="s">
        <v>1922</v>
      </c>
      <c r="G471" s="238" t="s">
        <v>3100</v>
      </c>
    </row>
    <row r="472" spans="1:7" s="129" customFormat="1">
      <c r="A472" s="195" t="s">
        <v>1102</v>
      </c>
      <c r="B472" s="239" t="s">
        <v>3166</v>
      </c>
      <c r="C472" s="237" t="s">
        <v>2207</v>
      </c>
      <c r="D472" s="128" t="s">
        <v>2641</v>
      </c>
      <c r="E472" s="128"/>
      <c r="F472" s="238" t="s">
        <v>1923</v>
      </c>
      <c r="G472" s="238" t="s">
        <v>3101</v>
      </c>
    </row>
    <row r="473" spans="1:7" s="129" customFormat="1">
      <c r="A473" s="195" t="s">
        <v>1102</v>
      </c>
      <c r="B473" s="239" t="s">
        <v>3166</v>
      </c>
      <c r="C473" s="237" t="s">
        <v>2207</v>
      </c>
      <c r="D473" s="128" t="s">
        <v>2640</v>
      </c>
      <c r="E473" s="128"/>
      <c r="F473" s="238" t="s">
        <v>1924</v>
      </c>
      <c r="G473" s="238" t="s">
        <v>3102</v>
      </c>
    </row>
    <row r="474" spans="1:7" s="129" customFormat="1">
      <c r="A474" s="195" t="s">
        <v>1102</v>
      </c>
      <c r="B474" s="239" t="s">
        <v>3166</v>
      </c>
      <c r="C474" s="237" t="s">
        <v>2207</v>
      </c>
      <c r="D474" s="128" t="s">
        <v>2640</v>
      </c>
      <c r="E474" s="128"/>
      <c r="F474" s="238" t="s">
        <v>1925</v>
      </c>
      <c r="G474" s="238" t="s">
        <v>3103</v>
      </c>
    </row>
    <row r="475" spans="1:7" s="129" customFormat="1">
      <c r="A475" s="195" t="s">
        <v>1102</v>
      </c>
      <c r="B475" s="239" t="s">
        <v>3166</v>
      </c>
      <c r="C475" s="237" t="s">
        <v>2207</v>
      </c>
      <c r="D475" s="128" t="s">
        <v>2639</v>
      </c>
      <c r="E475" s="128"/>
      <c r="F475" s="238" t="s">
        <v>1926</v>
      </c>
      <c r="G475" s="238" t="s">
        <v>3104</v>
      </c>
    </row>
    <row r="476" spans="1:7" s="129" customFormat="1">
      <c r="A476" s="195" t="s">
        <v>1102</v>
      </c>
      <c r="B476" s="239" t="s">
        <v>3166</v>
      </c>
      <c r="C476" s="237" t="s">
        <v>2207</v>
      </c>
      <c r="D476" s="128" t="s">
        <v>2640</v>
      </c>
      <c r="E476" s="128"/>
      <c r="F476" s="238" t="s">
        <v>1927</v>
      </c>
      <c r="G476" s="238" t="s">
        <v>3105</v>
      </c>
    </row>
    <row r="477" spans="1:7" s="129" customFormat="1">
      <c r="A477" s="195" t="s">
        <v>1102</v>
      </c>
      <c r="B477" s="239" t="s">
        <v>3166</v>
      </c>
      <c r="C477" s="237" t="s">
        <v>2207</v>
      </c>
      <c r="D477" s="128" t="s">
        <v>2641</v>
      </c>
      <c r="E477" s="128"/>
      <c r="F477" s="238" t="s">
        <v>1928</v>
      </c>
      <c r="G477" s="238" t="s">
        <v>3106</v>
      </c>
    </row>
    <row r="478" spans="1:7" s="129" customFormat="1">
      <c r="A478" s="195" t="s">
        <v>1102</v>
      </c>
      <c r="B478" s="239" t="s">
        <v>3166</v>
      </c>
      <c r="C478" s="237" t="s">
        <v>2207</v>
      </c>
      <c r="D478" s="128" t="s">
        <v>2640</v>
      </c>
      <c r="E478" s="128"/>
      <c r="F478" s="238" t="s">
        <v>1929</v>
      </c>
      <c r="G478" s="238" t="s">
        <v>3107</v>
      </c>
    </row>
    <row r="479" spans="1:7" s="129" customFormat="1">
      <c r="A479" s="195" t="s">
        <v>1102</v>
      </c>
      <c r="B479" s="239" t="s">
        <v>3166</v>
      </c>
      <c r="C479" s="237" t="s">
        <v>2207</v>
      </c>
      <c r="D479" s="128" t="s">
        <v>2641</v>
      </c>
      <c r="E479" s="128"/>
      <c r="F479" s="238" t="s">
        <v>1930</v>
      </c>
      <c r="G479" s="238" t="s">
        <v>3108</v>
      </c>
    </row>
    <row r="480" spans="1:7" s="129" customFormat="1">
      <c r="A480" s="195" t="s">
        <v>1102</v>
      </c>
      <c r="B480" s="239" t="s">
        <v>3166</v>
      </c>
      <c r="C480" s="237" t="s">
        <v>2207</v>
      </c>
      <c r="D480" s="128" t="s">
        <v>2640</v>
      </c>
      <c r="E480" s="128"/>
      <c r="F480" s="238" t="s">
        <v>1931</v>
      </c>
      <c r="G480" s="238" t="s">
        <v>3109</v>
      </c>
    </row>
    <row r="481" spans="1:7" s="129" customFormat="1">
      <c r="A481" s="195" t="s">
        <v>1102</v>
      </c>
      <c r="B481" s="239" t="s">
        <v>3166</v>
      </c>
      <c r="C481" s="237" t="s">
        <v>2207</v>
      </c>
      <c r="D481" s="128" t="s">
        <v>2641</v>
      </c>
      <c r="E481" s="128"/>
      <c r="F481" s="238" t="s">
        <v>1932</v>
      </c>
      <c r="G481" s="238" t="s">
        <v>3110</v>
      </c>
    </row>
    <row r="482" spans="1:7" s="129" customFormat="1">
      <c r="A482" s="195" t="s">
        <v>1102</v>
      </c>
      <c r="B482" s="239" t="s">
        <v>3166</v>
      </c>
      <c r="C482" s="237" t="s">
        <v>2207</v>
      </c>
      <c r="D482" s="128" t="s">
        <v>2640</v>
      </c>
      <c r="E482" s="128"/>
      <c r="F482" s="238" t="s">
        <v>1933</v>
      </c>
      <c r="G482" s="238" t="s">
        <v>3111</v>
      </c>
    </row>
    <row r="483" spans="1:7" s="129" customFormat="1">
      <c r="A483" s="195" t="s">
        <v>1102</v>
      </c>
      <c r="B483" s="239" t="s">
        <v>3166</v>
      </c>
      <c r="C483" s="237" t="s">
        <v>2207</v>
      </c>
      <c r="D483" s="128" t="s">
        <v>2639</v>
      </c>
      <c r="E483" s="128"/>
      <c r="F483" s="238" t="s">
        <v>1934</v>
      </c>
      <c r="G483" s="238" t="s">
        <v>3112</v>
      </c>
    </row>
    <row r="484" spans="1:7" s="129" customFormat="1">
      <c r="A484" s="195" t="s">
        <v>1102</v>
      </c>
      <c r="B484" s="239" t="s">
        <v>3166</v>
      </c>
      <c r="C484" s="237" t="s">
        <v>2207</v>
      </c>
      <c r="D484" s="128" t="s">
        <v>2640</v>
      </c>
      <c r="E484" s="128"/>
      <c r="F484" s="238" t="s">
        <v>1935</v>
      </c>
      <c r="G484" s="238" t="s">
        <v>3113</v>
      </c>
    </row>
    <row r="485" spans="1:7" s="129" customFormat="1">
      <c r="A485" s="195" t="s">
        <v>1102</v>
      </c>
      <c r="B485" s="239" t="s">
        <v>3166</v>
      </c>
      <c r="C485" s="237" t="s">
        <v>2207</v>
      </c>
      <c r="D485" s="128" t="s">
        <v>2641</v>
      </c>
      <c r="E485" s="128"/>
      <c r="F485" s="238" t="s">
        <v>1936</v>
      </c>
      <c r="G485" s="238" t="s">
        <v>3114</v>
      </c>
    </row>
    <row r="486" spans="1:7" s="129" customFormat="1">
      <c r="A486" s="195" t="s">
        <v>1102</v>
      </c>
      <c r="B486" s="239" t="s">
        <v>3166</v>
      </c>
      <c r="C486" s="237" t="s">
        <v>2207</v>
      </c>
      <c r="D486" s="128" t="s">
        <v>2640</v>
      </c>
      <c r="E486" s="128"/>
      <c r="F486" s="238" t="s">
        <v>1937</v>
      </c>
      <c r="G486" s="238" t="s">
        <v>3115</v>
      </c>
    </row>
    <row r="487" spans="1:7" s="129" customFormat="1">
      <c r="A487" s="195" t="s">
        <v>1102</v>
      </c>
      <c r="B487" s="239" t="s">
        <v>3166</v>
      </c>
      <c r="C487" s="237" t="s">
        <v>2207</v>
      </c>
      <c r="D487" s="128" t="s">
        <v>2641</v>
      </c>
      <c r="E487" s="128"/>
      <c r="F487" s="238" t="s">
        <v>1938</v>
      </c>
      <c r="G487" s="238" t="s">
        <v>3116</v>
      </c>
    </row>
    <row r="488" spans="1:7" s="129" customFormat="1">
      <c r="A488" s="195" t="s">
        <v>1102</v>
      </c>
      <c r="B488" s="239" t="s">
        <v>3166</v>
      </c>
      <c r="C488" s="237" t="s">
        <v>2207</v>
      </c>
      <c r="D488" s="128" t="s">
        <v>2640</v>
      </c>
      <c r="E488" s="128"/>
      <c r="F488" s="238" t="s">
        <v>1939</v>
      </c>
      <c r="G488" s="238" t="s">
        <v>3117</v>
      </c>
    </row>
    <row r="489" spans="1:7" s="129" customFormat="1">
      <c r="A489" s="195" t="s">
        <v>1102</v>
      </c>
      <c r="B489" s="239" t="s">
        <v>3166</v>
      </c>
      <c r="C489" s="237" t="s">
        <v>2207</v>
      </c>
      <c r="D489" s="128" t="s">
        <v>2641</v>
      </c>
      <c r="E489" s="128"/>
      <c r="F489" s="238" t="s">
        <v>1940</v>
      </c>
      <c r="G489" s="238" t="s">
        <v>3118</v>
      </c>
    </row>
    <row r="490" spans="1:7" s="129" customFormat="1">
      <c r="A490" s="195" t="s">
        <v>1102</v>
      </c>
      <c r="B490" s="239" t="s">
        <v>3166</v>
      </c>
      <c r="C490" s="237" t="s">
        <v>2208</v>
      </c>
      <c r="D490" s="128" t="s">
        <v>2640</v>
      </c>
      <c r="E490" s="128"/>
      <c r="F490" s="238" t="s">
        <v>1941</v>
      </c>
      <c r="G490" s="238" t="s">
        <v>3119</v>
      </c>
    </row>
    <row r="491" spans="1:7" s="129" customFormat="1">
      <c r="A491" s="195" t="s">
        <v>1102</v>
      </c>
      <c r="B491" s="239" t="s">
        <v>3166</v>
      </c>
      <c r="C491" s="237" t="s">
        <v>2208</v>
      </c>
      <c r="D491" s="128" t="s">
        <v>2640</v>
      </c>
      <c r="E491" s="128"/>
      <c r="F491" s="238" t="s">
        <v>1942</v>
      </c>
      <c r="G491" s="238" t="s">
        <v>3120</v>
      </c>
    </row>
    <row r="492" spans="1:7" s="129" customFormat="1">
      <c r="A492" s="195" t="s">
        <v>1102</v>
      </c>
      <c r="B492" s="239" t="s">
        <v>3166</v>
      </c>
      <c r="C492" s="237" t="s">
        <v>2208</v>
      </c>
      <c r="D492" s="128" t="s">
        <v>2640</v>
      </c>
      <c r="E492" s="128"/>
      <c r="F492" s="238" t="s">
        <v>1943</v>
      </c>
      <c r="G492" s="238" t="s">
        <v>3121</v>
      </c>
    </row>
    <row r="493" spans="1:7" s="129" customFormat="1">
      <c r="A493" s="195" t="s">
        <v>1102</v>
      </c>
      <c r="B493" s="239" t="s">
        <v>3166</v>
      </c>
      <c r="C493" s="237" t="s">
        <v>2208</v>
      </c>
      <c r="D493" s="128" t="s">
        <v>2640</v>
      </c>
      <c r="E493" s="128"/>
      <c r="F493" s="238" t="s">
        <v>1944</v>
      </c>
      <c r="G493" s="238" t="s">
        <v>3122</v>
      </c>
    </row>
    <row r="494" spans="1:7" s="129" customFormat="1">
      <c r="A494" s="195" t="s">
        <v>1102</v>
      </c>
      <c r="B494" s="239" t="s">
        <v>3166</v>
      </c>
      <c r="C494" s="237" t="s">
        <v>2208</v>
      </c>
      <c r="D494" s="128" t="s">
        <v>2640</v>
      </c>
      <c r="E494" s="128"/>
      <c r="F494" s="238" t="s">
        <v>1945</v>
      </c>
      <c r="G494" s="238" t="s">
        <v>3123</v>
      </c>
    </row>
    <row r="495" spans="1:7" s="129" customFormat="1">
      <c r="A495" s="195" t="s">
        <v>1102</v>
      </c>
      <c r="B495" s="239" t="s">
        <v>3166</v>
      </c>
      <c r="C495" s="237" t="s">
        <v>2208</v>
      </c>
      <c r="D495" s="128" t="s">
        <v>2640</v>
      </c>
      <c r="E495" s="128"/>
      <c r="F495" s="238" t="s">
        <v>1946</v>
      </c>
      <c r="G495" s="238" t="s">
        <v>3124</v>
      </c>
    </row>
    <row r="496" spans="1:7" s="129" customFormat="1">
      <c r="A496" s="195" t="s">
        <v>1102</v>
      </c>
      <c r="B496" s="239" t="s">
        <v>3166</v>
      </c>
      <c r="C496" s="237" t="s">
        <v>2208</v>
      </c>
      <c r="D496" s="128" t="s">
        <v>2640</v>
      </c>
      <c r="E496" s="128"/>
      <c r="F496" s="238" t="s">
        <v>1947</v>
      </c>
      <c r="G496" s="238" t="s">
        <v>3125</v>
      </c>
    </row>
    <row r="497" spans="1:7" s="129" customFormat="1">
      <c r="A497" s="195" t="s">
        <v>1102</v>
      </c>
      <c r="B497" s="239" t="s">
        <v>3166</v>
      </c>
      <c r="C497" s="237" t="s">
        <v>2208</v>
      </c>
      <c r="D497" s="128" t="s">
        <v>2640</v>
      </c>
      <c r="E497" s="128"/>
      <c r="F497" s="238" t="s">
        <v>1948</v>
      </c>
      <c r="G497" s="238" t="s">
        <v>3126</v>
      </c>
    </row>
    <row r="498" spans="1:7" s="129" customFormat="1">
      <c r="A498" s="195" t="s">
        <v>1102</v>
      </c>
      <c r="B498" s="239" t="s">
        <v>3166</v>
      </c>
      <c r="C498" s="237" t="s">
        <v>2208</v>
      </c>
      <c r="D498" s="128" t="s">
        <v>2641</v>
      </c>
      <c r="E498" s="128"/>
      <c r="F498" s="238" t="s">
        <v>1949</v>
      </c>
      <c r="G498" s="238" t="s">
        <v>3127</v>
      </c>
    </row>
    <row r="499" spans="1:7" s="129" customFormat="1">
      <c r="A499" s="195" t="s">
        <v>1102</v>
      </c>
      <c r="B499" s="239" t="s">
        <v>3166</v>
      </c>
      <c r="C499" s="237" t="s">
        <v>2208</v>
      </c>
      <c r="D499" s="128" t="s">
        <v>2641</v>
      </c>
      <c r="E499" s="128"/>
      <c r="F499" s="238" t="s">
        <v>1950</v>
      </c>
      <c r="G499" s="238" t="s">
        <v>3128</v>
      </c>
    </row>
    <row r="500" spans="1:7" s="129" customFormat="1">
      <c r="A500" s="195" t="s">
        <v>1102</v>
      </c>
      <c r="B500" s="239" t="s">
        <v>3166</v>
      </c>
      <c r="C500" s="237" t="s">
        <v>2208</v>
      </c>
      <c r="D500" s="128" t="s">
        <v>2641</v>
      </c>
      <c r="E500" s="128"/>
      <c r="F500" s="238" t="s">
        <v>1951</v>
      </c>
      <c r="G500" s="238" t="s">
        <v>3129</v>
      </c>
    </row>
    <row r="501" spans="1:7" s="129" customFormat="1">
      <c r="A501" s="195" t="s">
        <v>1102</v>
      </c>
      <c r="B501" s="239" t="s">
        <v>3166</v>
      </c>
      <c r="C501" s="237" t="s">
        <v>2208</v>
      </c>
      <c r="D501" s="128" t="s">
        <v>2641</v>
      </c>
      <c r="E501" s="128"/>
      <c r="F501" s="238" t="s">
        <v>1952</v>
      </c>
      <c r="G501" s="238" t="s">
        <v>3130</v>
      </c>
    </row>
    <row r="502" spans="1:7" s="129" customFormat="1">
      <c r="A502" s="195" t="s">
        <v>1102</v>
      </c>
      <c r="B502" s="239" t="s">
        <v>3167</v>
      </c>
      <c r="C502" s="237" t="s">
        <v>2207</v>
      </c>
      <c r="D502" s="128" t="s">
        <v>2642</v>
      </c>
      <c r="E502" s="128"/>
      <c r="F502" s="238" t="s">
        <v>1953</v>
      </c>
      <c r="G502" s="238" t="s">
        <v>3131</v>
      </c>
    </row>
    <row r="503" spans="1:7" s="129" customFormat="1">
      <c r="A503" s="195" t="s">
        <v>1102</v>
      </c>
      <c r="B503" s="239" t="s">
        <v>3167</v>
      </c>
      <c r="C503" s="237" t="s">
        <v>2207</v>
      </c>
      <c r="D503" s="128" t="s">
        <v>2643</v>
      </c>
      <c r="E503" s="128"/>
      <c r="F503" s="238" t="s">
        <v>1954</v>
      </c>
      <c r="G503" s="238" t="s">
        <v>3132</v>
      </c>
    </row>
    <row r="504" spans="1:7" s="129" customFormat="1">
      <c r="A504" s="195" t="s">
        <v>1102</v>
      </c>
      <c r="B504" s="239" t="s">
        <v>3167</v>
      </c>
      <c r="C504" s="237" t="s">
        <v>2207</v>
      </c>
      <c r="D504" s="128" t="s">
        <v>2643</v>
      </c>
      <c r="E504" s="128"/>
      <c r="F504" s="238" t="s">
        <v>1955</v>
      </c>
      <c r="G504" s="238" t="s">
        <v>3133</v>
      </c>
    </row>
    <row r="505" spans="1:7" s="129" customFormat="1">
      <c r="A505" s="195" t="s">
        <v>1102</v>
      </c>
      <c r="B505" s="239" t="s">
        <v>3167</v>
      </c>
      <c r="C505" s="237" t="s">
        <v>2207</v>
      </c>
      <c r="D505" s="128" t="s">
        <v>2643</v>
      </c>
      <c r="E505" s="128"/>
      <c r="F505" s="238" t="s">
        <v>1956</v>
      </c>
      <c r="G505" s="238" t="s">
        <v>3134</v>
      </c>
    </row>
    <row r="506" spans="1:7" s="129" customFormat="1">
      <c r="A506" s="195" t="s">
        <v>1102</v>
      </c>
      <c r="B506" s="239" t="s">
        <v>3167</v>
      </c>
      <c r="C506" s="237" t="s">
        <v>2207</v>
      </c>
      <c r="D506" s="128" t="s">
        <v>2643</v>
      </c>
      <c r="E506" s="128"/>
      <c r="F506" s="238" t="s">
        <v>1957</v>
      </c>
      <c r="G506" s="238" t="s">
        <v>3135</v>
      </c>
    </row>
    <row r="507" spans="1:7" s="129" customFormat="1">
      <c r="A507" s="195" t="s">
        <v>1102</v>
      </c>
      <c r="B507" s="239" t="s">
        <v>3167</v>
      </c>
      <c r="C507" s="237" t="s">
        <v>2207</v>
      </c>
      <c r="D507" s="128" t="s">
        <v>2643</v>
      </c>
      <c r="E507" s="128"/>
      <c r="F507" s="238" t="s">
        <v>1958</v>
      </c>
      <c r="G507" s="238" t="s">
        <v>3136</v>
      </c>
    </row>
    <row r="508" spans="1:7" s="129" customFormat="1">
      <c r="A508" s="195" t="s">
        <v>1102</v>
      </c>
      <c r="B508" s="239" t="s">
        <v>3167</v>
      </c>
      <c r="C508" s="237" t="s">
        <v>2207</v>
      </c>
      <c r="D508" s="128" t="s">
        <v>2636</v>
      </c>
      <c r="E508" s="128"/>
      <c r="F508" s="238" t="s">
        <v>1959</v>
      </c>
      <c r="G508" s="238" t="s">
        <v>3137</v>
      </c>
    </row>
    <row r="509" spans="1:7" s="129" customFormat="1">
      <c r="A509" s="195" t="s">
        <v>1102</v>
      </c>
      <c r="B509" s="239" t="s">
        <v>3167</v>
      </c>
      <c r="C509" s="237" t="s">
        <v>2207</v>
      </c>
      <c r="D509" s="128" t="s">
        <v>2636</v>
      </c>
      <c r="E509" s="128"/>
      <c r="F509" s="238" t="s">
        <v>1960</v>
      </c>
      <c r="G509" s="238" t="s">
        <v>3138</v>
      </c>
    </row>
    <row r="510" spans="1:7" s="129" customFormat="1">
      <c r="A510" s="195" t="s">
        <v>1102</v>
      </c>
      <c r="B510" s="239" t="s">
        <v>3167</v>
      </c>
      <c r="C510" s="237" t="s">
        <v>2207</v>
      </c>
      <c r="D510" s="128" t="s">
        <v>2636</v>
      </c>
      <c r="E510" s="128"/>
      <c r="F510" s="238" t="s">
        <v>1961</v>
      </c>
      <c r="G510" s="238" t="s">
        <v>3139</v>
      </c>
    </row>
    <row r="511" spans="1:7" s="129" customFormat="1">
      <c r="A511" s="195" t="s">
        <v>1102</v>
      </c>
      <c r="B511" s="239" t="s">
        <v>3167</v>
      </c>
      <c r="C511" s="237" t="s">
        <v>2207</v>
      </c>
      <c r="D511" s="128" t="s">
        <v>2636</v>
      </c>
      <c r="E511" s="128"/>
      <c r="F511" s="238" t="s">
        <v>1962</v>
      </c>
      <c r="G511" s="238" t="s">
        <v>3140</v>
      </c>
    </row>
    <row r="512" spans="1:7" s="129" customFormat="1">
      <c r="A512" s="195" t="s">
        <v>1102</v>
      </c>
      <c r="B512" s="239" t="s">
        <v>3167</v>
      </c>
      <c r="C512" s="237" t="s">
        <v>2207</v>
      </c>
      <c r="D512" s="128" t="s">
        <v>2636</v>
      </c>
      <c r="E512" s="128"/>
      <c r="F512" s="238" t="s">
        <v>1963</v>
      </c>
      <c r="G512" s="238" t="s">
        <v>3141</v>
      </c>
    </row>
    <row r="513" spans="1:7" s="129" customFormat="1">
      <c r="A513" s="195" t="s">
        <v>1102</v>
      </c>
      <c r="B513" s="239" t="s">
        <v>3167</v>
      </c>
      <c r="C513" s="237" t="s">
        <v>2207</v>
      </c>
      <c r="D513" s="128" t="s">
        <v>2636</v>
      </c>
      <c r="E513" s="128"/>
      <c r="F513" s="238" t="s">
        <v>1964</v>
      </c>
      <c r="G513" s="238" t="s">
        <v>3142</v>
      </c>
    </row>
    <row r="514" spans="1:7" s="129" customFormat="1">
      <c r="A514" s="195" t="s">
        <v>1102</v>
      </c>
      <c r="B514" s="239" t="s">
        <v>3167</v>
      </c>
      <c r="C514" s="237" t="s">
        <v>2207</v>
      </c>
      <c r="D514" s="128" t="s">
        <v>2636</v>
      </c>
      <c r="E514" s="128"/>
      <c r="F514" s="238" t="s">
        <v>1965</v>
      </c>
      <c r="G514" s="238" t="s">
        <v>3143</v>
      </c>
    </row>
    <row r="515" spans="1:7" s="129" customFormat="1">
      <c r="A515" s="195" t="s">
        <v>1102</v>
      </c>
      <c r="B515" s="239" t="s">
        <v>3167</v>
      </c>
      <c r="C515" s="237" t="s">
        <v>2207</v>
      </c>
      <c r="D515" s="128" t="s">
        <v>2636</v>
      </c>
      <c r="E515" s="128"/>
      <c r="F515" s="238" t="s">
        <v>1966</v>
      </c>
      <c r="G515" s="238" t="s">
        <v>3144</v>
      </c>
    </row>
    <row r="516" spans="1:7" s="129" customFormat="1" ht="15">
      <c r="A516" s="195" t="s">
        <v>1102</v>
      </c>
      <c r="B516" s="239" t="s">
        <v>3167</v>
      </c>
      <c r="C516" s="237" t="s">
        <v>2445</v>
      </c>
      <c r="D516" s="128" t="s">
        <v>2644</v>
      </c>
      <c r="E516" s="128"/>
      <c r="F516" s="233" t="s">
        <v>2446</v>
      </c>
      <c r="G516" s="238"/>
    </row>
    <row r="517" spans="1:7" s="129" customFormat="1" ht="15">
      <c r="A517" s="195" t="s">
        <v>1102</v>
      </c>
      <c r="B517" s="239" t="s">
        <v>3167</v>
      </c>
      <c r="C517" s="237" t="s">
        <v>2445</v>
      </c>
      <c r="D517" s="128" t="s">
        <v>2642</v>
      </c>
      <c r="E517" s="128"/>
      <c r="F517" s="233" t="s">
        <v>2447</v>
      </c>
      <c r="G517" s="238"/>
    </row>
    <row r="518" spans="1:7" s="129" customFormat="1" ht="15">
      <c r="A518" s="195" t="s">
        <v>1102</v>
      </c>
      <c r="B518" s="239" t="s">
        <v>3167</v>
      </c>
      <c r="C518" s="237" t="s">
        <v>2445</v>
      </c>
      <c r="D518" s="128" t="s">
        <v>2643</v>
      </c>
      <c r="E518" s="128"/>
      <c r="F518" s="233" t="s">
        <v>2448</v>
      </c>
      <c r="G518" s="238"/>
    </row>
    <row r="519" spans="1:7" s="129" customFormat="1" ht="15">
      <c r="A519" s="195" t="s">
        <v>1102</v>
      </c>
      <c r="B519" s="239" t="s">
        <v>3167</v>
      </c>
      <c r="C519" s="237" t="s">
        <v>2445</v>
      </c>
      <c r="D519" s="128" t="s">
        <v>2645</v>
      </c>
      <c r="E519" s="128"/>
      <c r="F519" s="233" t="s">
        <v>2449</v>
      </c>
      <c r="G519" s="238"/>
    </row>
    <row r="520" spans="1:7" s="129" customFormat="1" ht="15">
      <c r="A520" s="195" t="s">
        <v>1102</v>
      </c>
      <c r="B520" s="239" t="s">
        <v>3167</v>
      </c>
      <c r="C520" s="237" t="s">
        <v>2445</v>
      </c>
      <c r="D520" s="128" t="s">
        <v>2646</v>
      </c>
      <c r="E520" s="128"/>
      <c r="F520" s="233" t="s">
        <v>2450</v>
      </c>
      <c r="G520" s="238"/>
    </row>
    <row r="521" spans="1:7" s="129" customFormat="1" ht="15">
      <c r="A521" s="195" t="s">
        <v>1102</v>
      </c>
      <c r="B521" s="239" t="s">
        <v>3167</v>
      </c>
      <c r="C521" s="237" t="s">
        <v>2445</v>
      </c>
      <c r="D521" s="128" t="s">
        <v>2647</v>
      </c>
      <c r="E521" s="128"/>
      <c r="F521" s="233" t="s">
        <v>2451</v>
      </c>
      <c r="G521" s="238"/>
    </row>
    <row r="522" spans="1:7" s="129" customFormat="1" ht="15">
      <c r="A522" s="195" t="s">
        <v>1102</v>
      </c>
      <c r="B522" s="239" t="s">
        <v>3167</v>
      </c>
      <c r="C522" s="237" t="s">
        <v>2445</v>
      </c>
      <c r="D522" s="128" t="s">
        <v>2636</v>
      </c>
      <c r="E522" s="128"/>
      <c r="F522" s="233" t="s">
        <v>2452</v>
      </c>
      <c r="G522" s="238"/>
    </row>
    <row r="523" spans="1:7" s="129" customFormat="1" ht="15">
      <c r="A523" s="195" t="s">
        <v>1102</v>
      </c>
      <c r="B523" s="239" t="s">
        <v>3167</v>
      </c>
      <c r="C523" s="237" t="s">
        <v>2207</v>
      </c>
      <c r="D523" s="128" t="s">
        <v>2648</v>
      </c>
      <c r="E523" s="128"/>
      <c r="F523" s="233" t="s">
        <v>2481</v>
      </c>
      <c r="G523" s="238"/>
    </row>
    <row r="524" spans="1:7" s="129" customFormat="1" ht="15">
      <c r="A524" s="195" t="s">
        <v>1102</v>
      </c>
      <c r="B524" s="239" t="s">
        <v>3167</v>
      </c>
      <c r="C524" s="237" t="s">
        <v>2207</v>
      </c>
      <c r="D524" s="128" t="s">
        <v>2642</v>
      </c>
      <c r="E524" s="128"/>
      <c r="F524" s="233" t="s">
        <v>2482</v>
      </c>
      <c r="G524" s="238"/>
    </row>
    <row r="525" spans="1:7" s="129" customFormat="1" ht="15">
      <c r="A525" s="195" t="s">
        <v>1102</v>
      </c>
      <c r="B525" s="239" t="s">
        <v>3167</v>
      </c>
      <c r="C525" s="237" t="s">
        <v>2207</v>
      </c>
      <c r="D525" s="128" t="s">
        <v>2643</v>
      </c>
      <c r="E525" s="128"/>
      <c r="F525" s="233" t="s">
        <v>2483</v>
      </c>
      <c r="G525" s="238"/>
    </row>
    <row r="526" spans="1:7" s="129" customFormat="1" ht="15">
      <c r="A526" s="195" t="s">
        <v>1102</v>
      </c>
      <c r="B526" s="239" t="s">
        <v>3167</v>
      </c>
      <c r="C526" s="237" t="s">
        <v>2207</v>
      </c>
      <c r="D526" s="128" t="s">
        <v>2649</v>
      </c>
      <c r="E526" s="128"/>
      <c r="F526" s="233" t="s">
        <v>2484</v>
      </c>
      <c r="G526" s="238"/>
    </row>
    <row r="527" spans="1:7" s="129" customFormat="1" ht="15">
      <c r="A527" s="195" t="s">
        <v>1102</v>
      </c>
      <c r="B527" s="239" t="s">
        <v>3167</v>
      </c>
      <c r="C527" s="237" t="s">
        <v>2207</v>
      </c>
      <c r="D527" s="128" t="s">
        <v>2646</v>
      </c>
      <c r="E527" s="128"/>
      <c r="F527" s="233" t="s">
        <v>2485</v>
      </c>
      <c r="G527" s="238"/>
    </row>
    <row r="528" spans="1:7" s="129" customFormat="1" ht="15">
      <c r="A528" s="195" t="s">
        <v>1102</v>
      </c>
      <c r="B528" s="239" t="s">
        <v>3167</v>
      </c>
      <c r="C528" s="237" t="s">
        <v>2207</v>
      </c>
      <c r="D528" s="128" t="s">
        <v>2636</v>
      </c>
      <c r="E528" s="128"/>
      <c r="F528" s="233" t="s">
        <v>2486</v>
      </c>
      <c r="G528" s="238"/>
    </row>
    <row r="529" spans="1:7" s="129" customFormat="1" ht="15">
      <c r="A529" s="195" t="s">
        <v>1102</v>
      </c>
      <c r="B529" s="239" t="s">
        <v>3167</v>
      </c>
      <c r="C529" s="237" t="s">
        <v>2207</v>
      </c>
      <c r="D529" s="128" t="s">
        <v>2648</v>
      </c>
      <c r="E529" s="128"/>
      <c r="F529" s="233" t="s">
        <v>2487</v>
      </c>
      <c r="G529" s="238"/>
    </row>
    <row r="530" spans="1:7" s="129" customFormat="1" ht="15">
      <c r="A530" s="195" t="s">
        <v>1102</v>
      </c>
      <c r="B530" s="239" t="s">
        <v>3167</v>
      </c>
      <c r="C530" s="237" t="s">
        <v>2207</v>
      </c>
      <c r="D530" s="128" t="s">
        <v>2642</v>
      </c>
      <c r="E530" s="128"/>
      <c r="F530" s="233" t="s">
        <v>2488</v>
      </c>
      <c r="G530" s="238"/>
    </row>
    <row r="531" spans="1:7" s="129" customFormat="1" ht="15">
      <c r="A531" s="195" t="s">
        <v>1102</v>
      </c>
      <c r="B531" s="239" t="s">
        <v>3167</v>
      </c>
      <c r="C531" s="237" t="s">
        <v>2207</v>
      </c>
      <c r="D531" s="128" t="s">
        <v>2643</v>
      </c>
      <c r="E531" s="128"/>
      <c r="F531" s="233" t="s">
        <v>2489</v>
      </c>
      <c r="G531" s="238"/>
    </row>
    <row r="532" spans="1:7" s="129" customFormat="1" ht="15">
      <c r="A532" s="195" t="s">
        <v>1102</v>
      </c>
      <c r="B532" s="239" t="s">
        <v>3167</v>
      </c>
      <c r="C532" s="237" t="s">
        <v>2207</v>
      </c>
      <c r="D532" s="128" t="s">
        <v>2649</v>
      </c>
      <c r="E532" s="128"/>
      <c r="F532" s="233" t="s">
        <v>2490</v>
      </c>
      <c r="G532" s="238"/>
    </row>
    <row r="533" spans="1:7" s="129" customFormat="1" ht="15">
      <c r="A533" s="195" t="s">
        <v>1102</v>
      </c>
      <c r="B533" s="239" t="s">
        <v>3167</v>
      </c>
      <c r="C533" s="237" t="s">
        <v>2207</v>
      </c>
      <c r="D533" s="128" t="s">
        <v>2646</v>
      </c>
      <c r="E533" s="128"/>
      <c r="F533" s="233" t="s">
        <v>2491</v>
      </c>
      <c r="G533" s="238"/>
    </row>
    <row r="534" spans="1:7" s="129" customFormat="1" ht="15">
      <c r="A534" s="195" t="s">
        <v>1102</v>
      </c>
      <c r="B534" s="239" t="s">
        <v>3167</v>
      </c>
      <c r="C534" s="237" t="s">
        <v>2207</v>
      </c>
      <c r="D534" s="128" t="s">
        <v>2636</v>
      </c>
      <c r="E534" s="128"/>
      <c r="F534" s="233" t="s">
        <v>2492</v>
      </c>
      <c r="G534" s="238"/>
    </row>
    <row r="535" spans="1:7" s="129" customFormat="1" ht="15">
      <c r="A535" s="195" t="s">
        <v>1102</v>
      </c>
      <c r="B535" s="239" t="s">
        <v>3166</v>
      </c>
      <c r="C535" s="237" t="s">
        <v>1381</v>
      </c>
      <c r="D535" s="128"/>
      <c r="E535" s="128"/>
      <c r="F535" s="233" t="s">
        <v>2772</v>
      </c>
      <c r="G535" s="238"/>
    </row>
    <row r="536" spans="1:7" s="129" customFormat="1" ht="15">
      <c r="A536" s="195" t="s">
        <v>1102</v>
      </c>
      <c r="B536" s="239" t="s">
        <v>3166</v>
      </c>
      <c r="C536" s="237" t="s">
        <v>1381</v>
      </c>
      <c r="D536" s="128"/>
      <c r="E536" s="128"/>
      <c r="F536" s="233" t="s">
        <v>2774</v>
      </c>
      <c r="G536" s="238"/>
    </row>
    <row r="537" spans="1:7" s="129" customFormat="1" ht="15">
      <c r="A537" s="195" t="s">
        <v>1102</v>
      </c>
      <c r="B537" s="239" t="s">
        <v>3166</v>
      </c>
      <c r="C537" s="237" t="s">
        <v>1381</v>
      </c>
      <c r="D537" s="128"/>
      <c r="E537" s="128"/>
      <c r="F537" s="233" t="s">
        <v>2776</v>
      </c>
      <c r="G537" s="238"/>
    </row>
    <row r="538" spans="1:7" s="129" customFormat="1" ht="15">
      <c r="A538" s="195" t="s">
        <v>1102</v>
      </c>
      <c r="B538" s="239" t="s">
        <v>3166</v>
      </c>
      <c r="C538" s="237" t="s">
        <v>1381</v>
      </c>
      <c r="D538" s="128"/>
      <c r="E538" s="128"/>
      <c r="F538" s="233" t="s">
        <v>2778</v>
      </c>
      <c r="G538" s="238"/>
    </row>
    <row r="539" spans="1:7" s="129" customFormat="1" ht="15">
      <c r="A539" s="195" t="s">
        <v>1102</v>
      </c>
      <c r="B539" s="239" t="s">
        <v>3166</v>
      </c>
      <c r="C539" s="237" t="s">
        <v>1381</v>
      </c>
      <c r="D539" s="128"/>
      <c r="E539" s="128"/>
      <c r="F539" s="233" t="s">
        <v>2780</v>
      </c>
      <c r="G539" s="238"/>
    </row>
    <row r="540" spans="1:7" s="129" customFormat="1" ht="15">
      <c r="A540" s="195" t="s">
        <v>1102</v>
      </c>
      <c r="B540" s="239" t="s">
        <v>3166</v>
      </c>
      <c r="C540" s="237" t="s">
        <v>1381</v>
      </c>
      <c r="D540" s="128"/>
      <c r="E540" s="128"/>
      <c r="F540" s="233" t="s">
        <v>2782</v>
      </c>
      <c r="G540" s="238"/>
    </row>
    <row r="541" spans="1:7" s="129" customFormat="1" ht="15">
      <c r="A541" s="195" t="s">
        <v>1102</v>
      </c>
      <c r="B541" s="239" t="s">
        <v>3166</v>
      </c>
      <c r="C541" s="237" t="s">
        <v>1381</v>
      </c>
      <c r="D541" s="128"/>
      <c r="E541" s="128"/>
      <c r="F541" s="233" t="s">
        <v>2784</v>
      </c>
      <c r="G541" s="238"/>
    </row>
    <row r="542" spans="1:7" s="129" customFormat="1" ht="15">
      <c r="A542" s="195" t="s">
        <v>1102</v>
      </c>
      <c r="B542" s="239" t="s">
        <v>3166</v>
      </c>
      <c r="C542" s="237" t="s">
        <v>1381</v>
      </c>
      <c r="D542" s="128"/>
      <c r="E542" s="128"/>
      <c r="F542" s="233" t="s">
        <v>2786</v>
      </c>
      <c r="G542" s="238"/>
    </row>
    <row r="543" spans="1:7" s="129" customFormat="1" ht="15">
      <c r="A543" s="195" t="s">
        <v>1102</v>
      </c>
      <c r="B543" s="239" t="s">
        <v>3166</v>
      </c>
      <c r="C543" s="237" t="s">
        <v>1381</v>
      </c>
      <c r="D543" s="128"/>
      <c r="E543" s="128"/>
      <c r="F543" s="233" t="s">
        <v>2788</v>
      </c>
      <c r="G543" s="238"/>
    </row>
    <row r="544" spans="1:7" s="129" customFormat="1" ht="15">
      <c r="A544" s="195" t="s">
        <v>1102</v>
      </c>
      <c r="B544" s="239" t="s">
        <v>3166</v>
      </c>
      <c r="C544" s="237" t="s">
        <v>1381</v>
      </c>
      <c r="D544" s="128"/>
      <c r="E544" s="128"/>
      <c r="F544" s="233" t="s">
        <v>2790</v>
      </c>
      <c r="G544" s="238"/>
    </row>
  </sheetData>
  <autoFilter ref="A13:G544" xr:uid="{00000000-0001-0000-0000-000000000000}"/>
  <phoneticPr fontId="2" type="noConversion"/>
  <conditionalFormatting sqref="XCI95">
    <cfRule type="containsText" dxfId="5" priority="1" operator="containsText" text="No">
      <formula>NOT(ISERROR(SEARCH("No",XCI95)))</formula>
    </cfRule>
  </conditionalFormatting>
  <conditionalFormatting sqref="XCL319">
    <cfRule type="containsText" dxfId="4" priority="2" operator="containsText" text="No">
      <formula>NOT(ISERROR(SEARCH("No",XCL319)))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8E2F-1AA4-4FEE-8CA4-3E1902E60170}">
  <sheetPr>
    <pageSetUpPr fitToPage="1"/>
  </sheetPr>
  <dimension ref="A1:BW687"/>
  <sheetViews>
    <sheetView zoomScale="85" zoomScaleNormal="85" workbookViewId="0">
      <selection activeCell="Q22" sqref="Q22"/>
    </sheetView>
  </sheetViews>
  <sheetFormatPr baseColWidth="10" defaultColWidth="9.140625" defaultRowHeight="15" outlineLevelCol="1"/>
  <cols>
    <col min="1" max="1" width="10.140625" style="1" customWidth="1"/>
    <col min="2" max="2" width="27.140625" style="1" customWidth="1"/>
    <col min="3" max="3" width="35.140625" style="1" customWidth="1"/>
    <col min="4" max="4" width="42.85546875" style="4" bestFit="1" customWidth="1"/>
    <col min="5" max="5" width="11.140625" style="6" customWidth="1"/>
    <col min="6" max="6" width="15.85546875" style="6" customWidth="1"/>
    <col min="7" max="7" width="24" style="104" bestFit="1" customWidth="1"/>
    <col min="8" max="8" width="12.140625" style="104" bestFit="1" customWidth="1"/>
    <col min="9" max="9" width="136.85546875" style="4" customWidth="1" outlineLevel="1"/>
    <col min="10" max="10" width="9.140625" style="6" customWidth="1"/>
    <col min="11" max="11" width="9.140625" style="4" customWidth="1"/>
    <col min="12" max="12" width="15.140625" style="6" customWidth="1"/>
    <col min="13" max="13" width="29.85546875" style="1" customWidth="1"/>
    <col min="14" max="14" width="20.140625" style="6" customWidth="1"/>
    <col min="15" max="15" width="15.140625" style="6" customWidth="1"/>
    <col min="16" max="16" width="13.140625" style="7" customWidth="1" outlineLevel="1"/>
    <col min="17" max="17" width="27.140625" style="6" customWidth="1" outlineLevel="1"/>
    <col min="18" max="18" width="15.140625" style="6" customWidth="1" outlineLevel="1"/>
    <col min="19" max="19" width="9.140625" style="1" customWidth="1"/>
    <col min="20" max="23" width="31.85546875" style="6" customWidth="1" outlineLevel="1"/>
    <col min="25" max="16384" width="9.140625" style="1"/>
  </cols>
  <sheetData>
    <row r="1" spans="1:23">
      <c r="C1" s="2" t="s">
        <v>0</v>
      </c>
      <c r="D1" s="114" t="s">
        <v>2555</v>
      </c>
      <c r="E1" s="3"/>
      <c r="F1" s="3"/>
      <c r="I1" s="5"/>
      <c r="J1" s="221"/>
      <c r="K1" s="5"/>
    </row>
    <row r="2" spans="1:23">
      <c r="C2" s="2" t="s">
        <v>2</v>
      </c>
      <c r="D2" s="115">
        <v>80000</v>
      </c>
      <c r="E2" s="12"/>
      <c r="F2" s="12"/>
      <c r="I2" s="5"/>
      <c r="J2" s="221"/>
      <c r="K2" s="5"/>
      <c r="R2" s="276"/>
    </row>
    <row r="3" spans="1:23">
      <c r="C3" s="2" t="s">
        <v>4</v>
      </c>
      <c r="D3" s="116">
        <v>9860</v>
      </c>
      <c r="E3" s="13"/>
      <c r="F3" s="13"/>
      <c r="I3" s="5"/>
      <c r="J3" s="221"/>
      <c r="K3" s="5"/>
      <c r="R3" s="276"/>
    </row>
    <row r="4" spans="1:23">
      <c r="C4" s="2" t="s">
        <v>6</v>
      </c>
      <c r="D4" s="117">
        <v>8500</v>
      </c>
      <c r="E4" s="13"/>
      <c r="F4" s="14"/>
      <c r="I4" s="5"/>
      <c r="J4" s="221"/>
      <c r="K4" s="5"/>
      <c r="R4" s="276"/>
    </row>
    <row r="5" spans="1:23">
      <c r="C5" s="2" t="s">
        <v>8</v>
      </c>
      <c r="D5" s="275">
        <v>7.06</v>
      </c>
      <c r="E5" s="18"/>
      <c r="F5" s="14"/>
      <c r="I5" s="5"/>
      <c r="J5" s="221"/>
      <c r="K5" s="5"/>
      <c r="R5" s="276"/>
    </row>
    <row r="6" spans="1:23">
      <c r="A6" s="17"/>
      <c r="B6" s="17" t="s">
        <v>1304</v>
      </c>
      <c r="C6" s="2" t="s">
        <v>10</v>
      </c>
      <c r="D6" s="283">
        <v>1.1599999999999999</v>
      </c>
      <c r="E6" s="113"/>
      <c r="F6" s="18"/>
      <c r="R6" s="276"/>
    </row>
    <row r="7" spans="1:23">
      <c r="A7" s="17"/>
      <c r="B7" s="17"/>
      <c r="C7" s="2" t="s">
        <v>1332</v>
      </c>
      <c r="D7" s="275">
        <v>8.1895999999999987</v>
      </c>
      <c r="E7" s="113"/>
      <c r="F7" s="18"/>
    </row>
    <row r="8" spans="1:23">
      <c r="A8" s="19"/>
      <c r="B8" s="19" t="s">
        <v>3269</v>
      </c>
      <c r="C8" s="2"/>
      <c r="D8" s="275"/>
      <c r="E8" s="20"/>
      <c r="F8" s="20"/>
      <c r="G8" s="2"/>
      <c r="H8" s="2"/>
      <c r="I8" s="21"/>
    </row>
    <row r="9" spans="1:23">
      <c r="C9" s="2"/>
      <c r="D9" s="275"/>
      <c r="E9" s="20"/>
      <c r="F9" s="20"/>
      <c r="G9" s="2"/>
      <c r="H9" s="2"/>
      <c r="L9" s="23"/>
    </row>
    <row r="10" spans="1:23">
      <c r="C10" s="2"/>
      <c r="D10" s="275"/>
      <c r="E10" s="20"/>
      <c r="F10" s="20"/>
      <c r="G10" s="2"/>
      <c r="H10" s="2"/>
      <c r="I10" s="21"/>
      <c r="L10" s="23"/>
    </row>
    <row r="11" spans="1:23" s="39" customFormat="1" ht="14.25">
      <c r="C11" s="2"/>
      <c r="D11" s="275"/>
      <c r="E11" s="20"/>
      <c r="F11" s="2"/>
      <c r="G11" s="110"/>
      <c r="H11" s="110"/>
      <c r="I11" s="38"/>
      <c r="J11" s="38"/>
      <c r="K11" s="38"/>
      <c r="L11" s="38"/>
      <c r="N11" s="38"/>
      <c r="O11" s="38"/>
      <c r="P11" s="38"/>
      <c r="Q11" s="48"/>
      <c r="R11" s="38"/>
      <c r="T11" s="48"/>
      <c r="U11" s="48"/>
      <c r="V11" s="48"/>
      <c r="W11" s="48"/>
    </row>
    <row r="12" spans="1:23" ht="15.75" thickBot="1"/>
    <row r="13" spans="1:23" ht="35.1" customHeight="1">
      <c r="A13" s="74" t="s">
        <v>1305</v>
      </c>
      <c r="B13" s="74" t="s">
        <v>14</v>
      </c>
      <c r="C13" s="75" t="s">
        <v>15</v>
      </c>
      <c r="D13" s="75" t="s">
        <v>16</v>
      </c>
      <c r="E13" s="76" t="s">
        <v>17</v>
      </c>
      <c r="F13" s="76" t="s">
        <v>3253</v>
      </c>
      <c r="G13" s="75" t="s">
        <v>19</v>
      </c>
      <c r="H13" s="75" t="s">
        <v>2408</v>
      </c>
      <c r="I13" s="75" t="s">
        <v>21</v>
      </c>
      <c r="J13" s="76" t="s">
        <v>22</v>
      </c>
      <c r="K13" s="75" t="s">
        <v>23</v>
      </c>
      <c r="L13" s="77" t="s">
        <v>24</v>
      </c>
      <c r="M13" s="111" t="s">
        <v>25</v>
      </c>
      <c r="N13" s="76" t="s">
        <v>26</v>
      </c>
      <c r="O13" s="77" t="s">
        <v>27</v>
      </c>
      <c r="P13" s="78" t="s">
        <v>29</v>
      </c>
      <c r="Q13" s="80" t="s">
        <v>36</v>
      </c>
      <c r="R13" s="80" t="s">
        <v>40</v>
      </c>
      <c r="T13" s="80" t="s">
        <v>2794</v>
      </c>
      <c r="U13" s="80" t="s">
        <v>2795</v>
      </c>
      <c r="V13" s="80" t="s">
        <v>2796</v>
      </c>
      <c r="W13" s="80" t="s">
        <v>2797</v>
      </c>
    </row>
    <row r="14" spans="1:23" s="129" customFormat="1" ht="14.25">
      <c r="A14" s="195" t="s">
        <v>1276</v>
      </c>
      <c r="B14" s="195" t="s">
        <v>55</v>
      </c>
      <c r="C14" s="236" t="s">
        <v>56</v>
      </c>
      <c r="D14" s="237" t="s">
        <v>78</v>
      </c>
      <c r="E14" s="197" t="s">
        <v>70</v>
      </c>
      <c r="F14" s="197">
        <v>23</v>
      </c>
      <c r="G14" s="238" t="s">
        <v>86</v>
      </c>
      <c r="H14" s="238" t="s">
        <v>2826</v>
      </c>
      <c r="I14" s="237" t="s">
        <v>88</v>
      </c>
      <c r="J14" s="197" t="s">
        <v>69</v>
      </c>
      <c r="K14" s="239" t="s">
        <v>60</v>
      </c>
      <c r="L14" s="128">
        <v>17.5</v>
      </c>
      <c r="M14" s="195" t="s">
        <v>61</v>
      </c>
      <c r="N14" s="128" t="s">
        <v>62</v>
      </c>
      <c r="O14" s="128">
        <v>9</v>
      </c>
      <c r="P14" s="197" t="s">
        <v>63</v>
      </c>
      <c r="Q14" s="281">
        <v>353.5697035806931</v>
      </c>
      <c r="R14" s="149" t="s">
        <v>9</v>
      </c>
      <c r="T14" s="134">
        <v>1178.5656786023103</v>
      </c>
      <c r="U14" s="134">
        <v>707.1394071613862</v>
      </c>
      <c r="V14" s="134">
        <v>589.28283930115515</v>
      </c>
      <c r="W14" s="134">
        <v>471.42627144092415</v>
      </c>
    </row>
    <row r="15" spans="1:23" s="129" customFormat="1" ht="14.25">
      <c r="A15" s="195" t="s">
        <v>1276</v>
      </c>
      <c r="B15" s="195" t="s">
        <v>55</v>
      </c>
      <c r="C15" s="236" t="s">
        <v>56</v>
      </c>
      <c r="D15" s="237" t="s">
        <v>78</v>
      </c>
      <c r="E15" s="197" t="s">
        <v>70</v>
      </c>
      <c r="F15" s="197">
        <v>23</v>
      </c>
      <c r="G15" s="238" t="s">
        <v>90</v>
      </c>
      <c r="H15" s="238" t="s">
        <v>2827</v>
      </c>
      <c r="I15" s="237" t="s">
        <v>92</v>
      </c>
      <c r="J15" s="197" t="s">
        <v>69</v>
      </c>
      <c r="K15" s="239" t="s">
        <v>60</v>
      </c>
      <c r="L15" s="128">
        <v>35</v>
      </c>
      <c r="M15" s="195" t="s">
        <v>61</v>
      </c>
      <c r="N15" s="128" t="s">
        <v>62</v>
      </c>
      <c r="O15" s="128">
        <v>4</v>
      </c>
      <c r="P15" s="197" t="s">
        <v>63</v>
      </c>
      <c r="Q15" s="281">
        <v>724.4840490257443</v>
      </c>
      <c r="R15" s="149" t="s">
        <v>9</v>
      </c>
      <c r="T15" s="134">
        <v>2414.9468300858143</v>
      </c>
      <c r="U15" s="134">
        <v>1448.9680980514886</v>
      </c>
      <c r="V15" s="134">
        <v>1207.4734150429072</v>
      </c>
      <c r="W15" s="134">
        <v>965.97873203432573</v>
      </c>
    </row>
    <row r="16" spans="1:23" s="129" customFormat="1" ht="14.25">
      <c r="A16" s="195" t="s">
        <v>1213</v>
      </c>
      <c r="B16" s="195" t="s">
        <v>55</v>
      </c>
      <c r="C16" s="236" t="s">
        <v>56</v>
      </c>
      <c r="D16" s="237" t="s">
        <v>78</v>
      </c>
      <c r="E16" s="197" t="s">
        <v>70</v>
      </c>
      <c r="F16" s="197">
        <v>24</v>
      </c>
      <c r="G16" s="238" t="s">
        <v>1688</v>
      </c>
      <c r="H16" s="238" t="s">
        <v>2825</v>
      </c>
      <c r="I16" s="237" t="s">
        <v>2567</v>
      </c>
      <c r="J16" s="197" t="s">
        <v>69</v>
      </c>
      <c r="K16" s="239" t="s">
        <v>60</v>
      </c>
      <c r="L16" s="128">
        <v>17.5</v>
      </c>
      <c r="M16" s="195" t="s">
        <v>61</v>
      </c>
      <c r="N16" s="128" t="s">
        <v>62</v>
      </c>
      <c r="O16" s="128">
        <v>9</v>
      </c>
      <c r="P16" s="197" t="s">
        <v>63</v>
      </c>
      <c r="Q16" s="281">
        <v>315.19578580240892</v>
      </c>
      <c r="R16" s="149" t="s">
        <v>9</v>
      </c>
      <c r="T16" s="134">
        <v>1050.6526193413631</v>
      </c>
      <c r="U16" s="134">
        <v>630.39157160481784</v>
      </c>
      <c r="V16" s="134">
        <v>525.32630967068155</v>
      </c>
      <c r="W16" s="134">
        <v>420.26104773654527</v>
      </c>
    </row>
    <row r="17" spans="1:23" s="129" customFormat="1" ht="14.25">
      <c r="A17" s="195" t="s">
        <v>1213</v>
      </c>
      <c r="B17" s="195" t="s">
        <v>55</v>
      </c>
      <c r="C17" s="236" t="s">
        <v>56</v>
      </c>
      <c r="D17" s="237" t="s">
        <v>78</v>
      </c>
      <c r="E17" s="197" t="s">
        <v>70</v>
      </c>
      <c r="F17" s="197">
        <v>24</v>
      </c>
      <c r="G17" s="238" t="s">
        <v>1689</v>
      </c>
      <c r="H17" s="238" t="s">
        <v>2825</v>
      </c>
      <c r="I17" s="237" t="s">
        <v>2568</v>
      </c>
      <c r="J17" s="197" t="s">
        <v>69</v>
      </c>
      <c r="K17" s="239" t="s">
        <v>60</v>
      </c>
      <c r="L17" s="128">
        <v>17.5</v>
      </c>
      <c r="M17" s="195" t="s">
        <v>97</v>
      </c>
      <c r="N17" s="128" t="s">
        <v>62</v>
      </c>
      <c r="O17" s="128">
        <v>6.8624999999999998</v>
      </c>
      <c r="P17" s="197" t="s">
        <v>63</v>
      </c>
      <c r="Q17" s="281">
        <v>320.63764646632643</v>
      </c>
      <c r="R17" s="149" t="s">
        <v>9</v>
      </c>
      <c r="T17" s="134">
        <v>1068.7921548877548</v>
      </c>
      <c r="U17" s="134">
        <v>641.27529293265286</v>
      </c>
      <c r="V17" s="134">
        <v>534.3960774438774</v>
      </c>
      <c r="W17" s="134">
        <v>427.51686195510194</v>
      </c>
    </row>
    <row r="18" spans="1:23" s="129" customFormat="1" ht="14.25">
      <c r="A18" s="195" t="s">
        <v>1276</v>
      </c>
      <c r="B18" s="195" t="s">
        <v>55</v>
      </c>
      <c r="C18" s="236" t="s">
        <v>56</v>
      </c>
      <c r="D18" s="237" t="s">
        <v>109</v>
      </c>
      <c r="E18" s="197" t="s">
        <v>114</v>
      </c>
      <c r="F18" s="197">
        <v>23</v>
      </c>
      <c r="G18" s="238" t="s">
        <v>115</v>
      </c>
      <c r="H18" s="238" t="s">
        <v>2828</v>
      </c>
      <c r="I18" s="237" t="s">
        <v>117</v>
      </c>
      <c r="J18" s="197" t="s">
        <v>69</v>
      </c>
      <c r="K18" s="239" t="s">
        <v>60</v>
      </c>
      <c r="L18" s="128">
        <v>17.8</v>
      </c>
      <c r="M18" s="195" t="s">
        <v>61</v>
      </c>
      <c r="N18" s="128" t="s">
        <v>62</v>
      </c>
      <c r="O18" s="128">
        <v>9</v>
      </c>
      <c r="P18" s="197" t="s">
        <v>63</v>
      </c>
      <c r="Q18" s="281">
        <v>368.81760537372537</v>
      </c>
      <c r="R18" s="149" t="s">
        <v>9</v>
      </c>
      <c r="T18" s="134">
        <v>1229.3920179124179</v>
      </c>
      <c r="U18" s="134">
        <v>737.63521074745074</v>
      </c>
      <c r="V18" s="134">
        <v>614.69600895620897</v>
      </c>
      <c r="W18" s="134">
        <v>491.7568071649672</v>
      </c>
    </row>
    <row r="19" spans="1:23" s="129" customFormat="1" ht="14.25">
      <c r="A19" s="195" t="s">
        <v>1276</v>
      </c>
      <c r="B19" s="195" t="s">
        <v>55</v>
      </c>
      <c r="C19" s="236" t="s">
        <v>56</v>
      </c>
      <c r="D19" s="237" t="s">
        <v>109</v>
      </c>
      <c r="E19" s="197" t="s">
        <v>114</v>
      </c>
      <c r="F19" s="197">
        <v>23</v>
      </c>
      <c r="G19" s="238" t="s">
        <v>119</v>
      </c>
      <c r="H19" s="238" t="s">
        <v>2829</v>
      </c>
      <c r="I19" s="237" t="s">
        <v>121</v>
      </c>
      <c r="J19" s="197" t="s">
        <v>69</v>
      </c>
      <c r="K19" s="239" t="s">
        <v>60</v>
      </c>
      <c r="L19" s="128">
        <v>35.6</v>
      </c>
      <c r="M19" s="195" t="s">
        <v>61</v>
      </c>
      <c r="N19" s="128" t="s">
        <v>62</v>
      </c>
      <c r="O19" s="128">
        <v>4</v>
      </c>
      <c r="P19" s="197" t="s">
        <v>63</v>
      </c>
      <c r="Q19" s="281">
        <v>755.3327900900556</v>
      </c>
      <c r="R19" s="149" t="s">
        <v>9</v>
      </c>
      <c r="T19" s="134">
        <v>2517.7759669668521</v>
      </c>
      <c r="U19" s="134">
        <v>1510.6655801801112</v>
      </c>
      <c r="V19" s="134">
        <v>1258.8879834834261</v>
      </c>
      <c r="W19" s="134">
        <v>1007.1103867867409</v>
      </c>
    </row>
    <row r="20" spans="1:23" s="129" customFormat="1" ht="14.25">
      <c r="A20" s="195" t="s">
        <v>1276</v>
      </c>
      <c r="B20" s="195" t="s">
        <v>55</v>
      </c>
      <c r="C20" s="236" t="s">
        <v>56</v>
      </c>
      <c r="D20" s="237" t="s">
        <v>1477</v>
      </c>
      <c r="E20" s="197" t="s">
        <v>70</v>
      </c>
      <c r="F20" s="197">
        <v>23</v>
      </c>
      <c r="G20" s="238" t="s">
        <v>2563</v>
      </c>
      <c r="H20" s="238" t="s">
        <v>2830</v>
      </c>
      <c r="I20" s="237" t="s">
        <v>2216</v>
      </c>
      <c r="J20" s="197" t="s">
        <v>69</v>
      </c>
      <c r="K20" s="239" t="s">
        <v>60</v>
      </c>
      <c r="L20" s="128">
        <v>16.600000000000001</v>
      </c>
      <c r="M20" s="195" t="s">
        <v>61</v>
      </c>
      <c r="N20" s="128" t="s">
        <v>62</v>
      </c>
      <c r="O20" s="128">
        <v>9</v>
      </c>
      <c r="P20" s="197" t="s">
        <v>63</v>
      </c>
      <c r="Q20" s="281">
        <v>350.67825572921049</v>
      </c>
      <c r="R20" s="149" t="s">
        <v>9</v>
      </c>
      <c r="T20" s="151">
        <v>1168.9275190973683</v>
      </c>
      <c r="U20" s="151">
        <v>701.35651145842098</v>
      </c>
      <c r="V20" s="151">
        <v>584.46375954868415</v>
      </c>
      <c r="W20" s="151">
        <v>467.57100763894732</v>
      </c>
    </row>
    <row r="21" spans="1:23" s="129" customFormat="1" ht="14.25">
      <c r="A21" s="195" t="s">
        <v>1276</v>
      </c>
      <c r="B21" s="195" t="s">
        <v>55</v>
      </c>
      <c r="C21" s="236" t="s">
        <v>56</v>
      </c>
      <c r="D21" s="237" t="s">
        <v>1477</v>
      </c>
      <c r="E21" s="197" t="s">
        <v>70</v>
      </c>
      <c r="F21" s="197">
        <v>23</v>
      </c>
      <c r="G21" s="238" t="s">
        <v>2213</v>
      </c>
      <c r="H21" s="238" t="s">
        <v>2825</v>
      </c>
      <c r="I21" s="237" t="s">
        <v>2217</v>
      </c>
      <c r="J21" s="197" t="s">
        <v>125</v>
      </c>
      <c r="K21" s="239" t="s">
        <v>60</v>
      </c>
      <c r="L21" s="128">
        <v>16.600000000000001</v>
      </c>
      <c r="M21" s="195" t="s">
        <v>61</v>
      </c>
      <c r="N21" s="128" t="s">
        <v>62</v>
      </c>
      <c r="O21" s="128">
        <v>9</v>
      </c>
      <c r="P21" s="197" t="s">
        <v>63</v>
      </c>
      <c r="Q21" s="281">
        <v>364.36544092595665</v>
      </c>
      <c r="R21" s="149" t="s">
        <v>9</v>
      </c>
      <c r="T21" s="151">
        <v>1214.5514697531889</v>
      </c>
      <c r="U21" s="151">
        <v>728.7308818519133</v>
      </c>
      <c r="V21" s="151">
        <v>607.27573487659447</v>
      </c>
      <c r="W21" s="151">
        <v>485.82058790127559</v>
      </c>
    </row>
    <row r="22" spans="1:23" s="129" customFormat="1" ht="14.25">
      <c r="A22" s="195" t="s">
        <v>1276</v>
      </c>
      <c r="B22" s="195" t="s">
        <v>55</v>
      </c>
      <c r="C22" s="236" t="s">
        <v>56</v>
      </c>
      <c r="D22" s="237" t="s">
        <v>109</v>
      </c>
      <c r="E22" s="197" t="s">
        <v>132</v>
      </c>
      <c r="F22" s="197">
        <v>23</v>
      </c>
      <c r="G22" s="238" t="s">
        <v>133</v>
      </c>
      <c r="H22" s="238" t="s">
        <v>2831</v>
      </c>
      <c r="I22" s="237" t="s">
        <v>135</v>
      </c>
      <c r="J22" s="197" t="s">
        <v>69</v>
      </c>
      <c r="K22" s="239" t="s">
        <v>60</v>
      </c>
      <c r="L22" s="128">
        <v>17.8</v>
      </c>
      <c r="M22" s="195" t="s">
        <v>61</v>
      </c>
      <c r="N22" s="128" t="s">
        <v>62</v>
      </c>
      <c r="O22" s="128">
        <v>9</v>
      </c>
      <c r="P22" s="197" t="s">
        <v>63</v>
      </c>
      <c r="Q22" s="281">
        <v>371.61080374912547</v>
      </c>
      <c r="R22" s="149" t="s">
        <v>9</v>
      </c>
      <c r="T22" s="134">
        <v>1238.7026791637516</v>
      </c>
      <c r="U22" s="134">
        <v>743.22160749825093</v>
      </c>
      <c r="V22" s="134">
        <v>619.35133958187578</v>
      </c>
      <c r="W22" s="134">
        <v>495.48107166550062</v>
      </c>
    </row>
    <row r="23" spans="1:23" s="129" customFormat="1" ht="14.25">
      <c r="A23" s="195" t="s">
        <v>1276</v>
      </c>
      <c r="B23" s="195" t="s">
        <v>55</v>
      </c>
      <c r="C23" s="236" t="s">
        <v>56</v>
      </c>
      <c r="D23" s="237" t="s">
        <v>109</v>
      </c>
      <c r="E23" s="197" t="s">
        <v>132</v>
      </c>
      <c r="F23" s="197">
        <v>23</v>
      </c>
      <c r="G23" s="238" t="s">
        <v>137</v>
      </c>
      <c r="H23" s="238" t="s">
        <v>2832</v>
      </c>
      <c r="I23" s="237" t="s">
        <v>139</v>
      </c>
      <c r="J23" s="197" t="s">
        <v>69</v>
      </c>
      <c r="K23" s="239" t="s">
        <v>60</v>
      </c>
      <c r="L23" s="128">
        <v>35.6</v>
      </c>
      <c r="M23" s="195" t="s">
        <v>61</v>
      </c>
      <c r="N23" s="128" t="s">
        <v>62</v>
      </c>
      <c r="O23" s="128">
        <v>4</v>
      </c>
      <c r="P23" s="197" t="s">
        <v>63</v>
      </c>
      <c r="Q23" s="281">
        <v>766.05364159736837</v>
      </c>
      <c r="R23" s="149" t="s">
        <v>9</v>
      </c>
      <c r="T23" s="134">
        <v>2553.5121386578949</v>
      </c>
      <c r="U23" s="134">
        <v>1532.107283194737</v>
      </c>
      <c r="V23" s="134">
        <v>1276.7560693289474</v>
      </c>
      <c r="W23" s="134">
        <v>1021.404855463158</v>
      </c>
    </row>
    <row r="24" spans="1:23" s="129" customFormat="1" ht="14.25">
      <c r="A24" s="195" t="s">
        <v>1276</v>
      </c>
      <c r="B24" s="195" t="s">
        <v>55</v>
      </c>
      <c r="C24" s="236" t="s">
        <v>56</v>
      </c>
      <c r="D24" s="237" t="s">
        <v>109</v>
      </c>
      <c r="E24" s="197" t="s">
        <v>132</v>
      </c>
      <c r="F24" s="197">
        <v>23</v>
      </c>
      <c r="G24" s="238" t="s">
        <v>1815</v>
      </c>
      <c r="H24" s="238" t="s">
        <v>2833</v>
      </c>
      <c r="I24" s="237" t="s">
        <v>1819</v>
      </c>
      <c r="J24" s="197" t="s">
        <v>69</v>
      </c>
      <c r="K24" s="239" t="s">
        <v>60</v>
      </c>
      <c r="L24" s="128">
        <v>17.8</v>
      </c>
      <c r="M24" s="195" t="s">
        <v>61</v>
      </c>
      <c r="N24" s="128" t="s">
        <v>62</v>
      </c>
      <c r="O24" s="128">
        <v>9</v>
      </c>
      <c r="P24" s="197" t="s">
        <v>63</v>
      </c>
      <c r="Q24" s="281">
        <v>371.61080374912547</v>
      </c>
      <c r="R24" s="149" t="s">
        <v>9</v>
      </c>
      <c r="T24" s="134">
        <v>1238.7026791637516</v>
      </c>
      <c r="U24" s="134">
        <v>743.22160749825093</v>
      </c>
      <c r="V24" s="134">
        <v>619.35133958187578</v>
      </c>
      <c r="W24" s="134">
        <v>495.48107166550062</v>
      </c>
    </row>
    <row r="25" spans="1:23" s="129" customFormat="1" ht="14.25">
      <c r="A25" s="195" t="s">
        <v>1276</v>
      </c>
      <c r="B25" s="195" t="s">
        <v>55</v>
      </c>
      <c r="C25" s="236" t="s">
        <v>56</v>
      </c>
      <c r="D25" s="237" t="s">
        <v>109</v>
      </c>
      <c r="E25" s="197" t="s">
        <v>132</v>
      </c>
      <c r="F25" s="197">
        <v>23</v>
      </c>
      <c r="G25" s="238" t="s">
        <v>1816</v>
      </c>
      <c r="H25" s="238" t="s">
        <v>2834</v>
      </c>
      <c r="I25" s="237" t="s">
        <v>1820</v>
      </c>
      <c r="J25" s="197" t="s">
        <v>69</v>
      </c>
      <c r="K25" s="239" t="s">
        <v>60</v>
      </c>
      <c r="L25" s="128">
        <v>35.6</v>
      </c>
      <c r="M25" s="195" t="s">
        <v>61</v>
      </c>
      <c r="N25" s="128" t="s">
        <v>62</v>
      </c>
      <c r="O25" s="128">
        <v>4</v>
      </c>
      <c r="P25" s="197" t="s">
        <v>63</v>
      </c>
      <c r="Q25" s="281">
        <v>766.05364159736837</v>
      </c>
      <c r="R25" s="149" t="s">
        <v>9</v>
      </c>
      <c r="T25" s="134">
        <v>2553.5121386578949</v>
      </c>
      <c r="U25" s="134">
        <v>1532.107283194737</v>
      </c>
      <c r="V25" s="134">
        <v>1276.7560693289474</v>
      </c>
      <c r="W25" s="134">
        <v>1021.404855463158</v>
      </c>
    </row>
    <row r="26" spans="1:23" s="129" customFormat="1" ht="14.25">
      <c r="A26" s="195" t="s">
        <v>1276</v>
      </c>
      <c r="B26" s="195" t="s">
        <v>55</v>
      </c>
      <c r="C26" s="236" t="s">
        <v>56</v>
      </c>
      <c r="D26" s="237" t="s">
        <v>109</v>
      </c>
      <c r="E26" s="197" t="s">
        <v>132</v>
      </c>
      <c r="F26" s="197">
        <v>23</v>
      </c>
      <c r="G26" s="238" t="s">
        <v>1410</v>
      </c>
      <c r="H26" s="238" t="s">
        <v>2835</v>
      </c>
      <c r="I26" s="237" t="s">
        <v>135</v>
      </c>
      <c r="J26" s="197" t="s">
        <v>69</v>
      </c>
      <c r="K26" s="239" t="s">
        <v>60</v>
      </c>
      <c r="L26" s="128">
        <v>17.8</v>
      </c>
      <c r="M26" s="195" t="s">
        <v>1411</v>
      </c>
      <c r="N26" s="128" t="s">
        <v>62</v>
      </c>
      <c r="O26" s="128">
        <v>5.49</v>
      </c>
      <c r="P26" s="197" t="s">
        <v>63</v>
      </c>
      <c r="Q26" s="281">
        <v>387.74208970075136</v>
      </c>
      <c r="R26" s="149" t="s">
        <v>9</v>
      </c>
      <c r="T26" s="134">
        <v>1292.4736323358379</v>
      </c>
      <c r="U26" s="134">
        <v>775.48417940150273</v>
      </c>
      <c r="V26" s="134">
        <v>646.23681616791896</v>
      </c>
      <c r="W26" s="134">
        <v>516.98945293433519</v>
      </c>
    </row>
    <row r="27" spans="1:23" s="129" customFormat="1" ht="14.25">
      <c r="A27" s="195" t="s">
        <v>1276</v>
      </c>
      <c r="B27" s="195" t="s">
        <v>55</v>
      </c>
      <c r="C27" s="236" t="s">
        <v>56</v>
      </c>
      <c r="D27" s="237" t="s">
        <v>109</v>
      </c>
      <c r="E27" s="197" t="s">
        <v>132</v>
      </c>
      <c r="F27" s="197">
        <v>23</v>
      </c>
      <c r="G27" s="238" t="s">
        <v>141</v>
      </c>
      <c r="H27" s="238" t="s">
        <v>2836</v>
      </c>
      <c r="I27" s="237" t="s">
        <v>143</v>
      </c>
      <c r="J27" s="197" t="s">
        <v>125</v>
      </c>
      <c r="K27" s="239" t="s">
        <v>60</v>
      </c>
      <c r="L27" s="128">
        <v>17.8</v>
      </c>
      <c r="M27" s="195" t="s">
        <v>61</v>
      </c>
      <c r="N27" s="128" t="s">
        <v>62</v>
      </c>
      <c r="O27" s="128">
        <v>9</v>
      </c>
      <c r="P27" s="197" t="s">
        <v>63</v>
      </c>
      <c r="Q27" s="281">
        <v>396.91154435207227</v>
      </c>
      <c r="R27" s="149" t="s">
        <v>9</v>
      </c>
      <c r="T27" s="134">
        <v>1323.0384811735744</v>
      </c>
      <c r="U27" s="134">
        <v>793.82308870414465</v>
      </c>
      <c r="V27" s="134">
        <v>661.51924058678719</v>
      </c>
      <c r="W27" s="134">
        <v>529.21539246942973</v>
      </c>
    </row>
    <row r="28" spans="1:23" s="129" customFormat="1" ht="14.25">
      <c r="A28" s="195" t="s">
        <v>1276</v>
      </c>
      <c r="B28" s="195" t="s">
        <v>55</v>
      </c>
      <c r="C28" s="236" t="s">
        <v>56</v>
      </c>
      <c r="D28" s="237" t="s">
        <v>109</v>
      </c>
      <c r="E28" s="197" t="s">
        <v>132</v>
      </c>
      <c r="F28" s="197">
        <v>23</v>
      </c>
      <c r="G28" s="238" t="s">
        <v>2225</v>
      </c>
      <c r="H28" s="238" t="s">
        <v>2837</v>
      </c>
      <c r="I28" s="237" t="s">
        <v>2227</v>
      </c>
      <c r="J28" s="197" t="s">
        <v>125</v>
      </c>
      <c r="K28" s="239" t="s">
        <v>60</v>
      </c>
      <c r="L28" s="128">
        <v>35.6</v>
      </c>
      <c r="M28" s="195" t="s">
        <v>61</v>
      </c>
      <c r="N28" s="128" t="s">
        <v>62</v>
      </c>
      <c r="O28" s="128">
        <v>9</v>
      </c>
      <c r="P28" s="197" t="s">
        <v>63</v>
      </c>
      <c r="Q28" s="281">
        <v>811.71904866997829</v>
      </c>
      <c r="R28" s="149" t="s">
        <v>9</v>
      </c>
      <c r="T28" s="134">
        <v>2705.7301622332611</v>
      </c>
      <c r="U28" s="134">
        <v>1623.4380973399566</v>
      </c>
      <c r="V28" s="134">
        <v>1352.8650811166306</v>
      </c>
      <c r="W28" s="134">
        <v>1082.2920648933045</v>
      </c>
    </row>
    <row r="29" spans="1:23" s="129" customFormat="1" ht="14.25">
      <c r="A29" s="195" t="s">
        <v>1276</v>
      </c>
      <c r="B29" s="195" t="s">
        <v>55</v>
      </c>
      <c r="C29" s="236" t="s">
        <v>56</v>
      </c>
      <c r="D29" s="237" t="s">
        <v>109</v>
      </c>
      <c r="E29" s="197" t="s">
        <v>132</v>
      </c>
      <c r="F29" s="197">
        <v>23</v>
      </c>
      <c r="G29" s="238" t="s">
        <v>133</v>
      </c>
      <c r="H29" s="238" t="s">
        <v>2831</v>
      </c>
      <c r="I29" s="237" t="s">
        <v>135</v>
      </c>
      <c r="J29" s="197" t="s">
        <v>69</v>
      </c>
      <c r="K29" s="239" t="s">
        <v>158</v>
      </c>
      <c r="L29" s="128">
        <v>19</v>
      </c>
      <c r="M29" s="195" t="s">
        <v>61</v>
      </c>
      <c r="N29" s="128" t="s">
        <v>62</v>
      </c>
      <c r="O29" s="128">
        <v>9</v>
      </c>
      <c r="P29" s="197" t="s">
        <v>159</v>
      </c>
      <c r="Q29" s="281">
        <v>390.583021742141</v>
      </c>
      <c r="R29" s="149" t="s">
        <v>9</v>
      </c>
      <c r="T29" s="134">
        <v>1301.9434058071367</v>
      </c>
      <c r="U29" s="134">
        <v>781.166043484282</v>
      </c>
      <c r="V29" s="134">
        <v>650.97170290356837</v>
      </c>
      <c r="W29" s="134">
        <v>520.77736232285474</v>
      </c>
    </row>
    <row r="30" spans="1:23" s="129" customFormat="1" ht="14.25">
      <c r="A30" s="195" t="s">
        <v>1276</v>
      </c>
      <c r="B30" s="195" t="s">
        <v>55</v>
      </c>
      <c r="C30" s="236" t="s">
        <v>56</v>
      </c>
      <c r="D30" s="237" t="s">
        <v>109</v>
      </c>
      <c r="E30" s="197" t="s">
        <v>132</v>
      </c>
      <c r="F30" s="197">
        <v>23</v>
      </c>
      <c r="G30" s="238" t="s">
        <v>137</v>
      </c>
      <c r="H30" s="238" t="s">
        <v>2832</v>
      </c>
      <c r="I30" s="237" t="s">
        <v>139</v>
      </c>
      <c r="J30" s="197" t="s">
        <v>69</v>
      </c>
      <c r="K30" s="239" t="s">
        <v>158</v>
      </c>
      <c r="L30" s="128">
        <v>37</v>
      </c>
      <c r="M30" s="195" t="s">
        <v>61</v>
      </c>
      <c r="N30" s="128" t="s">
        <v>62</v>
      </c>
      <c r="O30" s="128">
        <v>3</v>
      </c>
      <c r="P30" s="197" t="s">
        <v>159</v>
      </c>
      <c r="Q30" s="281">
        <v>819.82242411728271</v>
      </c>
      <c r="R30" s="149" t="s">
        <v>9</v>
      </c>
      <c r="T30" s="134">
        <v>2732.7414137242758</v>
      </c>
      <c r="U30" s="134">
        <v>1639.6448482345654</v>
      </c>
      <c r="V30" s="134">
        <v>1366.3707068621379</v>
      </c>
      <c r="W30" s="134">
        <v>1093.0965654897104</v>
      </c>
    </row>
    <row r="31" spans="1:23" s="129" customFormat="1" ht="14.25">
      <c r="A31" s="195" t="s">
        <v>1276</v>
      </c>
      <c r="B31" s="195" t="s">
        <v>55</v>
      </c>
      <c r="C31" s="236" t="s">
        <v>56</v>
      </c>
      <c r="D31" s="237" t="s">
        <v>109</v>
      </c>
      <c r="E31" s="197" t="s">
        <v>132</v>
      </c>
      <c r="F31" s="197">
        <v>23</v>
      </c>
      <c r="G31" s="238" t="s">
        <v>1815</v>
      </c>
      <c r="H31" s="238" t="s">
        <v>2833</v>
      </c>
      <c r="I31" s="237" t="s">
        <v>1819</v>
      </c>
      <c r="J31" s="197" t="s">
        <v>69</v>
      </c>
      <c r="K31" s="239" t="s">
        <v>158</v>
      </c>
      <c r="L31" s="128">
        <v>19</v>
      </c>
      <c r="M31" s="195" t="s">
        <v>61</v>
      </c>
      <c r="N31" s="128" t="s">
        <v>62</v>
      </c>
      <c r="O31" s="128">
        <v>9</v>
      </c>
      <c r="P31" s="197" t="s">
        <v>159</v>
      </c>
      <c r="Q31" s="281">
        <v>390.583021742141</v>
      </c>
      <c r="R31" s="149" t="s">
        <v>9</v>
      </c>
      <c r="T31" s="134">
        <v>1301.9434058071367</v>
      </c>
      <c r="U31" s="134">
        <v>781.166043484282</v>
      </c>
      <c r="V31" s="134">
        <v>650.97170290356837</v>
      </c>
      <c r="W31" s="134">
        <v>520.77736232285474</v>
      </c>
    </row>
    <row r="32" spans="1:23" s="129" customFormat="1" ht="14.25">
      <c r="A32" s="195" t="s">
        <v>1276</v>
      </c>
      <c r="B32" s="195" t="s">
        <v>55</v>
      </c>
      <c r="C32" s="236" t="s">
        <v>56</v>
      </c>
      <c r="D32" s="237" t="s">
        <v>109</v>
      </c>
      <c r="E32" s="197" t="s">
        <v>132</v>
      </c>
      <c r="F32" s="197">
        <v>23</v>
      </c>
      <c r="G32" s="238" t="s">
        <v>2560</v>
      </c>
      <c r="H32" s="238" t="s">
        <v>2834</v>
      </c>
      <c r="I32" s="237" t="s">
        <v>1820</v>
      </c>
      <c r="J32" s="197" t="s">
        <v>69</v>
      </c>
      <c r="K32" s="239" t="s">
        <v>158</v>
      </c>
      <c r="L32" s="128">
        <v>37</v>
      </c>
      <c r="M32" s="195" t="s">
        <v>61</v>
      </c>
      <c r="N32" s="128" t="s">
        <v>62</v>
      </c>
      <c r="O32" s="128">
        <v>3</v>
      </c>
      <c r="P32" s="197" t="s">
        <v>159</v>
      </c>
      <c r="Q32" s="281">
        <v>819.82242411728271</v>
      </c>
      <c r="R32" s="149" t="s">
        <v>9</v>
      </c>
      <c r="T32" s="134">
        <v>2732.7414137242758</v>
      </c>
      <c r="U32" s="134">
        <v>1639.6448482345654</v>
      </c>
      <c r="V32" s="134">
        <v>1366.3707068621379</v>
      </c>
      <c r="W32" s="134">
        <v>1093.0965654897104</v>
      </c>
    </row>
    <row r="33" spans="1:23" s="129" customFormat="1" ht="14.25">
      <c r="A33" s="237" t="s">
        <v>1276</v>
      </c>
      <c r="B33" s="237" t="s">
        <v>55</v>
      </c>
      <c r="C33" s="237" t="s">
        <v>56</v>
      </c>
      <c r="D33" s="237" t="s">
        <v>109</v>
      </c>
      <c r="E33" s="197" t="s">
        <v>151</v>
      </c>
      <c r="F33" s="197">
        <v>23</v>
      </c>
      <c r="G33" s="238" t="s">
        <v>1588</v>
      </c>
      <c r="H33" s="238" t="s">
        <v>2838</v>
      </c>
      <c r="I33" s="237" t="s">
        <v>157</v>
      </c>
      <c r="J33" s="197" t="s">
        <v>125</v>
      </c>
      <c r="K33" s="239" t="s">
        <v>60</v>
      </c>
      <c r="L33" s="128">
        <v>21</v>
      </c>
      <c r="M33" s="195" t="s">
        <v>61</v>
      </c>
      <c r="N33" s="128" t="s">
        <v>62</v>
      </c>
      <c r="O33" s="128">
        <v>9</v>
      </c>
      <c r="P33" s="197" t="s">
        <v>63</v>
      </c>
      <c r="Q33" s="281">
        <v>458.79199147249705</v>
      </c>
      <c r="R33" s="149" t="s">
        <v>9</v>
      </c>
      <c r="T33" s="134">
        <v>1529.3066382416569</v>
      </c>
      <c r="U33" s="134">
        <v>917.58398294499409</v>
      </c>
      <c r="V33" s="134">
        <v>764.65331912082843</v>
      </c>
      <c r="W33" s="134">
        <v>611.72265529666277</v>
      </c>
    </row>
    <row r="34" spans="1:23" s="129" customFormat="1" ht="14.25">
      <c r="A34" s="237" t="s">
        <v>1276</v>
      </c>
      <c r="B34" s="237" t="s">
        <v>55</v>
      </c>
      <c r="C34" s="237" t="s">
        <v>56</v>
      </c>
      <c r="D34" s="237" t="s">
        <v>109</v>
      </c>
      <c r="E34" s="197" t="s">
        <v>151</v>
      </c>
      <c r="F34" s="197">
        <v>23</v>
      </c>
      <c r="G34" s="238" t="s">
        <v>2221</v>
      </c>
      <c r="H34" s="238" t="s">
        <v>2839</v>
      </c>
      <c r="I34" s="237" t="s">
        <v>2223</v>
      </c>
      <c r="J34" s="197" t="s">
        <v>125</v>
      </c>
      <c r="K34" s="239" t="s">
        <v>60</v>
      </c>
      <c r="L34" s="128">
        <v>42</v>
      </c>
      <c r="M34" s="195" t="s">
        <v>61</v>
      </c>
      <c r="N34" s="128" t="s">
        <v>62</v>
      </c>
      <c r="O34" s="128">
        <v>9</v>
      </c>
      <c r="P34" s="197" t="s">
        <v>63</v>
      </c>
      <c r="Q34" s="281">
        <v>928.3276716057826</v>
      </c>
      <c r="R34" s="149" t="s">
        <v>9</v>
      </c>
      <c r="T34" s="134">
        <v>3094.4255720192755</v>
      </c>
      <c r="U34" s="134">
        <v>1856.6553432115652</v>
      </c>
      <c r="V34" s="134">
        <v>1547.2127860096377</v>
      </c>
      <c r="W34" s="134">
        <v>1237.7702288077103</v>
      </c>
    </row>
    <row r="35" spans="1:23" s="129" customFormat="1" ht="14.25">
      <c r="A35" s="237" t="s">
        <v>1276</v>
      </c>
      <c r="B35" s="237" t="s">
        <v>55</v>
      </c>
      <c r="C35" s="237" t="s">
        <v>56</v>
      </c>
      <c r="D35" s="237" t="s">
        <v>109</v>
      </c>
      <c r="E35" s="197" t="s">
        <v>151</v>
      </c>
      <c r="F35" s="197">
        <v>23</v>
      </c>
      <c r="G35" s="238" t="s">
        <v>155</v>
      </c>
      <c r="H35" s="238" t="s">
        <v>2838</v>
      </c>
      <c r="I35" s="237" t="s">
        <v>157</v>
      </c>
      <c r="J35" s="197" t="s">
        <v>125</v>
      </c>
      <c r="K35" s="239" t="s">
        <v>1223</v>
      </c>
      <c r="L35" s="128">
        <v>23</v>
      </c>
      <c r="M35" s="195" t="s">
        <v>61</v>
      </c>
      <c r="N35" s="128" t="s">
        <v>62</v>
      </c>
      <c r="O35" s="128">
        <v>9</v>
      </c>
      <c r="P35" s="197" t="s">
        <v>159</v>
      </c>
      <c r="Q35" s="281">
        <v>482.72988505747128</v>
      </c>
      <c r="R35" s="149" t="s">
        <v>9</v>
      </c>
      <c r="T35" s="134">
        <v>1609.0996168582376</v>
      </c>
      <c r="U35" s="134">
        <v>965.45977011494256</v>
      </c>
      <c r="V35" s="134">
        <v>804.5498084291188</v>
      </c>
      <c r="W35" s="134">
        <v>643.63984674329504</v>
      </c>
    </row>
    <row r="36" spans="1:23" s="129" customFormat="1" ht="14.25">
      <c r="A36" s="237" t="s">
        <v>1276</v>
      </c>
      <c r="B36" s="237" t="s">
        <v>55</v>
      </c>
      <c r="C36" s="237" t="s">
        <v>56</v>
      </c>
      <c r="D36" s="237" t="s">
        <v>109</v>
      </c>
      <c r="E36" s="197" t="s">
        <v>151</v>
      </c>
      <c r="F36" s="197">
        <v>23</v>
      </c>
      <c r="G36" s="238" t="s">
        <v>2221</v>
      </c>
      <c r="H36" s="238" t="s">
        <v>2839</v>
      </c>
      <c r="I36" s="237" t="s">
        <v>2223</v>
      </c>
      <c r="J36" s="197" t="s">
        <v>125</v>
      </c>
      <c r="K36" s="239" t="s">
        <v>1223</v>
      </c>
      <c r="L36" s="128">
        <v>46</v>
      </c>
      <c r="M36" s="195" t="s">
        <v>61</v>
      </c>
      <c r="N36" s="128" t="s">
        <v>62</v>
      </c>
      <c r="O36" s="128">
        <v>9</v>
      </c>
      <c r="P36" s="197" t="s">
        <v>159</v>
      </c>
      <c r="Q36" s="281">
        <v>982.62126798236091</v>
      </c>
      <c r="R36" s="149" t="s">
        <v>9</v>
      </c>
      <c r="T36" s="134">
        <v>3275.40422660787</v>
      </c>
      <c r="U36" s="134">
        <v>1965.2425359647218</v>
      </c>
      <c r="V36" s="134">
        <v>1637.702113303935</v>
      </c>
      <c r="W36" s="134">
        <v>1310.1616906431482</v>
      </c>
    </row>
    <row r="37" spans="1:23" s="129" customFormat="1" ht="14.25">
      <c r="A37" s="237" t="s">
        <v>1276</v>
      </c>
      <c r="B37" s="237" t="s">
        <v>55</v>
      </c>
      <c r="C37" s="237" t="s">
        <v>56</v>
      </c>
      <c r="D37" s="237" t="s">
        <v>109</v>
      </c>
      <c r="E37" s="197" t="s">
        <v>151</v>
      </c>
      <c r="F37" s="197">
        <v>23</v>
      </c>
      <c r="G37" s="238" t="s">
        <v>1306</v>
      </c>
      <c r="H37" s="238" t="s">
        <v>2825</v>
      </c>
      <c r="I37" s="237" t="s">
        <v>1308</v>
      </c>
      <c r="J37" s="197" t="s">
        <v>125</v>
      </c>
      <c r="K37" s="239" t="s">
        <v>60</v>
      </c>
      <c r="L37" s="128">
        <v>21</v>
      </c>
      <c r="M37" s="195" t="s">
        <v>61</v>
      </c>
      <c r="N37" s="128" t="s">
        <v>62</v>
      </c>
      <c r="O37" s="128">
        <v>9</v>
      </c>
      <c r="P37" s="197" t="s">
        <v>1705</v>
      </c>
      <c r="Q37" s="281">
        <v>497.71657355593095</v>
      </c>
      <c r="R37" s="149" t="s">
        <v>281</v>
      </c>
      <c r="T37" s="134">
        <v>1659.0552451864367</v>
      </c>
      <c r="U37" s="134">
        <v>995.4331471118619</v>
      </c>
      <c r="V37" s="134">
        <v>829.52762259321833</v>
      </c>
      <c r="W37" s="134">
        <v>663.62209807457475</v>
      </c>
    </row>
    <row r="38" spans="1:23" s="129" customFormat="1" ht="14.25">
      <c r="A38" s="237" t="s">
        <v>1276</v>
      </c>
      <c r="B38" s="237" t="s">
        <v>55</v>
      </c>
      <c r="C38" s="237" t="s">
        <v>56</v>
      </c>
      <c r="D38" s="237" t="s">
        <v>109</v>
      </c>
      <c r="E38" s="197" t="s">
        <v>151</v>
      </c>
      <c r="F38" s="197">
        <v>23</v>
      </c>
      <c r="G38" s="238" t="s">
        <v>2249</v>
      </c>
      <c r="H38" s="238" t="s">
        <v>2825</v>
      </c>
      <c r="I38" s="237" t="s">
        <v>2251</v>
      </c>
      <c r="J38" s="197" t="s">
        <v>1584</v>
      </c>
      <c r="K38" s="239" t="s">
        <v>60</v>
      </c>
      <c r="L38" s="128">
        <v>35.119999999999997</v>
      </c>
      <c r="M38" s="195" t="s">
        <v>61</v>
      </c>
      <c r="N38" s="128" t="s">
        <v>2248</v>
      </c>
      <c r="O38" s="128">
        <v>6</v>
      </c>
      <c r="P38" s="197" t="s">
        <v>1705</v>
      </c>
      <c r="Q38" s="281">
        <v>1814.392353600618</v>
      </c>
      <c r="R38" s="149" t="s">
        <v>281</v>
      </c>
      <c r="T38" s="134">
        <v>6047.9745120020598</v>
      </c>
      <c r="U38" s="134">
        <v>3628.784707201236</v>
      </c>
      <c r="V38" s="134">
        <v>3023.9872560010299</v>
      </c>
      <c r="W38" s="134">
        <v>2419.1898048008238</v>
      </c>
    </row>
    <row r="39" spans="1:23" s="129" customFormat="1" ht="14.25">
      <c r="A39" s="195" t="s">
        <v>1276</v>
      </c>
      <c r="B39" s="195" t="s">
        <v>55</v>
      </c>
      <c r="C39" s="236" t="s">
        <v>56</v>
      </c>
      <c r="D39" s="237" t="s">
        <v>161</v>
      </c>
      <c r="E39" s="197" t="s">
        <v>151</v>
      </c>
      <c r="F39" s="197">
        <v>23</v>
      </c>
      <c r="G39" s="238" t="s">
        <v>169</v>
      </c>
      <c r="H39" s="238" t="s">
        <v>2840</v>
      </c>
      <c r="I39" s="237" t="s">
        <v>171</v>
      </c>
      <c r="J39" s="197" t="s">
        <v>125</v>
      </c>
      <c r="K39" s="239" t="s">
        <v>60</v>
      </c>
      <c r="L39" s="128">
        <v>21</v>
      </c>
      <c r="M39" s="195" t="s">
        <v>61</v>
      </c>
      <c r="N39" s="128" t="s">
        <v>62</v>
      </c>
      <c r="O39" s="128">
        <v>6</v>
      </c>
      <c r="P39" s="197" t="s">
        <v>63</v>
      </c>
      <c r="Q39" s="281">
        <v>462.07656322924475</v>
      </c>
      <c r="R39" s="149" t="s">
        <v>9</v>
      </c>
      <c r="T39" s="134">
        <v>1540.2552107641493</v>
      </c>
      <c r="U39" s="134">
        <v>924.15312645848951</v>
      </c>
      <c r="V39" s="134">
        <v>770.12760538207465</v>
      </c>
      <c r="W39" s="134">
        <v>616.10208430565979</v>
      </c>
    </row>
    <row r="40" spans="1:23" s="129" customFormat="1" ht="14.25">
      <c r="A40" s="195" t="s">
        <v>1276</v>
      </c>
      <c r="B40" s="195" t="s">
        <v>55</v>
      </c>
      <c r="C40" s="236" t="s">
        <v>56</v>
      </c>
      <c r="D40" s="237" t="s">
        <v>161</v>
      </c>
      <c r="E40" s="197" t="s">
        <v>151</v>
      </c>
      <c r="F40" s="197">
        <v>23</v>
      </c>
      <c r="G40" s="238" t="s">
        <v>1319</v>
      </c>
      <c r="H40" s="238" t="s">
        <v>2841</v>
      </c>
      <c r="I40" s="237" t="s">
        <v>1321</v>
      </c>
      <c r="J40" s="197" t="s">
        <v>125</v>
      </c>
      <c r="K40" s="239" t="s">
        <v>60</v>
      </c>
      <c r="L40" s="128">
        <v>42</v>
      </c>
      <c r="M40" s="195" t="s">
        <v>61</v>
      </c>
      <c r="N40" s="128" t="s">
        <v>62</v>
      </c>
      <c r="O40" s="128">
        <v>4</v>
      </c>
      <c r="P40" s="197" t="s">
        <v>63</v>
      </c>
      <c r="Q40" s="281">
        <v>948.33150534855577</v>
      </c>
      <c r="R40" s="149" t="s">
        <v>9</v>
      </c>
      <c r="T40" s="134">
        <v>3161.1050178285195</v>
      </c>
      <c r="U40" s="134">
        <v>1896.6630106971115</v>
      </c>
      <c r="V40" s="134">
        <v>1580.5525089142598</v>
      </c>
      <c r="W40" s="134">
        <v>1264.442007131408</v>
      </c>
    </row>
    <row r="41" spans="1:23" s="129" customFormat="1" ht="14.25">
      <c r="A41" s="195" t="s">
        <v>1276</v>
      </c>
      <c r="B41" s="195" t="s">
        <v>55</v>
      </c>
      <c r="C41" s="236" t="s">
        <v>56</v>
      </c>
      <c r="D41" s="237" t="s">
        <v>161</v>
      </c>
      <c r="E41" s="197" t="s">
        <v>151</v>
      </c>
      <c r="F41" s="197">
        <v>23</v>
      </c>
      <c r="G41" s="238" t="s">
        <v>1280</v>
      </c>
      <c r="H41" s="238" t="s">
        <v>2840</v>
      </c>
      <c r="I41" s="237" t="s">
        <v>1284</v>
      </c>
      <c r="J41" s="197" t="s">
        <v>125</v>
      </c>
      <c r="K41" s="239" t="s">
        <v>158</v>
      </c>
      <c r="L41" s="128">
        <v>23</v>
      </c>
      <c r="M41" s="195" t="s">
        <v>61</v>
      </c>
      <c r="N41" s="128" t="s">
        <v>62</v>
      </c>
      <c r="O41" s="128">
        <v>8</v>
      </c>
      <c r="P41" s="197" t="s">
        <v>159</v>
      </c>
      <c r="Q41" s="281">
        <v>480.62583967756382</v>
      </c>
      <c r="R41" s="149" t="s">
        <v>9</v>
      </c>
      <c r="T41" s="134">
        <v>1602.0861322585461</v>
      </c>
      <c r="U41" s="134">
        <v>961.25167935512764</v>
      </c>
      <c r="V41" s="134">
        <v>801.04306612927303</v>
      </c>
      <c r="W41" s="134">
        <v>640.83445290341842</v>
      </c>
    </row>
    <row r="42" spans="1:23" s="129" customFormat="1" ht="14.25">
      <c r="A42" s="195" t="s">
        <v>1276</v>
      </c>
      <c r="B42" s="195" t="s">
        <v>55</v>
      </c>
      <c r="C42" s="236" t="s">
        <v>56</v>
      </c>
      <c r="D42" s="237" t="s">
        <v>161</v>
      </c>
      <c r="E42" s="197" t="s">
        <v>151</v>
      </c>
      <c r="F42" s="197">
        <v>26</v>
      </c>
      <c r="G42" s="238" t="s">
        <v>1492</v>
      </c>
      <c r="H42" s="238" t="s">
        <v>2825</v>
      </c>
      <c r="I42" s="237" t="s">
        <v>2801</v>
      </c>
      <c r="J42" s="197" t="s">
        <v>1493</v>
      </c>
      <c r="K42" s="239" t="s">
        <v>60</v>
      </c>
      <c r="L42" s="128">
        <v>9.9</v>
      </c>
      <c r="M42" s="195" t="s">
        <v>61</v>
      </c>
      <c r="N42" s="128" t="s">
        <v>62</v>
      </c>
      <c r="O42" s="128">
        <v>4</v>
      </c>
      <c r="P42" s="197" t="s">
        <v>63</v>
      </c>
      <c r="Q42" s="281">
        <v>383.54219288575064</v>
      </c>
      <c r="R42" s="149" t="s">
        <v>9</v>
      </c>
      <c r="T42" s="134">
        <v>1278.4739762858355</v>
      </c>
      <c r="U42" s="134">
        <v>767.08438577150127</v>
      </c>
      <c r="V42" s="134">
        <v>639.23698814291777</v>
      </c>
      <c r="W42" s="134">
        <v>511.38959051433426</v>
      </c>
    </row>
    <row r="43" spans="1:23" s="129" customFormat="1" ht="14.25">
      <c r="A43" s="195" t="s">
        <v>1276</v>
      </c>
      <c r="B43" s="195" t="s">
        <v>55</v>
      </c>
      <c r="C43" s="236" t="s">
        <v>56</v>
      </c>
      <c r="D43" s="237" t="s">
        <v>183</v>
      </c>
      <c r="E43" s="197" t="s">
        <v>151</v>
      </c>
      <c r="F43" s="197">
        <v>23</v>
      </c>
      <c r="G43" s="238" t="s">
        <v>1309</v>
      </c>
      <c r="H43" s="238" t="s">
        <v>2825</v>
      </c>
      <c r="I43" s="237" t="s">
        <v>1311</v>
      </c>
      <c r="J43" s="197" t="s">
        <v>130</v>
      </c>
      <c r="K43" s="239" t="s">
        <v>1295</v>
      </c>
      <c r="L43" s="128">
        <v>26</v>
      </c>
      <c r="M43" s="195" t="s">
        <v>61</v>
      </c>
      <c r="N43" s="128" t="s">
        <v>1587</v>
      </c>
      <c r="O43" s="128">
        <v>9</v>
      </c>
      <c r="P43" s="197" t="s">
        <v>63</v>
      </c>
      <c r="Q43" s="281">
        <v>606.37872103511461</v>
      </c>
      <c r="R43" s="149" t="s">
        <v>281</v>
      </c>
      <c r="T43" s="134">
        <v>2021.2624034503822</v>
      </c>
      <c r="U43" s="134">
        <v>1212.7574420702292</v>
      </c>
      <c r="V43" s="134">
        <v>1010.6312017251911</v>
      </c>
      <c r="W43" s="134">
        <v>808.50496138015296</v>
      </c>
    </row>
    <row r="44" spans="1:23" s="129" customFormat="1" ht="14.25">
      <c r="A44" s="195" t="s">
        <v>1276</v>
      </c>
      <c r="B44" s="195" t="s">
        <v>55</v>
      </c>
      <c r="C44" s="236" t="s">
        <v>56</v>
      </c>
      <c r="D44" s="237" t="s">
        <v>183</v>
      </c>
      <c r="E44" s="197" t="s">
        <v>151</v>
      </c>
      <c r="F44" s="197">
        <v>23</v>
      </c>
      <c r="G44" s="238" t="s">
        <v>1309</v>
      </c>
      <c r="H44" s="238" t="s">
        <v>2825</v>
      </c>
      <c r="I44" s="237" t="s">
        <v>1311</v>
      </c>
      <c r="J44" s="197" t="s">
        <v>130</v>
      </c>
      <c r="K44" s="239" t="s">
        <v>158</v>
      </c>
      <c r="L44" s="128">
        <v>25</v>
      </c>
      <c r="M44" s="195" t="s">
        <v>61</v>
      </c>
      <c r="N44" s="128" t="s">
        <v>1587</v>
      </c>
      <c r="O44" s="128">
        <v>9</v>
      </c>
      <c r="P44" s="197" t="s">
        <v>159</v>
      </c>
      <c r="Q44" s="281">
        <v>568.66303690260133</v>
      </c>
      <c r="R44" s="149" t="s">
        <v>281</v>
      </c>
      <c r="T44" s="134">
        <v>1895.5434563420044</v>
      </c>
      <c r="U44" s="134">
        <v>1137.3260738052027</v>
      </c>
      <c r="V44" s="134">
        <v>947.77172817100222</v>
      </c>
      <c r="W44" s="134">
        <v>758.21738253680178</v>
      </c>
    </row>
    <row r="45" spans="1:23" s="129" customFormat="1" ht="14.25">
      <c r="A45" s="195" t="s">
        <v>1276</v>
      </c>
      <c r="B45" s="195" t="s">
        <v>55</v>
      </c>
      <c r="C45" s="236" t="s">
        <v>56</v>
      </c>
      <c r="D45" s="237" t="s">
        <v>183</v>
      </c>
      <c r="E45" s="197" t="s">
        <v>151</v>
      </c>
      <c r="F45" s="197">
        <v>22</v>
      </c>
      <c r="G45" s="238" t="s">
        <v>1659</v>
      </c>
      <c r="H45" s="238" t="s">
        <v>2825</v>
      </c>
      <c r="I45" s="237" t="s">
        <v>2575</v>
      </c>
      <c r="J45" s="197" t="s">
        <v>130</v>
      </c>
      <c r="K45" s="239" t="s">
        <v>1295</v>
      </c>
      <c r="L45" s="128">
        <v>27.6</v>
      </c>
      <c r="M45" s="195" t="s">
        <v>61</v>
      </c>
      <c r="N45" s="128" t="s">
        <v>1587</v>
      </c>
      <c r="O45" s="128">
        <v>9</v>
      </c>
      <c r="P45" s="197" t="s">
        <v>159</v>
      </c>
      <c r="Q45" s="281">
        <v>661.14911395254126</v>
      </c>
      <c r="R45" s="149" t="s">
        <v>281</v>
      </c>
      <c r="T45" s="134">
        <v>2203.8303798418042</v>
      </c>
      <c r="U45" s="134">
        <v>1322.2982279050825</v>
      </c>
      <c r="V45" s="134">
        <v>1101.9151899209021</v>
      </c>
      <c r="W45" s="134">
        <v>881.53215193672168</v>
      </c>
    </row>
    <row r="46" spans="1:23" s="129" customFormat="1" ht="14.25">
      <c r="A46" s="195" t="s">
        <v>1276</v>
      </c>
      <c r="B46" s="195" t="s">
        <v>55</v>
      </c>
      <c r="C46" s="236" t="s">
        <v>56</v>
      </c>
      <c r="D46" s="237" t="s">
        <v>191</v>
      </c>
      <c r="E46" s="197" t="s">
        <v>151</v>
      </c>
      <c r="F46" s="197">
        <v>22</v>
      </c>
      <c r="G46" s="238" t="s">
        <v>2561</v>
      </c>
      <c r="H46" s="238" t="s">
        <v>2842</v>
      </c>
      <c r="I46" s="237" t="s">
        <v>1801</v>
      </c>
      <c r="J46" s="197" t="s">
        <v>1584</v>
      </c>
      <c r="K46" s="239" t="s">
        <v>60</v>
      </c>
      <c r="L46" s="128">
        <v>27.6</v>
      </c>
      <c r="M46" s="195" t="s">
        <v>61</v>
      </c>
      <c r="N46" s="128" t="s">
        <v>62</v>
      </c>
      <c r="O46" s="128">
        <v>6</v>
      </c>
      <c r="P46" s="197" t="s">
        <v>63</v>
      </c>
      <c r="Q46" s="281">
        <v>790.1466304147267</v>
      </c>
      <c r="R46" s="149" t="s">
        <v>9</v>
      </c>
      <c r="T46" s="134">
        <v>2633.8221013824223</v>
      </c>
      <c r="U46" s="134">
        <v>1580.2932608294534</v>
      </c>
      <c r="V46" s="134">
        <v>1316.9110506912111</v>
      </c>
      <c r="W46" s="134">
        <v>1053.5288405529689</v>
      </c>
    </row>
    <row r="47" spans="1:23" s="129" customFormat="1" ht="14.25">
      <c r="A47" s="195" t="s">
        <v>1276</v>
      </c>
      <c r="B47" s="195" t="s">
        <v>55</v>
      </c>
      <c r="C47" s="236" t="s">
        <v>56</v>
      </c>
      <c r="D47" s="237" t="s">
        <v>191</v>
      </c>
      <c r="E47" s="197" t="s">
        <v>151</v>
      </c>
      <c r="F47" s="197">
        <v>22</v>
      </c>
      <c r="G47" s="238" t="s">
        <v>1739</v>
      </c>
      <c r="H47" s="238" t="s">
        <v>2825</v>
      </c>
      <c r="I47" s="237" t="s">
        <v>2576</v>
      </c>
      <c r="J47" s="197" t="s">
        <v>125</v>
      </c>
      <c r="K47" s="239" t="s">
        <v>60</v>
      </c>
      <c r="L47" s="128">
        <v>27.6</v>
      </c>
      <c r="M47" s="195" t="s">
        <v>61</v>
      </c>
      <c r="N47" s="128" t="s">
        <v>62</v>
      </c>
      <c r="O47" s="128">
        <v>6</v>
      </c>
      <c r="P47" s="197" t="s">
        <v>63</v>
      </c>
      <c r="Q47" s="281">
        <v>767.80360999858897</v>
      </c>
      <c r="R47" s="149" t="s">
        <v>9</v>
      </c>
      <c r="T47" s="134">
        <v>2559.3453666619635</v>
      </c>
      <c r="U47" s="134">
        <v>1535.6072199971779</v>
      </c>
      <c r="V47" s="134">
        <v>1279.6726833309817</v>
      </c>
      <c r="W47" s="134">
        <v>1023.7381466647854</v>
      </c>
    </row>
    <row r="48" spans="1:23" s="129" customFormat="1" ht="14.25">
      <c r="A48" s="195" t="s">
        <v>1213</v>
      </c>
      <c r="B48" s="195" t="s">
        <v>55</v>
      </c>
      <c r="C48" s="236" t="s">
        <v>56</v>
      </c>
      <c r="D48" s="237" t="s">
        <v>192</v>
      </c>
      <c r="E48" s="197" t="s">
        <v>132</v>
      </c>
      <c r="F48" s="197" t="s">
        <v>193</v>
      </c>
      <c r="G48" s="238" t="s">
        <v>1777</v>
      </c>
      <c r="H48" s="238" t="s">
        <v>2843</v>
      </c>
      <c r="I48" s="237" t="s">
        <v>2577</v>
      </c>
      <c r="J48" s="197" t="s">
        <v>69</v>
      </c>
      <c r="K48" s="239" t="s">
        <v>60</v>
      </c>
      <c r="L48" s="128">
        <v>17.8</v>
      </c>
      <c r="M48" s="195" t="s">
        <v>61</v>
      </c>
      <c r="N48" s="128" t="s">
        <v>194</v>
      </c>
      <c r="O48" s="128">
        <v>8</v>
      </c>
      <c r="P48" s="197" t="s">
        <v>63</v>
      </c>
      <c r="Q48" s="281">
        <v>487.51465273029203</v>
      </c>
      <c r="R48" s="149" t="s">
        <v>9</v>
      </c>
      <c r="T48" s="134">
        <v>1625.0488424343068</v>
      </c>
      <c r="U48" s="134">
        <v>975.02930546058406</v>
      </c>
      <c r="V48" s="134">
        <v>812.52442121715342</v>
      </c>
      <c r="W48" s="134">
        <v>650.01953697372278</v>
      </c>
    </row>
    <row r="49" spans="1:75" s="129" customFormat="1" ht="14.25">
      <c r="A49" s="195" t="s">
        <v>1213</v>
      </c>
      <c r="B49" s="195" t="s">
        <v>55</v>
      </c>
      <c r="C49" s="236" t="s">
        <v>56</v>
      </c>
      <c r="D49" s="237" t="s">
        <v>192</v>
      </c>
      <c r="E49" s="197" t="s">
        <v>132</v>
      </c>
      <c r="F49" s="197" t="s">
        <v>193</v>
      </c>
      <c r="G49" s="238" t="s">
        <v>1217</v>
      </c>
      <c r="H49" s="238" t="s">
        <v>2844</v>
      </c>
      <c r="I49" s="237" t="s">
        <v>2578</v>
      </c>
      <c r="J49" s="197" t="s">
        <v>69</v>
      </c>
      <c r="K49" s="239" t="s">
        <v>60</v>
      </c>
      <c r="L49" s="128">
        <v>17.8</v>
      </c>
      <c r="M49" s="195" t="s">
        <v>197</v>
      </c>
      <c r="N49" s="128" t="s">
        <v>194</v>
      </c>
      <c r="O49" s="128">
        <v>8</v>
      </c>
      <c r="P49" s="197" t="s">
        <v>63</v>
      </c>
      <c r="Q49" s="281">
        <v>487.51465273029203</v>
      </c>
      <c r="R49" s="149" t="s">
        <v>9</v>
      </c>
      <c r="T49" s="134">
        <v>1625.0488424343068</v>
      </c>
      <c r="U49" s="134">
        <v>975.02930546058406</v>
      </c>
      <c r="V49" s="134">
        <v>812.52442121715342</v>
      </c>
      <c r="W49" s="134">
        <v>650.01953697372278</v>
      </c>
    </row>
    <row r="50" spans="1:75" s="160" customFormat="1" ht="14.25">
      <c r="A50" s="195" t="s">
        <v>1213</v>
      </c>
      <c r="B50" s="195" t="s">
        <v>55</v>
      </c>
      <c r="C50" s="236" t="s">
        <v>56</v>
      </c>
      <c r="D50" s="237" t="s">
        <v>192</v>
      </c>
      <c r="E50" s="197" t="s">
        <v>132</v>
      </c>
      <c r="F50" s="197" t="s">
        <v>193</v>
      </c>
      <c r="G50" s="238" t="s">
        <v>1218</v>
      </c>
      <c r="H50" s="238" t="s">
        <v>2825</v>
      </c>
      <c r="I50" s="237" t="s">
        <v>2578</v>
      </c>
      <c r="J50" s="197" t="s">
        <v>125</v>
      </c>
      <c r="K50" s="239" t="s">
        <v>60</v>
      </c>
      <c r="L50" s="128">
        <v>17.8</v>
      </c>
      <c r="M50" s="195" t="s">
        <v>61</v>
      </c>
      <c r="N50" s="128" t="s">
        <v>194</v>
      </c>
      <c r="O50" s="128">
        <v>8</v>
      </c>
      <c r="P50" s="197" t="s">
        <v>63</v>
      </c>
      <c r="Q50" s="281">
        <v>510.63696639640523</v>
      </c>
      <c r="R50" s="149" t="s">
        <v>9</v>
      </c>
      <c r="S50" s="129"/>
      <c r="T50" s="134">
        <v>1702.1232213213509</v>
      </c>
      <c r="U50" s="134">
        <v>1021.2739327928105</v>
      </c>
      <c r="V50" s="134">
        <v>851.06161066067546</v>
      </c>
      <c r="W50" s="134">
        <v>680.84928852854046</v>
      </c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</row>
    <row r="51" spans="1:75" s="129" customFormat="1" ht="14.25">
      <c r="A51" s="195" t="s">
        <v>1213</v>
      </c>
      <c r="B51" s="195" t="s">
        <v>55</v>
      </c>
      <c r="C51" s="236" t="s">
        <v>56</v>
      </c>
      <c r="D51" s="237" t="s">
        <v>192</v>
      </c>
      <c r="E51" s="197" t="s">
        <v>132</v>
      </c>
      <c r="F51" s="197" t="s">
        <v>193</v>
      </c>
      <c r="G51" s="238" t="s">
        <v>1219</v>
      </c>
      <c r="H51" s="238" t="s">
        <v>2825</v>
      </c>
      <c r="I51" s="237" t="s">
        <v>2582</v>
      </c>
      <c r="J51" s="197" t="s">
        <v>125</v>
      </c>
      <c r="K51" s="239" t="s">
        <v>60</v>
      </c>
      <c r="L51" s="128">
        <v>17.8</v>
      </c>
      <c r="M51" s="195" t="s">
        <v>197</v>
      </c>
      <c r="N51" s="128" t="s">
        <v>194</v>
      </c>
      <c r="O51" s="128">
        <v>8</v>
      </c>
      <c r="P51" s="197" t="s">
        <v>63</v>
      </c>
      <c r="Q51" s="281">
        <v>510.63696639640523</v>
      </c>
      <c r="R51" s="149" t="s">
        <v>9</v>
      </c>
      <c r="T51" s="134">
        <v>1702.1232213213509</v>
      </c>
      <c r="U51" s="134">
        <v>1021.2739327928105</v>
      </c>
      <c r="V51" s="134">
        <v>851.06161066067546</v>
      </c>
      <c r="W51" s="134">
        <v>680.84928852854046</v>
      </c>
    </row>
    <row r="52" spans="1:75" s="129" customFormat="1" ht="14.25">
      <c r="A52" s="195" t="s">
        <v>1276</v>
      </c>
      <c r="B52" s="195" t="s">
        <v>55</v>
      </c>
      <c r="C52" s="236" t="s">
        <v>201</v>
      </c>
      <c r="D52" s="236" t="s">
        <v>202</v>
      </c>
      <c r="E52" s="128"/>
      <c r="F52" s="128"/>
      <c r="G52" s="234" t="s">
        <v>2554</v>
      </c>
      <c r="H52" s="234" t="s">
        <v>2845</v>
      </c>
      <c r="I52" s="236" t="s">
        <v>205</v>
      </c>
      <c r="J52" s="128"/>
      <c r="K52" s="236" t="s">
        <v>60</v>
      </c>
      <c r="L52" s="227"/>
      <c r="M52" s="195" t="s">
        <v>206</v>
      </c>
      <c r="N52" s="128" t="s">
        <v>207</v>
      </c>
      <c r="O52" s="128">
        <v>8640</v>
      </c>
      <c r="P52" s="128" t="s">
        <v>209</v>
      </c>
      <c r="Q52" s="240">
        <v>0.43916724920681166</v>
      </c>
      <c r="R52" s="149" t="s">
        <v>5</v>
      </c>
      <c r="T52" s="168">
        <v>1.4638908306893723</v>
      </c>
      <c r="U52" s="168">
        <v>0.87833449841362332</v>
      </c>
      <c r="V52" s="168">
        <v>0.73194541534468616</v>
      </c>
      <c r="W52" s="168">
        <v>0.58555633227574899</v>
      </c>
    </row>
    <row r="53" spans="1:75" s="129" customFormat="1" ht="14.25">
      <c r="A53" s="195" t="s">
        <v>1276</v>
      </c>
      <c r="B53" s="195" t="s">
        <v>55</v>
      </c>
      <c r="C53" s="236" t="s">
        <v>201</v>
      </c>
      <c r="D53" s="236" t="s">
        <v>202</v>
      </c>
      <c r="E53" s="128"/>
      <c r="F53" s="128"/>
      <c r="G53" s="234" t="s">
        <v>212</v>
      </c>
      <c r="H53" s="234" t="s">
        <v>2846</v>
      </c>
      <c r="I53" s="236" t="s">
        <v>214</v>
      </c>
      <c r="J53" s="128"/>
      <c r="K53" s="236" t="s">
        <v>60</v>
      </c>
      <c r="L53" s="227"/>
      <c r="M53" s="195" t="s">
        <v>215</v>
      </c>
      <c r="N53" s="128" t="s">
        <v>207</v>
      </c>
      <c r="O53" s="128">
        <v>8640</v>
      </c>
      <c r="P53" s="128" t="s">
        <v>209</v>
      </c>
      <c r="Q53" s="240">
        <v>0.47304937789210533</v>
      </c>
      <c r="R53" s="149" t="s">
        <v>5</v>
      </c>
      <c r="T53" s="168">
        <v>1.5768312596403511</v>
      </c>
      <c r="U53" s="168">
        <v>0.94609875578421065</v>
      </c>
      <c r="V53" s="168">
        <v>0.78841562982017555</v>
      </c>
      <c r="W53" s="168">
        <v>0.63073250385614044</v>
      </c>
    </row>
    <row r="54" spans="1:75" s="129" customFormat="1" ht="14.25">
      <c r="A54" s="195" t="s">
        <v>1276</v>
      </c>
      <c r="B54" s="195" t="s">
        <v>55</v>
      </c>
      <c r="C54" s="236" t="s">
        <v>201</v>
      </c>
      <c r="D54" s="236" t="s">
        <v>202</v>
      </c>
      <c r="E54" s="128"/>
      <c r="F54" s="128"/>
      <c r="G54" s="234" t="s">
        <v>217</v>
      </c>
      <c r="H54" s="234" t="s">
        <v>2847</v>
      </c>
      <c r="I54" s="236" t="s">
        <v>219</v>
      </c>
      <c r="J54" s="128"/>
      <c r="K54" s="236" t="s">
        <v>60</v>
      </c>
      <c r="L54" s="227"/>
      <c r="M54" s="195" t="s">
        <v>206</v>
      </c>
      <c r="N54" s="128" t="s">
        <v>207</v>
      </c>
      <c r="O54" s="128">
        <v>11520</v>
      </c>
      <c r="P54" s="128" t="s">
        <v>209</v>
      </c>
      <c r="Q54" s="240">
        <v>0.39485205388755307</v>
      </c>
      <c r="R54" s="149" t="s">
        <v>5</v>
      </c>
      <c r="T54" s="168">
        <v>1.3161735129585104</v>
      </c>
      <c r="U54" s="168">
        <v>0.78970410777510625</v>
      </c>
      <c r="V54" s="168">
        <v>0.65808675647925519</v>
      </c>
      <c r="W54" s="168">
        <v>0.52646940518340413</v>
      </c>
    </row>
    <row r="55" spans="1:75" s="129" customFormat="1" ht="14.25">
      <c r="A55" s="195" t="s">
        <v>1276</v>
      </c>
      <c r="B55" s="195" t="s">
        <v>55</v>
      </c>
      <c r="C55" s="236" t="s">
        <v>201</v>
      </c>
      <c r="D55" s="236" t="s">
        <v>202</v>
      </c>
      <c r="E55" s="128"/>
      <c r="F55" s="128"/>
      <c r="G55" s="234" t="s">
        <v>221</v>
      </c>
      <c r="H55" s="234" t="s">
        <v>2848</v>
      </c>
      <c r="I55" s="236" t="s">
        <v>223</v>
      </c>
      <c r="J55" s="128"/>
      <c r="K55" s="236" t="s">
        <v>60</v>
      </c>
      <c r="L55" s="227"/>
      <c r="M55" s="195" t="s">
        <v>215</v>
      </c>
      <c r="N55" s="128" t="s">
        <v>207</v>
      </c>
      <c r="O55" s="128">
        <v>11520</v>
      </c>
      <c r="P55" s="128" t="s">
        <v>209</v>
      </c>
      <c r="Q55" s="240">
        <v>0.41774202802596194</v>
      </c>
      <c r="R55" s="149" t="s">
        <v>5</v>
      </c>
      <c r="T55" s="168">
        <v>1.3924734267532066</v>
      </c>
      <c r="U55" s="168">
        <v>0.835484056051924</v>
      </c>
      <c r="V55" s="168">
        <v>0.69623671337660331</v>
      </c>
      <c r="W55" s="168">
        <v>0.55698937070128263</v>
      </c>
    </row>
    <row r="56" spans="1:75" s="129" customFormat="1" ht="14.25">
      <c r="A56" s="195" t="s">
        <v>1276</v>
      </c>
      <c r="B56" s="195" t="s">
        <v>55</v>
      </c>
      <c r="C56" s="195" t="s">
        <v>201</v>
      </c>
      <c r="D56" s="236" t="s">
        <v>202</v>
      </c>
      <c r="E56" s="128"/>
      <c r="F56" s="128"/>
      <c r="G56" s="234" t="s">
        <v>225</v>
      </c>
      <c r="H56" s="234" t="s">
        <v>2849</v>
      </c>
      <c r="I56" s="236" t="s">
        <v>227</v>
      </c>
      <c r="J56" s="128"/>
      <c r="K56" s="236" t="s">
        <v>60</v>
      </c>
      <c r="L56" s="227"/>
      <c r="M56" s="195" t="s">
        <v>215</v>
      </c>
      <c r="N56" s="128" t="s">
        <v>207</v>
      </c>
      <c r="O56" s="128">
        <v>11520</v>
      </c>
      <c r="P56" s="128" t="s">
        <v>209</v>
      </c>
      <c r="Q56" s="240">
        <v>0.54019788718108797</v>
      </c>
      <c r="R56" s="149" t="s">
        <v>5</v>
      </c>
      <c r="T56" s="168">
        <v>1.8006596239369599</v>
      </c>
      <c r="U56" s="168">
        <v>1.0803957743621759</v>
      </c>
      <c r="V56" s="168">
        <v>0.90032981196847994</v>
      </c>
      <c r="W56" s="168">
        <v>0.72026384957478395</v>
      </c>
    </row>
    <row r="57" spans="1:75" s="129" customFormat="1" ht="14.25">
      <c r="A57" s="195" t="s">
        <v>1276</v>
      </c>
      <c r="B57" s="195" t="s">
        <v>55</v>
      </c>
      <c r="C57" s="195" t="s">
        <v>201</v>
      </c>
      <c r="D57" s="236" t="s">
        <v>202</v>
      </c>
      <c r="E57" s="128"/>
      <c r="F57" s="128"/>
      <c r="G57" s="234" t="s">
        <v>229</v>
      </c>
      <c r="H57" s="234" t="s">
        <v>2850</v>
      </c>
      <c r="I57" s="236" t="s">
        <v>231</v>
      </c>
      <c r="J57" s="128"/>
      <c r="K57" s="236" t="s">
        <v>60</v>
      </c>
      <c r="L57" s="227"/>
      <c r="M57" s="195" t="s">
        <v>215</v>
      </c>
      <c r="N57" s="128" t="s">
        <v>207</v>
      </c>
      <c r="O57" s="128">
        <v>11520</v>
      </c>
      <c r="P57" s="128" t="s">
        <v>209</v>
      </c>
      <c r="Q57" s="240">
        <v>0.56966322648187462</v>
      </c>
      <c r="R57" s="149" t="s">
        <v>5</v>
      </c>
      <c r="T57" s="168">
        <v>1.8988774216062487</v>
      </c>
      <c r="U57" s="168">
        <v>1.1393264529637492</v>
      </c>
      <c r="V57" s="168">
        <v>0.94943871080312436</v>
      </c>
      <c r="W57" s="168">
        <v>0.75955096864249949</v>
      </c>
    </row>
    <row r="58" spans="1:75" s="129" customFormat="1" ht="14.25">
      <c r="A58" s="237" t="s">
        <v>1276</v>
      </c>
      <c r="B58" s="237" t="s">
        <v>55</v>
      </c>
      <c r="C58" s="237" t="s">
        <v>251</v>
      </c>
      <c r="D58" s="237" t="s">
        <v>252</v>
      </c>
      <c r="E58" s="197" t="s">
        <v>253</v>
      </c>
      <c r="F58" s="128"/>
      <c r="G58" s="241" t="s">
        <v>1758</v>
      </c>
      <c r="H58" s="241" t="s">
        <v>2825</v>
      </c>
      <c r="I58" s="237" t="s">
        <v>2596</v>
      </c>
      <c r="J58" s="128"/>
      <c r="K58" s="236" t="s">
        <v>60</v>
      </c>
      <c r="L58" s="128"/>
      <c r="M58" s="195" t="s">
        <v>1766</v>
      </c>
      <c r="N58" s="128" t="s">
        <v>256</v>
      </c>
      <c r="O58" s="128">
        <v>8064</v>
      </c>
      <c r="P58" s="128" t="s">
        <v>257</v>
      </c>
      <c r="Q58" s="240">
        <v>1.4580774503966545</v>
      </c>
      <c r="R58" s="149" t="s">
        <v>9</v>
      </c>
      <c r="T58" s="168">
        <v>4.8602581679888486</v>
      </c>
      <c r="U58" s="168">
        <v>2.916154900793309</v>
      </c>
      <c r="V58" s="168">
        <v>2.4301290839944243</v>
      </c>
      <c r="W58" s="168">
        <v>1.9441032671955396</v>
      </c>
    </row>
    <row r="59" spans="1:75" s="129" customFormat="1" ht="14.25">
      <c r="A59" s="237" t="s">
        <v>1276</v>
      </c>
      <c r="B59" s="237" t="s">
        <v>55</v>
      </c>
      <c r="C59" s="237" t="s">
        <v>251</v>
      </c>
      <c r="D59" s="237" t="s">
        <v>252</v>
      </c>
      <c r="E59" s="197" t="s">
        <v>266</v>
      </c>
      <c r="F59" s="128"/>
      <c r="G59" s="241" t="s">
        <v>1759</v>
      </c>
      <c r="H59" s="241" t="s">
        <v>2825</v>
      </c>
      <c r="I59" s="237" t="s">
        <v>2595</v>
      </c>
      <c r="J59" s="128"/>
      <c r="K59" s="236" t="s">
        <v>60</v>
      </c>
      <c r="L59" s="128"/>
      <c r="M59" s="195" t="s">
        <v>1766</v>
      </c>
      <c r="N59" s="128" t="s">
        <v>256</v>
      </c>
      <c r="O59" s="128">
        <v>8064</v>
      </c>
      <c r="P59" s="128" t="s">
        <v>257</v>
      </c>
      <c r="Q59" s="240">
        <v>0.76094411373353998</v>
      </c>
      <c r="R59" s="149" t="s">
        <v>9</v>
      </c>
      <c r="T59" s="168">
        <v>2.5364803791118002</v>
      </c>
      <c r="U59" s="168">
        <v>1.5218882274670802</v>
      </c>
      <c r="V59" s="168">
        <v>1.2682401895559001</v>
      </c>
      <c r="W59" s="168">
        <v>1.0145921516447201</v>
      </c>
    </row>
    <row r="60" spans="1:75" s="129" customFormat="1" ht="15.75" customHeight="1">
      <c r="A60" s="237" t="s">
        <v>1276</v>
      </c>
      <c r="B60" s="237" t="s">
        <v>55</v>
      </c>
      <c r="C60" s="237" t="s">
        <v>251</v>
      </c>
      <c r="D60" s="237" t="s">
        <v>252</v>
      </c>
      <c r="E60" s="197" t="s">
        <v>253</v>
      </c>
      <c r="F60" s="128"/>
      <c r="G60" s="241" t="s">
        <v>1760</v>
      </c>
      <c r="H60" s="241" t="s">
        <v>2825</v>
      </c>
      <c r="I60" s="237" t="s">
        <v>1771</v>
      </c>
      <c r="J60" s="128"/>
      <c r="K60" s="236" t="s">
        <v>60</v>
      </c>
      <c r="L60" s="128"/>
      <c r="M60" s="195" t="s">
        <v>1766</v>
      </c>
      <c r="N60" s="128" t="s">
        <v>256</v>
      </c>
      <c r="O60" s="128">
        <v>8064</v>
      </c>
      <c r="P60" s="128" t="s">
        <v>257</v>
      </c>
      <c r="Q60" s="240">
        <v>1.5022292325130069</v>
      </c>
      <c r="R60" s="149" t="s">
        <v>9</v>
      </c>
      <c r="T60" s="168">
        <v>5.0074307750433569</v>
      </c>
      <c r="U60" s="168">
        <v>3.0044584650260142</v>
      </c>
      <c r="V60" s="168">
        <v>2.5037153875216784</v>
      </c>
      <c r="W60" s="168">
        <v>2.0029723100173427</v>
      </c>
    </row>
    <row r="61" spans="1:75" s="129" customFormat="1" ht="14.25">
      <c r="A61" s="237" t="s">
        <v>1276</v>
      </c>
      <c r="B61" s="237" t="s">
        <v>55</v>
      </c>
      <c r="C61" s="237" t="s">
        <v>251</v>
      </c>
      <c r="D61" s="237" t="s">
        <v>252</v>
      </c>
      <c r="E61" s="197" t="s">
        <v>253</v>
      </c>
      <c r="F61" s="128"/>
      <c r="G61" s="241" t="s">
        <v>2802</v>
      </c>
      <c r="H61" s="241" t="s">
        <v>2825</v>
      </c>
      <c r="I61" s="237" t="s">
        <v>1772</v>
      </c>
      <c r="J61" s="128"/>
      <c r="K61" s="236" t="s">
        <v>60</v>
      </c>
      <c r="L61" s="128"/>
      <c r="M61" s="195" t="s">
        <v>1766</v>
      </c>
      <c r="N61" s="128" t="s">
        <v>256</v>
      </c>
      <c r="O61" s="128">
        <v>8064</v>
      </c>
      <c r="P61" s="128" t="s">
        <v>257</v>
      </c>
      <c r="Q61" s="240">
        <v>1.3402205310454798</v>
      </c>
      <c r="R61" s="149" t="s">
        <v>9</v>
      </c>
      <c r="T61" s="168">
        <v>4.4674017701515991</v>
      </c>
      <c r="U61" s="168">
        <v>2.6804410620909596</v>
      </c>
      <c r="V61" s="168">
        <v>2.2337008850757996</v>
      </c>
      <c r="W61" s="168">
        <v>1.7869607080606398</v>
      </c>
    </row>
    <row r="62" spans="1:75" s="129" customFormat="1" ht="14.25">
      <c r="A62" s="237" t="s">
        <v>1276</v>
      </c>
      <c r="B62" s="237" t="s">
        <v>55</v>
      </c>
      <c r="C62" s="237" t="s">
        <v>251</v>
      </c>
      <c r="D62" s="237" t="s">
        <v>1591</v>
      </c>
      <c r="E62" s="197" t="s">
        <v>253</v>
      </c>
      <c r="F62" s="128"/>
      <c r="G62" s="241" t="s">
        <v>1737</v>
      </c>
      <c r="H62" s="241" t="s">
        <v>2825</v>
      </c>
      <c r="I62" s="237" t="s">
        <v>1774</v>
      </c>
      <c r="J62" s="128"/>
      <c r="K62" s="236" t="s">
        <v>60</v>
      </c>
      <c r="L62" s="128"/>
      <c r="M62" s="195" t="s">
        <v>1766</v>
      </c>
      <c r="N62" s="128" t="s">
        <v>1776</v>
      </c>
      <c r="O62" s="128">
        <v>8064</v>
      </c>
      <c r="P62" s="128"/>
      <c r="Q62" s="240">
        <v>2.9049180976983071</v>
      </c>
      <c r="R62" s="149" t="s">
        <v>9</v>
      </c>
      <c r="T62" s="168">
        <v>9.6830603256610246</v>
      </c>
      <c r="U62" s="168">
        <v>5.8098361953966142</v>
      </c>
      <c r="V62" s="168">
        <v>4.8415301628305123</v>
      </c>
      <c r="W62" s="168">
        <v>3.8732241302644099</v>
      </c>
    </row>
    <row r="63" spans="1:75" s="129" customFormat="1" ht="14.25">
      <c r="A63" s="195" t="s">
        <v>1276</v>
      </c>
      <c r="B63" s="195" t="s">
        <v>55</v>
      </c>
      <c r="C63" s="236" t="s">
        <v>251</v>
      </c>
      <c r="D63" s="237" t="s">
        <v>283</v>
      </c>
      <c r="E63" s="197" t="s">
        <v>253</v>
      </c>
      <c r="F63" s="128"/>
      <c r="G63" s="241" t="s">
        <v>300</v>
      </c>
      <c r="H63" s="241" t="s">
        <v>2851</v>
      </c>
      <c r="I63" s="237" t="s">
        <v>302</v>
      </c>
      <c r="J63" s="128"/>
      <c r="K63" s="236" t="s">
        <v>60</v>
      </c>
      <c r="L63" s="128"/>
      <c r="M63" s="195" t="s">
        <v>303</v>
      </c>
      <c r="N63" s="128" t="s">
        <v>256</v>
      </c>
      <c r="O63" s="128">
        <v>6912</v>
      </c>
      <c r="P63" s="128" t="s">
        <v>257</v>
      </c>
      <c r="Q63" s="240">
        <v>1.3550591392937987</v>
      </c>
      <c r="R63" s="149" t="s">
        <v>5</v>
      </c>
      <c r="T63" s="168">
        <v>4.5168637976459962</v>
      </c>
      <c r="U63" s="168">
        <v>2.7101182785875975</v>
      </c>
      <c r="V63" s="168">
        <v>2.2584318988229981</v>
      </c>
      <c r="W63" s="168">
        <v>1.8067455190583985</v>
      </c>
    </row>
    <row r="64" spans="1:75" s="129" customFormat="1" ht="14.25">
      <c r="A64" s="195" t="s">
        <v>1276</v>
      </c>
      <c r="B64" s="195" t="s">
        <v>55</v>
      </c>
      <c r="C64" s="236" t="s">
        <v>251</v>
      </c>
      <c r="D64" s="237" t="s">
        <v>283</v>
      </c>
      <c r="E64" s="197" t="s">
        <v>253</v>
      </c>
      <c r="F64" s="128"/>
      <c r="G64" s="241" t="s">
        <v>309</v>
      </c>
      <c r="H64" s="241" t="s">
        <v>2852</v>
      </c>
      <c r="I64" s="237" t="s">
        <v>311</v>
      </c>
      <c r="J64" s="128"/>
      <c r="K64" s="236" t="s">
        <v>60</v>
      </c>
      <c r="L64" s="128"/>
      <c r="M64" s="195" t="s">
        <v>276</v>
      </c>
      <c r="N64" s="128" t="s">
        <v>256</v>
      </c>
      <c r="O64" s="128">
        <v>10368</v>
      </c>
      <c r="P64" s="128" t="s">
        <v>257</v>
      </c>
      <c r="Q64" s="240">
        <v>1.3094124250127934</v>
      </c>
      <c r="R64" s="149" t="s">
        <v>5</v>
      </c>
      <c r="T64" s="168">
        <v>4.3647080833759784</v>
      </c>
      <c r="U64" s="168">
        <v>2.6188248500255868</v>
      </c>
      <c r="V64" s="168">
        <v>2.1823540416879892</v>
      </c>
      <c r="W64" s="168">
        <v>1.7458832333503915</v>
      </c>
    </row>
    <row r="65" spans="1:23" s="129" customFormat="1" ht="14.25">
      <c r="A65" s="195" t="s">
        <v>1276</v>
      </c>
      <c r="B65" s="195" t="s">
        <v>55</v>
      </c>
      <c r="C65" s="236" t="s">
        <v>251</v>
      </c>
      <c r="D65" s="237" t="s">
        <v>321</v>
      </c>
      <c r="E65" s="197" t="s">
        <v>253</v>
      </c>
      <c r="F65" s="128"/>
      <c r="G65" s="241" t="s">
        <v>330</v>
      </c>
      <c r="H65" s="241" t="s">
        <v>2853</v>
      </c>
      <c r="I65" s="237" t="s">
        <v>331</v>
      </c>
      <c r="J65" s="128"/>
      <c r="K65" s="236" t="s">
        <v>60</v>
      </c>
      <c r="L65" s="128"/>
      <c r="M65" s="195" t="s">
        <v>303</v>
      </c>
      <c r="N65" s="128" t="s">
        <v>256</v>
      </c>
      <c r="O65" s="128">
        <v>6912</v>
      </c>
      <c r="P65" s="128" t="s">
        <v>257</v>
      </c>
      <c r="Q65" s="240">
        <v>1.4503090017154605</v>
      </c>
      <c r="R65" s="149" t="s">
        <v>5</v>
      </c>
      <c r="T65" s="168">
        <v>4.834363339051535</v>
      </c>
      <c r="U65" s="168">
        <v>2.900618003430921</v>
      </c>
      <c r="V65" s="168">
        <v>2.4171816695257675</v>
      </c>
      <c r="W65" s="168">
        <v>1.933745335620614</v>
      </c>
    </row>
    <row r="66" spans="1:23" s="129" customFormat="1" ht="14.25">
      <c r="A66" s="195" t="s">
        <v>1276</v>
      </c>
      <c r="B66" s="195" t="s">
        <v>55</v>
      </c>
      <c r="C66" s="236" t="s">
        <v>251</v>
      </c>
      <c r="D66" s="237" t="s">
        <v>321</v>
      </c>
      <c r="E66" s="197" t="s">
        <v>253</v>
      </c>
      <c r="F66" s="128"/>
      <c r="G66" s="241" t="s">
        <v>337</v>
      </c>
      <c r="H66" s="241" t="s">
        <v>2854</v>
      </c>
      <c r="I66" s="237" t="s">
        <v>339</v>
      </c>
      <c r="J66" s="128"/>
      <c r="K66" s="236" t="s">
        <v>60</v>
      </c>
      <c r="L66" s="128"/>
      <c r="M66" s="195" t="s">
        <v>270</v>
      </c>
      <c r="N66" s="128" t="s">
        <v>256</v>
      </c>
      <c r="O66" s="128">
        <v>10368</v>
      </c>
      <c r="P66" s="128" t="s">
        <v>257</v>
      </c>
      <c r="Q66" s="240">
        <v>1.4088119887327286</v>
      </c>
      <c r="R66" s="149" t="s">
        <v>5</v>
      </c>
      <c r="T66" s="168">
        <v>4.6960399624424287</v>
      </c>
      <c r="U66" s="168">
        <v>2.8176239774654572</v>
      </c>
      <c r="V66" s="168">
        <v>2.3480199812212144</v>
      </c>
      <c r="W66" s="168">
        <v>1.8784159849769715</v>
      </c>
    </row>
    <row r="67" spans="1:23" s="129" customFormat="1" ht="14.25">
      <c r="A67" s="195" t="s">
        <v>1276</v>
      </c>
      <c r="B67" s="195" t="s">
        <v>55</v>
      </c>
      <c r="C67" s="236" t="s">
        <v>251</v>
      </c>
      <c r="D67" s="237" t="s">
        <v>321</v>
      </c>
      <c r="E67" s="197" t="s">
        <v>253</v>
      </c>
      <c r="F67" s="128"/>
      <c r="G67" s="241" t="s">
        <v>349</v>
      </c>
      <c r="H67" s="241" t="s">
        <v>2855</v>
      </c>
      <c r="I67" s="237" t="s">
        <v>351</v>
      </c>
      <c r="J67" s="128" t="s">
        <v>328</v>
      </c>
      <c r="K67" s="236" t="s">
        <v>60</v>
      </c>
      <c r="L67" s="128"/>
      <c r="M67" s="195" t="s">
        <v>276</v>
      </c>
      <c r="N67" s="128" t="s">
        <v>256</v>
      </c>
      <c r="O67" s="128">
        <v>10368</v>
      </c>
      <c r="P67" s="128" t="s">
        <v>257</v>
      </c>
      <c r="Q67" s="240">
        <v>1.6628370305715123</v>
      </c>
      <c r="R67" s="149" t="s">
        <v>5</v>
      </c>
      <c r="T67" s="168">
        <v>5.542790101905041</v>
      </c>
      <c r="U67" s="168">
        <v>3.3256740611430247</v>
      </c>
      <c r="V67" s="168">
        <v>2.7713950509525205</v>
      </c>
      <c r="W67" s="168">
        <v>2.2171160407620163</v>
      </c>
    </row>
    <row r="68" spans="1:23" s="129" customFormat="1" ht="14.25">
      <c r="A68" s="195" t="s">
        <v>1276</v>
      </c>
      <c r="B68" s="195" t="s">
        <v>55</v>
      </c>
      <c r="C68" s="236" t="s">
        <v>251</v>
      </c>
      <c r="D68" s="237" t="s">
        <v>372</v>
      </c>
      <c r="E68" s="197" t="s">
        <v>253</v>
      </c>
      <c r="F68" s="128"/>
      <c r="G68" s="241" t="s">
        <v>2562</v>
      </c>
      <c r="H68" s="241" t="s">
        <v>2856</v>
      </c>
      <c r="I68" s="237" t="s">
        <v>374</v>
      </c>
      <c r="J68" s="128"/>
      <c r="K68" s="236" t="s">
        <v>60</v>
      </c>
      <c r="L68" s="128"/>
      <c r="M68" s="195" t="s">
        <v>276</v>
      </c>
      <c r="N68" s="128" t="s">
        <v>1776</v>
      </c>
      <c r="O68" s="128">
        <v>10368</v>
      </c>
      <c r="P68" s="128" t="s">
        <v>257</v>
      </c>
      <c r="Q68" s="240">
        <v>3.0200628434535757</v>
      </c>
      <c r="R68" s="149" t="s">
        <v>9</v>
      </c>
      <c r="T68" s="168">
        <v>10.066876144845253</v>
      </c>
      <c r="U68" s="168">
        <v>6.0401256869071513</v>
      </c>
      <c r="V68" s="168">
        <v>5.0334380724226264</v>
      </c>
      <c r="W68" s="168">
        <v>4.0267504579381015</v>
      </c>
    </row>
    <row r="69" spans="1:23" s="129" customFormat="1" ht="14.25">
      <c r="A69" s="237" t="s">
        <v>1276</v>
      </c>
      <c r="B69" s="237" t="s">
        <v>55</v>
      </c>
      <c r="C69" s="237" t="s">
        <v>251</v>
      </c>
      <c r="D69" s="237" t="s">
        <v>376</v>
      </c>
      <c r="E69" s="197"/>
      <c r="F69" s="128"/>
      <c r="G69" s="241" t="s">
        <v>353</v>
      </c>
      <c r="H69" s="241" t="s">
        <v>2857</v>
      </c>
      <c r="I69" s="237" t="s">
        <v>1770</v>
      </c>
      <c r="J69" s="128"/>
      <c r="K69" s="236" t="s">
        <v>60</v>
      </c>
      <c r="L69" s="128"/>
      <c r="M69" s="195" t="s">
        <v>356</v>
      </c>
      <c r="N69" s="128" t="s">
        <v>357</v>
      </c>
      <c r="O69" s="128">
        <v>86400</v>
      </c>
      <c r="P69" s="128" t="s">
        <v>257</v>
      </c>
      <c r="Q69" s="240">
        <v>4.5645983403220229E-2</v>
      </c>
      <c r="R69" s="149" t="s">
        <v>9</v>
      </c>
      <c r="T69" s="168">
        <v>0.15215327801073411</v>
      </c>
      <c r="U69" s="168">
        <v>9.1291966806440458E-2</v>
      </c>
      <c r="V69" s="168">
        <v>7.6076639005367055E-2</v>
      </c>
      <c r="W69" s="168">
        <v>6.0861311204293646E-2</v>
      </c>
    </row>
    <row r="70" spans="1:23" s="129" customFormat="1" ht="14.25">
      <c r="A70" s="237" t="s">
        <v>1276</v>
      </c>
      <c r="B70" s="237" t="s">
        <v>55</v>
      </c>
      <c r="C70" s="237" t="s">
        <v>251</v>
      </c>
      <c r="D70" s="237" t="s">
        <v>376</v>
      </c>
      <c r="E70" s="197"/>
      <c r="F70" s="128"/>
      <c r="G70" s="241" t="s">
        <v>360</v>
      </c>
      <c r="H70" s="241" t="s">
        <v>2858</v>
      </c>
      <c r="I70" s="237" t="s">
        <v>362</v>
      </c>
      <c r="J70" s="128"/>
      <c r="K70" s="236" t="s">
        <v>60</v>
      </c>
      <c r="L70" s="128"/>
      <c r="M70" s="195" t="s">
        <v>356</v>
      </c>
      <c r="N70" s="128" t="s">
        <v>357</v>
      </c>
      <c r="O70" s="128">
        <v>86400</v>
      </c>
      <c r="P70" s="128" t="s">
        <v>257</v>
      </c>
      <c r="Q70" s="240">
        <v>4.5645983403220229E-2</v>
      </c>
      <c r="R70" s="149" t="s">
        <v>9</v>
      </c>
      <c r="T70" s="168">
        <v>0.15215327801073411</v>
      </c>
      <c r="U70" s="168">
        <v>9.1291966806440458E-2</v>
      </c>
      <c r="V70" s="168">
        <v>7.6076639005367055E-2</v>
      </c>
      <c r="W70" s="168">
        <v>6.0861311204293646E-2</v>
      </c>
    </row>
    <row r="71" spans="1:23" s="129" customFormat="1" ht="14.25">
      <c r="A71" s="237" t="s">
        <v>1276</v>
      </c>
      <c r="B71" s="237" t="s">
        <v>55</v>
      </c>
      <c r="C71" s="237" t="s">
        <v>251</v>
      </c>
      <c r="D71" s="237" t="s">
        <v>376</v>
      </c>
      <c r="E71" s="197"/>
      <c r="F71" s="128"/>
      <c r="G71" s="241" t="s">
        <v>364</v>
      </c>
      <c r="H71" s="241" t="s">
        <v>2859</v>
      </c>
      <c r="I71" s="237" t="s">
        <v>366</v>
      </c>
      <c r="J71" s="128"/>
      <c r="K71" s="236" t="s">
        <v>60</v>
      </c>
      <c r="L71" s="128"/>
      <c r="M71" s="195" t="s">
        <v>356</v>
      </c>
      <c r="N71" s="128" t="s">
        <v>357</v>
      </c>
      <c r="O71" s="128">
        <v>86400</v>
      </c>
      <c r="P71" s="128" t="s">
        <v>257</v>
      </c>
      <c r="Q71" s="240">
        <v>4.5645983403220229E-2</v>
      </c>
      <c r="R71" s="149" t="s">
        <v>9</v>
      </c>
      <c r="T71" s="168">
        <v>0.15215327801073411</v>
      </c>
      <c r="U71" s="168">
        <v>9.1291966806440458E-2</v>
      </c>
      <c r="V71" s="168">
        <v>7.6076639005367055E-2</v>
      </c>
      <c r="W71" s="168">
        <v>6.0861311204293646E-2</v>
      </c>
    </row>
    <row r="72" spans="1:23" s="129" customFormat="1" ht="14.25">
      <c r="A72" s="237" t="s">
        <v>1276</v>
      </c>
      <c r="B72" s="237" t="s">
        <v>55</v>
      </c>
      <c r="C72" s="237" t="s">
        <v>251</v>
      </c>
      <c r="D72" s="237" t="s">
        <v>376</v>
      </c>
      <c r="E72" s="197"/>
      <c r="F72" s="128"/>
      <c r="G72" s="241" t="s">
        <v>368</v>
      </c>
      <c r="H72" s="241" t="s">
        <v>2860</v>
      </c>
      <c r="I72" s="237" t="s">
        <v>370</v>
      </c>
      <c r="J72" s="128"/>
      <c r="K72" s="236" t="s">
        <v>60</v>
      </c>
      <c r="L72" s="128"/>
      <c r="M72" s="195" t="s">
        <v>356</v>
      </c>
      <c r="N72" s="128" t="s">
        <v>357</v>
      </c>
      <c r="O72" s="128">
        <v>86400</v>
      </c>
      <c r="P72" s="128" t="s">
        <v>257</v>
      </c>
      <c r="Q72" s="240">
        <v>4.5645983403220229E-2</v>
      </c>
      <c r="R72" s="149" t="s">
        <v>9</v>
      </c>
      <c r="T72" s="168">
        <v>0.15215327801073411</v>
      </c>
      <c r="U72" s="168">
        <v>9.1291966806440458E-2</v>
      </c>
      <c r="V72" s="168">
        <v>7.6076639005367055E-2</v>
      </c>
      <c r="W72" s="168">
        <v>6.0861311204293646E-2</v>
      </c>
    </row>
    <row r="73" spans="1:23" s="129" customFormat="1" ht="14.25">
      <c r="A73" s="195" t="s">
        <v>1276</v>
      </c>
      <c r="B73" s="195" t="s">
        <v>55</v>
      </c>
      <c r="C73" s="236" t="s">
        <v>395</v>
      </c>
      <c r="D73" s="237" t="s">
        <v>447</v>
      </c>
      <c r="E73" s="197" t="s">
        <v>253</v>
      </c>
      <c r="F73" s="128">
        <v>26</v>
      </c>
      <c r="G73" s="241" t="s">
        <v>448</v>
      </c>
      <c r="H73" s="241" t="s">
        <v>2861</v>
      </c>
      <c r="I73" s="237" t="s">
        <v>450</v>
      </c>
      <c r="J73" s="128"/>
      <c r="K73" s="236" t="s">
        <v>60</v>
      </c>
      <c r="L73" s="128"/>
      <c r="M73" s="195" t="s">
        <v>1446</v>
      </c>
      <c r="N73" s="128" t="s">
        <v>402</v>
      </c>
      <c r="O73" s="128">
        <v>4800</v>
      </c>
      <c r="P73" s="197" t="s">
        <v>403</v>
      </c>
      <c r="Q73" s="282">
        <v>0.48592371218781549</v>
      </c>
      <c r="R73" s="149" t="s">
        <v>9</v>
      </c>
      <c r="T73" s="176">
        <v>1.6197457072927184</v>
      </c>
      <c r="U73" s="176">
        <v>0.97184742437563099</v>
      </c>
      <c r="V73" s="176">
        <v>0.80987285364635919</v>
      </c>
      <c r="W73" s="176">
        <v>0.6478982829170874</v>
      </c>
    </row>
    <row r="74" spans="1:23" s="129" customFormat="1" ht="14.25">
      <c r="A74" s="195" t="s">
        <v>1276</v>
      </c>
      <c r="B74" s="195" t="s">
        <v>55</v>
      </c>
      <c r="C74" s="236" t="s">
        <v>395</v>
      </c>
      <c r="D74" s="237" t="s">
        <v>447</v>
      </c>
      <c r="E74" s="197" t="s">
        <v>253</v>
      </c>
      <c r="F74" s="128">
        <v>26</v>
      </c>
      <c r="G74" s="241" t="s">
        <v>453</v>
      </c>
      <c r="H74" s="241" t="s">
        <v>2862</v>
      </c>
      <c r="I74" s="237" t="s">
        <v>455</v>
      </c>
      <c r="J74" s="128"/>
      <c r="K74" s="236" t="s">
        <v>60</v>
      </c>
      <c r="L74" s="128"/>
      <c r="M74" s="195" t="s">
        <v>1446</v>
      </c>
      <c r="N74" s="128" t="s">
        <v>402</v>
      </c>
      <c r="O74" s="128">
        <v>4800</v>
      </c>
      <c r="P74" s="197" t="s">
        <v>403</v>
      </c>
      <c r="Q74" s="282">
        <v>0.53812406385334244</v>
      </c>
      <c r="R74" s="149" t="s">
        <v>9</v>
      </c>
      <c r="T74" s="176">
        <v>1.7937468795111415</v>
      </c>
      <c r="U74" s="176">
        <v>1.0762481277066849</v>
      </c>
      <c r="V74" s="176">
        <v>0.89687343975557077</v>
      </c>
      <c r="W74" s="176">
        <v>0.71749875180445666</v>
      </c>
    </row>
    <row r="75" spans="1:23" s="129" customFormat="1" ht="14.25">
      <c r="A75" s="195" t="s">
        <v>1276</v>
      </c>
      <c r="B75" s="195" t="s">
        <v>55</v>
      </c>
      <c r="C75" s="236" t="s">
        <v>395</v>
      </c>
      <c r="D75" s="237" t="s">
        <v>447</v>
      </c>
      <c r="E75" s="197" t="s">
        <v>253</v>
      </c>
      <c r="F75" s="128">
        <v>26</v>
      </c>
      <c r="G75" s="241" t="s">
        <v>457</v>
      </c>
      <c r="H75" s="241" t="s">
        <v>2863</v>
      </c>
      <c r="I75" s="237" t="s">
        <v>459</v>
      </c>
      <c r="J75" s="128"/>
      <c r="K75" s="236" t="s">
        <v>60</v>
      </c>
      <c r="L75" s="128"/>
      <c r="M75" s="195" t="s">
        <v>1446</v>
      </c>
      <c r="N75" s="128" t="s">
        <v>402</v>
      </c>
      <c r="O75" s="128">
        <v>3200</v>
      </c>
      <c r="P75" s="197" t="s">
        <v>403</v>
      </c>
      <c r="Q75" s="282">
        <v>0.6895826719253686</v>
      </c>
      <c r="R75" s="149" t="s">
        <v>9</v>
      </c>
      <c r="T75" s="176">
        <v>2.2986089064178956</v>
      </c>
      <c r="U75" s="176">
        <v>1.3791653438507374</v>
      </c>
      <c r="V75" s="176">
        <v>1.1493044532089478</v>
      </c>
      <c r="W75" s="176">
        <v>0.91944356256715831</v>
      </c>
    </row>
    <row r="76" spans="1:23" s="129" customFormat="1" ht="14.25">
      <c r="A76" s="195" t="s">
        <v>1276</v>
      </c>
      <c r="B76" s="195" t="s">
        <v>55</v>
      </c>
      <c r="C76" s="236" t="s">
        <v>395</v>
      </c>
      <c r="D76" s="237" t="s">
        <v>447</v>
      </c>
      <c r="E76" s="197" t="s">
        <v>253</v>
      </c>
      <c r="F76" s="128">
        <v>26</v>
      </c>
      <c r="G76" s="241" t="s">
        <v>461</v>
      </c>
      <c r="H76" s="241" t="s">
        <v>2864</v>
      </c>
      <c r="I76" s="237" t="s">
        <v>463</v>
      </c>
      <c r="J76" s="128"/>
      <c r="K76" s="236" t="s">
        <v>60</v>
      </c>
      <c r="L76" s="128"/>
      <c r="M76" s="195" t="s">
        <v>1446</v>
      </c>
      <c r="N76" s="128" t="s">
        <v>402</v>
      </c>
      <c r="O76" s="128">
        <v>2240</v>
      </c>
      <c r="P76" s="197" t="s">
        <v>403</v>
      </c>
      <c r="Q76" s="282">
        <v>0.97480449943482328</v>
      </c>
      <c r="R76" s="149" t="s">
        <v>9</v>
      </c>
      <c r="T76" s="176">
        <v>3.2493483314494109</v>
      </c>
      <c r="U76" s="176">
        <v>1.9496089988696466</v>
      </c>
      <c r="V76" s="176">
        <v>1.6246741657247055</v>
      </c>
      <c r="W76" s="176">
        <v>1.2997393325797644</v>
      </c>
    </row>
    <row r="77" spans="1:23" s="129" customFormat="1" ht="14.25">
      <c r="A77" s="195" t="s">
        <v>1276</v>
      </c>
      <c r="B77" s="195" t="s">
        <v>55</v>
      </c>
      <c r="C77" s="236" t="s">
        <v>395</v>
      </c>
      <c r="D77" s="237" t="s">
        <v>447</v>
      </c>
      <c r="E77" s="197" t="s">
        <v>253</v>
      </c>
      <c r="F77" s="128">
        <v>26</v>
      </c>
      <c r="G77" s="241" t="s">
        <v>465</v>
      </c>
      <c r="H77" s="241" t="s">
        <v>2865</v>
      </c>
      <c r="I77" s="237" t="s">
        <v>467</v>
      </c>
      <c r="J77" s="128"/>
      <c r="K77" s="236" t="s">
        <v>60</v>
      </c>
      <c r="L77" s="227"/>
      <c r="M77" s="195" t="s">
        <v>1446</v>
      </c>
      <c r="N77" s="128" t="s">
        <v>402</v>
      </c>
      <c r="O77" s="128">
        <v>1600</v>
      </c>
      <c r="P77" s="197" t="s">
        <v>403</v>
      </c>
      <c r="Q77" s="282">
        <v>1.2715593557682918</v>
      </c>
      <c r="R77" s="149" t="s">
        <v>9</v>
      </c>
      <c r="T77" s="176">
        <v>4.2385311858943062</v>
      </c>
      <c r="U77" s="176">
        <v>2.5431187115365836</v>
      </c>
      <c r="V77" s="176">
        <v>2.1192655929471531</v>
      </c>
      <c r="W77" s="176">
        <v>1.6954124743577226</v>
      </c>
    </row>
    <row r="78" spans="1:23" s="172" customFormat="1" ht="14.25">
      <c r="A78" s="195" t="s">
        <v>1276</v>
      </c>
      <c r="B78" s="195" t="s">
        <v>55</v>
      </c>
      <c r="C78" s="236" t="s">
        <v>395</v>
      </c>
      <c r="D78" s="237" t="s">
        <v>447</v>
      </c>
      <c r="E78" s="197" t="s">
        <v>253</v>
      </c>
      <c r="F78" s="128">
        <v>26</v>
      </c>
      <c r="G78" s="241" t="s">
        <v>469</v>
      </c>
      <c r="H78" s="241" t="s">
        <v>2866</v>
      </c>
      <c r="I78" s="237" t="s">
        <v>471</v>
      </c>
      <c r="J78" s="128"/>
      <c r="K78" s="236" t="s">
        <v>60</v>
      </c>
      <c r="L78" s="227"/>
      <c r="M78" s="195" t="s">
        <v>1446</v>
      </c>
      <c r="N78" s="128" t="s">
        <v>402</v>
      </c>
      <c r="O78" s="128">
        <v>960</v>
      </c>
      <c r="P78" s="197" t="s">
        <v>403</v>
      </c>
      <c r="Q78" s="282">
        <v>1.8860938466673183</v>
      </c>
      <c r="R78" s="149" t="s">
        <v>9</v>
      </c>
      <c r="T78" s="176">
        <v>6.2869794888910615</v>
      </c>
      <c r="U78" s="176">
        <v>3.7721876933346365</v>
      </c>
      <c r="V78" s="176">
        <v>3.1434897444455308</v>
      </c>
      <c r="W78" s="176">
        <v>2.514791795556425</v>
      </c>
    </row>
    <row r="79" spans="1:23" s="172" customFormat="1" ht="14.25">
      <c r="A79" s="195" t="s">
        <v>1276</v>
      </c>
      <c r="B79" s="195" t="s">
        <v>55</v>
      </c>
      <c r="C79" s="236" t="s">
        <v>395</v>
      </c>
      <c r="D79" s="237" t="s">
        <v>447</v>
      </c>
      <c r="E79" s="197" t="s">
        <v>253</v>
      </c>
      <c r="F79" s="128">
        <v>26</v>
      </c>
      <c r="G79" s="241" t="s">
        <v>473</v>
      </c>
      <c r="H79" s="241" t="s">
        <v>2867</v>
      </c>
      <c r="I79" s="237" t="s">
        <v>475</v>
      </c>
      <c r="J79" s="128"/>
      <c r="K79" s="236" t="s">
        <v>60</v>
      </c>
      <c r="L79" s="227"/>
      <c r="M79" s="195" t="s">
        <v>1446</v>
      </c>
      <c r="N79" s="128" t="s">
        <v>402</v>
      </c>
      <c r="O79" s="128">
        <v>640</v>
      </c>
      <c r="P79" s="197" t="s">
        <v>403</v>
      </c>
      <c r="Q79" s="282">
        <v>3.27223322872912</v>
      </c>
      <c r="R79" s="149" t="s">
        <v>9</v>
      </c>
      <c r="T79" s="176">
        <v>10.907444095763735</v>
      </c>
      <c r="U79" s="176">
        <v>6.544466457458241</v>
      </c>
      <c r="V79" s="176">
        <v>5.4537220478818673</v>
      </c>
      <c r="W79" s="176">
        <v>4.3629776383054937</v>
      </c>
    </row>
    <row r="80" spans="1:23" s="172" customFormat="1" ht="14.25">
      <c r="A80" s="195" t="s">
        <v>1276</v>
      </c>
      <c r="B80" s="195" t="s">
        <v>55</v>
      </c>
      <c r="C80" s="236" t="s">
        <v>395</v>
      </c>
      <c r="D80" s="237" t="s">
        <v>447</v>
      </c>
      <c r="E80" s="197" t="s">
        <v>253</v>
      </c>
      <c r="F80" s="128">
        <v>26</v>
      </c>
      <c r="G80" s="241" t="s">
        <v>477</v>
      </c>
      <c r="H80" s="241" t="s">
        <v>2868</v>
      </c>
      <c r="I80" s="237" t="s">
        <v>479</v>
      </c>
      <c r="J80" s="128"/>
      <c r="K80" s="236" t="s">
        <v>60</v>
      </c>
      <c r="L80" s="128"/>
      <c r="M80" s="195" t="s">
        <v>1446</v>
      </c>
      <c r="N80" s="128" t="s">
        <v>402</v>
      </c>
      <c r="O80" s="128">
        <v>4800</v>
      </c>
      <c r="P80" s="197" t="s">
        <v>403</v>
      </c>
      <c r="Q80" s="282">
        <v>0.5005749422448651</v>
      </c>
      <c r="R80" s="149" t="s">
        <v>9</v>
      </c>
      <c r="T80" s="176">
        <v>1.6685831408162171</v>
      </c>
      <c r="U80" s="176">
        <v>1.0011498844897302</v>
      </c>
      <c r="V80" s="176">
        <v>0.83429157040810853</v>
      </c>
      <c r="W80" s="176">
        <v>0.66743325632648687</v>
      </c>
    </row>
    <row r="81" spans="1:23" s="172" customFormat="1" ht="14.25">
      <c r="A81" s="195" t="s">
        <v>1276</v>
      </c>
      <c r="B81" s="195" t="s">
        <v>55</v>
      </c>
      <c r="C81" s="236" t="s">
        <v>395</v>
      </c>
      <c r="D81" s="237" t="s">
        <v>447</v>
      </c>
      <c r="E81" s="197" t="s">
        <v>253</v>
      </c>
      <c r="F81" s="128">
        <v>26</v>
      </c>
      <c r="G81" s="241" t="s">
        <v>480</v>
      </c>
      <c r="H81" s="241" t="s">
        <v>2869</v>
      </c>
      <c r="I81" s="237" t="s">
        <v>482</v>
      </c>
      <c r="J81" s="128"/>
      <c r="K81" s="236" t="s">
        <v>60</v>
      </c>
      <c r="L81" s="128"/>
      <c r="M81" s="195" t="s">
        <v>1446</v>
      </c>
      <c r="N81" s="128" t="s">
        <v>402</v>
      </c>
      <c r="O81" s="128">
        <v>4800</v>
      </c>
      <c r="P81" s="197" t="s">
        <v>403</v>
      </c>
      <c r="Q81" s="282">
        <v>0.55552268084015666</v>
      </c>
      <c r="R81" s="149" t="s">
        <v>9</v>
      </c>
      <c r="T81" s="176">
        <v>1.851742269467189</v>
      </c>
      <c r="U81" s="176">
        <v>1.1110453616803133</v>
      </c>
      <c r="V81" s="176">
        <v>0.9258711347335945</v>
      </c>
      <c r="W81" s="176">
        <v>0.74069690778687569</v>
      </c>
    </row>
    <row r="82" spans="1:23" s="129" customFormat="1" ht="14.25">
      <c r="A82" s="195" t="s">
        <v>1276</v>
      </c>
      <c r="B82" s="195" t="s">
        <v>55</v>
      </c>
      <c r="C82" s="236" t="s">
        <v>395</v>
      </c>
      <c r="D82" s="237" t="s">
        <v>447</v>
      </c>
      <c r="E82" s="197" t="s">
        <v>253</v>
      </c>
      <c r="F82" s="128">
        <v>26</v>
      </c>
      <c r="G82" s="241" t="s">
        <v>483</v>
      </c>
      <c r="H82" s="241" t="s">
        <v>2870</v>
      </c>
      <c r="I82" s="237" t="s">
        <v>485</v>
      </c>
      <c r="J82" s="128"/>
      <c r="K82" s="236" t="s">
        <v>60</v>
      </c>
      <c r="L82" s="128"/>
      <c r="M82" s="195" t="s">
        <v>1446</v>
      </c>
      <c r="N82" s="128" t="s">
        <v>402</v>
      </c>
      <c r="O82" s="128">
        <v>3200</v>
      </c>
      <c r="P82" s="197" t="s">
        <v>403</v>
      </c>
      <c r="Q82" s="282">
        <v>0.71430886076900535</v>
      </c>
      <c r="R82" s="149" t="s">
        <v>9</v>
      </c>
      <c r="T82" s="176">
        <v>2.3810295358966846</v>
      </c>
      <c r="U82" s="176">
        <v>1.4286177215380107</v>
      </c>
      <c r="V82" s="176">
        <v>1.1905147679483423</v>
      </c>
      <c r="W82" s="176">
        <v>0.95241181435867395</v>
      </c>
    </row>
    <row r="83" spans="1:23" s="129" customFormat="1" ht="14.25">
      <c r="A83" s="195" t="s">
        <v>1276</v>
      </c>
      <c r="B83" s="195" t="s">
        <v>55</v>
      </c>
      <c r="C83" s="236" t="s">
        <v>395</v>
      </c>
      <c r="D83" s="237" t="s">
        <v>447</v>
      </c>
      <c r="E83" s="197" t="s">
        <v>253</v>
      </c>
      <c r="F83" s="128">
        <v>26</v>
      </c>
      <c r="G83" s="241" t="s">
        <v>486</v>
      </c>
      <c r="H83" s="241" t="s">
        <v>2871</v>
      </c>
      <c r="I83" s="237" t="s">
        <v>488</v>
      </c>
      <c r="J83" s="128"/>
      <c r="K83" s="236" t="s">
        <v>60</v>
      </c>
      <c r="L83" s="128"/>
      <c r="M83" s="195" t="s">
        <v>1446</v>
      </c>
      <c r="N83" s="128" t="s">
        <v>402</v>
      </c>
      <c r="O83" s="128">
        <v>2240</v>
      </c>
      <c r="P83" s="197" t="s">
        <v>403</v>
      </c>
      <c r="Q83" s="282">
        <v>1.0137321040783969</v>
      </c>
      <c r="R83" s="149" t="s">
        <v>9</v>
      </c>
      <c r="T83" s="176">
        <v>3.3791070135946564</v>
      </c>
      <c r="U83" s="176">
        <v>2.0274642081567937</v>
      </c>
      <c r="V83" s="176">
        <v>1.6895535067973282</v>
      </c>
      <c r="W83" s="176">
        <v>1.3516428054378626</v>
      </c>
    </row>
    <row r="84" spans="1:23" s="129" customFormat="1" ht="14.25">
      <c r="A84" s="195" t="s">
        <v>1276</v>
      </c>
      <c r="B84" s="195" t="s">
        <v>55</v>
      </c>
      <c r="C84" s="236" t="s">
        <v>395</v>
      </c>
      <c r="D84" s="237" t="s">
        <v>447</v>
      </c>
      <c r="E84" s="197" t="s">
        <v>253</v>
      </c>
      <c r="F84" s="128">
        <v>26</v>
      </c>
      <c r="G84" s="241" t="s">
        <v>489</v>
      </c>
      <c r="H84" s="241" t="s">
        <v>2872</v>
      </c>
      <c r="I84" s="237" t="s">
        <v>491</v>
      </c>
      <c r="J84" s="128"/>
      <c r="K84" s="236" t="s">
        <v>60</v>
      </c>
      <c r="L84" s="227"/>
      <c r="M84" s="195" t="s">
        <v>1446</v>
      </c>
      <c r="N84" s="128" t="s">
        <v>402</v>
      </c>
      <c r="O84" s="128">
        <v>1600</v>
      </c>
      <c r="P84" s="197" t="s">
        <v>403</v>
      </c>
      <c r="Q84" s="282">
        <v>1.3251406411634019</v>
      </c>
      <c r="R84" s="149" t="s">
        <v>9</v>
      </c>
      <c r="T84" s="176">
        <v>4.4171354705446735</v>
      </c>
      <c r="U84" s="176">
        <v>2.6502812823268038</v>
      </c>
      <c r="V84" s="176">
        <v>2.2085677352723367</v>
      </c>
      <c r="W84" s="176">
        <v>1.7668541882178694</v>
      </c>
    </row>
    <row r="85" spans="1:23" s="129" customFormat="1" ht="14.25">
      <c r="A85" s="195" t="s">
        <v>1276</v>
      </c>
      <c r="B85" s="195" t="s">
        <v>55</v>
      </c>
      <c r="C85" s="236" t="s">
        <v>395</v>
      </c>
      <c r="D85" s="237" t="s">
        <v>447</v>
      </c>
      <c r="E85" s="197" t="s">
        <v>253</v>
      </c>
      <c r="F85" s="128">
        <v>26</v>
      </c>
      <c r="G85" s="241" t="s">
        <v>492</v>
      </c>
      <c r="H85" s="241" t="s">
        <v>2873</v>
      </c>
      <c r="I85" s="237" t="s">
        <v>494</v>
      </c>
      <c r="J85" s="128"/>
      <c r="K85" s="236" t="s">
        <v>60</v>
      </c>
      <c r="L85" s="227"/>
      <c r="M85" s="195" t="s">
        <v>1446</v>
      </c>
      <c r="N85" s="128" t="s">
        <v>402</v>
      </c>
      <c r="O85" s="128">
        <v>960</v>
      </c>
      <c r="P85" s="197" t="s">
        <v>403</v>
      </c>
      <c r="Q85" s="282">
        <v>1.9695215904432475</v>
      </c>
      <c r="R85" s="149" t="s">
        <v>9</v>
      </c>
      <c r="T85" s="176">
        <v>6.5650719681441583</v>
      </c>
      <c r="U85" s="176">
        <v>3.939043180886495</v>
      </c>
      <c r="V85" s="176">
        <v>3.2825359840720791</v>
      </c>
      <c r="W85" s="176">
        <v>2.6260287872576633</v>
      </c>
    </row>
    <row r="86" spans="1:23" s="129" customFormat="1" ht="14.25">
      <c r="A86" s="195" t="s">
        <v>1276</v>
      </c>
      <c r="B86" s="195" t="s">
        <v>55</v>
      </c>
      <c r="C86" s="236" t="s">
        <v>395</v>
      </c>
      <c r="D86" s="237" t="s">
        <v>447</v>
      </c>
      <c r="E86" s="197" t="s">
        <v>253</v>
      </c>
      <c r="F86" s="128">
        <v>26</v>
      </c>
      <c r="G86" s="241" t="s">
        <v>495</v>
      </c>
      <c r="H86" s="241" t="s">
        <v>2874</v>
      </c>
      <c r="I86" s="237" t="s">
        <v>497</v>
      </c>
      <c r="J86" s="128"/>
      <c r="K86" s="236" t="s">
        <v>60</v>
      </c>
      <c r="L86" s="227"/>
      <c r="M86" s="195" t="s">
        <v>1446</v>
      </c>
      <c r="N86" s="128" t="s">
        <v>402</v>
      </c>
      <c r="O86" s="128">
        <v>640</v>
      </c>
      <c r="P86" s="197" t="s">
        <v>403</v>
      </c>
      <c r="Q86" s="282">
        <v>3.425956278507075</v>
      </c>
      <c r="R86" s="149" t="s">
        <v>9</v>
      </c>
      <c r="T86" s="176">
        <v>11.419854261690251</v>
      </c>
      <c r="U86" s="176">
        <v>6.8519125570141499</v>
      </c>
      <c r="V86" s="176">
        <v>5.7099271308451254</v>
      </c>
      <c r="W86" s="176">
        <v>4.5679417046761008</v>
      </c>
    </row>
    <row r="87" spans="1:23" s="129" customFormat="1" ht="14.25">
      <c r="A87" s="195" t="s">
        <v>1276</v>
      </c>
      <c r="B87" s="195" t="s">
        <v>55</v>
      </c>
      <c r="C87" s="236" t="s">
        <v>395</v>
      </c>
      <c r="D87" s="237" t="s">
        <v>536</v>
      </c>
      <c r="E87" s="197" t="s">
        <v>253</v>
      </c>
      <c r="F87" s="128">
        <v>26</v>
      </c>
      <c r="G87" s="241" t="s">
        <v>1692</v>
      </c>
      <c r="H87" s="241" t="s">
        <v>2875</v>
      </c>
      <c r="I87" s="237" t="s">
        <v>539</v>
      </c>
      <c r="J87" s="128"/>
      <c r="K87" s="236" t="s">
        <v>60</v>
      </c>
      <c r="L87" s="227"/>
      <c r="M87" s="195" t="s">
        <v>1446</v>
      </c>
      <c r="N87" s="128" t="s">
        <v>402</v>
      </c>
      <c r="O87" s="128">
        <v>3200</v>
      </c>
      <c r="P87" s="197" t="s">
        <v>403</v>
      </c>
      <c r="Q87" s="282">
        <v>0.51554630941139445</v>
      </c>
      <c r="R87" s="149" t="s">
        <v>9</v>
      </c>
      <c r="T87" s="176">
        <v>1.7184876980379815</v>
      </c>
      <c r="U87" s="176">
        <v>1.0310926188227889</v>
      </c>
      <c r="V87" s="176">
        <v>0.85924384901899076</v>
      </c>
      <c r="W87" s="176">
        <v>0.68739507921519261</v>
      </c>
    </row>
    <row r="88" spans="1:23" s="129" customFormat="1" ht="14.25">
      <c r="A88" s="195" t="s">
        <v>1276</v>
      </c>
      <c r="B88" s="195" t="s">
        <v>55</v>
      </c>
      <c r="C88" s="236" t="s">
        <v>395</v>
      </c>
      <c r="D88" s="237" t="s">
        <v>536</v>
      </c>
      <c r="E88" s="197" t="s">
        <v>253</v>
      </c>
      <c r="F88" s="128">
        <v>26</v>
      </c>
      <c r="G88" s="241" t="s">
        <v>542</v>
      </c>
      <c r="H88" s="241" t="s">
        <v>2876</v>
      </c>
      <c r="I88" s="237" t="s">
        <v>544</v>
      </c>
      <c r="J88" s="128"/>
      <c r="K88" s="236" t="s">
        <v>60</v>
      </c>
      <c r="L88" s="227"/>
      <c r="M88" s="195" t="s">
        <v>1446</v>
      </c>
      <c r="N88" s="128" t="s">
        <v>402</v>
      </c>
      <c r="O88" s="128">
        <v>2560</v>
      </c>
      <c r="P88" s="197" t="s">
        <v>403</v>
      </c>
      <c r="Q88" s="282">
        <v>0.59236820852734651</v>
      </c>
      <c r="R88" s="149" t="s">
        <v>9</v>
      </c>
      <c r="T88" s="176">
        <v>1.9745606950911552</v>
      </c>
      <c r="U88" s="176">
        <v>1.184736417054693</v>
      </c>
      <c r="V88" s="176">
        <v>0.98728034754557759</v>
      </c>
      <c r="W88" s="176">
        <v>0.78982427803646216</v>
      </c>
    </row>
    <row r="89" spans="1:23" s="129" customFormat="1" ht="14.25">
      <c r="A89" s="195" t="s">
        <v>1276</v>
      </c>
      <c r="B89" s="195" t="s">
        <v>55</v>
      </c>
      <c r="C89" s="236" t="s">
        <v>395</v>
      </c>
      <c r="D89" s="237" t="s">
        <v>536</v>
      </c>
      <c r="E89" s="197" t="s">
        <v>253</v>
      </c>
      <c r="F89" s="128">
        <v>26</v>
      </c>
      <c r="G89" s="241" t="s">
        <v>546</v>
      </c>
      <c r="H89" s="241" t="s">
        <v>2877</v>
      </c>
      <c r="I89" s="237" t="s">
        <v>548</v>
      </c>
      <c r="J89" s="128"/>
      <c r="K89" s="236" t="s">
        <v>60</v>
      </c>
      <c r="L89" s="227"/>
      <c r="M89" s="195" t="s">
        <v>1449</v>
      </c>
      <c r="N89" s="128" t="s">
        <v>402</v>
      </c>
      <c r="O89" s="128">
        <v>1600</v>
      </c>
      <c r="P89" s="197" t="s">
        <v>403</v>
      </c>
      <c r="Q89" s="282">
        <v>0.74616018177414478</v>
      </c>
      <c r="R89" s="149" t="s">
        <v>9</v>
      </c>
      <c r="T89" s="176">
        <v>2.4872006059138161</v>
      </c>
      <c r="U89" s="176">
        <v>1.4923203635482896</v>
      </c>
      <c r="V89" s="176">
        <v>1.243600302956908</v>
      </c>
      <c r="W89" s="176">
        <v>0.99488024236552652</v>
      </c>
    </row>
    <row r="90" spans="1:23" s="129" customFormat="1" ht="14.25">
      <c r="A90" s="195" t="s">
        <v>1276</v>
      </c>
      <c r="B90" s="195" t="s">
        <v>55</v>
      </c>
      <c r="C90" s="236" t="s">
        <v>395</v>
      </c>
      <c r="D90" s="237" t="s">
        <v>536</v>
      </c>
      <c r="E90" s="197" t="s">
        <v>253</v>
      </c>
      <c r="F90" s="128">
        <v>26</v>
      </c>
      <c r="G90" s="241" t="s">
        <v>550</v>
      </c>
      <c r="H90" s="241" t="s">
        <v>2878</v>
      </c>
      <c r="I90" s="237" t="s">
        <v>552</v>
      </c>
      <c r="J90" s="128"/>
      <c r="K90" s="236" t="s">
        <v>60</v>
      </c>
      <c r="L90" s="227"/>
      <c r="M90" s="195" t="s">
        <v>1446</v>
      </c>
      <c r="N90" s="128" t="s">
        <v>402</v>
      </c>
      <c r="O90" s="128">
        <v>1280</v>
      </c>
      <c r="P90" s="197" t="s">
        <v>403</v>
      </c>
      <c r="Q90" s="282">
        <v>1.0464010653003275</v>
      </c>
      <c r="R90" s="149" t="s">
        <v>9</v>
      </c>
      <c r="T90" s="176">
        <v>3.4880035510010918</v>
      </c>
      <c r="U90" s="176">
        <v>2.092802130600655</v>
      </c>
      <c r="V90" s="176">
        <v>1.7440017755005459</v>
      </c>
      <c r="W90" s="176">
        <v>1.3952014204004368</v>
      </c>
    </row>
    <row r="91" spans="1:23" s="129" customFormat="1" ht="14.25">
      <c r="A91" s="195" t="s">
        <v>1276</v>
      </c>
      <c r="B91" s="195" t="s">
        <v>55</v>
      </c>
      <c r="C91" s="236" t="s">
        <v>395</v>
      </c>
      <c r="D91" s="237" t="s">
        <v>536</v>
      </c>
      <c r="E91" s="197" t="s">
        <v>253</v>
      </c>
      <c r="F91" s="128">
        <v>26</v>
      </c>
      <c r="G91" s="241" t="s">
        <v>554</v>
      </c>
      <c r="H91" s="241" t="s">
        <v>2879</v>
      </c>
      <c r="I91" s="237" t="s">
        <v>556</v>
      </c>
      <c r="J91" s="128"/>
      <c r="K91" s="236" t="s">
        <v>60</v>
      </c>
      <c r="L91" s="227"/>
      <c r="M91" s="195" t="s">
        <v>1446</v>
      </c>
      <c r="N91" s="128" t="s">
        <v>402</v>
      </c>
      <c r="O91" s="128">
        <v>960</v>
      </c>
      <c r="P91" s="197" t="s">
        <v>403</v>
      </c>
      <c r="Q91" s="282">
        <v>1.3600750121660037</v>
      </c>
      <c r="R91" s="149" t="s">
        <v>9</v>
      </c>
      <c r="T91" s="176">
        <v>4.5335833738866791</v>
      </c>
      <c r="U91" s="176">
        <v>2.7201500243320074</v>
      </c>
      <c r="V91" s="176">
        <v>2.2667916869433395</v>
      </c>
      <c r="W91" s="176">
        <v>1.8134333495546717</v>
      </c>
    </row>
    <row r="92" spans="1:23" s="129" customFormat="1" ht="14.25">
      <c r="A92" s="195" t="s">
        <v>1276</v>
      </c>
      <c r="B92" s="195" t="s">
        <v>55</v>
      </c>
      <c r="C92" s="236" t="s">
        <v>395</v>
      </c>
      <c r="D92" s="237" t="s">
        <v>536</v>
      </c>
      <c r="E92" s="197" t="s">
        <v>253</v>
      </c>
      <c r="F92" s="128">
        <v>26</v>
      </c>
      <c r="G92" s="241" t="s">
        <v>558</v>
      </c>
      <c r="H92" s="241" t="s">
        <v>2880</v>
      </c>
      <c r="I92" s="237" t="s">
        <v>560</v>
      </c>
      <c r="J92" s="128"/>
      <c r="K92" s="236" t="s">
        <v>60</v>
      </c>
      <c r="L92" s="227"/>
      <c r="M92" s="195" t="s">
        <v>1446</v>
      </c>
      <c r="N92" s="128" t="s">
        <v>402</v>
      </c>
      <c r="O92" s="128">
        <v>640</v>
      </c>
      <c r="P92" s="197" t="s">
        <v>403</v>
      </c>
      <c r="Q92" s="282">
        <v>2.0417852043554072</v>
      </c>
      <c r="R92" s="149" t="s">
        <v>9</v>
      </c>
      <c r="T92" s="176">
        <v>6.805950681184691</v>
      </c>
      <c r="U92" s="176">
        <v>4.0835704087108144</v>
      </c>
      <c r="V92" s="176">
        <v>3.4029753405923455</v>
      </c>
      <c r="W92" s="176">
        <v>2.7223802724738766</v>
      </c>
    </row>
    <row r="93" spans="1:23" s="129" customFormat="1" ht="14.25">
      <c r="A93" s="195" t="s">
        <v>1276</v>
      </c>
      <c r="B93" s="195" t="s">
        <v>55</v>
      </c>
      <c r="C93" s="236" t="s">
        <v>395</v>
      </c>
      <c r="D93" s="237" t="s">
        <v>536</v>
      </c>
      <c r="E93" s="197" t="s">
        <v>253</v>
      </c>
      <c r="F93" s="128">
        <v>26</v>
      </c>
      <c r="G93" s="241" t="s">
        <v>562</v>
      </c>
      <c r="H93" s="241" t="s">
        <v>2881</v>
      </c>
      <c r="I93" s="236" t="s">
        <v>564</v>
      </c>
      <c r="J93" s="227"/>
      <c r="K93" s="195" t="s">
        <v>60</v>
      </c>
      <c r="L93" s="128"/>
      <c r="M93" s="195" t="s">
        <v>1446</v>
      </c>
      <c r="N93" s="128" t="s">
        <v>402</v>
      </c>
      <c r="O93" s="128">
        <v>220</v>
      </c>
      <c r="P93" s="197" t="s">
        <v>403</v>
      </c>
      <c r="Q93" s="282">
        <v>3.9344894752371369</v>
      </c>
      <c r="R93" s="149" t="s">
        <v>9</v>
      </c>
      <c r="T93" s="176">
        <v>13.114964917457124</v>
      </c>
      <c r="U93" s="176">
        <v>7.8689789504742738</v>
      </c>
      <c r="V93" s="176">
        <v>6.5574824587285621</v>
      </c>
      <c r="W93" s="176">
        <v>5.2459859669828504</v>
      </c>
    </row>
    <row r="94" spans="1:23" s="129" customFormat="1" ht="14.25">
      <c r="A94" s="195" t="s">
        <v>1276</v>
      </c>
      <c r="B94" s="195" t="s">
        <v>55</v>
      </c>
      <c r="C94" s="236" t="s">
        <v>395</v>
      </c>
      <c r="D94" s="237" t="s">
        <v>536</v>
      </c>
      <c r="E94" s="197" t="s">
        <v>253</v>
      </c>
      <c r="F94" s="128">
        <v>26</v>
      </c>
      <c r="G94" s="241" t="s">
        <v>1431</v>
      </c>
      <c r="H94" s="241" t="s">
        <v>2882</v>
      </c>
      <c r="I94" s="237" t="s">
        <v>1439</v>
      </c>
      <c r="J94" s="128"/>
      <c r="K94" s="236" t="s">
        <v>60</v>
      </c>
      <c r="L94" s="227"/>
      <c r="M94" s="195" t="s">
        <v>1447</v>
      </c>
      <c r="N94" s="128" t="s">
        <v>402</v>
      </c>
      <c r="O94" s="128">
        <v>256</v>
      </c>
      <c r="P94" s="197" t="s">
        <v>403</v>
      </c>
      <c r="Q94" s="282">
        <v>5.5765612896879189</v>
      </c>
      <c r="R94" s="149" t="s">
        <v>9</v>
      </c>
      <c r="T94" s="176">
        <v>18.588537632293065</v>
      </c>
      <c r="U94" s="176">
        <v>11.153122579375838</v>
      </c>
      <c r="V94" s="176">
        <v>9.2942688161465323</v>
      </c>
      <c r="W94" s="176">
        <v>7.435415052917226</v>
      </c>
    </row>
    <row r="95" spans="1:23" s="129" customFormat="1" ht="14.25">
      <c r="A95" s="195" t="s">
        <v>1276</v>
      </c>
      <c r="B95" s="195" t="s">
        <v>55</v>
      </c>
      <c r="C95" s="236" t="s">
        <v>395</v>
      </c>
      <c r="D95" s="237" t="s">
        <v>536</v>
      </c>
      <c r="E95" s="197" t="s">
        <v>253</v>
      </c>
      <c r="F95" s="128">
        <v>26</v>
      </c>
      <c r="G95" s="241" t="s">
        <v>1432</v>
      </c>
      <c r="H95" s="241" t="s">
        <v>2883</v>
      </c>
      <c r="I95" s="237" t="s">
        <v>1440</v>
      </c>
      <c r="J95" s="128"/>
      <c r="K95" s="236" t="s">
        <v>60</v>
      </c>
      <c r="L95" s="227"/>
      <c r="M95" s="195" t="s">
        <v>1447</v>
      </c>
      <c r="N95" s="128" t="s">
        <v>402</v>
      </c>
      <c r="O95" s="128">
        <v>256</v>
      </c>
      <c r="P95" s="197" t="s">
        <v>403</v>
      </c>
      <c r="Q95" s="282">
        <v>7.2349683108910394</v>
      </c>
      <c r="R95" s="149" t="s">
        <v>9</v>
      </c>
      <c r="T95" s="176">
        <v>24.116561036303466</v>
      </c>
      <c r="U95" s="176">
        <v>14.469936621782079</v>
      </c>
      <c r="V95" s="176">
        <v>12.058280518151733</v>
      </c>
      <c r="W95" s="176">
        <v>9.6466244145213871</v>
      </c>
    </row>
    <row r="96" spans="1:23" s="129" customFormat="1" ht="14.25">
      <c r="A96" s="195" t="s">
        <v>1276</v>
      </c>
      <c r="B96" s="195" t="s">
        <v>55</v>
      </c>
      <c r="C96" s="236" t="s">
        <v>395</v>
      </c>
      <c r="D96" s="237" t="s">
        <v>536</v>
      </c>
      <c r="E96" s="197" t="s">
        <v>253</v>
      </c>
      <c r="F96" s="128">
        <v>26</v>
      </c>
      <c r="G96" s="241" t="s">
        <v>2425</v>
      </c>
      <c r="H96" s="241" t="s">
        <v>2825</v>
      </c>
      <c r="I96" s="237" t="s">
        <v>1441</v>
      </c>
      <c r="J96" s="128"/>
      <c r="K96" s="236" t="s">
        <v>60</v>
      </c>
      <c r="L96" s="227"/>
      <c r="M96" s="195" t="s">
        <v>1447</v>
      </c>
      <c r="N96" s="128" t="s">
        <v>402</v>
      </c>
      <c r="O96" s="183">
        <v>192</v>
      </c>
      <c r="P96" s="197" t="s">
        <v>403</v>
      </c>
      <c r="Q96" s="282">
        <v>9.0360939856848113</v>
      </c>
      <c r="R96" s="149" t="s">
        <v>9</v>
      </c>
      <c r="T96" s="176">
        <v>30.120313285616039</v>
      </c>
      <c r="U96" s="176">
        <v>18.072187971369623</v>
      </c>
      <c r="V96" s="176">
        <v>15.060156642808019</v>
      </c>
      <c r="W96" s="176">
        <v>12.048125314246416</v>
      </c>
    </row>
    <row r="97" spans="1:23" s="129" customFormat="1" ht="14.25">
      <c r="A97" s="195" t="s">
        <v>1276</v>
      </c>
      <c r="B97" s="195" t="s">
        <v>55</v>
      </c>
      <c r="C97" s="236" t="s">
        <v>395</v>
      </c>
      <c r="D97" s="237" t="s">
        <v>536</v>
      </c>
      <c r="E97" s="197" t="s">
        <v>253</v>
      </c>
      <c r="F97" s="128">
        <v>26</v>
      </c>
      <c r="G97" s="241" t="s">
        <v>1434</v>
      </c>
      <c r="H97" s="241" t="s">
        <v>2825</v>
      </c>
      <c r="I97" s="237" t="s">
        <v>1442</v>
      </c>
      <c r="J97" s="128"/>
      <c r="K97" s="236" t="s">
        <v>60</v>
      </c>
      <c r="L97" s="227"/>
      <c r="M97" s="195" t="s">
        <v>1447</v>
      </c>
      <c r="N97" s="128" t="s">
        <v>402</v>
      </c>
      <c r="O97" s="183">
        <v>192</v>
      </c>
      <c r="P97" s="197" t="s">
        <v>403</v>
      </c>
      <c r="Q97" s="282">
        <v>10.651161945460659</v>
      </c>
      <c r="R97" s="149" t="s">
        <v>9</v>
      </c>
      <c r="T97" s="176">
        <v>35.503873151535529</v>
      </c>
      <c r="U97" s="176">
        <v>21.302323890921318</v>
      </c>
      <c r="V97" s="176">
        <v>17.751936575767765</v>
      </c>
      <c r="W97" s="176">
        <v>14.201549260614213</v>
      </c>
    </row>
    <row r="98" spans="1:23" s="129" customFormat="1" ht="14.25">
      <c r="A98" s="195" t="s">
        <v>1276</v>
      </c>
      <c r="B98" s="195" t="s">
        <v>55</v>
      </c>
      <c r="C98" s="236" t="s">
        <v>395</v>
      </c>
      <c r="D98" s="237" t="s">
        <v>536</v>
      </c>
      <c r="E98" s="197" t="s">
        <v>253</v>
      </c>
      <c r="F98" s="128">
        <v>26</v>
      </c>
      <c r="G98" s="241" t="s">
        <v>2430</v>
      </c>
      <c r="H98" s="241" t="s">
        <v>2825</v>
      </c>
      <c r="I98" s="237" t="s">
        <v>2432</v>
      </c>
      <c r="J98" s="128"/>
      <c r="K98" s="236" t="s">
        <v>60</v>
      </c>
      <c r="L98" s="227"/>
      <c r="M98" s="195" t="s">
        <v>1447</v>
      </c>
      <c r="N98" s="128" t="s">
        <v>402</v>
      </c>
      <c r="O98" s="183">
        <v>128</v>
      </c>
      <c r="P98" s="197" t="s">
        <v>403</v>
      </c>
      <c r="Q98" s="282">
        <v>17.424731916948602</v>
      </c>
      <c r="R98" s="149" t="s">
        <v>9</v>
      </c>
      <c r="T98" s="176">
        <v>58.082439723162011</v>
      </c>
      <c r="U98" s="176">
        <v>34.849463833897204</v>
      </c>
      <c r="V98" s="176">
        <v>29.041219861581006</v>
      </c>
      <c r="W98" s="176">
        <v>23.232975889264807</v>
      </c>
    </row>
    <row r="99" spans="1:23" s="129" customFormat="1" ht="14.25">
      <c r="A99" s="195" t="s">
        <v>1276</v>
      </c>
      <c r="B99" s="195" t="s">
        <v>55</v>
      </c>
      <c r="C99" s="236" t="s">
        <v>395</v>
      </c>
      <c r="D99" s="237" t="s">
        <v>536</v>
      </c>
      <c r="E99" s="197" t="s">
        <v>253</v>
      </c>
      <c r="F99" s="128">
        <v>26</v>
      </c>
      <c r="G99" s="241" t="s">
        <v>2267</v>
      </c>
      <c r="H99" s="241" t="s">
        <v>2825</v>
      </c>
      <c r="I99" s="237" t="s">
        <v>2270</v>
      </c>
      <c r="J99" s="128"/>
      <c r="K99" s="236" t="s">
        <v>60</v>
      </c>
      <c r="L99" s="227"/>
      <c r="M99" s="195" t="s">
        <v>1447</v>
      </c>
      <c r="N99" s="128" t="s">
        <v>402</v>
      </c>
      <c r="O99" s="183">
        <v>128</v>
      </c>
      <c r="P99" s="197" t="s">
        <v>403</v>
      </c>
      <c r="Q99" s="282">
        <v>24.908996570022861</v>
      </c>
      <c r="R99" s="149" t="s">
        <v>9</v>
      </c>
      <c r="T99" s="176">
        <v>83.029988566742873</v>
      </c>
      <c r="U99" s="176">
        <v>49.817993140045722</v>
      </c>
      <c r="V99" s="176">
        <v>41.514994283371436</v>
      </c>
      <c r="W99" s="176">
        <v>33.21199542669715</v>
      </c>
    </row>
    <row r="100" spans="1:23" s="129" customFormat="1" ht="14.25">
      <c r="A100" s="195" t="s">
        <v>1276</v>
      </c>
      <c r="B100" s="195" t="s">
        <v>55</v>
      </c>
      <c r="C100" s="236" t="s">
        <v>395</v>
      </c>
      <c r="D100" s="237" t="s">
        <v>536</v>
      </c>
      <c r="E100" s="197" t="s">
        <v>253</v>
      </c>
      <c r="F100" s="128">
        <v>26</v>
      </c>
      <c r="G100" s="241" t="s">
        <v>2268</v>
      </c>
      <c r="H100" s="241" t="s">
        <v>2825</v>
      </c>
      <c r="I100" s="237" t="s">
        <v>2271</v>
      </c>
      <c r="J100" s="128"/>
      <c r="K100" s="236" t="s">
        <v>60</v>
      </c>
      <c r="L100" s="227"/>
      <c r="M100" s="195" t="s">
        <v>1447</v>
      </c>
      <c r="N100" s="128" t="s">
        <v>402</v>
      </c>
      <c r="O100" s="183">
        <v>64</v>
      </c>
      <c r="P100" s="197" t="s">
        <v>403</v>
      </c>
      <c r="Q100" s="282">
        <v>24.908996570022861</v>
      </c>
      <c r="R100" s="149" t="s">
        <v>9</v>
      </c>
      <c r="T100" s="176">
        <v>83.029988566742873</v>
      </c>
      <c r="U100" s="176">
        <v>49.817993140045722</v>
      </c>
      <c r="V100" s="176">
        <v>41.514994283371436</v>
      </c>
      <c r="W100" s="176">
        <v>33.21199542669715</v>
      </c>
    </row>
    <row r="101" spans="1:23" s="129" customFormat="1" ht="14.25">
      <c r="A101" s="195" t="s">
        <v>1276</v>
      </c>
      <c r="B101" s="195" t="s">
        <v>55</v>
      </c>
      <c r="C101" s="236" t="s">
        <v>395</v>
      </c>
      <c r="D101" s="237" t="s">
        <v>614</v>
      </c>
      <c r="E101" s="197" t="s">
        <v>253</v>
      </c>
      <c r="F101" s="128">
        <v>26</v>
      </c>
      <c r="G101" s="241" t="s">
        <v>615</v>
      </c>
      <c r="H101" s="241" t="s">
        <v>2884</v>
      </c>
      <c r="I101" s="237" t="s">
        <v>1808</v>
      </c>
      <c r="J101" s="128"/>
      <c r="K101" s="236" t="s">
        <v>60</v>
      </c>
      <c r="L101" s="227"/>
      <c r="M101" s="195" t="s">
        <v>1446</v>
      </c>
      <c r="N101" s="128" t="s">
        <v>402</v>
      </c>
      <c r="O101" s="128">
        <v>4800</v>
      </c>
      <c r="P101" s="128" t="s">
        <v>403</v>
      </c>
      <c r="Q101" s="282">
        <v>0</v>
      </c>
      <c r="R101" s="149" t="s">
        <v>9</v>
      </c>
      <c r="T101" s="176">
        <v>0</v>
      </c>
      <c r="U101" s="176">
        <v>0</v>
      </c>
      <c r="V101" s="176">
        <v>0</v>
      </c>
      <c r="W101" s="176">
        <v>0</v>
      </c>
    </row>
    <row r="102" spans="1:23" s="129" customFormat="1" ht="14.25">
      <c r="A102" s="195" t="s">
        <v>1276</v>
      </c>
      <c r="B102" s="195" t="s">
        <v>55</v>
      </c>
      <c r="C102" s="236" t="s">
        <v>395</v>
      </c>
      <c r="D102" s="237" t="s">
        <v>614</v>
      </c>
      <c r="E102" s="197" t="s">
        <v>253</v>
      </c>
      <c r="F102" s="128">
        <v>26</v>
      </c>
      <c r="G102" s="241" t="s">
        <v>616</v>
      </c>
      <c r="H102" s="241" t="s">
        <v>2885</v>
      </c>
      <c r="I102" s="237" t="s">
        <v>1809</v>
      </c>
      <c r="J102" s="128"/>
      <c r="K102" s="236" t="s">
        <v>60</v>
      </c>
      <c r="L102" s="227"/>
      <c r="M102" s="195" t="s">
        <v>1446</v>
      </c>
      <c r="N102" s="128" t="s">
        <v>402</v>
      </c>
      <c r="O102" s="128">
        <v>4800</v>
      </c>
      <c r="P102" s="128" t="s">
        <v>403</v>
      </c>
      <c r="Q102" s="282">
        <v>3.8697821129960688</v>
      </c>
      <c r="R102" s="149" t="s">
        <v>9</v>
      </c>
      <c r="T102" s="176">
        <v>12.899273709986897</v>
      </c>
      <c r="U102" s="176">
        <v>7.7395642259921376</v>
      </c>
      <c r="V102" s="176">
        <v>6.4496368549934484</v>
      </c>
      <c r="W102" s="176">
        <v>5.1597094839947593</v>
      </c>
    </row>
    <row r="103" spans="1:23" s="129" customFormat="1" ht="14.25">
      <c r="A103" s="195" t="s">
        <v>1276</v>
      </c>
      <c r="B103" s="195" t="s">
        <v>55</v>
      </c>
      <c r="C103" s="236" t="s">
        <v>395</v>
      </c>
      <c r="D103" s="237" t="s">
        <v>614</v>
      </c>
      <c r="E103" s="197" t="s">
        <v>253</v>
      </c>
      <c r="F103" s="128">
        <v>26</v>
      </c>
      <c r="G103" s="241" t="s">
        <v>617</v>
      </c>
      <c r="H103" s="241" t="s">
        <v>2886</v>
      </c>
      <c r="I103" s="237" t="s">
        <v>1810</v>
      </c>
      <c r="J103" s="128"/>
      <c r="K103" s="236" t="s">
        <v>60</v>
      </c>
      <c r="L103" s="227"/>
      <c r="M103" s="195" t="s">
        <v>1446</v>
      </c>
      <c r="N103" s="128" t="s">
        <v>402</v>
      </c>
      <c r="O103" s="128">
        <v>3200</v>
      </c>
      <c r="P103" s="128" t="s">
        <v>403</v>
      </c>
      <c r="Q103" s="282">
        <v>4.3958742049537092</v>
      </c>
      <c r="R103" s="149" t="s">
        <v>9</v>
      </c>
      <c r="T103" s="176">
        <v>14.652914016512364</v>
      </c>
      <c r="U103" s="176">
        <v>8.7917484099074183</v>
      </c>
      <c r="V103" s="176">
        <v>7.326457008256182</v>
      </c>
      <c r="W103" s="176">
        <v>5.8611656066049456</v>
      </c>
    </row>
    <row r="104" spans="1:23" s="129" customFormat="1" ht="14.25">
      <c r="A104" s="195" t="s">
        <v>1276</v>
      </c>
      <c r="B104" s="195" t="s">
        <v>55</v>
      </c>
      <c r="C104" s="236" t="s">
        <v>395</v>
      </c>
      <c r="D104" s="237" t="s">
        <v>614</v>
      </c>
      <c r="E104" s="197" t="s">
        <v>253</v>
      </c>
      <c r="F104" s="128">
        <v>26</v>
      </c>
      <c r="G104" s="241" t="s">
        <v>618</v>
      </c>
      <c r="H104" s="241" t="s">
        <v>2887</v>
      </c>
      <c r="I104" s="237" t="s">
        <v>1811</v>
      </c>
      <c r="J104" s="128"/>
      <c r="K104" s="236" t="s">
        <v>60</v>
      </c>
      <c r="L104" s="227"/>
      <c r="M104" s="195" t="s">
        <v>1446</v>
      </c>
      <c r="N104" s="128" t="s">
        <v>402</v>
      </c>
      <c r="O104" s="128">
        <v>2240</v>
      </c>
      <c r="P104" s="128" t="s">
        <v>403</v>
      </c>
      <c r="Q104" s="282">
        <v>5.4377243941599982</v>
      </c>
      <c r="R104" s="149" t="s">
        <v>9</v>
      </c>
      <c r="T104" s="176">
        <v>18.12574798053333</v>
      </c>
      <c r="U104" s="176">
        <v>10.875448788319998</v>
      </c>
      <c r="V104" s="176">
        <v>9.0628739902666648</v>
      </c>
      <c r="W104" s="176">
        <v>7.2502991922133324</v>
      </c>
    </row>
    <row r="105" spans="1:23" s="129" customFormat="1" ht="14.25">
      <c r="A105" s="195" t="s">
        <v>1276</v>
      </c>
      <c r="B105" s="195" t="s">
        <v>55</v>
      </c>
      <c r="C105" s="236" t="s">
        <v>395</v>
      </c>
      <c r="D105" s="237" t="s">
        <v>614</v>
      </c>
      <c r="E105" s="197" t="s">
        <v>253</v>
      </c>
      <c r="F105" s="128">
        <v>26</v>
      </c>
      <c r="G105" s="241" t="s">
        <v>619</v>
      </c>
      <c r="H105" s="241" t="s">
        <v>2888</v>
      </c>
      <c r="I105" s="237" t="s">
        <v>1812</v>
      </c>
      <c r="J105" s="128"/>
      <c r="K105" s="236" t="s">
        <v>60</v>
      </c>
      <c r="L105" s="227"/>
      <c r="M105" s="195" t="s">
        <v>1446</v>
      </c>
      <c r="N105" s="128" t="s">
        <v>402</v>
      </c>
      <c r="O105" s="128">
        <v>1600</v>
      </c>
      <c r="P105" s="128" t="s">
        <v>403</v>
      </c>
      <c r="Q105" s="282">
        <v>6.5242383972083857</v>
      </c>
      <c r="R105" s="149" t="s">
        <v>9</v>
      </c>
      <c r="T105" s="176">
        <v>21.747461324027952</v>
      </c>
      <c r="U105" s="176">
        <v>13.048476794416771</v>
      </c>
      <c r="V105" s="176">
        <v>10.873730662013976</v>
      </c>
      <c r="W105" s="176">
        <v>8.698984529611181</v>
      </c>
    </row>
    <row r="106" spans="1:23" s="129" customFormat="1" ht="14.25">
      <c r="A106" s="195" t="s">
        <v>1276</v>
      </c>
      <c r="B106" s="195" t="s">
        <v>55</v>
      </c>
      <c r="C106" s="236" t="s">
        <v>395</v>
      </c>
      <c r="D106" s="237" t="s">
        <v>614</v>
      </c>
      <c r="E106" s="197" t="s">
        <v>253</v>
      </c>
      <c r="F106" s="128">
        <v>26</v>
      </c>
      <c r="G106" s="241" t="s">
        <v>620</v>
      </c>
      <c r="H106" s="241" t="s">
        <v>2889</v>
      </c>
      <c r="I106" s="237" t="s">
        <v>1813</v>
      </c>
      <c r="J106" s="128"/>
      <c r="K106" s="236" t="s">
        <v>60</v>
      </c>
      <c r="L106" s="227"/>
      <c r="M106" s="195" t="s">
        <v>1446</v>
      </c>
      <c r="N106" s="128" t="s">
        <v>402</v>
      </c>
      <c r="O106" s="128">
        <v>960</v>
      </c>
      <c r="P106" s="128" t="s">
        <v>403</v>
      </c>
      <c r="Q106" s="282">
        <v>8.3215595931967936</v>
      </c>
      <c r="R106" s="149" t="s">
        <v>9</v>
      </c>
      <c r="T106" s="176">
        <v>27.738531977322648</v>
      </c>
      <c r="U106" s="176">
        <v>16.643119186393587</v>
      </c>
      <c r="V106" s="176">
        <v>13.869265988661324</v>
      </c>
      <c r="W106" s="176">
        <v>11.095412790929061</v>
      </c>
    </row>
    <row r="107" spans="1:23" s="129" customFormat="1" ht="12.75" customHeight="1">
      <c r="A107" s="195" t="s">
        <v>1276</v>
      </c>
      <c r="B107" s="195" t="s">
        <v>55</v>
      </c>
      <c r="C107" s="195" t="s">
        <v>621</v>
      </c>
      <c r="D107" s="236" t="s">
        <v>621</v>
      </c>
      <c r="E107" s="197" t="s">
        <v>622</v>
      </c>
      <c r="F107" s="128"/>
      <c r="G107" s="241" t="s">
        <v>1738</v>
      </c>
      <c r="H107" s="241" t="s">
        <v>2890</v>
      </c>
      <c r="I107" s="278" t="s">
        <v>1589</v>
      </c>
      <c r="J107" s="128"/>
      <c r="K107" s="236" t="s">
        <v>60</v>
      </c>
      <c r="L107" s="128"/>
      <c r="M107" s="195" t="s">
        <v>241</v>
      </c>
      <c r="N107" s="128" t="s">
        <v>635</v>
      </c>
      <c r="O107" s="128">
        <v>240</v>
      </c>
      <c r="P107" s="128" t="s">
        <v>630</v>
      </c>
      <c r="Q107" s="240">
        <v>5.895977709243315</v>
      </c>
      <c r="R107" s="149" t="s">
        <v>9</v>
      </c>
      <c r="T107" s="168">
        <v>19.65325903081105</v>
      </c>
      <c r="U107" s="168">
        <v>11.79195541848663</v>
      </c>
      <c r="V107" s="168">
        <v>9.826629515405525</v>
      </c>
      <c r="W107" s="168">
        <v>7.86130361232442</v>
      </c>
    </row>
    <row r="108" spans="1:23" s="129" customFormat="1" ht="14.25">
      <c r="A108" s="195" t="s">
        <v>1276</v>
      </c>
      <c r="B108" s="195" t="s">
        <v>55</v>
      </c>
      <c r="C108" s="195" t="s">
        <v>621</v>
      </c>
      <c r="D108" s="236" t="s">
        <v>621</v>
      </c>
      <c r="E108" s="197" t="s">
        <v>622</v>
      </c>
      <c r="F108" s="128"/>
      <c r="G108" s="241" t="s">
        <v>2211</v>
      </c>
      <c r="H108" s="241" t="s">
        <v>2891</v>
      </c>
      <c r="I108" s="237" t="s">
        <v>1590</v>
      </c>
      <c r="J108" s="128"/>
      <c r="K108" s="236" t="s">
        <v>60</v>
      </c>
      <c r="L108" s="128"/>
      <c r="M108" s="195" t="s">
        <v>241</v>
      </c>
      <c r="N108" s="128" t="s">
        <v>635</v>
      </c>
      <c r="O108" s="128">
        <v>320</v>
      </c>
      <c r="P108" s="128" t="s">
        <v>630</v>
      </c>
      <c r="Q108" s="240">
        <v>11.94825705113143</v>
      </c>
      <c r="R108" s="149" t="s">
        <v>9</v>
      </c>
      <c r="T108" s="168">
        <v>39.827523503771431</v>
      </c>
      <c r="U108" s="168">
        <v>23.896514102262859</v>
      </c>
      <c r="V108" s="168">
        <v>19.913761751885716</v>
      </c>
      <c r="W108" s="168">
        <v>15.931009401508573</v>
      </c>
    </row>
    <row r="109" spans="1:23" s="129" customFormat="1" ht="14.25">
      <c r="A109" s="195" t="s">
        <v>1276</v>
      </c>
      <c r="B109" s="195" t="s">
        <v>55</v>
      </c>
      <c r="C109" s="195" t="s">
        <v>621</v>
      </c>
      <c r="D109" s="236" t="s">
        <v>621</v>
      </c>
      <c r="E109" s="197" t="s">
        <v>622</v>
      </c>
      <c r="F109" s="128"/>
      <c r="G109" s="241" t="s">
        <v>1215</v>
      </c>
      <c r="H109" s="241" t="s">
        <v>2892</v>
      </c>
      <c r="I109" s="237" t="s">
        <v>628</v>
      </c>
      <c r="J109" s="128"/>
      <c r="K109" s="236" t="s">
        <v>60</v>
      </c>
      <c r="L109" s="128"/>
      <c r="M109" s="195" t="s">
        <v>241</v>
      </c>
      <c r="N109" s="128" t="s">
        <v>635</v>
      </c>
      <c r="O109" s="128">
        <v>240</v>
      </c>
      <c r="P109" s="128" t="s">
        <v>630</v>
      </c>
      <c r="Q109" s="240">
        <v>6.0002515611489198</v>
      </c>
      <c r="R109" s="149" t="s">
        <v>9</v>
      </c>
      <c r="T109" s="168">
        <v>20.000838537163066</v>
      </c>
      <c r="U109" s="168">
        <v>12.00050312229784</v>
      </c>
      <c r="V109" s="168">
        <v>10.000419268581533</v>
      </c>
      <c r="W109" s="168">
        <v>8.0003354148652264</v>
      </c>
    </row>
    <row r="110" spans="1:23" s="129" customFormat="1" ht="14.25">
      <c r="A110" s="195" t="s">
        <v>1276</v>
      </c>
      <c r="B110" s="195" t="s">
        <v>55</v>
      </c>
      <c r="C110" s="195" t="s">
        <v>621</v>
      </c>
      <c r="D110" s="236" t="s">
        <v>621</v>
      </c>
      <c r="E110" s="197" t="s">
        <v>622</v>
      </c>
      <c r="F110" s="128"/>
      <c r="G110" s="241" t="s">
        <v>646</v>
      </c>
      <c r="H110" s="241" t="s">
        <v>2893</v>
      </c>
      <c r="I110" s="237" t="s">
        <v>648</v>
      </c>
      <c r="J110" s="128"/>
      <c r="K110" s="236" t="s">
        <v>60</v>
      </c>
      <c r="L110" s="128"/>
      <c r="M110" s="195" t="s">
        <v>241</v>
      </c>
      <c r="N110" s="128" t="s">
        <v>635</v>
      </c>
      <c r="O110" s="128">
        <v>240</v>
      </c>
      <c r="P110" s="128" t="s">
        <v>630</v>
      </c>
      <c r="Q110" s="240">
        <v>8.637527632154967</v>
      </c>
      <c r="R110" s="149" t="s">
        <v>9</v>
      </c>
      <c r="T110" s="168">
        <v>28.791758773849892</v>
      </c>
      <c r="U110" s="168">
        <v>17.275055264309934</v>
      </c>
      <c r="V110" s="168">
        <v>14.395879386924946</v>
      </c>
      <c r="W110" s="168">
        <v>11.516703509539958</v>
      </c>
    </row>
    <row r="111" spans="1:23" s="129" customFormat="1" ht="14.25">
      <c r="A111" s="237" t="s">
        <v>1276</v>
      </c>
      <c r="B111" s="237" t="s">
        <v>55</v>
      </c>
      <c r="C111" s="237" t="s">
        <v>621</v>
      </c>
      <c r="D111" s="237" t="s">
        <v>621</v>
      </c>
      <c r="E111" s="197" t="s">
        <v>266</v>
      </c>
      <c r="F111" s="128"/>
      <c r="G111" s="241" t="s">
        <v>654</v>
      </c>
      <c r="H111" s="241" t="s">
        <v>2894</v>
      </c>
      <c r="I111" s="237" t="s">
        <v>1316</v>
      </c>
      <c r="J111" s="128"/>
      <c r="K111" s="236" t="s">
        <v>60</v>
      </c>
      <c r="L111" s="128"/>
      <c r="M111" s="195" t="s">
        <v>241</v>
      </c>
      <c r="N111" s="128" t="s">
        <v>635</v>
      </c>
      <c r="O111" s="128">
        <v>120</v>
      </c>
      <c r="P111" s="128" t="s">
        <v>630</v>
      </c>
      <c r="Q111" s="240">
        <v>24.194349820368384</v>
      </c>
      <c r="R111" s="149" t="s">
        <v>281</v>
      </c>
      <c r="T111" s="168">
        <v>80.647832734561277</v>
      </c>
      <c r="U111" s="168">
        <v>48.388699640736768</v>
      </c>
      <c r="V111" s="168">
        <v>40.323916367280638</v>
      </c>
      <c r="W111" s="168">
        <v>32.259133093824509</v>
      </c>
    </row>
    <row r="112" spans="1:23" s="129" customFormat="1" ht="14.25">
      <c r="A112" s="237" t="s">
        <v>1276</v>
      </c>
      <c r="B112" s="237" t="s">
        <v>55</v>
      </c>
      <c r="C112" s="237" t="s">
        <v>1570</v>
      </c>
      <c r="D112" s="237" t="s">
        <v>1571</v>
      </c>
      <c r="E112" s="197"/>
      <c r="F112" s="128">
        <v>24</v>
      </c>
      <c r="G112" s="241" t="s">
        <v>1572</v>
      </c>
      <c r="H112" s="241" t="s">
        <v>2825</v>
      </c>
      <c r="I112" s="237" t="s">
        <v>2612</v>
      </c>
      <c r="J112" s="128" t="s">
        <v>1584</v>
      </c>
      <c r="K112" s="236" t="s">
        <v>158</v>
      </c>
      <c r="L112" s="190">
        <v>22.3</v>
      </c>
      <c r="M112" s="195" t="s">
        <v>61</v>
      </c>
      <c r="N112" s="128"/>
      <c r="O112" s="190">
        <v>3</v>
      </c>
      <c r="P112" s="128"/>
      <c r="Q112" s="281">
        <v>1114.1937119675458</v>
      </c>
      <c r="R112" s="149" t="s">
        <v>2812</v>
      </c>
      <c r="T112" s="134">
        <v>3713.9790398918194</v>
      </c>
      <c r="U112" s="134">
        <v>2228.3874239350916</v>
      </c>
      <c r="V112" s="134">
        <v>1856.9895199459097</v>
      </c>
      <c r="W112" s="134">
        <v>1485.5916159567278</v>
      </c>
    </row>
    <row r="113" spans="1:23" s="129" customFormat="1" ht="14.25">
      <c r="A113" s="237" t="s">
        <v>1276</v>
      </c>
      <c r="B113" s="237" t="s">
        <v>55</v>
      </c>
      <c r="C113" s="237" t="s">
        <v>1570</v>
      </c>
      <c r="D113" s="237" t="s">
        <v>1571</v>
      </c>
      <c r="E113" s="197"/>
      <c r="F113" s="128">
        <v>24</v>
      </c>
      <c r="G113" s="241" t="s">
        <v>1573</v>
      </c>
      <c r="H113" s="241" t="s">
        <v>2825</v>
      </c>
      <c r="I113" s="237" t="s">
        <v>2613</v>
      </c>
      <c r="J113" s="128" t="s">
        <v>1584</v>
      </c>
      <c r="K113" s="236" t="s">
        <v>158</v>
      </c>
      <c r="L113" s="190">
        <v>43.5</v>
      </c>
      <c r="M113" s="195" t="s">
        <v>61</v>
      </c>
      <c r="N113" s="128"/>
      <c r="O113" s="190">
        <v>2</v>
      </c>
      <c r="P113" s="128"/>
      <c r="Q113" s="281">
        <v>1771.3844570252188</v>
      </c>
      <c r="R113" s="149" t="s">
        <v>2812</v>
      </c>
      <c r="T113" s="134">
        <v>5904.6148567507298</v>
      </c>
      <c r="U113" s="134">
        <v>3542.7689140504376</v>
      </c>
      <c r="V113" s="134">
        <v>2952.3074283753649</v>
      </c>
      <c r="W113" s="134">
        <v>2361.8459427002922</v>
      </c>
    </row>
    <row r="114" spans="1:23" s="129" customFormat="1" ht="14.25">
      <c r="A114" s="237" t="s">
        <v>1276</v>
      </c>
      <c r="B114" s="237" t="s">
        <v>55</v>
      </c>
      <c r="C114" s="237" t="s">
        <v>1570</v>
      </c>
      <c r="D114" s="237" t="s">
        <v>1571</v>
      </c>
      <c r="E114" s="197"/>
      <c r="F114" s="128">
        <v>24</v>
      </c>
      <c r="G114" s="241" t="s">
        <v>1574</v>
      </c>
      <c r="H114" s="241" t="s">
        <v>2825</v>
      </c>
      <c r="I114" s="237" t="s">
        <v>2614</v>
      </c>
      <c r="J114" s="128" t="s">
        <v>1584</v>
      </c>
      <c r="K114" s="236" t="s">
        <v>158</v>
      </c>
      <c r="L114" s="190">
        <v>64.900000000000006</v>
      </c>
      <c r="M114" s="195" t="s">
        <v>61</v>
      </c>
      <c r="N114" s="128"/>
      <c r="O114" s="190">
        <v>2</v>
      </c>
      <c r="P114" s="128"/>
      <c r="Q114" s="281">
        <v>2330.787442099846</v>
      </c>
      <c r="R114" s="149" t="s">
        <v>2812</v>
      </c>
      <c r="T114" s="134">
        <v>7769.2914736661533</v>
      </c>
      <c r="U114" s="134">
        <v>4661.574884199692</v>
      </c>
      <c r="V114" s="134">
        <v>3884.6457368330766</v>
      </c>
      <c r="W114" s="134">
        <v>3107.7165894664613</v>
      </c>
    </row>
    <row r="115" spans="1:23" s="129" customFormat="1" ht="14.25">
      <c r="A115" s="237" t="s">
        <v>1276</v>
      </c>
      <c r="B115" s="237" t="s">
        <v>55</v>
      </c>
      <c r="C115" s="237" t="s">
        <v>1570</v>
      </c>
      <c r="D115" s="237" t="s">
        <v>1571</v>
      </c>
      <c r="E115" s="197"/>
      <c r="F115" s="128">
        <v>24</v>
      </c>
      <c r="G115" s="241" t="s">
        <v>1575</v>
      </c>
      <c r="H115" s="241" t="s">
        <v>2825</v>
      </c>
      <c r="I115" s="237" t="s">
        <v>2615</v>
      </c>
      <c r="J115" s="128" t="s">
        <v>1584</v>
      </c>
      <c r="K115" s="236" t="s">
        <v>158</v>
      </c>
      <c r="L115" s="190">
        <v>248.3</v>
      </c>
      <c r="M115" s="195" t="s">
        <v>61</v>
      </c>
      <c r="N115" s="128"/>
      <c r="O115" s="190">
        <v>1</v>
      </c>
      <c r="P115" s="128"/>
      <c r="Q115" s="281">
        <v>6675.7539886773047</v>
      </c>
      <c r="R115" s="149" t="s">
        <v>2812</v>
      </c>
      <c r="T115" s="134">
        <v>22252.513295591016</v>
      </c>
      <c r="U115" s="134">
        <v>13351.507977354609</v>
      </c>
      <c r="V115" s="134">
        <v>11126.256647795508</v>
      </c>
      <c r="W115" s="134">
        <v>8901.0053182364063</v>
      </c>
    </row>
    <row r="116" spans="1:23" s="129" customFormat="1" ht="14.25">
      <c r="A116" s="237" t="s">
        <v>1276</v>
      </c>
      <c r="B116" s="237" t="s">
        <v>55</v>
      </c>
      <c r="C116" s="237" t="s">
        <v>1570</v>
      </c>
      <c r="D116" s="237" t="s">
        <v>1571</v>
      </c>
      <c r="E116" s="197"/>
      <c r="F116" s="128">
        <v>24</v>
      </c>
      <c r="G116" s="241" t="s">
        <v>1576</v>
      </c>
      <c r="H116" s="241" t="s">
        <v>2825</v>
      </c>
      <c r="I116" s="237" t="s">
        <v>2616</v>
      </c>
      <c r="J116" s="128" t="s">
        <v>1584</v>
      </c>
      <c r="K116" s="236" t="s">
        <v>158</v>
      </c>
      <c r="L116" s="190">
        <v>496.4</v>
      </c>
      <c r="M116" s="195" t="s">
        <v>61</v>
      </c>
      <c r="N116" s="128"/>
      <c r="O116" s="190">
        <v>1</v>
      </c>
      <c r="P116" s="128"/>
      <c r="Q116" s="281">
        <v>12081.276376737005</v>
      </c>
      <c r="R116" s="149" t="s">
        <v>2812</v>
      </c>
      <c r="T116" s="134">
        <v>40270.921255790017</v>
      </c>
      <c r="U116" s="134">
        <v>24162.55275347401</v>
      </c>
      <c r="V116" s="134">
        <v>20135.460627895009</v>
      </c>
      <c r="W116" s="134">
        <v>16108.368502316007</v>
      </c>
    </row>
    <row r="117" spans="1:23" s="129" customFormat="1" ht="14.25">
      <c r="A117" s="237" t="s">
        <v>1276</v>
      </c>
      <c r="B117" s="237" t="s">
        <v>55</v>
      </c>
      <c r="C117" s="237" t="s">
        <v>1570</v>
      </c>
      <c r="D117" s="237" t="s">
        <v>1571</v>
      </c>
      <c r="E117" s="197"/>
      <c r="F117" s="128">
        <v>20</v>
      </c>
      <c r="G117" s="241" t="s">
        <v>1577</v>
      </c>
      <c r="H117" s="241" t="s">
        <v>2825</v>
      </c>
      <c r="I117" s="237" t="s">
        <v>2617</v>
      </c>
      <c r="J117" s="128" t="s">
        <v>1584</v>
      </c>
      <c r="K117" s="236" t="s">
        <v>158</v>
      </c>
      <c r="L117" s="190">
        <v>55.1</v>
      </c>
      <c r="M117" s="195" t="s">
        <v>61</v>
      </c>
      <c r="N117" s="128"/>
      <c r="O117" s="190">
        <v>2</v>
      </c>
      <c r="P117" s="128"/>
      <c r="Q117" s="281">
        <v>1818.6108374384237</v>
      </c>
      <c r="R117" s="149" t="s">
        <v>2812</v>
      </c>
      <c r="T117" s="134">
        <v>6062.0361247947458</v>
      </c>
      <c r="U117" s="134">
        <v>3637.2216748768474</v>
      </c>
      <c r="V117" s="134">
        <v>3031.0180623973729</v>
      </c>
      <c r="W117" s="134">
        <v>2424.8144499178984</v>
      </c>
    </row>
    <row r="118" spans="1:23" s="129" customFormat="1" ht="14.25">
      <c r="A118" s="237" t="s">
        <v>1276</v>
      </c>
      <c r="B118" s="237" t="s">
        <v>55</v>
      </c>
      <c r="C118" s="237" t="s">
        <v>1570</v>
      </c>
      <c r="D118" s="237" t="s">
        <v>1571</v>
      </c>
      <c r="E118" s="197"/>
      <c r="F118" s="128">
        <v>20</v>
      </c>
      <c r="G118" s="241" t="s">
        <v>1578</v>
      </c>
      <c r="H118" s="241" t="s">
        <v>2825</v>
      </c>
      <c r="I118" s="237" t="s">
        <v>2618</v>
      </c>
      <c r="J118" s="128" t="s">
        <v>1584</v>
      </c>
      <c r="K118" s="236" t="s">
        <v>158</v>
      </c>
      <c r="L118" s="190">
        <v>109.3</v>
      </c>
      <c r="M118" s="195" t="s">
        <v>61</v>
      </c>
      <c r="N118" s="128"/>
      <c r="O118" s="190">
        <v>1</v>
      </c>
      <c r="P118" s="128"/>
      <c r="Q118" s="281">
        <v>3046.7931034482758</v>
      </c>
      <c r="R118" s="149" t="s">
        <v>2812</v>
      </c>
      <c r="T118" s="134">
        <v>10155.977011494253</v>
      </c>
      <c r="U118" s="134">
        <v>6093.5862068965516</v>
      </c>
      <c r="V118" s="134">
        <v>5077.9885057471265</v>
      </c>
      <c r="W118" s="134">
        <v>4062.3908045977014</v>
      </c>
    </row>
    <row r="119" spans="1:23" s="129" customFormat="1" ht="14.25">
      <c r="A119" s="237" t="s">
        <v>1276</v>
      </c>
      <c r="B119" s="237" t="s">
        <v>55</v>
      </c>
      <c r="C119" s="237" t="s">
        <v>1570</v>
      </c>
      <c r="D119" s="237" t="s">
        <v>1571</v>
      </c>
      <c r="E119" s="197"/>
      <c r="F119" s="128">
        <v>20</v>
      </c>
      <c r="G119" s="241" t="s">
        <v>1579</v>
      </c>
      <c r="H119" s="241" t="s">
        <v>2825</v>
      </c>
      <c r="I119" s="237" t="s">
        <v>2619</v>
      </c>
      <c r="J119" s="128" t="s">
        <v>1584</v>
      </c>
      <c r="K119" s="236" t="s">
        <v>158</v>
      </c>
      <c r="L119" s="190">
        <v>164.1</v>
      </c>
      <c r="M119" s="195" t="s">
        <v>61</v>
      </c>
      <c r="N119" s="128"/>
      <c r="O119" s="190">
        <v>1</v>
      </c>
      <c r="P119" s="128"/>
      <c r="Q119" s="281">
        <v>4097.6502463054185</v>
      </c>
      <c r="R119" s="149" t="s">
        <v>2812</v>
      </c>
      <c r="T119" s="134">
        <v>13658.834154351396</v>
      </c>
      <c r="U119" s="134">
        <v>8195.300492610837</v>
      </c>
      <c r="V119" s="134">
        <v>6829.4170771756981</v>
      </c>
      <c r="W119" s="134">
        <v>5463.5336617405592</v>
      </c>
    </row>
    <row r="120" spans="1:23" s="129" customFormat="1" ht="14.25">
      <c r="A120" s="237" t="s">
        <v>1276</v>
      </c>
      <c r="B120" s="237" t="s">
        <v>55</v>
      </c>
      <c r="C120" s="237" t="s">
        <v>1570</v>
      </c>
      <c r="D120" s="237" t="s">
        <v>1571</v>
      </c>
      <c r="E120" s="197"/>
      <c r="F120" s="128">
        <v>20</v>
      </c>
      <c r="G120" s="241" t="s">
        <v>1580</v>
      </c>
      <c r="H120" s="241" t="s">
        <v>2825</v>
      </c>
      <c r="I120" s="237" t="s">
        <v>2620</v>
      </c>
      <c r="J120" s="128" t="s">
        <v>1584</v>
      </c>
      <c r="K120" s="236" t="s">
        <v>158</v>
      </c>
      <c r="L120" s="190">
        <v>633.29999999999995</v>
      </c>
      <c r="M120" s="195" t="s">
        <v>61</v>
      </c>
      <c r="N120" s="128"/>
      <c r="O120" s="190">
        <v>1</v>
      </c>
      <c r="P120" s="128"/>
      <c r="Q120" s="281">
        <v>13375.364532019703</v>
      </c>
      <c r="R120" s="149" t="s">
        <v>2812</v>
      </c>
      <c r="T120" s="134">
        <v>44584.548440065679</v>
      </c>
      <c r="U120" s="134">
        <v>26750.729064039406</v>
      </c>
      <c r="V120" s="134">
        <v>22292.274220032839</v>
      </c>
      <c r="W120" s="134">
        <v>17833.819376026273</v>
      </c>
    </row>
    <row r="121" spans="1:23" s="129" customFormat="1" ht="14.25">
      <c r="A121" s="237" t="s">
        <v>1276</v>
      </c>
      <c r="B121" s="237" t="s">
        <v>55</v>
      </c>
      <c r="C121" s="237" t="s">
        <v>1570</v>
      </c>
      <c r="D121" s="237" t="s">
        <v>1571</v>
      </c>
      <c r="E121" s="197"/>
      <c r="F121" s="128">
        <v>20</v>
      </c>
      <c r="G121" s="241" t="s">
        <v>1581</v>
      </c>
      <c r="H121" s="241" t="s">
        <v>2825</v>
      </c>
      <c r="I121" s="237" t="s">
        <v>2621</v>
      </c>
      <c r="J121" s="128" t="s">
        <v>1584</v>
      </c>
      <c r="K121" s="236" t="s">
        <v>158</v>
      </c>
      <c r="L121" s="190">
        <v>1265.9000000000001</v>
      </c>
      <c r="M121" s="195" t="s">
        <v>61</v>
      </c>
      <c r="N121" s="128"/>
      <c r="O121" s="190">
        <v>1</v>
      </c>
      <c r="P121" s="128"/>
      <c r="Q121" s="281">
        <v>25542.793103448283</v>
      </c>
      <c r="R121" s="149" t="s">
        <v>2812</v>
      </c>
      <c r="T121" s="134">
        <v>85142.643678160952</v>
      </c>
      <c r="U121" s="134">
        <v>51085.586206896573</v>
      </c>
      <c r="V121" s="134">
        <v>42571.321839080476</v>
      </c>
      <c r="W121" s="134">
        <v>34057.057471264379</v>
      </c>
    </row>
    <row r="122" spans="1:23" s="129" customFormat="1" ht="14.25">
      <c r="A122" s="195" t="s">
        <v>1276</v>
      </c>
      <c r="B122" s="195" t="s">
        <v>656</v>
      </c>
      <c r="C122" s="195" t="s">
        <v>657</v>
      </c>
      <c r="D122" s="236" t="s">
        <v>657</v>
      </c>
      <c r="E122" s="128" t="s">
        <v>658</v>
      </c>
      <c r="F122" s="128"/>
      <c r="G122" s="241" t="s">
        <v>659</v>
      </c>
      <c r="H122" s="241" t="s">
        <v>2895</v>
      </c>
      <c r="I122" s="195" t="s">
        <v>2628</v>
      </c>
      <c r="J122" s="128"/>
      <c r="K122" s="236" t="s">
        <v>60</v>
      </c>
      <c r="L122" s="227"/>
      <c r="M122" s="236" t="s">
        <v>661</v>
      </c>
      <c r="N122" s="128" t="s">
        <v>242</v>
      </c>
      <c r="O122" s="128">
        <v>51840</v>
      </c>
      <c r="P122" s="128" t="s">
        <v>663</v>
      </c>
      <c r="Q122" s="240">
        <v>0.36197232923574757</v>
      </c>
      <c r="R122" s="149" t="s">
        <v>9</v>
      </c>
      <c r="T122" s="168">
        <v>1.2065744307858253</v>
      </c>
      <c r="U122" s="168">
        <v>0.72394465847149514</v>
      </c>
      <c r="V122" s="168">
        <v>0.60328721539291263</v>
      </c>
      <c r="W122" s="168">
        <v>0.48262977231433013</v>
      </c>
    </row>
    <row r="123" spans="1:23" s="129" customFormat="1" ht="14.25">
      <c r="A123" s="195" t="s">
        <v>1276</v>
      </c>
      <c r="B123" s="195" t="s">
        <v>656</v>
      </c>
      <c r="C123" s="195" t="s">
        <v>657</v>
      </c>
      <c r="D123" s="236" t="s">
        <v>657</v>
      </c>
      <c r="E123" s="128" t="s">
        <v>658</v>
      </c>
      <c r="F123" s="128"/>
      <c r="G123" s="241" t="s">
        <v>665</v>
      </c>
      <c r="H123" s="241" t="s">
        <v>2896</v>
      </c>
      <c r="I123" s="195" t="s">
        <v>2629</v>
      </c>
      <c r="J123" s="128"/>
      <c r="K123" s="236" t="s">
        <v>60</v>
      </c>
      <c r="L123" s="227"/>
      <c r="M123" s="236" t="s">
        <v>661</v>
      </c>
      <c r="N123" s="128" t="s">
        <v>242</v>
      </c>
      <c r="O123" s="128">
        <v>51840</v>
      </c>
      <c r="P123" s="128" t="s">
        <v>663</v>
      </c>
      <c r="Q123" s="240">
        <v>0.36197232923574757</v>
      </c>
      <c r="R123" s="149" t="s">
        <v>9</v>
      </c>
      <c r="T123" s="168">
        <v>1.2065744307858253</v>
      </c>
      <c r="U123" s="168">
        <v>0.72394465847149514</v>
      </c>
      <c r="V123" s="168">
        <v>0.60328721539291263</v>
      </c>
      <c r="W123" s="168">
        <v>0.48262977231433013</v>
      </c>
    </row>
    <row r="124" spans="1:23" s="129" customFormat="1" ht="14.25">
      <c r="A124" s="195" t="s">
        <v>1276</v>
      </c>
      <c r="B124" s="195" t="s">
        <v>656</v>
      </c>
      <c r="C124" s="195" t="s">
        <v>657</v>
      </c>
      <c r="D124" s="236" t="s">
        <v>657</v>
      </c>
      <c r="E124" s="128" t="s">
        <v>1779</v>
      </c>
      <c r="F124" s="128"/>
      <c r="G124" s="241" t="s">
        <v>2426</v>
      </c>
      <c r="H124" s="241" t="s">
        <v>2825</v>
      </c>
      <c r="I124" s="195" t="s">
        <v>2630</v>
      </c>
      <c r="J124" s="128"/>
      <c r="K124" s="236" t="s">
        <v>60</v>
      </c>
      <c r="L124" s="227"/>
      <c r="M124" s="236" t="s">
        <v>661</v>
      </c>
      <c r="N124" s="128" t="s">
        <v>242</v>
      </c>
      <c r="O124" s="128">
        <v>51840</v>
      </c>
      <c r="P124" s="128" t="s">
        <v>663</v>
      </c>
      <c r="Q124" s="240">
        <v>0.36197232923574757</v>
      </c>
      <c r="R124" s="149" t="s">
        <v>9</v>
      </c>
      <c r="T124" s="168">
        <v>1.2065744307858253</v>
      </c>
      <c r="U124" s="168">
        <v>0.72394465847149514</v>
      </c>
      <c r="V124" s="168">
        <v>0.60328721539291263</v>
      </c>
      <c r="W124" s="168">
        <v>0.48262977231433013</v>
      </c>
    </row>
    <row r="125" spans="1:23" s="129" customFormat="1" ht="14.25">
      <c r="A125" s="195" t="s">
        <v>1276</v>
      </c>
      <c r="B125" s="195" t="s">
        <v>656</v>
      </c>
      <c r="C125" s="195" t="s">
        <v>657</v>
      </c>
      <c r="D125" s="236" t="s">
        <v>657</v>
      </c>
      <c r="E125" s="128" t="s">
        <v>1779</v>
      </c>
      <c r="F125" s="128"/>
      <c r="G125" s="241" t="s">
        <v>1780</v>
      </c>
      <c r="H125" s="241" t="s">
        <v>2825</v>
      </c>
      <c r="I125" s="195" t="s">
        <v>2631</v>
      </c>
      <c r="J125" s="128"/>
      <c r="K125" s="236" t="s">
        <v>1295</v>
      </c>
      <c r="L125" s="227"/>
      <c r="M125" s="236" t="s">
        <v>671</v>
      </c>
      <c r="N125" s="128" t="s">
        <v>242</v>
      </c>
      <c r="O125" s="128">
        <v>25920</v>
      </c>
      <c r="P125" s="128" t="s">
        <v>663</v>
      </c>
      <c r="Q125" s="240">
        <v>0.72394465847149514</v>
      </c>
      <c r="R125" s="149" t="s">
        <v>9</v>
      </c>
      <c r="T125" s="168">
        <v>2.4131488615716505</v>
      </c>
      <c r="U125" s="168">
        <v>1.4478893169429903</v>
      </c>
      <c r="V125" s="168">
        <v>1.2065744307858253</v>
      </c>
      <c r="W125" s="168">
        <v>0.96525954462866026</v>
      </c>
    </row>
    <row r="126" spans="1:23" s="129" customFormat="1" ht="14.25">
      <c r="A126" s="195" t="s">
        <v>1276</v>
      </c>
      <c r="B126" s="195" t="s">
        <v>656</v>
      </c>
      <c r="C126" s="195" t="s">
        <v>657</v>
      </c>
      <c r="D126" s="236" t="s">
        <v>657</v>
      </c>
      <c r="E126" s="128" t="s">
        <v>668</v>
      </c>
      <c r="F126" s="128"/>
      <c r="G126" s="241" t="s">
        <v>669</v>
      </c>
      <c r="H126" s="241" t="s">
        <v>2897</v>
      </c>
      <c r="I126" s="195" t="s">
        <v>2407</v>
      </c>
      <c r="J126" s="128"/>
      <c r="K126" s="236" t="s">
        <v>60</v>
      </c>
      <c r="L126" s="227"/>
      <c r="M126" s="236" t="s">
        <v>671</v>
      </c>
      <c r="N126" s="128" t="s">
        <v>242</v>
      </c>
      <c r="O126" s="128">
        <v>25920</v>
      </c>
      <c r="P126" s="128" t="s">
        <v>663</v>
      </c>
      <c r="Q126" s="240">
        <v>0.27502522550342651</v>
      </c>
      <c r="R126" s="149" t="s">
        <v>9</v>
      </c>
      <c r="T126" s="168">
        <v>0.91675075167808839</v>
      </c>
      <c r="U126" s="168">
        <v>0.55005045100685301</v>
      </c>
      <c r="V126" s="168">
        <v>0.4583753758390442</v>
      </c>
      <c r="W126" s="168">
        <v>0.36670030067123538</v>
      </c>
    </row>
    <row r="127" spans="1:23" s="129" customFormat="1" ht="14.25">
      <c r="A127" s="195" t="s">
        <v>1276</v>
      </c>
      <c r="B127" s="195" t="s">
        <v>656</v>
      </c>
      <c r="C127" s="195" t="s">
        <v>657</v>
      </c>
      <c r="D127" s="236" t="s">
        <v>657</v>
      </c>
      <c r="E127" s="128" t="s">
        <v>668</v>
      </c>
      <c r="F127" s="128"/>
      <c r="G127" s="241" t="s">
        <v>673</v>
      </c>
      <c r="H127" s="241" t="s">
        <v>2898</v>
      </c>
      <c r="I127" s="195" t="s">
        <v>674</v>
      </c>
      <c r="J127" s="128"/>
      <c r="K127" s="236" t="s">
        <v>60</v>
      </c>
      <c r="L127" s="227"/>
      <c r="M127" s="236" t="s">
        <v>671</v>
      </c>
      <c r="N127" s="128" t="s">
        <v>242</v>
      </c>
      <c r="O127" s="128">
        <v>25920</v>
      </c>
      <c r="P127" s="128" t="s">
        <v>663</v>
      </c>
      <c r="Q127" s="240">
        <v>0.27502522550342651</v>
      </c>
      <c r="R127" s="149" t="s">
        <v>9</v>
      </c>
      <c r="T127" s="168">
        <v>0.91675075167808839</v>
      </c>
      <c r="U127" s="168">
        <v>0.55005045100685301</v>
      </c>
      <c r="V127" s="168">
        <v>0.4583753758390442</v>
      </c>
      <c r="W127" s="168">
        <v>0.36670030067123538</v>
      </c>
    </row>
    <row r="128" spans="1:23" s="129" customFormat="1" ht="14.25">
      <c r="A128" s="195" t="s">
        <v>1276</v>
      </c>
      <c r="B128" s="195" t="s">
        <v>656</v>
      </c>
      <c r="C128" s="195" t="s">
        <v>657</v>
      </c>
      <c r="D128" s="236" t="s">
        <v>657</v>
      </c>
      <c r="E128" s="128" t="s">
        <v>1782</v>
      </c>
      <c r="F128" s="128"/>
      <c r="G128" s="241" t="s">
        <v>1783</v>
      </c>
      <c r="H128" s="241" t="s">
        <v>2825</v>
      </c>
      <c r="I128" s="195" t="s">
        <v>2627</v>
      </c>
      <c r="J128" s="128"/>
      <c r="K128" s="236" t="s">
        <v>60</v>
      </c>
      <c r="L128" s="227"/>
      <c r="M128" s="236" t="s">
        <v>671</v>
      </c>
      <c r="N128" s="128" t="s">
        <v>242</v>
      </c>
      <c r="O128" s="128">
        <v>25920</v>
      </c>
      <c r="P128" s="128" t="s">
        <v>663</v>
      </c>
      <c r="Q128" s="240">
        <v>0.27502522550342651</v>
      </c>
      <c r="R128" s="149" t="s">
        <v>9</v>
      </c>
      <c r="T128" s="168">
        <v>0.91675075167808839</v>
      </c>
      <c r="U128" s="168">
        <v>0.55005045100685301</v>
      </c>
      <c r="V128" s="168">
        <v>0.4583753758390442</v>
      </c>
      <c r="W128" s="168">
        <v>0.36670030067123538</v>
      </c>
    </row>
    <row r="129" spans="1:23" s="129" customFormat="1" ht="14.25">
      <c r="A129" s="195" t="s">
        <v>1276</v>
      </c>
      <c r="B129" s="195" t="s">
        <v>656</v>
      </c>
      <c r="C129" s="195" t="s">
        <v>657</v>
      </c>
      <c r="D129" s="236" t="s">
        <v>657</v>
      </c>
      <c r="E129" s="128" t="s">
        <v>668</v>
      </c>
      <c r="F129" s="128"/>
      <c r="G129" s="241" t="s">
        <v>1452</v>
      </c>
      <c r="H129" s="241" t="s">
        <v>2825</v>
      </c>
      <c r="I129" s="195" t="s">
        <v>2626</v>
      </c>
      <c r="J129" s="128"/>
      <c r="K129" s="236" t="s">
        <v>60</v>
      </c>
      <c r="L129" s="128"/>
      <c r="M129" s="236" t="s">
        <v>671</v>
      </c>
      <c r="N129" s="128" t="s">
        <v>1723</v>
      </c>
      <c r="O129" s="128">
        <v>25920</v>
      </c>
      <c r="P129" s="128" t="s">
        <v>663</v>
      </c>
      <c r="Q129" s="240">
        <v>0.26</v>
      </c>
      <c r="R129" s="149" t="s">
        <v>9</v>
      </c>
      <c r="T129" s="168">
        <v>0.8666666666666667</v>
      </c>
      <c r="U129" s="168">
        <v>0.52</v>
      </c>
      <c r="V129" s="168">
        <v>0.43333333333333335</v>
      </c>
      <c r="W129" s="168">
        <v>0.34666666666666668</v>
      </c>
    </row>
    <row r="130" spans="1:23" s="129" customFormat="1" ht="14.25">
      <c r="A130" s="195" t="s">
        <v>1276</v>
      </c>
      <c r="B130" s="195" t="s">
        <v>656</v>
      </c>
      <c r="C130" s="195" t="s">
        <v>657</v>
      </c>
      <c r="D130" s="236" t="s">
        <v>657</v>
      </c>
      <c r="E130" s="128" t="s">
        <v>668</v>
      </c>
      <c r="F130" s="128"/>
      <c r="G130" s="241" t="s">
        <v>2805</v>
      </c>
      <c r="H130" s="241" t="s">
        <v>2825</v>
      </c>
      <c r="I130" s="195" t="s">
        <v>2626</v>
      </c>
      <c r="J130" s="128"/>
      <c r="K130" s="236" t="s">
        <v>60</v>
      </c>
      <c r="L130" s="128"/>
      <c r="M130" s="236" t="s">
        <v>671</v>
      </c>
      <c r="N130" s="128" t="s">
        <v>1723</v>
      </c>
      <c r="O130" s="128">
        <v>25920</v>
      </c>
      <c r="P130" s="128" t="s">
        <v>663</v>
      </c>
      <c r="Q130" s="240">
        <v>0.26</v>
      </c>
      <c r="R130" s="149" t="s">
        <v>9</v>
      </c>
      <c r="T130" s="168">
        <v>0.8666666666666667</v>
      </c>
      <c r="U130" s="168">
        <v>0.52</v>
      </c>
      <c r="V130" s="168">
        <v>0.43333333333333335</v>
      </c>
      <c r="W130" s="168">
        <v>0.34666666666666668</v>
      </c>
    </row>
    <row r="131" spans="1:23" s="129" customFormat="1" ht="14.25">
      <c r="A131" s="195" t="s">
        <v>1276</v>
      </c>
      <c r="B131" s="195" t="s">
        <v>656</v>
      </c>
      <c r="C131" s="195" t="s">
        <v>676</v>
      </c>
      <c r="D131" s="236" t="s">
        <v>677</v>
      </c>
      <c r="E131" s="128"/>
      <c r="F131" s="128"/>
      <c r="G131" s="238" t="s">
        <v>1456</v>
      </c>
      <c r="H131" s="238" t="s">
        <v>2899</v>
      </c>
      <c r="I131" s="195" t="s">
        <v>680</v>
      </c>
      <c r="J131" s="128"/>
      <c r="K131" s="236" t="s">
        <v>60</v>
      </c>
      <c r="L131" s="227"/>
      <c r="M131" s="236" t="s">
        <v>241</v>
      </c>
      <c r="N131" s="128" t="s">
        <v>635</v>
      </c>
      <c r="O131" s="128">
        <v>1800</v>
      </c>
      <c r="P131" s="128" t="s">
        <v>630</v>
      </c>
      <c r="Q131" s="240">
        <v>1.0241142194937254</v>
      </c>
      <c r="R131" s="149" t="s">
        <v>9</v>
      </c>
      <c r="T131" s="168">
        <v>3.4137140649790849</v>
      </c>
      <c r="U131" s="168">
        <v>2.0482284389874508</v>
      </c>
      <c r="V131" s="168">
        <v>1.7068570324895425</v>
      </c>
      <c r="W131" s="168">
        <v>1.3654856259916341</v>
      </c>
    </row>
    <row r="132" spans="1:23" s="129" customFormat="1" ht="14.25">
      <c r="A132" s="195" t="s">
        <v>1276</v>
      </c>
      <c r="B132" s="195" t="s">
        <v>656</v>
      </c>
      <c r="C132" s="195" t="s">
        <v>676</v>
      </c>
      <c r="D132" s="236" t="s">
        <v>677</v>
      </c>
      <c r="E132" s="128"/>
      <c r="F132" s="128"/>
      <c r="G132" s="238" t="s">
        <v>681</v>
      </c>
      <c r="H132" s="238" t="s">
        <v>2900</v>
      </c>
      <c r="I132" s="195" t="s">
        <v>683</v>
      </c>
      <c r="J132" s="128"/>
      <c r="K132" s="236" t="s">
        <v>60</v>
      </c>
      <c r="L132" s="227"/>
      <c r="M132" s="236" t="s">
        <v>241</v>
      </c>
      <c r="N132" s="128" t="s">
        <v>635</v>
      </c>
      <c r="O132" s="128">
        <v>90000</v>
      </c>
      <c r="P132" s="128" t="s">
        <v>630</v>
      </c>
      <c r="Q132" s="240">
        <v>2.6754655407581068E-2</v>
      </c>
      <c r="R132" s="149" t="s">
        <v>9</v>
      </c>
      <c r="T132" s="168">
        <v>8.9182184691936894E-2</v>
      </c>
      <c r="U132" s="168">
        <v>5.3509310815162137E-2</v>
      </c>
      <c r="V132" s="168">
        <v>4.4591092345968447E-2</v>
      </c>
      <c r="W132" s="168">
        <v>3.5672873876774758E-2</v>
      </c>
    </row>
    <row r="133" spans="1:23" s="129" customFormat="1" ht="14.25">
      <c r="A133" s="195" t="s">
        <v>1276</v>
      </c>
      <c r="B133" s="195" t="s">
        <v>656</v>
      </c>
      <c r="C133" s="195" t="s">
        <v>907</v>
      </c>
      <c r="D133" s="236" t="s">
        <v>908</v>
      </c>
      <c r="E133" s="128" t="s">
        <v>685</v>
      </c>
      <c r="F133" s="128"/>
      <c r="G133" s="241" t="s">
        <v>909</v>
      </c>
      <c r="H133" s="241" t="s">
        <v>2901</v>
      </c>
      <c r="I133" s="195" t="s">
        <v>911</v>
      </c>
      <c r="J133" s="128"/>
      <c r="K133" s="236" t="s">
        <v>60</v>
      </c>
      <c r="L133" s="227"/>
      <c r="M133" s="236" t="s">
        <v>912</v>
      </c>
      <c r="N133" s="128" t="s">
        <v>913</v>
      </c>
      <c r="O133" s="128">
        <v>2160</v>
      </c>
      <c r="P133" s="128">
        <v>8544700000</v>
      </c>
      <c r="Q133" s="240">
        <v>1.8027074776596412</v>
      </c>
      <c r="R133" s="149" t="s">
        <v>9</v>
      </c>
      <c r="T133" s="168">
        <v>6.0090249255321373</v>
      </c>
      <c r="U133" s="168">
        <v>3.605414955319282</v>
      </c>
      <c r="V133" s="168">
        <v>3.0045124627660686</v>
      </c>
      <c r="W133" s="168">
        <v>2.4036099702128553</v>
      </c>
    </row>
    <row r="134" spans="1:23" s="129" customFormat="1" ht="14.25">
      <c r="A134" s="195" t="s">
        <v>1276</v>
      </c>
      <c r="B134" s="195" t="s">
        <v>656</v>
      </c>
      <c r="C134" s="195" t="s">
        <v>907</v>
      </c>
      <c r="D134" s="236" t="s">
        <v>908</v>
      </c>
      <c r="E134" s="128" t="s">
        <v>685</v>
      </c>
      <c r="F134" s="128"/>
      <c r="G134" s="241" t="s">
        <v>914</v>
      </c>
      <c r="H134" s="241" t="s">
        <v>2902</v>
      </c>
      <c r="I134" s="195" t="s">
        <v>916</v>
      </c>
      <c r="J134" s="128"/>
      <c r="K134" s="236" t="s">
        <v>60</v>
      </c>
      <c r="L134" s="227"/>
      <c r="M134" s="236" t="s">
        <v>912</v>
      </c>
      <c r="N134" s="128" t="s">
        <v>913</v>
      </c>
      <c r="O134" s="128">
        <v>1920</v>
      </c>
      <c r="P134" s="128">
        <v>8544700000</v>
      </c>
      <c r="Q134" s="240">
        <v>1.9853985662351299</v>
      </c>
      <c r="R134" s="149" t="s">
        <v>9</v>
      </c>
      <c r="T134" s="168">
        <v>6.6179952207837669</v>
      </c>
      <c r="U134" s="168">
        <v>3.9707971324702598</v>
      </c>
      <c r="V134" s="168">
        <v>3.3089976103918834</v>
      </c>
      <c r="W134" s="168">
        <v>2.6471980883135071</v>
      </c>
    </row>
    <row r="135" spans="1:23" s="129" customFormat="1" ht="14.25">
      <c r="A135" s="195" t="s">
        <v>1276</v>
      </c>
      <c r="B135" s="195" t="s">
        <v>656</v>
      </c>
      <c r="C135" s="195" t="s">
        <v>907</v>
      </c>
      <c r="D135" s="236" t="s">
        <v>908</v>
      </c>
      <c r="E135" s="128" t="s">
        <v>685</v>
      </c>
      <c r="F135" s="128"/>
      <c r="G135" s="241" t="s">
        <v>917</v>
      </c>
      <c r="H135" s="241" t="s">
        <v>2903</v>
      </c>
      <c r="I135" s="195" t="s">
        <v>919</v>
      </c>
      <c r="J135" s="128"/>
      <c r="K135" s="236" t="s">
        <v>60</v>
      </c>
      <c r="L135" s="227"/>
      <c r="M135" s="236" t="s">
        <v>912</v>
      </c>
      <c r="N135" s="128" t="s">
        <v>913</v>
      </c>
      <c r="O135" s="128">
        <v>1920</v>
      </c>
      <c r="P135" s="128">
        <v>8544700000</v>
      </c>
      <c r="Q135" s="240">
        <v>2.1577836284948684</v>
      </c>
      <c r="R135" s="149" t="s">
        <v>9</v>
      </c>
      <c r="T135" s="168">
        <v>7.1926120949828949</v>
      </c>
      <c r="U135" s="168">
        <v>4.3155672569897368</v>
      </c>
      <c r="V135" s="168">
        <v>3.5963060474914474</v>
      </c>
      <c r="W135" s="168">
        <v>2.8770448379931581</v>
      </c>
    </row>
    <row r="136" spans="1:23" s="129" customFormat="1" ht="14.25">
      <c r="A136" s="195" t="s">
        <v>1276</v>
      </c>
      <c r="B136" s="195" t="s">
        <v>656</v>
      </c>
      <c r="C136" s="195" t="s">
        <v>907</v>
      </c>
      <c r="D136" s="236" t="s">
        <v>908</v>
      </c>
      <c r="E136" s="128" t="s">
        <v>685</v>
      </c>
      <c r="F136" s="128"/>
      <c r="G136" s="241" t="s">
        <v>920</v>
      </c>
      <c r="H136" s="241" t="s">
        <v>2904</v>
      </c>
      <c r="I136" s="195" t="s">
        <v>922</v>
      </c>
      <c r="J136" s="128"/>
      <c r="K136" s="236" t="s">
        <v>60</v>
      </c>
      <c r="L136" s="227"/>
      <c r="M136" s="236" t="s">
        <v>912</v>
      </c>
      <c r="N136" s="128" t="s">
        <v>913</v>
      </c>
      <c r="O136" s="128">
        <v>1440</v>
      </c>
      <c r="P136" s="128">
        <v>8544700000</v>
      </c>
      <c r="Q136" s="240">
        <v>2.5191064101066174</v>
      </c>
      <c r="R136" s="149" t="s">
        <v>9</v>
      </c>
      <c r="T136" s="168">
        <v>8.3970213670220577</v>
      </c>
      <c r="U136" s="168">
        <v>5.0382128202132348</v>
      </c>
      <c r="V136" s="168">
        <v>4.1985106835110289</v>
      </c>
      <c r="W136" s="168">
        <v>3.3588085468088233</v>
      </c>
    </row>
    <row r="137" spans="1:23" s="129" customFormat="1" ht="14.25">
      <c r="A137" s="195" t="s">
        <v>1276</v>
      </c>
      <c r="B137" s="195" t="s">
        <v>656</v>
      </c>
      <c r="C137" s="195" t="s">
        <v>907</v>
      </c>
      <c r="D137" s="236" t="s">
        <v>908</v>
      </c>
      <c r="E137" s="128" t="s">
        <v>685</v>
      </c>
      <c r="F137" s="128"/>
      <c r="G137" s="241" t="s">
        <v>2427</v>
      </c>
      <c r="H137" s="241" t="s">
        <v>2825</v>
      </c>
      <c r="I137" s="195" t="s">
        <v>1598</v>
      </c>
      <c r="J137" s="128"/>
      <c r="K137" s="236" t="s">
        <v>60</v>
      </c>
      <c r="L137" s="227"/>
      <c r="M137" s="236" t="s">
        <v>912</v>
      </c>
      <c r="N137" s="128" t="s">
        <v>913</v>
      </c>
      <c r="O137" s="128">
        <v>720</v>
      </c>
      <c r="P137" s="128">
        <v>8544700000</v>
      </c>
      <c r="Q137" s="240">
        <v>3.7381421423377077</v>
      </c>
      <c r="R137" s="149" t="s">
        <v>9</v>
      </c>
      <c r="T137" s="168">
        <v>12.46047380779236</v>
      </c>
      <c r="U137" s="168">
        <v>7.4762842846754154</v>
      </c>
      <c r="V137" s="168">
        <v>6.2302369038961798</v>
      </c>
      <c r="W137" s="168">
        <v>4.9841895231169442</v>
      </c>
    </row>
    <row r="138" spans="1:23" s="129" customFormat="1" ht="14.25">
      <c r="A138" s="195" t="s">
        <v>1276</v>
      </c>
      <c r="B138" s="195" t="s">
        <v>656</v>
      </c>
      <c r="C138" s="195" t="s">
        <v>907</v>
      </c>
      <c r="D138" s="236" t="s">
        <v>908</v>
      </c>
      <c r="E138" s="128" t="s">
        <v>685</v>
      </c>
      <c r="F138" s="128"/>
      <c r="G138" s="241" t="s">
        <v>1595</v>
      </c>
      <c r="H138" s="241" t="s">
        <v>2825</v>
      </c>
      <c r="I138" s="195" t="s">
        <v>1599</v>
      </c>
      <c r="J138" s="128"/>
      <c r="K138" s="236" t="s">
        <v>60</v>
      </c>
      <c r="L138" s="227"/>
      <c r="M138" s="236" t="s">
        <v>912</v>
      </c>
      <c r="N138" s="128" t="s">
        <v>913</v>
      </c>
      <c r="O138" s="128">
        <v>480</v>
      </c>
      <c r="P138" s="128">
        <v>8544700000</v>
      </c>
      <c r="Q138" s="240">
        <v>4.8458458551927182</v>
      </c>
      <c r="R138" s="149" t="s">
        <v>9</v>
      </c>
      <c r="T138" s="168">
        <v>16.152819517309062</v>
      </c>
      <c r="U138" s="168">
        <v>9.6916917103854363</v>
      </c>
      <c r="V138" s="168">
        <v>8.0764097586545311</v>
      </c>
      <c r="W138" s="168">
        <v>6.4611278069236251</v>
      </c>
    </row>
    <row r="139" spans="1:23" s="129" customFormat="1" ht="14.25">
      <c r="A139" s="195" t="s">
        <v>1276</v>
      </c>
      <c r="B139" s="195" t="s">
        <v>656</v>
      </c>
      <c r="C139" s="195" t="s">
        <v>907</v>
      </c>
      <c r="D139" s="236" t="s">
        <v>923</v>
      </c>
      <c r="E139" s="128" t="s">
        <v>685</v>
      </c>
      <c r="F139" s="128"/>
      <c r="G139" s="241" t="s">
        <v>924</v>
      </c>
      <c r="H139" s="241" t="s">
        <v>2905</v>
      </c>
      <c r="I139" s="195" t="s">
        <v>926</v>
      </c>
      <c r="J139" s="128"/>
      <c r="K139" s="236" t="s">
        <v>60</v>
      </c>
      <c r="L139" s="227"/>
      <c r="M139" s="236" t="s">
        <v>912</v>
      </c>
      <c r="N139" s="128" t="s">
        <v>913</v>
      </c>
      <c r="O139" s="128">
        <v>2160</v>
      </c>
      <c r="P139" s="128">
        <v>8544700000</v>
      </c>
      <c r="Q139" s="240">
        <v>1.8027074776596412</v>
      </c>
      <c r="R139" s="149" t="s">
        <v>9</v>
      </c>
      <c r="T139" s="168">
        <v>6.0090249255321373</v>
      </c>
      <c r="U139" s="168">
        <v>3.605414955319282</v>
      </c>
      <c r="V139" s="168">
        <v>3.0045124627660686</v>
      </c>
      <c r="W139" s="168">
        <v>2.4036099702128553</v>
      </c>
    </row>
    <row r="140" spans="1:23" s="129" customFormat="1" ht="14.25">
      <c r="A140" s="195" t="s">
        <v>1276</v>
      </c>
      <c r="B140" s="195" t="s">
        <v>656</v>
      </c>
      <c r="C140" s="195" t="s">
        <v>907</v>
      </c>
      <c r="D140" s="236" t="s">
        <v>923</v>
      </c>
      <c r="E140" s="128" t="s">
        <v>685</v>
      </c>
      <c r="F140" s="128"/>
      <c r="G140" s="241" t="s">
        <v>927</v>
      </c>
      <c r="H140" s="241" t="s">
        <v>2906</v>
      </c>
      <c r="I140" s="195" t="s">
        <v>929</v>
      </c>
      <c r="J140" s="128"/>
      <c r="K140" s="236" t="s">
        <v>60</v>
      </c>
      <c r="L140" s="227"/>
      <c r="M140" s="236" t="s">
        <v>912</v>
      </c>
      <c r="N140" s="128" t="s">
        <v>913</v>
      </c>
      <c r="O140" s="128">
        <v>1920</v>
      </c>
      <c r="P140" s="128">
        <v>8544700000</v>
      </c>
      <c r="Q140" s="240">
        <v>1.9853985662351299</v>
      </c>
      <c r="R140" s="149" t="s">
        <v>9</v>
      </c>
      <c r="T140" s="168">
        <v>6.6179952207837669</v>
      </c>
      <c r="U140" s="168">
        <v>3.9707971324702598</v>
      </c>
      <c r="V140" s="168">
        <v>3.3089976103918834</v>
      </c>
      <c r="W140" s="168">
        <v>2.6471980883135071</v>
      </c>
    </row>
    <row r="141" spans="1:23" s="129" customFormat="1" ht="14.25">
      <c r="A141" s="195" t="s">
        <v>1276</v>
      </c>
      <c r="B141" s="195" t="s">
        <v>656</v>
      </c>
      <c r="C141" s="195" t="s">
        <v>907</v>
      </c>
      <c r="D141" s="236" t="s">
        <v>923</v>
      </c>
      <c r="E141" s="128" t="s">
        <v>685</v>
      </c>
      <c r="F141" s="128"/>
      <c r="G141" s="241" t="s">
        <v>930</v>
      </c>
      <c r="H141" s="241" t="s">
        <v>2907</v>
      </c>
      <c r="I141" s="195" t="s">
        <v>932</v>
      </c>
      <c r="J141" s="128"/>
      <c r="K141" s="236" t="s">
        <v>60</v>
      </c>
      <c r="L141" s="227"/>
      <c r="M141" s="236" t="s">
        <v>912</v>
      </c>
      <c r="N141" s="128" t="s">
        <v>913</v>
      </c>
      <c r="O141" s="128">
        <v>1920</v>
      </c>
      <c r="P141" s="128">
        <v>8544700000</v>
      </c>
      <c r="Q141" s="240">
        <v>2.1577836284948684</v>
      </c>
      <c r="R141" s="149" t="s">
        <v>9</v>
      </c>
      <c r="T141" s="168">
        <v>7.1926120949828949</v>
      </c>
      <c r="U141" s="168">
        <v>4.3155672569897368</v>
      </c>
      <c r="V141" s="168">
        <v>3.5963060474914474</v>
      </c>
      <c r="W141" s="168">
        <v>2.8770448379931581</v>
      </c>
    </row>
    <row r="142" spans="1:23" s="129" customFormat="1" ht="14.25">
      <c r="A142" s="195" t="s">
        <v>1276</v>
      </c>
      <c r="B142" s="195" t="s">
        <v>656</v>
      </c>
      <c r="C142" s="195" t="s">
        <v>907</v>
      </c>
      <c r="D142" s="236" t="s">
        <v>923</v>
      </c>
      <c r="E142" s="128" t="s">
        <v>685</v>
      </c>
      <c r="F142" s="128"/>
      <c r="G142" s="241" t="s">
        <v>933</v>
      </c>
      <c r="H142" s="241" t="s">
        <v>2908</v>
      </c>
      <c r="I142" s="195" t="s">
        <v>935</v>
      </c>
      <c r="J142" s="128"/>
      <c r="K142" s="236" t="s">
        <v>60</v>
      </c>
      <c r="L142" s="227"/>
      <c r="M142" s="236" t="s">
        <v>912</v>
      </c>
      <c r="N142" s="128" t="s">
        <v>913</v>
      </c>
      <c r="O142" s="128">
        <v>1440</v>
      </c>
      <c r="P142" s="128">
        <v>8544700000</v>
      </c>
      <c r="Q142" s="240">
        <v>2.5191064101066174</v>
      </c>
      <c r="R142" s="149" t="s">
        <v>9</v>
      </c>
      <c r="T142" s="168">
        <v>8.3970213670220577</v>
      </c>
      <c r="U142" s="168">
        <v>5.0382128202132348</v>
      </c>
      <c r="V142" s="168">
        <v>4.1985106835110289</v>
      </c>
      <c r="W142" s="168">
        <v>3.3588085468088233</v>
      </c>
    </row>
    <row r="143" spans="1:23" s="129" customFormat="1" ht="14.25">
      <c r="A143" s="195" t="s">
        <v>1276</v>
      </c>
      <c r="B143" s="195" t="s">
        <v>656</v>
      </c>
      <c r="C143" s="195" t="s">
        <v>907</v>
      </c>
      <c r="D143" s="236" t="s">
        <v>923</v>
      </c>
      <c r="E143" s="128" t="s">
        <v>685</v>
      </c>
      <c r="F143" s="128"/>
      <c r="G143" s="241" t="s">
        <v>2428</v>
      </c>
      <c r="H143" s="241" t="s">
        <v>2825</v>
      </c>
      <c r="I143" s="195" t="s">
        <v>1603</v>
      </c>
      <c r="J143" s="128"/>
      <c r="K143" s="236" t="s">
        <v>60</v>
      </c>
      <c r="L143" s="227"/>
      <c r="M143" s="236" t="s">
        <v>912</v>
      </c>
      <c r="N143" s="128" t="s">
        <v>913</v>
      </c>
      <c r="O143" s="128">
        <v>720</v>
      </c>
      <c r="P143" s="128">
        <v>8544700000</v>
      </c>
      <c r="Q143" s="240">
        <v>3.7381421423377077</v>
      </c>
      <c r="R143" s="149" t="s">
        <v>9</v>
      </c>
      <c r="T143" s="168">
        <v>12.46047380779236</v>
      </c>
      <c r="U143" s="168">
        <v>7.4762842846754154</v>
      </c>
      <c r="V143" s="168">
        <v>6.2302369038961798</v>
      </c>
      <c r="W143" s="168">
        <v>4.9841895231169442</v>
      </c>
    </row>
    <row r="144" spans="1:23" s="129" customFormat="1" ht="14.25">
      <c r="A144" s="195" t="s">
        <v>1276</v>
      </c>
      <c r="B144" s="195" t="s">
        <v>656</v>
      </c>
      <c r="C144" s="195" t="s">
        <v>907</v>
      </c>
      <c r="D144" s="236" t="s">
        <v>923</v>
      </c>
      <c r="E144" s="128" t="s">
        <v>685</v>
      </c>
      <c r="F144" s="128"/>
      <c r="G144" s="241" t="s">
        <v>1600</v>
      </c>
      <c r="H144" s="241" t="s">
        <v>2825</v>
      </c>
      <c r="I144" s="195" t="s">
        <v>1604</v>
      </c>
      <c r="J144" s="128"/>
      <c r="K144" s="236" t="s">
        <v>60</v>
      </c>
      <c r="L144" s="227"/>
      <c r="M144" s="236" t="s">
        <v>912</v>
      </c>
      <c r="N144" s="128" t="s">
        <v>913</v>
      </c>
      <c r="O144" s="128">
        <v>480</v>
      </c>
      <c r="P144" s="128">
        <v>8544700000</v>
      </c>
      <c r="Q144" s="240">
        <v>4.8458458551927182</v>
      </c>
      <c r="R144" s="149" t="s">
        <v>9</v>
      </c>
      <c r="T144" s="168">
        <v>16.152819517309062</v>
      </c>
      <c r="U144" s="168">
        <v>9.6916917103854363</v>
      </c>
      <c r="V144" s="168">
        <v>8.0764097586545311</v>
      </c>
      <c r="W144" s="168">
        <v>6.4611278069236251</v>
      </c>
    </row>
    <row r="145" spans="1:23" s="129" customFormat="1" ht="14.25">
      <c r="A145" s="195" t="s">
        <v>1276</v>
      </c>
      <c r="B145" s="195" t="s">
        <v>656</v>
      </c>
      <c r="C145" s="195" t="s">
        <v>907</v>
      </c>
      <c r="D145" s="236" t="s">
        <v>936</v>
      </c>
      <c r="E145" s="128" t="s">
        <v>685</v>
      </c>
      <c r="F145" s="128"/>
      <c r="G145" s="241" t="s">
        <v>937</v>
      </c>
      <c r="H145" s="241" t="s">
        <v>2909</v>
      </c>
      <c r="I145" s="195" t="s">
        <v>939</v>
      </c>
      <c r="J145" s="128"/>
      <c r="K145" s="236" t="s">
        <v>60</v>
      </c>
      <c r="L145" s="227"/>
      <c r="M145" s="236" t="s">
        <v>912</v>
      </c>
      <c r="N145" s="128" t="s">
        <v>913</v>
      </c>
      <c r="O145" s="128">
        <v>2160</v>
      </c>
      <c r="P145" s="128">
        <v>8544700000</v>
      </c>
      <c r="Q145" s="240">
        <v>1.8027074776596412</v>
      </c>
      <c r="R145" s="149" t="s">
        <v>9</v>
      </c>
      <c r="T145" s="168">
        <v>6.0090249255321373</v>
      </c>
      <c r="U145" s="168">
        <v>3.605414955319282</v>
      </c>
      <c r="V145" s="168">
        <v>3.0045124627660686</v>
      </c>
      <c r="W145" s="168">
        <v>2.4036099702128553</v>
      </c>
    </row>
    <row r="146" spans="1:23" s="129" customFormat="1" ht="14.25">
      <c r="A146" s="195" t="s">
        <v>1276</v>
      </c>
      <c r="B146" s="195" t="s">
        <v>656</v>
      </c>
      <c r="C146" s="195" t="s">
        <v>907</v>
      </c>
      <c r="D146" s="236" t="s">
        <v>936</v>
      </c>
      <c r="E146" s="128" t="s">
        <v>685</v>
      </c>
      <c r="F146" s="128"/>
      <c r="G146" s="241" t="s">
        <v>940</v>
      </c>
      <c r="H146" s="241" t="s">
        <v>2910</v>
      </c>
      <c r="I146" s="195" t="s">
        <v>942</v>
      </c>
      <c r="J146" s="128"/>
      <c r="K146" s="236" t="s">
        <v>60</v>
      </c>
      <c r="L146" s="227"/>
      <c r="M146" s="236" t="s">
        <v>912</v>
      </c>
      <c r="N146" s="128" t="s">
        <v>913</v>
      </c>
      <c r="O146" s="128">
        <v>1920</v>
      </c>
      <c r="P146" s="128">
        <v>8544700000</v>
      </c>
      <c r="Q146" s="240">
        <v>1.9853985662351299</v>
      </c>
      <c r="R146" s="149" t="s">
        <v>9</v>
      </c>
      <c r="T146" s="168">
        <v>6.6179952207837669</v>
      </c>
      <c r="U146" s="168">
        <v>3.9707971324702598</v>
      </c>
      <c r="V146" s="168">
        <v>3.3089976103918834</v>
      </c>
      <c r="W146" s="168">
        <v>2.6471980883135071</v>
      </c>
    </row>
    <row r="147" spans="1:23" s="129" customFormat="1" ht="14.25">
      <c r="A147" s="195" t="s">
        <v>1276</v>
      </c>
      <c r="B147" s="195" t="s">
        <v>656</v>
      </c>
      <c r="C147" s="195" t="s">
        <v>907</v>
      </c>
      <c r="D147" s="236" t="s">
        <v>936</v>
      </c>
      <c r="E147" s="128" t="s">
        <v>685</v>
      </c>
      <c r="F147" s="128"/>
      <c r="G147" s="241" t="s">
        <v>943</v>
      </c>
      <c r="H147" s="241" t="s">
        <v>2911</v>
      </c>
      <c r="I147" s="195" t="s">
        <v>945</v>
      </c>
      <c r="J147" s="128"/>
      <c r="K147" s="236" t="s">
        <v>60</v>
      </c>
      <c r="L147" s="227"/>
      <c r="M147" s="236" t="s">
        <v>912</v>
      </c>
      <c r="N147" s="128" t="s">
        <v>913</v>
      </c>
      <c r="O147" s="128">
        <v>1920</v>
      </c>
      <c r="P147" s="128">
        <v>8544700000</v>
      </c>
      <c r="Q147" s="240">
        <v>2.1577836284948684</v>
      </c>
      <c r="R147" s="149" t="s">
        <v>9</v>
      </c>
      <c r="T147" s="168">
        <v>7.1926120949828949</v>
      </c>
      <c r="U147" s="168">
        <v>4.3155672569897368</v>
      </c>
      <c r="V147" s="168">
        <v>3.5963060474914474</v>
      </c>
      <c r="W147" s="168">
        <v>2.8770448379931581</v>
      </c>
    </row>
    <row r="148" spans="1:23" s="129" customFormat="1" ht="14.25">
      <c r="A148" s="195" t="s">
        <v>1276</v>
      </c>
      <c r="B148" s="195" t="s">
        <v>656</v>
      </c>
      <c r="C148" s="195" t="s">
        <v>907</v>
      </c>
      <c r="D148" s="236" t="s">
        <v>936</v>
      </c>
      <c r="E148" s="128" t="s">
        <v>685</v>
      </c>
      <c r="F148" s="128"/>
      <c r="G148" s="241" t="s">
        <v>946</v>
      </c>
      <c r="H148" s="241" t="s">
        <v>2912</v>
      </c>
      <c r="I148" s="195" t="s">
        <v>948</v>
      </c>
      <c r="J148" s="128"/>
      <c r="K148" s="236" t="s">
        <v>60</v>
      </c>
      <c r="L148" s="227"/>
      <c r="M148" s="236" t="s">
        <v>912</v>
      </c>
      <c r="N148" s="128" t="s">
        <v>913</v>
      </c>
      <c r="O148" s="128">
        <v>1440</v>
      </c>
      <c r="P148" s="128">
        <v>8544700000</v>
      </c>
      <c r="Q148" s="240">
        <v>2.5191064101066174</v>
      </c>
      <c r="R148" s="149" t="s">
        <v>9</v>
      </c>
      <c r="T148" s="168">
        <v>8.3970213670220577</v>
      </c>
      <c r="U148" s="168">
        <v>5.0382128202132348</v>
      </c>
      <c r="V148" s="168">
        <v>4.1985106835110289</v>
      </c>
      <c r="W148" s="168">
        <v>3.3588085468088233</v>
      </c>
    </row>
    <row r="149" spans="1:23" s="129" customFormat="1" ht="14.25">
      <c r="A149" s="195" t="s">
        <v>1276</v>
      </c>
      <c r="B149" s="195" t="s">
        <v>656</v>
      </c>
      <c r="C149" s="195" t="s">
        <v>907</v>
      </c>
      <c r="D149" s="236" t="s">
        <v>936</v>
      </c>
      <c r="E149" s="128" t="s">
        <v>685</v>
      </c>
      <c r="F149" s="128"/>
      <c r="G149" s="241" t="s">
        <v>1605</v>
      </c>
      <c r="H149" s="241" t="s">
        <v>2825</v>
      </c>
      <c r="I149" s="195" t="s">
        <v>1609</v>
      </c>
      <c r="J149" s="128"/>
      <c r="K149" s="236" t="s">
        <v>60</v>
      </c>
      <c r="L149" s="227"/>
      <c r="M149" s="236" t="s">
        <v>912</v>
      </c>
      <c r="N149" s="128" t="s">
        <v>913</v>
      </c>
      <c r="O149" s="128">
        <v>720</v>
      </c>
      <c r="P149" s="128">
        <v>8544700000</v>
      </c>
      <c r="Q149" s="240">
        <v>3.7381421423377077</v>
      </c>
      <c r="R149" s="149" t="s">
        <v>9</v>
      </c>
      <c r="T149" s="168">
        <v>12.46047380779236</v>
      </c>
      <c r="U149" s="168">
        <v>7.4762842846754154</v>
      </c>
      <c r="V149" s="168">
        <v>6.2302369038961798</v>
      </c>
      <c r="W149" s="168">
        <v>4.9841895231169442</v>
      </c>
    </row>
    <row r="150" spans="1:23" s="129" customFormat="1" ht="14.25">
      <c r="A150" s="195" t="s">
        <v>1276</v>
      </c>
      <c r="B150" s="195" t="s">
        <v>656</v>
      </c>
      <c r="C150" s="195" t="s">
        <v>907</v>
      </c>
      <c r="D150" s="236" t="s">
        <v>936</v>
      </c>
      <c r="E150" s="128" t="s">
        <v>685</v>
      </c>
      <c r="F150" s="128"/>
      <c r="G150" s="241" t="s">
        <v>1606</v>
      </c>
      <c r="H150" s="241" t="s">
        <v>2825</v>
      </c>
      <c r="I150" s="195" t="s">
        <v>1610</v>
      </c>
      <c r="J150" s="128"/>
      <c r="K150" s="236" t="s">
        <v>60</v>
      </c>
      <c r="L150" s="227"/>
      <c r="M150" s="236" t="s">
        <v>912</v>
      </c>
      <c r="N150" s="128" t="s">
        <v>913</v>
      </c>
      <c r="O150" s="128">
        <v>480</v>
      </c>
      <c r="P150" s="128">
        <v>8544700000</v>
      </c>
      <c r="Q150" s="240">
        <v>4.8458458551927182</v>
      </c>
      <c r="R150" s="149" t="s">
        <v>9</v>
      </c>
      <c r="T150" s="168">
        <v>16.152819517309062</v>
      </c>
      <c r="U150" s="168">
        <v>9.6916917103854363</v>
      </c>
      <c r="V150" s="168">
        <v>8.0764097586545311</v>
      </c>
      <c r="W150" s="168">
        <v>6.4611278069236251</v>
      </c>
    </row>
    <row r="151" spans="1:23" s="129" customFormat="1" ht="14.25">
      <c r="A151" s="195" t="s">
        <v>1276</v>
      </c>
      <c r="B151" s="195" t="s">
        <v>656</v>
      </c>
      <c r="C151" s="195" t="s">
        <v>907</v>
      </c>
      <c r="D151" s="236" t="s">
        <v>908</v>
      </c>
      <c r="E151" s="128" t="s">
        <v>765</v>
      </c>
      <c r="F151" s="128"/>
      <c r="G151" s="241" t="s">
        <v>949</v>
      </c>
      <c r="H151" s="241" t="s">
        <v>2913</v>
      </c>
      <c r="I151" s="195" t="s">
        <v>951</v>
      </c>
      <c r="J151" s="128"/>
      <c r="K151" s="236" t="s">
        <v>60</v>
      </c>
      <c r="L151" s="227"/>
      <c r="M151" s="236" t="s">
        <v>912</v>
      </c>
      <c r="N151" s="128" t="s">
        <v>913</v>
      </c>
      <c r="O151" s="128">
        <v>2160</v>
      </c>
      <c r="P151" s="128">
        <v>8544700000</v>
      </c>
      <c r="Q151" s="240">
        <v>1.926609241158828</v>
      </c>
      <c r="R151" s="149" t="s">
        <v>9</v>
      </c>
      <c r="T151" s="168">
        <v>6.4220308038627607</v>
      </c>
      <c r="U151" s="168">
        <v>3.8532184823176561</v>
      </c>
      <c r="V151" s="168">
        <v>3.2110154019313804</v>
      </c>
      <c r="W151" s="168">
        <v>2.5688123215451046</v>
      </c>
    </row>
    <row r="152" spans="1:23" s="129" customFormat="1" ht="14.25">
      <c r="A152" s="195" t="s">
        <v>1276</v>
      </c>
      <c r="B152" s="195" t="s">
        <v>656</v>
      </c>
      <c r="C152" s="195" t="s">
        <v>907</v>
      </c>
      <c r="D152" s="236" t="s">
        <v>908</v>
      </c>
      <c r="E152" s="128" t="s">
        <v>765</v>
      </c>
      <c r="F152" s="128"/>
      <c r="G152" s="241" t="s">
        <v>952</v>
      </c>
      <c r="H152" s="241" t="s">
        <v>2914</v>
      </c>
      <c r="I152" s="195" t="s">
        <v>954</v>
      </c>
      <c r="J152" s="128"/>
      <c r="K152" s="236" t="s">
        <v>60</v>
      </c>
      <c r="L152" s="227"/>
      <c r="M152" s="236" t="s">
        <v>912</v>
      </c>
      <c r="N152" s="128" t="s">
        <v>913</v>
      </c>
      <c r="O152" s="128">
        <v>1920</v>
      </c>
      <c r="P152" s="128">
        <v>8544700000</v>
      </c>
      <c r="Q152" s="240">
        <v>2.2206323491103976</v>
      </c>
      <c r="R152" s="149" t="s">
        <v>9</v>
      </c>
      <c r="T152" s="168">
        <v>7.4021078303679921</v>
      </c>
      <c r="U152" s="168">
        <v>4.4412646982207953</v>
      </c>
      <c r="V152" s="168">
        <v>3.7010539151839961</v>
      </c>
      <c r="W152" s="168">
        <v>2.9608431321471969</v>
      </c>
    </row>
    <row r="153" spans="1:23" s="129" customFormat="1" ht="14.25">
      <c r="A153" s="195" t="s">
        <v>1276</v>
      </c>
      <c r="B153" s="195" t="s">
        <v>656</v>
      </c>
      <c r="C153" s="195" t="s">
        <v>907</v>
      </c>
      <c r="D153" s="236" t="s">
        <v>908</v>
      </c>
      <c r="E153" s="128" t="s">
        <v>765</v>
      </c>
      <c r="F153" s="128"/>
      <c r="G153" s="241" t="s">
        <v>955</v>
      </c>
      <c r="H153" s="241" t="s">
        <v>2915</v>
      </c>
      <c r="I153" s="195" t="s">
        <v>957</v>
      </c>
      <c r="J153" s="128"/>
      <c r="K153" s="236" t="s">
        <v>60</v>
      </c>
      <c r="L153" s="227"/>
      <c r="M153" s="236" t="s">
        <v>912</v>
      </c>
      <c r="N153" s="128" t="s">
        <v>913</v>
      </c>
      <c r="O153" s="128">
        <v>1920</v>
      </c>
      <c r="P153" s="128">
        <v>8544700000</v>
      </c>
      <c r="Q153" s="240">
        <v>2.5169191748693232</v>
      </c>
      <c r="R153" s="149" t="s">
        <v>9</v>
      </c>
      <c r="T153" s="168">
        <v>8.3897305828977444</v>
      </c>
      <c r="U153" s="168">
        <v>5.0338383497386463</v>
      </c>
      <c r="V153" s="168">
        <v>4.1948652914488722</v>
      </c>
      <c r="W153" s="168">
        <v>3.3558922331590981</v>
      </c>
    </row>
    <row r="154" spans="1:23" s="129" customFormat="1" ht="14.25">
      <c r="A154" s="195" t="s">
        <v>1276</v>
      </c>
      <c r="B154" s="195" t="s">
        <v>656</v>
      </c>
      <c r="C154" s="195" t="s">
        <v>907</v>
      </c>
      <c r="D154" s="236" t="s">
        <v>908</v>
      </c>
      <c r="E154" s="128" t="s">
        <v>765</v>
      </c>
      <c r="F154" s="128"/>
      <c r="G154" s="241" t="s">
        <v>958</v>
      </c>
      <c r="H154" s="241" t="s">
        <v>2916</v>
      </c>
      <c r="I154" s="195" t="s">
        <v>960</v>
      </c>
      <c r="J154" s="128"/>
      <c r="K154" s="236" t="s">
        <v>60</v>
      </c>
      <c r="L154" s="227"/>
      <c r="M154" s="236" t="s">
        <v>912</v>
      </c>
      <c r="N154" s="128" t="s">
        <v>913</v>
      </c>
      <c r="O154" s="128">
        <v>1440</v>
      </c>
      <c r="P154" s="128">
        <v>8544700000</v>
      </c>
      <c r="Q154" s="240">
        <v>3.1260454834794467</v>
      </c>
      <c r="R154" s="149" t="s">
        <v>9</v>
      </c>
      <c r="T154" s="168">
        <v>10.420151611598156</v>
      </c>
      <c r="U154" s="168">
        <v>6.2520909669588933</v>
      </c>
      <c r="V154" s="168">
        <v>5.2100758057990779</v>
      </c>
      <c r="W154" s="168">
        <v>4.1680606446392625</v>
      </c>
    </row>
    <row r="155" spans="1:23" s="129" customFormat="1" ht="14.25">
      <c r="A155" s="195" t="s">
        <v>1276</v>
      </c>
      <c r="B155" s="195" t="s">
        <v>656</v>
      </c>
      <c r="C155" s="195" t="s">
        <v>907</v>
      </c>
      <c r="D155" s="236" t="s">
        <v>908</v>
      </c>
      <c r="E155" s="128" t="s">
        <v>765</v>
      </c>
      <c r="F155" s="128"/>
      <c r="G155" s="241" t="s">
        <v>1611</v>
      </c>
      <c r="H155" s="241" t="s">
        <v>2825</v>
      </c>
      <c r="I155" s="195" t="s">
        <v>1615</v>
      </c>
      <c r="J155" s="128"/>
      <c r="K155" s="236" t="s">
        <v>60</v>
      </c>
      <c r="L155" s="227"/>
      <c r="M155" s="236" t="s">
        <v>912</v>
      </c>
      <c r="N155" s="128" t="s">
        <v>913</v>
      </c>
      <c r="O155" s="128">
        <v>720</v>
      </c>
      <c r="P155" s="128">
        <v>8544700000</v>
      </c>
      <c r="Q155" s="240">
        <v>4.7796352268236273</v>
      </c>
      <c r="R155" s="149" t="s">
        <v>9</v>
      </c>
      <c r="T155" s="168">
        <v>15.932117422745424</v>
      </c>
      <c r="U155" s="168">
        <v>9.5592704536472546</v>
      </c>
      <c r="V155" s="168">
        <v>7.9660587113727122</v>
      </c>
      <c r="W155" s="168">
        <v>6.3728469690981697</v>
      </c>
    </row>
    <row r="156" spans="1:23" s="129" customFormat="1" ht="14.25">
      <c r="A156" s="195" t="s">
        <v>1276</v>
      </c>
      <c r="B156" s="195" t="s">
        <v>656</v>
      </c>
      <c r="C156" s="195" t="s">
        <v>907</v>
      </c>
      <c r="D156" s="236" t="s">
        <v>908</v>
      </c>
      <c r="E156" s="128" t="s">
        <v>765</v>
      </c>
      <c r="F156" s="128"/>
      <c r="G156" s="241" t="s">
        <v>1612</v>
      </c>
      <c r="H156" s="241" t="s">
        <v>2825</v>
      </c>
      <c r="I156" s="195" t="s">
        <v>1616</v>
      </c>
      <c r="J156" s="128"/>
      <c r="K156" s="236" t="s">
        <v>60</v>
      </c>
      <c r="L156" s="227"/>
      <c r="M156" s="236" t="s">
        <v>912</v>
      </c>
      <c r="N156" s="128" t="s">
        <v>913</v>
      </c>
      <c r="O156" s="128">
        <v>480</v>
      </c>
      <c r="P156" s="128">
        <v>8544700000</v>
      </c>
      <c r="Q156" s="240">
        <v>6.4080854819215958</v>
      </c>
      <c r="R156" s="149" t="s">
        <v>9</v>
      </c>
      <c r="T156" s="168">
        <v>21.360284939738655</v>
      </c>
      <c r="U156" s="168">
        <v>12.816170963843193</v>
      </c>
      <c r="V156" s="168">
        <v>10.680142469869327</v>
      </c>
      <c r="W156" s="168">
        <v>8.5441139758954616</v>
      </c>
    </row>
    <row r="157" spans="1:23" s="129" customFormat="1" ht="14.25">
      <c r="A157" s="195" t="s">
        <v>1276</v>
      </c>
      <c r="B157" s="195" t="s">
        <v>656</v>
      </c>
      <c r="C157" s="195" t="s">
        <v>907</v>
      </c>
      <c r="D157" s="236" t="s">
        <v>923</v>
      </c>
      <c r="E157" s="128" t="s">
        <v>765</v>
      </c>
      <c r="F157" s="128"/>
      <c r="G157" s="241" t="s">
        <v>961</v>
      </c>
      <c r="H157" s="241" t="s">
        <v>2917</v>
      </c>
      <c r="I157" s="195" t="s">
        <v>963</v>
      </c>
      <c r="J157" s="128"/>
      <c r="K157" s="236" t="s">
        <v>60</v>
      </c>
      <c r="L157" s="227"/>
      <c r="M157" s="236" t="s">
        <v>912</v>
      </c>
      <c r="N157" s="128" t="s">
        <v>913</v>
      </c>
      <c r="O157" s="128">
        <v>2160</v>
      </c>
      <c r="P157" s="128">
        <v>8544700000</v>
      </c>
      <c r="Q157" s="240">
        <v>1.926609241158828</v>
      </c>
      <c r="R157" s="149" t="s">
        <v>9</v>
      </c>
      <c r="T157" s="168">
        <v>6.4220308038627607</v>
      </c>
      <c r="U157" s="168">
        <v>3.8532184823176561</v>
      </c>
      <c r="V157" s="168">
        <v>3.2110154019313804</v>
      </c>
      <c r="W157" s="168">
        <v>2.5688123215451046</v>
      </c>
    </row>
    <row r="158" spans="1:23" s="129" customFormat="1" ht="14.25">
      <c r="A158" s="195" t="s">
        <v>1276</v>
      </c>
      <c r="B158" s="195" t="s">
        <v>656</v>
      </c>
      <c r="C158" s="195" t="s">
        <v>907</v>
      </c>
      <c r="D158" s="236" t="s">
        <v>923</v>
      </c>
      <c r="E158" s="128" t="s">
        <v>765</v>
      </c>
      <c r="F158" s="128"/>
      <c r="G158" s="241" t="s">
        <v>964</v>
      </c>
      <c r="H158" s="241" t="s">
        <v>2918</v>
      </c>
      <c r="I158" s="195" t="s">
        <v>966</v>
      </c>
      <c r="J158" s="128"/>
      <c r="K158" s="236" t="s">
        <v>60</v>
      </c>
      <c r="L158" s="227"/>
      <c r="M158" s="236" t="s">
        <v>912</v>
      </c>
      <c r="N158" s="128" t="s">
        <v>913</v>
      </c>
      <c r="O158" s="128">
        <v>1920</v>
      </c>
      <c r="P158" s="128">
        <v>8544700000</v>
      </c>
      <c r="Q158" s="240">
        <v>2.2206323491103976</v>
      </c>
      <c r="R158" s="149" t="s">
        <v>9</v>
      </c>
      <c r="T158" s="168">
        <v>7.4021078303679921</v>
      </c>
      <c r="U158" s="168">
        <v>4.4412646982207953</v>
      </c>
      <c r="V158" s="168">
        <v>3.7010539151839961</v>
      </c>
      <c r="W158" s="168">
        <v>2.9608431321471969</v>
      </c>
    </row>
    <row r="159" spans="1:23" s="129" customFormat="1" ht="14.25">
      <c r="A159" s="195" t="s">
        <v>1276</v>
      </c>
      <c r="B159" s="195" t="s">
        <v>656</v>
      </c>
      <c r="C159" s="195" t="s">
        <v>907</v>
      </c>
      <c r="D159" s="236" t="s">
        <v>923</v>
      </c>
      <c r="E159" s="128" t="s">
        <v>765</v>
      </c>
      <c r="F159" s="128"/>
      <c r="G159" s="241" t="s">
        <v>967</v>
      </c>
      <c r="H159" s="241" t="s">
        <v>2919</v>
      </c>
      <c r="I159" s="195" t="s">
        <v>969</v>
      </c>
      <c r="J159" s="128"/>
      <c r="K159" s="236" t="s">
        <v>60</v>
      </c>
      <c r="L159" s="227"/>
      <c r="M159" s="236" t="s">
        <v>912</v>
      </c>
      <c r="N159" s="128" t="s">
        <v>913</v>
      </c>
      <c r="O159" s="128">
        <v>1920</v>
      </c>
      <c r="P159" s="128">
        <v>8544700000</v>
      </c>
      <c r="Q159" s="240">
        <v>2.5169191748693232</v>
      </c>
      <c r="R159" s="149" t="s">
        <v>9</v>
      </c>
      <c r="T159" s="168">
        <v>8.3897305828977444</v>
      </c>
      <c r="U159" s="168">
        <v>5.0338383497386463</v>
      </c>
      <c r="V159" s="168">
        <v>4.1948652914488722</v>
      </c>
      <c r="W159" s="168">
        <v>3.3558922331590981</v>
      </c>
    </row>
    <row r="160" spans="1:23" s="129" customFormat="1" ht="14.25">
      <c r="A160" s="195" t="s">
        <v>1276</v>
      </c>
      <c r="B160" s="195" t="s">
        <v>656</v>
      </c>
      <c r="C160" s="195" t="s">
        <v>907</v>
      </c>
      <c r="D160" s="236" t="s">
        <v>923</v>
      </c>
      <c r="E160" s="128" t="s">
        <v>765</v>
      </c>
      <c r="F160" s="128"/>
      <c r="G160" s="241" t="s">
        <v>970</v>
      </c>
      <c r="H160" s="241" t="s">
        <v>2920</v>
      </c>
      <c r="I160" s="195" t="s">
        <v>972</v>
      </c>
      <c r="J160" s="128"/>
      <c r="K160" s="236" t="s">
        <v>60</v>
      </c>
      <c r="L160" s="227"/>
      <c r="M160" s="236" t="s">
        <v>912</v>
      </c>
      <c r="N160" s="128" t="s">
        <v>913</v>
      </c>
      <c r="O160" s="128">
        <v>1440</v>
      </c>
      <c r="P160" s="128">
        <v>8544700000</v>
      </c>
      <c r="Q160" s="240">
        <v>3.1260454834794467</v>
      </c>
      <c r="R160" s="149" t="s">
        <v>9</v>
      </c>
      <c r="T160" s="168">
        <v>10.420151611598156</v>
      </c>
      <c r="U160" s="168">
        <v>6.2520909669588933</v>
      </c>
      <c r="V160" s="168">
        <v>5.2100758057990779</v>
      </c>
      <c r="W160" s="168">
        <v>4.1680606446392625</v>
      </c>
    </row>
    <row r="161" spans="1:23" s="129" customFormat="1" ht="14.25">
      <c r="A161" s="195" t="s">
        <v>1276</v>
      </c>
      <c r="B161" s="195" t="s">
        <v>656</v>
      </c>
      <c r="C161" s="195" t="s">
        <v>907</v>
      </c>
      <c r="D161" s="236" t="s">
        <v>923</v>
      </c>
      <c r="E161" s="128" t="s">
        <v>765</v>
      </c>
      <c r="F161" s="128"/>
      <c r="G161" s="241" t="s">
        <v>1617</v>
      </c>
      <c r="H161" s="241" t="s">
        <v>2825</v>
      </c>
      <c r="I161" s="195" t="s">
        <v>1621</v>
      </c>
      <c r="J161" s="128"/>
      <c r="K161" s="236" t="s">
        <v>60</v>
      </c>
      <c r="L161" s="227"/>
      <c r="M161" s="236" t="s">
        <v>912</v>
      </c>
      <c r="N161" s="128" t="s">
        <v>913</v>
      </c>
      <c r="O161" s="128">
        <v>720</v>
      </c>
      <c r="P161" s="128">
        <v>8544700000</v>
      </c>
      <c r="Q161" s="240">
        <v>4.7796352268236273</v>
      </c>
      <c r="R161" s="149" t="s">
        <v>9</v>
      </c>
      <c r="T161" s="168">
        <v>15.932117422745424</v>
      </c>
      <c r="U161" s="168">
        <v>9.5592704536472546</v>
      </c>
      <c r="V161" s="168">
        <v>7.9660587113727122</v>
      </c>
      <c r="W161" s="168">
        <v>6.3728469690981697</v>
      </c>
    </row>
    <row r="162" spans="1:23" s="129" customFormat="1" ht="14.25">
      <c r="A162" s="195" t="s">
        <v>1276</v>
      </c>
      <c r="B162" s="195" t="s">
        <v>656</v>
      </c>
      <c r="C162" s="195" t="s">
        <v>907</v>
      </c>
      <c r="D162" s="236" t="s">
        <v>923</v>
      </c>
      <c r="E162" s="128" t="s">
        <v>765</v>
      </c>
      <c r="F162" s="128"/>
      <c r="G162" s="241" t="s">
        <v>1618</v>
      </c>
      <c r="H162" s="241" t="s">
        <v>2825</v>
      </c>
      <c r="I162" s="195" t="s">
        <v>1622</v>
      </c>
      <c r="J162" s="128"/>
      <c r="K162" s="236" t="s">
        <v>60</v>
      </c>
      <c r="L162" s="227"/>
      <c r="M162" s="236" t="s">
        <v>912</v>
      </c>
      <c r="N162" s="128" t="s">
        <v>913</v>
      </c>
      <c r="O162" s="128">
        <v>480</v>
      </c>
      <c r="P162" s="128">
        <v>8544700000</v>
      </c>
      <c r="Q162" s="240">
        <v>6.4080854819215958</v>
      </c>
      <c r="R162" s="149" t="s">
        <v>9</v>
      </c>
      <c r="T162" s="168">
        <v>21.360284939738655</v>
      </c>
      <c r="U162" s="168">
        <v>12.816170963843193</v>
      </c>
      <c r="V162" s="168">
        <v>10.680142469869327</v>
      </c>
      <c r="W162" s="168">
        <v>8.5441139758954616</v>
      </c>
    </row>
    <row r="163" spans="1:23" s="129" customFormat="1" ht="14.25">
      <c r="A163" s="195" t="s">
        <v>1276</v>
      </c>
      <c r="B163" s="195" t="s">
        <v>656</v>
      </c>
      <c r="C163" s="195" t="s">
        <v>907</v>
      </c>
      <c r="D163" s="236" t="s">
        <v>936</v>
      </c>
      <c r="E163" s="128" t="s">
        <v>765</v>
      </c>
      <c r="F163" s="128"/>
      <c r="G163" s="241" t="s">
        <v>973</v>
      </c>
      <c r="H163" s="241" t="s">
        <v>2921</v>
      </c>
      <c r="I163" s="195" t="s">
        <v>974</v>
      </c>
      <c r="J163" s="128"/>
      <c r="K163" s="236" t="s">
        <v>60</v>
      </c>
      <c r="L163" s="227"/>
      <c r="M163" s="236" t="s">
        <v>912</v>
      </c>
      <c r="N163" s="128" t="s">
        <v>913</v>
      </c>
      <c r="O163" s="128">
        <v>2160</v>
      </c>
      <c r="P163" s="128">
        <v>8544700000</v>
      </c>
      <c r="Q163" s="240">
        <v>1.926609241158828</v>
      </c>
      <c r="R163" s="149" t="s">
        <v>9</v>
      </c>
      <c r="T163" s="168">
        <v>6.4220308038627607</v>
      </c>
      <c r="U163" s="168">
        <v>3.8532184823176561</v>
      </c>
      <c r="V163" s="168">
        <v>3.2110154019313804</v>
      </c>
      <c r="W163" s="168">
        <v>2.5688123215451046</v>
      </c>
    </row>
    <row r="164" spans="1:23" s="129" customFormat="1" ht="14.25">
      <c r="A164" s="195" t="s">
        <v>1276</v>
      </c>
      <c r="B164" s="195" t="s">
        <v>656</v>
      </c>
      <c r="C164" s="195" t="s">
        <v>907</v>
      </c>
      <c r="D164" s="236" t="s">
        <v>936</v>
      </c>
      <c r="E164" s="128" t="s">
        <v>765</v>
      </c>
      <c r="F164" s="128"/>
      <c r="G164" s="241" t="s">
        <v>975</v>
      </c>
      <c r="H164" s="241" t="s">
        <v>2922</v>
      </c>
      <c r="I164" s="195" t="s">
        <v>977</v>
      </c>
      <c r="J164" s="128"/>
      <c r="K164" s="236" t="s">
        <v>60</v>
      </c>
      <c r="L164" s="227"/>
      <c r="M164" s="236" t="s">
        <v>912</v>
      </c>
      <c r="N164" s="128" t="s">
        <v>913</v>
      </c>
      <c r="O164" s="128">
        <v>1920</v>
      </c>
      <c r="P164" s="128">
        <v>8544700000</v>
      </c>
      <c r="Q164" s="240">
        <v>2.2206323491103976</v>
      </c>
      <c r="R164" s="149" t="s">
        <v>9</v>
      </c>
      <c r="T164" s="168">
        <v>7.4021078303679921</v>
      </c>
      <c r="U164" s="168">
        <v>4.4412646982207953</v>
      </c>
      <c r="V164" s="168">
        <v>3.7010539151839961</v>
      </c>
      <c r="W164" s="168">
        <v>2.9608431321471969</v>
      </c>
    </row>
    <row r="165" spans="1:23" s="129" customFormat="1" ht="14.25">
      <c r="A165" s="195" t="s">
        <v>1276</v>
      </c>
      <c r="B165" s="195" t="s">
        <v>656</v>
      </c>
      <c r="C165" s="195" t="s">
        <v>907</v>
      </c>
      <c r="D165" s="236" t="s">
        <v>936</v>
      </c>
      <c r="E165" s="128" t="s">
        <v>765</v>
      </c>
      <c r="F165" s="128"/>
      <c r="G165" s="241" t="s">
        <v>978</v>
      </c>
      <c r="H165" s="241" t="s">
        <v>2923</v>
      </c>
      <c r="I165" s="195" t="s">
        <v>980</v>
      </c>
      <c r="J165" s="128"/>
      <c r="K165" s="236" t="s">
        <v>60</v>
      </c>
      <c r="L165" s="227"/>
      <c r="M165" s="236" t="s">
        <v>912</v>
      </c>
      <c r="N165" s="128" t="s">
        <v>913</v>
      </c>
      <c r="O165" s="128">
        <v>1920</v>
      </c>
      <c r="P165" s="128">
        <v>8544700000</v>
      </c>
      <c r="Q165" s="240">
        <v>2.5169191748693232</v>
      </c>
      <c r="R165" s="149" t="s">
        <v>9</v>
      </c>
      <c r="T165" s="168">
        <v>8.3897305828977444</v>
      </c>
      <c r="U165" s="168">
        <v>5.0338383497386463</v>
      </c>
      <c r="V165" s="168">
        <v>4.1948652914488722</v>
      </c>
      <c r="W165" s="168">
        <v>3.3558922331590981</v>
      </c>
    </row>
    <row r="166" spans="1:23" s="129" customFormat="1" ht="14.25">
      <c r="A166" s="195" t="s">
        <v>1276</v>
      </c>
      <c r="B166" s="195" t="s">
        <v>656</v>
      </c>
      <c r="C166" s="195" t="s">
        <v>907</v>
      </c>
      <c r="D166" s="236" t="s">
        <v>936</v>
      </c>
      <c r="E166" s="128" t="s">
        <v>765</v>
      </c>
      <c r="F166" s="128"/>
      <c r="G166" s="241" t="s">
        <v>981</v>
      </c>
      <c r="H166" s="241" t="s">
        <v>2924</v>
      </c>
      <c r="I166" s="195" t="s">
        <v>983</v>
      </c>
      <c r="J166" s="128"/>
      <c r="K166" s="236" t="s">
        <v>60</v>
      </c>
      <c r="L166" s="227"/>
      <c r="M166" s="236" t="s">
        <v>912</v>
      </c>
      <c r="N166" s="128" t="s">
        <v>913</v>
      </c>
      <c r="O166" s="128">
        <v>1440</v>
      </c>
      <c r="P166" s="128">
        <v>8544700000</v>
      </c>
      <c r="Q166" s="240">
        <v>3.1260454834794467</v>
      </c>
      <c r="R166" s="149" t="s">
        <v>9</v>
      </c>
      <c r="T166" s="168">
        <v>10.420151611598156</v>
      </c>
      <c r="U166" s="168">
        <v>6.2520909669588933</v>
      </c>
      <c r="V166" s="168">
        <v>5.2100758057990779</v>
      </c>
      <c r="W166" s="168">
        <v>4.1680606446392625</v>
      </c>
    </row>
    <row r="167" spans="1:23" s="129" customFormat="1" ht="14.25">
      <c r="A167" s="195" t="s">
        <v>1276</v>
      </c>
      <c r="B167" s="195" t="s">
        <v>656</v>
      </c>
      <c r="C167" s="195" t="s">
        <v>907</v>
      </c>
      <c r="D167" s="236" t="s">
        <v>936</v>
      </c>
      <c r="E167" s="128" t="s">
        <v>765</v>
      </c>
      <c r="F167" s="128"/>
      <c r="G167" s="241" t="s">
        <v>1474</v>
      </c>
      <c r="H167" s="241" t="s">
        <v>2825</v>
      </c>
      <c r="I167" s="195" t="s">
        <v>1476</v>
      </c>
      <c r="J167" s="128"/>
      <c r="K167" s="236" t="s">
        <v>60</v>
      </c>
      <c r="L167" s="227"/>
      <c r="M167" s="236" t="s">
        <v>912</v>
      </c>
      <c r="N167" s="128" t="s">
        <v>913</v>
      </c>
      <c r="O167" s="128">
        <v>720</v>
      </c>
      <c r="P167" s="128">
        <v>8544700000</v>
      </c>
      <c r="Q167" s="240">
        <v>4.7796352268236273</v>
      </c>
      <c r="R167" s="149" t="s">
        <v>9</v>
      </c>
      <c r="T167" s="168">
        <v>15.932117422745424</v>
      </c>
      <c r="U167" s="168">
        <v>9.5592704536472546</v>
      </c>
      <c r="V167" s="168">
        <v>7.9660587113727122</v>
      </c>
      <c r="W167" s="168">
        <v>6.3728469690981697</v>
      </c>
    </row>
    <row r="168" spans="1:23" s="129" customFormat="1" ht="14.25">
      <c r="A168" s="195" t="s">
        <v>1276</v>
      </c>
      <c r="B168" s="195" t="s">
        <v>656</v>
      </c>
      <c r="C168" s="195" t="s">
        <v>907</v>
      </c>
      <c r="D168" s="236" t="s">
        <v>936</v>
      </c>
      <c r="E168" s="128" t="s">
        <v>765</v>
      </c>
      <c r="F168" s="128"/>
      <c r="G168" s="241" t="s">
        <v>1623</v>
      </c>
      <c r="H168" s="241" t="s">
        <v>2825</v>
      </c>
      <c r="I168" s="195" t="s">
        <v>1625</v>
      </c>
      <c r="J168" s="128"/>
      <c r="K168" s="236" t="s">
        <v>60</v>
      </c>
      <c r="L168" s="227"/>
      <c r="M168" s="236" t="s">
        <v>912</v>
      </c>
      <c r="N168" s="128" t="s">
        <v>913</v>
      </c>
      <c r="O168" s="128">
        <v>480</v>
      </c>
      <c r="P168" s="128">
        <v>8544700000</v>
      </c>
      <c r="Q168" s="240">
        <v>6.4080854819215958</v>
      </c>
      <c r="R168" s="149" t="s">
        <v>9</v>
      </c>
      <c r="T168" s="168">
        <v>21.360284939738655</v>
      </c>
      <c r="U168" s="168">
        <v>12.816170963843193</v>
      </c>
      <c r="V168" s="168">
        <v>10.680142469869327</v>
      </c>
      <c r="W168" s="168">
        <v>8.5441139758954616</v>
      </c>
    </row>
    <row r="169" spans="1:23" s="129" customFormat="1" ht="14.25">
      <c r="A169" s="195" t="s">
        <v>1276</v>
      </c>
      <c r="B169" s="195" t="s">
        <v>656</v>
      </c>
      <c r="C169" s="195" t="s">
        <v>907</v>
      </c>
      <c r="D169" s="236" t="s">
        <v>908</v>
      </c>
      <c r="E169" s="128" t="s">
        <v>820</v>
      </c>
      <c r="F169" s="128"/>
      <c r="G169" s="241" t="s">
        <v>984</v>
      </c>
      <c r="H169" s="241" t="s">
        <v>2925</v>
      </c>
      <c r="I169" s="195" t="s">
        <v>986</v>
      </c>
      <c r="J169" s="128"/>
      <c r="K169" s="236" t="s">
        <v>60</v>
      </c>
      <c r="L169" s="227"/>
      <c r="M169" s="236" t="s">
        <v>912</v>
      </c>
      <c r="N169" s="128" t="s">
        <v>913</v>
      </c>
      <c r="O169" s="128">
        <v>2160</v>
      </c>
      <c r="P169" s="128">
        <v>8544700000</v>
      </c>
      <c r="Q169" s="240">
        <v>1.9643184735281463</v>
      </c>
      <c r="R169" s="149" t="s">
        <v>9</v>
      </c>
      <c r="T169" s="168">
        <v>6.547728245093821</v>
      </c>
      <c r="U169" s="168">
        <v>3.9286369470562925</v>
      </c>
      <c r="V169" s="168">
        <v>3.2738641225469105</v>
      </c>
      <c r="W169" s="168">
        <v>2.6190912980375285</v>
      </c>
    </row>
    <row r="170" spans="1:23" s="129" customFormat="1" ht="14.25">
      <c r="A170" s="195" t="s">
        <v>1276</v>
      </c>
      <c r="B170" s="195" t="s">
        <v>656</v>
      </c>
      <c r="C170" s="195" t="s">
        <v>907</v>
      </c>
      <c r="D170" s="236" t="s">
        <v>908</v>
      </c>
      <c r="E170" s="128" t="s">
        <v>820</v>
      </c>
      <c r="F170" s="128"/>
      <c r="G170" s="241" t="s">
        <v>987</v>
      </c>
      <c r="H170" s="241" t="s">
        <v>2926</v>
      </c>
      <c r="I170" s="195" t="s">
        <v>989</v>
      </c>
      <c r="J170" s="128"/>
      <c r="K170" s="236" t="s">
        <v>60</v>
      </c>
      <c r="L170" s="227"/>
      <c r="M170" s="236" t="s">
        <v>912</v>
      </c>
      <c r="N170" s="128" t="s">
        <v>913</v>
      </c>
      <c r="O170" s="128">
        <v>1920</v>
      </c>
      <c r="P170" s="128">
        <v>8544700000</v>
      </c>
      <c r="Q170" s="240">
        <v>2.4810056202318775</v>
      </c>
      <c r="R170" s="149" t="s">
        <v>9</v>
      </c>
      <c r="T170" s="168">
        <v>8.2700187341062588</v>
      </c>
      <c r="U170" s="168">
        <v>4.9620112404637551</v>
      </c>
      <c r="V170" s="168">
        <v>4.1350093670531294</v>
      </c>
      <c r="W170" s="168">
        <v>3.3080074936425037</v>
      </c>
    </row>
    <row r="171" spans="1:23" s="129" customFormat="1" ht="14.25">
      <c r="A171" s="195" t="s">
        <v>1276</v>
      </c>
      <c r="B171" s="195" t="s">
        <v>656</v>
      </c>
      <c r="C171" s="195" t="s">
        <v>907</v>
      </c>
      <c r="D171" s="236" t="s">
        <v>908</v>
      </c>
      <c r="E171" s="128" t="s">
        <v>820</v>
      </c>
      <c r="F171" s="128"/>
      <c r="G171" s="241" t="s">
        <v>990</v>
      </c>
      <c r="H171" s="241" t="s">
        <v>2927</v>
      </c>
      <c r="I171" s="195" t="s">
        <v>992</v>
      </c>
      <c r="J171" s="128"/>
      <c r="K171" s="236" t="s">
        <v>60</v>
      </c>
      <c r="L171" s="227"/>
      <c r="M171" s="236" t="s">
        <v>912</v>
      </c>
      <c r="N171" s="128" t="s">
        <v>913</v>
      </c>
      <c r="O171" s="128">
        <v>1920</v>
      </c>
      <c r="P171" s="128">
        <v>8544700000</v>
      </c>
      <c r="Q171" s="240">
        <v>2.9891824183517315</v>
      </c>
      <c r="R171" s="149" t="s">
        <v>9</v>
      </c>
      <c r="T171" s="168">
        <v>9.9639413945057722</v>
      </c>
      <c r="U171" s="168">
        <v>5.978364836703463</v>
      </c>
      <c r="V171" s="168">
        <v>4.9819706972528861</v>
      </c>
      <c r="W171" s="168">
        <v>3.9855765578023092</v>
      </c>
    </row>
    <row r="172" spans="1:23" s="129" customFormat="1" ht="14.25">
      <c r="A172" s="195" t="s">
        <v>1276</v>
      </c>
      <c r="B172" s="195" t="s">
        <v>656</v>
      </c>
      <c r="C172" s="195" t="s">
        <v>907</v>
      </c>
      <c r="D172" s="236" t="s">
        <v>908</v>
      </c>
      <c r="E172" s="128" t="s">
        <v>820</v>
      </c>
      <c r="F172" s="128"/>
      <c r="G172" s="241" t="s">
        <v>993</v>
      </c>
      <c r="H172" s="241" t="s">
        <v>2928</v>
      </c>
      <c r="I172" s="195" t="s">
        <v>995</v>
      </c>
      <c r="J172" s="128"/>
      <c r="K172" s="236" t="s">
        <v>60</v>
      </c>
      <c r="L172" s="227"/>
      <c r="M172" s="236" t="s">
        <v>912</v>
      </c>
      <c r="N172" s="128" t="s">
        <v>913</v>
      </c>
      <c r="O172" s="128">
        <v>1440</v>
      </c>
      <c r="P172" s="128">
        <v>8544700000</v>
      </c>
      <c r="Q172" s="240">
        <v>4.029271382611201</v>
      </c>
      <c r="R172" s="149" t="s">
        <v>9</v>
      </c>
      <c r="T172" s="168">
        <v>13.430904608704004</v>
      </c>
      <c r="U172" s="168">
        <v>8.058542765222402</v>
      </c>
      <c r="V172" s="168">
        <v>6.7154523043520022</v>
      </c>
      <c r="W172" s="168">
        <v>5.3723618434816025</v>
      </c>
    </row>
    <row r="173" spans="1:23" s="129" customFormat="1" ht="14.25">
      <c r="A173" s="195" t="s">
        <v>1276</v>
      </c>
      <c r="B173" s="195" t="s">
        <v>656</v>
      </c>
      <c r="C173" s="195" t="s">
        <v>907</v>
      </c>
      <c r="D173" s="236" t="s">
        <v>908</v>
      </c>
      <c r="E173" s="128" t="s">
        <v>820</v>
      </c>
      <c r="F173" s="128"/>
      <c r="G173" s="241" t="s">
        <v>1626</v>
      </c>
      <c r="H173" s="241" t="s">
        <v>2825</v>
      </c>
      <c r="I173" s="195" t="s">
        <v>1630</v>
      </c>
      <c r="J173" s="128"/>
      <c r="K173" s="236" t="s">
        <v>60</v>
      </c>
      <c r="L173" s="227"/>
      <c r="M173" s="236" t="s">
        <v>912</v>
      </c>
      <c r="N173" s="128" t="s">
        <v>913</v>
      </c>
      <c r="O173" s="128">
        <v>720</v>
      </c>
      <c r="P173" s="128">
        <v>8544700000</v>
      </c>
      <c r="Q173" s="240">
        <v>6.9524052823890798</v>
      </c>
      <c r="R173" s="149" t="s">
        <v>9</v>
      </c>
      <c r="T173" s="168">
        <v>23.174684274630266</v>
      </c>
      <c r="U173" s="168">
        <v>13.90481056477816</v>
      </c>
      <c r="V173" s="168">
        <v>11.587342137315133</v>
      </c>
      <c r="W173" s="168">
        <v>9.2698737098521065</v>
      </c>
    </row>
    <row r="174" spans="1:23" s="129" customFormat="1" ht="14.25">
      <c r="A174" s="195" t="s">
        <v>1276</v>
      </c>
      <c r="B174" s="195" t="s">
        <v>656</v>
      </c>
      <c r="C174" s="195" t="s">
        <v>907</v>
      </c>
      <c r="D174" s="236" t="s">
        <v>908</v>
      </c>
      <c r="E174" s="128" t="s">
        <v>820</v>
      </c>
      <c r="F174" s="128"/>
      <c r="G174" s="241" t="s">
        <v>1627</v>
      </c>
      <c r="H174" s="241" t="s">
        <v>2825</v>
      </c>
      <c r="I174" s="195" t="s">
        <v>1631</v>
      </c>
      <c r="J174" s="128"/>
      <c r="K174" s="236" t="s">
        <v>60</v>
      </c>
      <c r="L174" s="227"/>
      <c r="M174" s="236" t="s">
        <v>912</v>
      </c>
      <c r="N174" s="128" t="s">
        <v>913</v>
      </c>
      <c r="O174" s="128">
        <v>480</v>
      </c>
      <c r="P174" s="128">
        <v>8544700000</v>
      </c>
      <c r="Q174" s="240">
        <v>9.6672405652697737</v>
      </c>
      <c r="R174" s="149" t="s">
        <v>9</v>
      </c>
      <c r="T174" s="168">
        <v>32.224135217565916</v>
      </c>
      <c r="U174" s="168">
        <v>19.334481130539547</v>
      </c>
      <c r="V174" s="168">
        <v>16.112067608782958</v>
      </c>
      <c r="W174" s="168">
        <v>12.889654087026367</v>
      </c>
    </row>
    <row r="175" spans="1:23" s="129" customFormat="1" ht="14.25">
      <c r="A175" s="195" t="s">
        <v>1276</v>
      </c>
      <c r="B175" s="195" t="s">
        <v>656</v>
      </c>
      <c r="C175" s="195" t="s">
        <v>907</v>
      </c>
      <c r="D175" s="236" t="s">
        <v>923</v>
      </c>
      <c r="E175" s="128" t="s">
        <v>820</v>
      </c>
      <c r="F175" s="128"/>
      <c r="G175" s="241" t="s">
        <v>996</v>
      </c>
      <c r="H175" s="241" t="s">
        <v>2929</v>
      </c>
      <c r="I175" s="195" t="s">
        <v>998</v>
      </c>
      <c r="J175" s="128"/>
      <c r="K175" s="236" t="s">
        <v>60</v>
      </c>
      <c r="L175" s="227"/>
      <c r="M175" s="236" t="s">
        <v>912</v>
      </c>
      <c r="N175" s="128" t="s">
        <v>913</v>
      </c>
      <c r="O175" s="128">
        <v>2160</v>
      </c>
      <c r="P175" s="128">
        <v>8544700000</v>
      </c>
      <c r="Q175" s="240">
        <v>1.9643184735281463</v>
      </c>
      <c r="R175" s="149" t="s">
        <v>9</v>
      </c>
      <c r="T175" s="168">
        <v>6.547728245093821</v>
      </c>
      <c r="U175" s="168">
        <v>3.9286369470562925</v>
      </c>
      <c r="V175" s="168">
        <v>3.2738641225469105</v>
      </c>
      <c r="W175" s="168">
        <v>2.6190912980375285</v>
      </c>
    </row>
    <row r="176" spans="1:23" s="129" customFormat="1" ht="14.25">
      <c r="A176" s="195" t="s">
        <v>1276</v>
      </c>
      <c r="B176" s="195" t="s">
        <v>656</v>
      </c>
      <c r="C176" s="195" t="s">
        <v>907</v>
      </c>
      <c r="D176" s="236" t="s">
        <v>923</v>
      </c>
      <c r="E176" s="128" t="s">
        <v>820</v>
      </c>
      <c r="F176" s="128"/>
      <c r="G176" s="241" t="s">
        <v>999</v>
      </c>
      <c r="H176" s="241" t="s">
        <v>2930</v>
      </c>
      <c r="I176" s="195" t="s">
        <v>1001</v>
      </c>
      <c r="J176" s="128"/>
      <c r="K176" s="236" t="s">
        <v>60</v>
      </c>
      <c r="L176" s="227"/>
      <c r="M176" s="236" t="s">
        <v>912</v>
      </c>
      <c r="N176" s="128" t="s">
        <v>913</v>
      </c>
      <c r="O176" s="128">
        <v>1920</v>
      </c>
      <c r="P176" s="128">
        <v>8544700000</v>
      </c>
      <c r="Q176" s="240">
        <v>2.4810056202318775</v>
      </c>
      <c r="R176" s="149" t="s">
        <v>9</v>
      </c>
      <c r="T176" s="168">
        <v>8.2700187341062588</v>
      </c>
      <c r="U176" s="168">
        <v>4.9620112404637551</v>
      </c>
      <c r="V176" s="168">
        <v>4.1350093670531294</v>
      </c>
      <c r="W176" s="168">
        <v>3.3080074936425037</v>
      </c>
    </row>
    <row r="177" spans="1:23" s="129" customFormat="1" ht="14.25">
      <c r="A177" s="195" t="s">
        <v>1276</v>
      </c>
      <c r="B177" s="195" t="s">
        <v>656</v>
      </c>
      <c r="C177" s="195" t="s">
        <v>907</v>
      </c>
      <c r="D177" s="236" t="s">
        <v>923</v>
      </c>
      <c r="E177" s="128" t="s">
        <v>820</v>
      </c>
      <c r="F177" s="128"/>
      <c r="G177" s="241" t="s">
        <v>1002</v>
      </c>
      <c r="H177" s="241" t="s">
        <v>2931</v>
      </c>
      <c r="I177" s="195" t="s">
        <v>1004</v>
      </c>
      <c r="J177" s="128"/>
      <c r="K177" s="236" t="s">
        <v>60</v>
      </c>
      <c r="L177" s="227"/>
      <c r="M177" s="236" t="s">
        <v>912</v>
      </c>
      <c r="N177" s="128" t="s">
        <v>913</v>
      </c>
      <c r="O177" s="128">
        <v>1920</v>
      </c>
      <c r="P177" s="128">
        <v>8544700000</v>
      </c>
      <c r="Q177" s="240">
        <v>2.9891824183517315</v>
      </c>
      <c r="R177" s="149" t="s">
        <v>9</v>
      </c>
      <c r="T177" s="168">
        <v>9.9639413945057722</v>
      </c>
      <c r="U177" s="168">
        <v>5.978364836703463</v>
      </c>
      <c r="V177" s="168">
        <v>4.9819706972528861</v>
      </c>
      <c r="W177" s="168">
        <v>3.9855765578023092</v>
      </c>
    </row>
    <row r="178" spans="1:23" s="129" customFormat="1" ht="14.25">
      <c r="A178" s="195" t="s">
        <v>1276</v>
      </c>
      <c r="B178" s="195" t="s">
        <v>656</v>
      </c>
      <c r="C178" s="195" t="s">
        <v>907</v>
      </c>
      <c r="D178" s="236" t="s">
        <v>923</v>
      </c>
      <c r="E178" s="128" t="s">
        <v>820</v>
      </c>
      <c r="F178" s="128"/>
      <c r="G178" s="241" t="s">
        <v>1005</v>
      </c>
      <c r="H178" s="241" t="s">
        <v>2932</v>
      </c>
      <c r="I178" s="195" t="s">
        <v>1007</v>
      </c>
      <c r="J178" s="128"/>
      <c r="K178" s="236" t="s">
        <v>60</v>
      </c>
      <c r="L178" s="227"/>
      <c r="M178" s="236" t="s">
        <v>912</v>
      </c>
      <c r="N178" s="128" t="s">
        <v>913</v>
      </c>
      <c r="O178" s="128">
        <v>1440</v>
      </c>
      <c r="P178" s="128">
        <v>8544700000</v>
      </c>
      <c r="Q178" s="240">
        <v>4.029271382611201</v>
      </c>
      <c r="R178" s="149" t="s">
        <v>9</v>
      </c>
      <c r="T178" s="168">
        <v>13.430904608704004</v>
      </c>
      <c r="U178" s="168">
        <v>8.058542765222402</v>
      </c>
      <c r="V178" s="168">
        <v>6.7154523043520022</v>
      </c>
      <c r="W178" s="168">
        <v>5.3723618434816025</v>
      </c>
    </row>
    <row r="179" spans="1:23" s="129" customFormat="1" ht="14.25">
      <c r="A179" s="195" t="s">
        <v>1276</v>
      </c>
      <c r="B179" s="195" t="s">
        <v>656</v>
      </c>
      <c r="C179" s="195" t="s">
        <v>907</v>
      </c>
      <c r="D179" s="236" t="s">
        <v>923</v>
      </c>
      <c r="E179" s="128" t="s">
        <v>820</v>
      </c>
      <c r="F179" s="128"/>
      <c r="G179" s="241" t="s">
        <v>1632</v>
      </c>
      <c r="H179" s="241" t="s">
        <v>2825</v>
      </c>
      <c r="I179" s="195" t="s">
        <v>1636</v>
      </c>
      <c r="J179" s="128"/>
      <c r="K179" s="236" t="s">
        <v>60</v>
      </c>
      <c r="L179" s="227"/>
      <c r="M179" s="236" t="s">
        <v>912</v>
      </c>
      <c r="N179" s="128" t="s">
        <v>913</v>
      </c>
      <c r="O179" s="128">
        <v>720</v>
      </c>
      <c r="P179" s="128">
        <v>8544700000</v>
      </c>
      <c r="Q179" s="240">
        <v>6.9524052823890798</v>
      </c>
      <c r="R179" s="149" t="s">
        <v>9</v>
      </c>
      <c r="T179" s="168">
        <v>23.174684274630266</v>
      </c>
      <c r="U179" s="168">
        <v>13.90481056477816</v>
      </c>
      <c r="V179" s="168">
        <v>11.587342137315133</v>
      </c>
      <c r="W179" s="168">
        <v>9.2698737098521065</v>
      </c>
    </row>
    <row r="180" spans="1:23" s="129" customFormat="1" ht="14.25">
      <c r="A180" s="195" t="s">
        <v>1276</v>
      </c>
      <c r="B180" s="195" t="s">
        <v>656</v>
      </c>
      <c r="C180" s="195" t="s">
        <v>907</v>
      </c>
      <c r="D180" s="236" t="s">
        <v>923</v>
      </c>
      <c r="E180" s="128" t="s">
        <v>820</v>
      </c>
      <c r="F180" s="128"/>
      <c r="G180" s="241" t="s">
        <v>1633</v>
      </c>
      <c r="H180" s="241" t="s">
        <v>2825</v>
      </c>
      <c r="I180" s="195" t="s">
        <v>1637</v>
      </c>
      <c r="J180" s="128"/>
      <c r="K180" s="236" t="s">
        <v>60</v>
      </c>
      <c r="L180" s="227"/>
      <c r="M180" s="236" t="s">
        <v>912</v>
      </c>
      <c r="N180" s="128" t="s">
        <v>913</v>
      </c>
      <c r="O180" s="128">
        <v>480</v>
      </c>
      <c r="P180" s="128">
        <v>8544700000</v>
      </c>
      <c r="Q180" s="240">
        <v>9.6672405652697737</v>
      </c>
      <c r="R180" s="149" t="s">
        <v>9</v>
      </c>
      <c r="T180" s="168">
        <v>32.224135217565916</v>
      </c>
      <c r="U180" s="168">
        <v>19.334481130539547</v>
      </c>
      <c r="V180" s="168">
        <v>16.112067608782958</v>
      </c>
      <c r="W180" s="168">
        <v>12.889654087026367</v>
      </c>
    </row>
    <row r="181" spans="1:23" s="129" customFormat="1" ht="14.25">
      <c r="A181" s="195" t="s">
        <v>1276</v>
      </c>
      <c r="B181" s="195" t="s">
        <v>656</v>
      </c>
      <c r="C181" s="195" t="s">
        <v>907</v>
      </c>
      <c r="D181" s="236" t="s">
        <v>936</v>
      </c>
      <c r="E181" s="128" t="s">
        <v>820</v>
      </c>
      <c r="F181" s="128"/>
      <c r="G181" s="241" t="s">
        <v>1008</v>
      </c>
      <c r="H181" s="241" t="s">
        <v>2933</v>
      </c>
      <c r="I181" s="195" t="s">
        <v>1010</v>
      </c>
      <c r="J181" s="128"/>
      <c r="K181" s="236" t="s">
        <v>60</v>
      </c>
      <c r="L181" s="227"/>
      <c r="M181" s="236" t="s">
        <v>912</v>
      </c>
      <c r="N181" s="128" t="s">
        <v>913</v>
      </c>
      <c r="O181" s="128">
        <v>2160</v>
      </c>
      <c r="P181" s="128">
        <v>8544700000</v>
      </c>
      <c r="Q181" s="240">
        <v>1.9643184735281463</v>
      </c>
      <c r="R181" s="149" t="s">
        <v>9</v>
      </c>
      <c r="T181" s="168">
        <v>6.547728245093821</v>
      </c>
      <c r="U181" s="168">
        <v>3.9286369470562925</v>
      </c>
      <c r="V181" s="168">
        <v>3.2738641225469105</v>
      </c>
      <c r="W181" s="168">
        <v>2.6190912980375285</v>
      </c>
    </row>
    <row r="182" spans="1:23" s="129" customFormat="1" ht="14.25">
      <c r="A182" s="195" t="s">
        <v>1276</v>
      </c>
      <c r="B182" s="195" t="s">
        <v>656</v>
      </c>
      <c r="C182" s="195" t="s">
        <v>907</v>
      </c>
      <c r="D182" s="236" t="s">
        <v>936</v>
      </c>
      <c r="E182" s="128" t="s">
        <v>820</v>
      </c>
      <c r="F182" s="128"/>
      <c r="G182" s="241" t="s">
        <v>1011</v>
      </c>
      <c r="H182" s="241" t="s">
        <v>2934</v>
      </c>
      <c r="I182" s="195" t="s">
        <v>1013</v>
      </c>
      <c r="J182" s="128"/>
      <c r="K182" s="236" t="s">
        <v>60</v>
      </c>
      <c r="L182" s="227"/>
      <c r="M182" s="236" t="s">
        <v>912</v>
      </c>
      <c r="N182" s="128" t="s">
        <v>913</v>
      </c>
      <c r="O182" s="128">
        <v>1920</v>
      </c>
      <c r="P182" s="128">
        <v>8544700000</v>
      </c>
      <c r="Q182" s="240">
        <v>2.4810056202318775</v>
      </c>
      <c r="R182" s="149" t="s">
        <v>9</v>
      </c>
      <c r="T182" s="168">
        <v>8.2700187341062588</v>
      </c>
      <c r="U182" s="168">
        <v>4.9620112404637551</v>
      </c>
      <c r="V182" s="168">
        <v>4.1350093670531294</v>
      </c>
      <c r="W182" s="168">
        <v>3.3080074936425037</v>
      </c>
    </row>
    <row r="183" spans="1:23" s="129" customFormat="1" ht="14.25">
      <c r="A183" s="195" t="s">
        <v>1276</v>
      </c>
      <c r="B183" s="195" t="s">
        <v>656</v>
      </c>
      <c r="C183" s="195" t="s">
        <v>907</v>
      </c>
      <c r="D183" s="236" t="s">
        <v>936</v>
      </c>
      <c r="E183" s="128" t="s">
        <v>820</v>
      </c>
      <c r="F183" s="128"/>
      <c r="G183" s="241" t="s">
        <v>1014</v>
      </c>
      <c r="H183" s="241" t="s">
        <v>2935</v>
      </c>
      <c r="I183" s="195" t="s">
        <v>1016</v>
      </c>
      <c r="J183" s="128"/>
      <c r="K183" s="236" t="s">
        <v>60</v>
      </c>
      <c r="L183" s="227"/>
      <c r="M183" s="236" t="s">
        <v>912</v>
      </c>
      <c r="N183" s="128" t="s">
        <v>913</v>
      </c>
      <c r="O183" s="128">
        <v>1920</v>
      </c>
      <c r="P183" s="128">
        <v>8544700000</v>
      </c>
      <c r="Q183" s="240">
        <v>2.9891824183517315</v>
      </c>
      <c r="R183" s="149" t="s">
        <v>9</v>
      </c>
      <c r="T183" s="168">
        <v>9.9639413945057722</v>
      </c>
      <c r="U183" s="168">
        <v>5.978364836703463</v>
      </c>
      <c r="V183" s="168">
        <v>4.9819706972528861</v>
      </c>
      <c r="W183" s="168">
        <v>3.9855765578023092</v>
      </c>
    </row>
    <row r="184" spans="1:23" s="129" customFormat="1" ht="14.25">
      <c r="A184" s="195" t="s">
        <v>1276</v>
      </c>
      <c r="B184" s="195" t="s">
        <v>656</v>
      </c>
      <c r="C184" s="195" t="s">
        <v>907</v>
      </c>
      <c r="D184" s="236" t="s">
        <v>936</v>
      </c>
      <c r="E184" s="128" t="s">
        <v>820</v>
      </c>
      <c r="F184" s="128"/>
      <c r="G184" s="241" t="s">
        <v>1017</v>
      </c>
      <c r="H184" s="241" t="s">
        <v>2936</v>
      </c>
      <c r="I184" s="195" t="s">
        <v>1019</v>
      </c>
      <c r="J184" s="128"/>
      <c r="K184" s="236" t="s">
        <v>60</v>
      </c>
      <c r="L184" s="227"/>
      <c r="M184" s="236" t="s">
        <v>912</v>
      </c>
      <c r="N184" s="128" t="s">
        <v>913</v>
      </c>
      <c r="O184" s="128">
        <v>1440</v>
      </c>
      <c r="P184" s="128">
        <v>8544700000</v>
      </c>
      <c r="Q184" s="240">
        <v>4.029271382611201</v>
      </c>
      <c r="R184" s="149" t="s">
        <v>9</v>
      </c>
      <c r="T184" s="168">
        <v>13.430904608704004</v>
      </c>
      <c r="U184" s="168">
        <v>8.058542765222402</v>
      </c>
      <c r="V184" s="168">
        <v>6.7154523043520022</v>
      </c>
      <c r="W184" s="168">
        <v>5.3723618434816025</v>
      </c>
    </row>
    <row r="185" spans="1:23" s="129" customFormat="1" ht="14.25">
      <c r="A185" s="195" t="s">
        <v>1276</v>
      </c>
      <c r="B185" s="195" t="s">
        <v>656</v>
      </c>
      <c r="C185" s="195" t="s">
        <v>907</v>
      </c>
      <c r="D185" s="236" t="s">
        <v>936</v>
      </c>
      <c r="E185" s="128" t="s">
        <v>820</v>
      </c>
      <c r="F185" s="128"/>
      <c r="G185" s="241" t="s">
        <v>1638</v>
      </c>
      <c r="H185" s="241" t="s">
        <v>2825</v>
      </c>
      <c r="I185" s="195" t="s">
        <v>1642</v>
      </c>
      <c r="J185" s="128"/>
      <c r="K185" s="236" t="s">
        <v>60</v>
      </c>
      <c r="L185" s="227"/>
      <c r="M185" s="236" t="s">
        <v>912</v>
      </c>
      <c r="N185" s="128" t="s">
        <v>913</v>
      </c>
      <c r="O185" s="128">
        <v>720</v>
      </c>
      <c r="P185" s="128">
        <v>8544700000</v>
      </c>
      <c r="Q185" s="240">
        <v>6.9524052823890798</v>
      </c>
      <c r="R185" s="149" t="s">
        <v>9</v>
      </c>
      <c r="T185" s="168">
        <v>23.174684274630266</v>
      </c>
      <c r="U185" s="168">
        <v>13.90481056477816</v>
      </c>
      <c r="V185" s="168">
        <v>11.587342137315133</v>
      </c>
      <c r="W185" s="168">
        <v>9.2698737098521065</v>
      </c>
    </row>
    <row r="186" spans="1:23" s="129" customFormat="1" ht="14.25">
      <c r="A186" s="195" t="s">
        <v>1276</v>
      </c>
      <c r="B186" s="195" t="s">
        <v>656</v>
      </c>
      <c r="C186" s="195" t="s">
        <v>907</v>
      </c>
      <c r="D186" s="236" t="s">
        <v>936</v>
      </c>
      <c r="E186" s="128" t="s">
        <v>820</v>
      </c>
      <c r="F186" s="128"/>
      <c r="G186" s="241" t="s">
        <v>1639</v>
      </c>
      <c r="H186" s="241" t="s">
        <v>2825</v>
      </c>
      <c r="I186" s="195" t="s">
        <v>1643</v>
      </c>
      <c r="J186" s="128"/>
      <c r="K186" s="236" t="s">
        <v>60</v>
      </c>
      <c r="L186" s="227"/>
      <c r="M186" s="236" t="s">
        <v>912</v>
      </c>
      <c r="N186" s="128" t="s">
        <v>913</v>
      </c>
      <c r="O186" s="128">
        <v>480</v>
      </c>
      <c r="P186" s="128">
        <v>8544700000</v>
      </c>
      <c r="Q186" s="240">
        <v>9.6672405652697737</v>
      </c>
      <c r="R186" s="149" t="s">
        <v>9</v>
      </c>
      <c r="T186" s="168">
        <v>32.224135217565916</v>
      </c>
      <c r="U186" s="168">
        <v>19.334481130539547</v>
      </c>
      <c r="V186" s="168">
        <v>16.112067608782958</v>
      </c>
      <c r="W186" s="168">
        <v>12.889654087026367</v>
      </c>
    </row>
    <row r="187" spans="1:23" s="129" customFormat="1" ht="14.25">
      <c r="A187" s="195" t="s">
        <v>1276</v>
      </c>
      <c r="B187" s="195" t="s">
        <v>656</v>
      </c>
      <c r="C187" s="195" t="s">
        <v>907</v>
      </c>
      <c r="D187" s="236" t="s">
        <v>908</v>
      </c>
      <c r="E187" s="128" t="s">
        <v>2632</v>
      </c>
      <c r="F187" s="128"/>
      <c r="G187" s="241" t="s">
        <v>1020</v>
      </c>
      <c r="H187" s="241" t="s">
        <v>2937</v>
      </c>
      <c r="I187" s="195" t="s">
        <v>1022</v>
      </c>
      <c r="J187" s="128"/>
      <c r="K187" s="236" t="s">
        <v>60</v>
      </c>
      <c r="L187" s="227"/>
      <c r="M187" s="236" t="s">
        <v>912</v>
      </c>
      <c r="N187" s="128" t="s">
        <v>913</v>
      </c>
      <c r="O187" s="128">
        <v>2160</v>
      </c>
      <c r="P187" s="128">
        <v>8544700000</v>
      </c>
      <c r="Q187" s="240">
        <v>2.7328685427694794</v>
      </c>
      <c r="R187" s="149" t="s">
        <v>9</v>
      </c>
      <c r="T187" s="168">
        <v>9.1095618092315984</v>
      </c>
      <c r="U187" s="168">
        <v>5.4657370855389589</v>
      </c>
      <c r="V187" s="168">
        <v>4.5547809046157992</v>
      </c>
      <c r="W187" s="168">
        <v>3.6438247236926395</v>
      </c>
    </row>
    <row r="188" spans="1:23" s="129" customFormat="1" ht="14.25">
      <c r="A188" s="195" t="s">
        <v>1276</v>
      </c>
      <c r="B188" s="195" t="s">
        <v>656</v>
      </c>
      <c r="C188" s="195" t="s">
        <v>907</v>
      </c>
      <c r="D188" s="236" t="s">
        <v>908</v>
      </c>
      <c r="E188" s="128" t="s">
        <v>2632</v>
      </c>
      <c r="F188" s="128"/>
      <c r="G188" s="241" t="s">
        <v>1023</v>
      </c>
      <c r="H188" s="241" t="s">
        <v>2938</v>
      </c>
      <c r="I188" s="195" t="s">
        <v>1025</v>
      </c>
      <c r="J188" s="128"/>
      <c r="K188" s="236" t="s">
        <v>60</v>
      </c>
      <c r="L188" s="227"/>
      <c r="M188" s="236" t="s">
        <v>912</v>
      </c>
      <c r="N188" s="128" t="s">
        <v>913</v>
      </c>
      <c r="O188" s="128">
        <v>1920</v>
      </c>
      <c r="P188" s="128">
        <v>8544700000</v>
      </c>
      <c r="Q188" s="240">
        <v>2.8401411666063323</v>
      </c>
      <c r="R188" s="149" t="s">
        <v>9</v>
      </c>
      <c r="T188" s="168">
        <v>9.4671372220211083</v>
      </c>
      <c r="U188" s="168">
        <v>5.6802823332126646</v>
      </c>
      <c r="V188" s="168">
        <v>4.7335686110105542</v>
      </c>
      <c r="W188" s="168">
        <v>3.7868548888084437</v>
      </c>
    </row>
    <row r="189" spans="1:23" s="129" customFormat="1" ht="14.25">
      <c r="A189" s="195" t="s">
        <v>1276</v>
      </c>
      <c r="B189" s="195" t="s">
        <v>656</v>
      </c>
      <c r="C189" s="195" t="s">
        <v>907</v>
      </c>
      <c r="D189" s="236" t="s">
        <v>908</v>
      </c>
      <c r="E189" s="128" t="s">
        <v>2632</v>
      </c>
      <c r="F189" s="128"/>
      <c r="G189" s="241" t="s">
        <v>1026</v>
      </c>
      <c r="H189" s="241" t="s">
        <v>2939</v>
      </c>
      <c r="I189" s="195" t="s">
        <v>1028</v>
      </c>
      <c r="J189" s="128"/>
      <c r="K189" s="236" t="s">
        <v>60</v>
      </c>
      <c r="L189" s="227"/>
      <c r="M189" s="236" t="s">
        <v>912</v>
      </c>
      <c r="N189" s="128" t="s">
        <v>913</v>
      </c>
      <c r="O189" s="128">
        <v>1920</v>
      </c>
      <c r="P189" s="128">
        <v>8544700000</v>
      </c>
      <c r="Q189" s="240">
        <v>2.9389034418593076</v>
      </c>
      <c r="R189" s="149" t="s">
        <v>9</v>
      </c>
      <c r="T189" s="168">
        <v>9.796344806197693</v>
      </c>
      <c r="U189" s="168">
        <v>5.8778068837186153</v>
      </c>
      <c r="V189" s="168">
        <v>4.8981724030988465</v>
      </c>
      <c r="W189" s="168">
        <v>3.9185379224790773</v>
      </c>
    </row>
    <row r="190" spans="1:23" s="129" customFormat="1" ht="14.25">
      <c r="A190" s="195" t="s">
        <v>1276</v>
      </c>
      <c r="B190" s="195" t="s">
        <v>656</v>
      </c>
      <c r="C190" s="195" t="s">
        <v>907</v>
      </c>
      <c r="D190" s="236" t="s">
        <v>908</v>
      </c>
      <c r="E190" s="128" t="s">
        <v>2632</v>
      </c>
      <c r="F190" s="128"/>
      <c r="G190" s="241" t="s">
        <v>1029</v>
      </c>
      <c r="H190" s="241" t="s">
        <v>2940</v>
      </c>
      <c r="I190" s="195" t="s">
        <v>1031</v>
      </c>
      <c r="J190" s="128"/>
      <c r="K190" s="236" t="s">
        <v>60</v>
      </c>
      <c r="L190" s="227"/>
      <c r="M190" s="236" t="s">
        <v>912</v>
      </c>
      <c r="N190" s="128" t="s">
        <v>913</v>
      </c>
      <c r="O190" s="128">
        <v>1440</v>
      </c>
      <c r="P190" s="128">
        <v>8544700000</v>
      </c>
      <c r="Q190" s="240">
        <v>3.1511849717256588</v>
      </c>
      <c r="R190" s="149" t="s">
        <v>9</v>
      </c>
      <c r="T190" s="168">
        <v>10.503949905752197</v>
      </c>
      <c r="U190" s="168">
        <v>6.3023699434513185</v>
      </c>
      <c r="V190" s="168">
        <v>5.2519749528760986</v>
      </c>
      <c r="W190" s="168">
        <v>4.2015799623008787</v>
      </c>
    </row>
    <row r="191" spans="1:23" s="129" customFormat="1" ht="14.25">
      <c r="A191" s="195" t="s">
        <v>1276</v>
      </c>
      <c r="B191" s="195" t="s">
        <v>656</v>
      </c>
      <c r="C191" s="195" t="s">
        <v>907</v>
      </c>
      <c r="D191" s="236" t="s">
        <v>908</v>
      </c>
      <c r="E191" s="128" t="s">
        <v>2632</v>
      </c>
      <c r="F191" s="128"/>
      <c r="G191" s="241" t="s">
        <v>2429</v>
      </c>
      <c r="H191" s="241" t="s">
        <v>2825</v>
      </c>
      <c r="I191" s="195" t="s">
        <v>1648</v>
      </c>
      <c r="J191" s="128"/>
      <c r="K191" s="236" t="s">
        <v>60</v>
      </c>
      <c r="L191" s="227"/>
      <c r="M191" s="236" t="s">
        <v>912</v>
      </c>
      <c r="N191" s="128" t="s">
        <v>913</v>
      </c>
      <c r="O191" s="128">
        <v>720</v>
      </c>
      <c r="P191" s="128">
        <v>8544700000</v>
      </c>
      <c r="Q191" s="240">
        <v>3.6555409666715839</v>
      </c>
      <c r="R191" s="149" t="s">
        <v>9</v>
      </c>
      <c r="T191" s="168">
        <v>12.185136555571948</v>
      </c>
      <c r="U191" s="168">
        <v>7.3110819333431678</v>
      </c>
      <c r="V191" s="168">
        <v>6.0925682777859738</v>
      </c>
      <c r="W191" s="168">
        <v>4.8740546222287797</v>
      </c>
    </row>
    <row r="192" spans="1:23" s="129" customFormat="1" ht="14.25">
      <c r="A192" s="195" t="s">
        <v>1276</v>
      </c>
      <c r="B192" s="195" t="s">
        <v>656</v>
      </c>
      <c r="C192" s="195" t="s">
        <v>907</v>
      </c>
      <c r="D192" s="236" t="s">
        <v>908</v>
      </c>
      <c r="E192" s="128" t="s">
        <v>2632</v>
      </c>
      <c r="F192" s="128"/>
      <c r="G192" s="241" t="s">
        <v>1645</v>
      </c>
      <c r="H192" s="241" t="s">
        <v>2825</v>
      </c>
      <c r="I192" s="195" t="s">
        <v>1649</v>
      </c>
      <c r="J192" s="128"/>
      <c r="K192" s="236" t="s">
        <v>60</v>
      </c>
      <c r="L192" s="227"/>
      <c r="M192" s="236" t="s">
        <v>912</v>
      </c>
      <c r="N192" s="128" t="s">
        <v>913</v>
      </c>
      <c r="O192" s="128">
        <v>480</v>
      </c>
      <c r="P192" s="128">
        <v>8544700000</v>
      </c>
      <c r="Q192" s="240">
        <v>4.2694333032617173</v>
      </c>
      <c r="R192" s="149" t="s">
        <v>9</v>
      </c>
      <c r="T192" s="168">
        <v>14.231444344205725</v>
      </c>
      <c r="U192" s="168">
        <v>8.5388666065234347</v>
      </c>
      <c r="V192" s="168">
        <v>7.1157221721028625</v>
      </c>
      <c r="W192" s="168">
        <v>5.6925777376822904</v>
      </c>
    </row>
    <row r="193" spans="1:23" s="129" customFormat="1" ht="14.25">
      <c r="A193" s="195" t="s">
        <v>1276</v>
      </c>
      <c r="B193" s="195" t="s">
        <v>656</v>
      </c>
      <c r="C193" s="195" t="s">
        <v>907</v>
      </c>
      <c r="D193" s="236" t="s">
        <v>923</v>
      </c>
      <c r="E193" s="128" t="s">
        <v>2632</v>
      </c>
      <c r="F193" s="128"/>
      <c r="G193" s="241" t="s">
        <v>1032</v>
      </c>
      <c r="H193" s="241" t="s">
        <v>2941</v>
      </c>
      <c r="I193" s="195" t="s">
        <v>1034</v>
      </c>
      <c r="J193" s="128"/>
      <c r="K193" s="236" t="s">
        <v>60</v>
      </c>
      <c r="L193" s="227"/>
      <c r="M193" s="236" t="s">
        <v>912</v>
      </c>
      <c r="N193" s="128" t="s">
        <v>913</v>
      </c>
      <c r="O193" s="128">
        <v>2160</v>
      </c>
      <c r="P193" s="128">
        <v>8544700000</v>
      </c>
      <c r="Q193" s="240">
        <v>2.7328685427694794</v>
      </c>
      <c r="R193" s="149" t="s">
        <v>9</v>
      </c>
      <c r="T193" s="168">
        <v>9.1095618092315984</v>
      </c>
      <c r="U193" s="168">
        <v>5.4657370855389589</v>
      </c>
      <c r="V193" s="168">
        <v>4.5547809046157992</v>
      </c>
      <c r="W193" s="168">
        <v>3.6438247236926395</v>
      </c>
    </row>
    <row r="194" spans="1:23" s="129" customFormat="1" ht="14.25">
      <c r="A194" s="195" t="s">
        <v>1276</v>
      </c>
      <c r="B194" s="195" t="s">
        <v>656</v>
      </c>
      <c r="C194" s="195" t="s">
        <v>907</v>
      </c>
      <c r="D194" s="236" t="s">
        <v>923</v>
      </c>
      <c r="E194" s="128" t="s">
        <v>2632</v>
      </c>
      <c r="F194" s="128"/>
      <c r="G194" s="241" t="s">
        <v>1035</v>
      </c>
      <c r="H194" s="241" t="s">
        <v>2942</v>
      </c>
      <c r="I194" s="195" t="s">
        <v>1037</v>
      </c>
      <c r="J194" s="128"/>
      <c r="K194" s="236" t="s">
        <v>60</v>
      </c>
      <c r="L194" s="227"/>
      <c r="M194" s="236" t="s">
        <v>912</v>
      </c>
      <c r="N194" s="128" t="s">
        <v>913</v>
      </c>
      <c r="O194" s="128">
        <v>1920</v>
      </c>
      <c r="P194" s="128">
        <v>8544700000</v>
      </c>
      <c r="Q194" s="240">
        <v>2.8401411666063323</v>
      </c>
      <c r="R194" s="149" t="s">
        <v>9</v>
      </c>
      <c r="T194" s="168">
        <v>9.4671372220211083</v>
      </c>
      <c r="U194" s="168">
        <v>5.6802823332126646</v>
      </c>
      <c r="V194" s="168">
        <v>4.7335686110105542</v>
      </c>
      <c r="W194" s="168">
        <v>3.7868548888084437</v>
      </c>
    </row>
    <row r="195" spans="1:23" s="129" customFormat="1" ht="14.25">
      <c r="A195" s="195" t="s">
        <v>1276</v>
      </c>
      <c r="B195" s="195" t="s">
        <v>656</v>
      </c>
      <c r="C195" s="195" t="s">
        <v>907</v>
      </c>
      <c r="D195" s="236" t="s">
        <v>923</v>
      </c>
      <c r="E195" s="128" t="s">
        <v>2632</v>
      </c>
      <c r="F195" s="128"/>
      <c r="G195" s="241" t="s">
        <v>1038</v>
      </c>
      <c r="H195" s="241" t="s">
        <v>2943</v>
      </c>
      <c r="I195" s="195" t="s">
        <v>1040</v>
      </c>
      <c r="J195" s="128"/>
      <c r="K195" s="236" t="s">
        <v>60</v>
      </c>
      <c r="L195" s="227"/>
      <c r="M195" s="236" t="s">
        <v>912</v>
      </c>
      <c r="N195" s="128" t="s">
        <v>913</v>
      </c>
      <c r="O195" s="128">
        <v>1920</v>
      </c>
      <c r="P195" s="128">
        <v>8544700000</v>
      </c>
      <c r="Q195" s="240">
        <v>2.9389034418593076</v>
      </c>
      <c r="R195" s="149" t="s">
        <v>9</v>
      </c>
      <c r="T195" s="168">
        <v>9.796344806197693</v>
      </c>
      <c r="U195" s="168">
        <v>5.8778068837186153</v>
      </c>
      <c r="V195" s="168">
        <v>4.8981724030988465</v>
      </c>
      <c r="W195" s="168">
        <v>3.9185379224790773</v>
      </c>
    </row>
    <row r="196" spans="1:23" s="129" customFormat="1" ht="14.25">
      <c r="A196" s="195" t="s">
        <v>1276</v>
      </c>
      <c r="B196" s="195" t="s">
        <v>656</v>
      </c>
      <c r="C196" s="195" t="s">
        <v>907</v>
      </c>
      <c r="D196" s="236" t="s">
        <v>923</v>
      </c>
      <c r="E196" s="128" t="s">
        <v>2632</v>
      </c>
      <c r="F196" s="128"/>
      <c r="G196" s="241" t="s">
        <v>1041</v>
      </c>
      <c r="H196" s="241" t="s">
        <v>2944</v>
      </c>
      <c r="I196" s="195" t="s">
        <v>1043</v>
      </c>
      <c r="J196" s="128"/>
      <c r="K196" s="236" t="s">
        <v>60</v>
      </c>
      <c r="L196" s="227"/>
      <c r="M196" s="236" t="s">
        <v>912</v>
      </c>
      <c r="N196" s="128" t="s">
        <v>913</v>
      </c>
      <c r="O196" s="128">
        <v>1440</v>
      </c>
      <c r="P196" s="128">
        <v>8544700000</v>
      </c>
      <c r="Q196" s="240">
        <v>3.1511849717256588</v>
      </c>
      <c r="R196" s="149" t="s">
        <v>9</v>
      </c>
      <c r="T196" s="168">
        <v>10.503949905752197</v>
      </c>
      <c r="U196" s="168">
        <v>6.3023699434513185</v>
      </c>
      <c r="V196" s="168">
        <v>5.2519749528760986</v>
      </c>
      <c r="W196" s="168">
        <v>4.2015799623008787</v>
      </c>
    </row>
    <row r="197" spans="1:23" s="129" customFormat="1" ht="14.25">
      <c r="A197" s="195" t="s">
        <v>1276</v>
      </c>
      <c r="B197" s="195" t="s">
        <v>656</v>
      </c>
      <c r="C197" s="195" t="s">
        <v>907</v>
      </c>
      <c r="D197" s="236" t="s">
        <v>923</v>
      </c>
      <c r="E197" s="128" t="s">
        <v>2632</v>
      </c>
      <c r="F197" s="128"/>
      <c r="G197" s="241" t="s">
        <v>1471</v>
      </c>
      <c r="H197" s="241" t="s">
        <v>2825</v>
      </c>
      <c r="I197" s="195" t="s">
        <v>1473</v>
      </c>
      <c r="J197" s="128"/>
      <c r="K197" s="236" t="s">
        <v>60</v>
      </c>
      <c r="L197" s="227"/>
      <c r="M197" s="236" t="s">
        <v>912</v>
      </c>
      <c r="N197" s="128" t="s">
        <v>913</v>
      </c>
      <c r="O197" s="128">
        <v>720</v>
      </c>
      <c r="P197" s="128">
        <v>8544700000</v>
      </c>
      <c r="Q197" s="240">
        <v>3.6555409666715839</v>
      </c>
      <c r="R197" s="149" t="s">
        <v>9</v>
      </c>
      <c r="T197" s="168">
        <v>12.185136555571948</v>
      </c>
      <c r="U197" s="168">
        <v>7.3110819333431678</v>
      </c>
      <c r="V197" s="168">
        <v>6.0925682777859738</v>
      </c>
      <c r="W197" s="168">
        <v>4.8740546222287797</v>
      </c>
    </row>
    <row r="198" spans="1:23" s="129" customFormat="1" ht="14.25">
      <c r="A198" s="195" t="s">
        <v>1276</v>
      </c>
      <c r="B198" s="195" t="s">
        <v>656</v>
      </c>
      <c r="C198" s="195" t="s">
        <v>907</v>
      </c>
      <c r="D198" s="236" t="s">
        <v>923</v>
      </c>
      <c r="E198" s="128" t="s">
        <v>2632</v>
      </c>
      <c r="F198" s="128"/>
      <c r="G198" s="241" t="s">
        <v>1650</v>
      </c>
      <c r="H198" s="241" t="s">
        <v>2825</v>
      </c>
      <c r="I198" s="195" t="s">
        <v>1652</v>
      </c>
      <c r="J198" s="128"/>
      <c r="K198" s="236" t="s">
        <v>60</v>
      </c>
      <c r="L198" s="227"/>
      <c r="M198" s="236" t="s">
        <v>912</v>
      </c>
      <c r="N198" s="128" t="s">
        <v>913</v>
      </c>
      <c r="O198" s="128">
        <v>480</v>
      </c>
      <c r="P198" s="128">
        <v>8544700000</v>
      </c>
      <c r="Q198" s="240">
        <v>4.2694333032617173</v>
      </c>
      <c r="R198" s="149" t="s">
        <v>9</v>
      </c>
      <c r="T198" s="168">
        <v>14.231444344205725</v>
      </c>
      <c r="U198" s="168">
        <v>8.5388666065234347</v>
      </c>
      <c r="V198" s="168">
        <v>7.1157221721028625</v>
      </c>
      <c r="W198" s="168">
        <v>5.6925777376822904</v>
      </c>
    </row>
    <row r="199" spans="1:23" s="129" customFormat="1" ht="14.25">
      <c r="A199" s="195" t="s">
        <v>1276</v>
      </c>
      <c r="B199" s="195" t="s">
        <v>656</v>
      </c>
      <c r="C199" s="195" t="s">
        <v>907</v>
      </c>
      <c r="D199" s="236" t="s">
        <v>936</v>
      </c>
      <c r="E199" s="128" t="s">
        <v>2632</v>
      </c>
      <c r="F199" s="128"/>
      <c r="G199" s="241" t="s">
        <v>1044</v>
      </c>
      <c r="H199" s="241" t="s">
        <v>2945</v>
      </c>
      <c r="I199" s="195" t="s">
        <v>1046</v>
      </c>
      <c r="J199" s="128"/>
      <c r="K199" s="236" t="s">
        <v>60</v>
      </c>
      <c r="L199" s="227"/>
      <c r="M199" s="236" t="s">
        <v>912</v>
      </c>
      <c r="N199" s="128" t="s">
        <v>913</v>
      </c>
      <c r="O199" s="128">
        <v>2160</v>
      </c>
      <c r="P199" s="128">
        <v>8544700000</v>
      </c>
      <c r="Q199" s="240">
        <v>2.7328685427694794</v>
      </c>
      <c r="R199" s="149" t="s">
        <v>9</v>
      </c>
      <c r="T199" s="168">
        <v>9.1095618092315984</v>
      </c>
      <c r="U199" s="168">
        <v>5.4657370855389589</v>
      </c>
      <c r="V199" s="168">
        <v>4.5547809046157992</v>
      </c>
      <c r="W199" s="168">
        <v>3.6438247236926395</v>
      </c>
    </row>
    <row r="200" spans="1:23" s="129" customFormat="1" ht="14.25">
      <c r="A200" s="195" t="s">
        <v>1276</v>
      </c>
      <c r="B200" s="195" t="s">
        <v>656</v>
      </c>
      <c r="C200" s="195" t="s">
        <v>907</v>
      </c>
      <c r="D200" s="236" t="s">
        <v>936</v>
      </c>
      <c r="E200" s="128" t="s">
        <v>2632</v>
      </c>
      <c r="F200" s="128"/>
      <c r="G200" s="241" t="s">
        <v>1047</v>
      </c>
      <c r="H200" s="241" t="s">
        <v>2946</v>
      </c>
      <c r="I200" s="195" t="s">
        <v>1049</v>
      </c>
      <c r="J200" s="128"/>
      <c r="K200" s="236" t="s">
        <v>60</v>
      </c>
      <c r="L200" s="227"/>
      <c r="M200" s="236" t="s">
        <v>912</v>
      </c>
      <c r="N200" s="128" t="s">
        <v>913</v>
      </c>
      <c r="O200" s="128">
        <v>1920</v>
      </c>
      <c r="P200" s="128">
        <v>8544700000</v>
      </c>
      <c r="Q200" s="240">
        <v>2.8401411666063323</v>
      </c>
      <c r="R200" s="149" t="s">
        <v>9</v>
      </c>
      <c r="T200" s="168">
        <v>9.4671372220211083</v>
      </c>
      <c r="U200" s="168">
        <v>5.6802823332126646</v>
      </c>
      <c r="V200" s="168">
        <v>4.7335686110105542</v>
      </c>
      <c r="W200" s="168">
        <v>3.7868548888084437</v>
      </c>
    </row>
    <row r="201" spans="1:23" s="129" customFormat="1" ht="14.25">
      <c r="A201" s="195" t="s">
        <v>1276</v>
      </c>
      <c r="B201" s="195" t="s">
        <v>656</v>
      </c>
      <c r="C201" s="195" t="s">
        <v>907</v>
      </c>
      <c r="D201" s="236" t="s">
        <v>936</v>
      </c>
      <c r="E201" s="128" t="s">
        <v>2632</v>
      </c>
      <c r="F201" s="128"/>
      <c r="G201" s="241" t="s">
        <v>1050</v>
      </c>
      <c r="H201" s="241" t="s">
        <v>2947</v>
      </c>
      <c r="I201" s="195" t="s">
        <v>1052</v>
      </c>
      <c r="J201" s="128"/>
      <c r="K201" s="236" t="s">
        <v>60</v>
      </c>
      <c r="L201" s="227"/>
      <c r="M201" s="236" t="s">
        <v>912</v>
      </c>
      <c r="N201" s="128" t="s">
        <v>913</v>
      </c>
      <c r="O201" s="128">
        <v>1920</v>
      </c>
      <c r="P201" s="128">
        <v>8544700000</v>
      </c>
      <c r="Q201" s="240">
        <v>2.9389034418593076</v>
      </c>
      <c r="R201" s="149" t="s">
        <v>9</v>
      </c>
      <c r="T201" s="168">
        <v>9.796344806197693</v>
      </c>
      <c r="U201" s="168">
        <v>5.8778068837186153</v>
      </c>
      <c r="V201" s="168">
        <v>4.8981724030988465</v>
      </c>
      <c r="W201" s="168">
        <v>3.9185379224790773</v>
      </c>
    </row>
    <row r="202" spans="1:23" s="129" customFormat="1" ht="14.25">
      <c r="A202" s="195" t="s">
        <v>1276</v>
      </c>
      <c r="B202" s="195" t="s">
        <v>656</v>
      </c>
      <c r="C202" s="195" t="s">
        <v>907</v>
      </c>
      <c r="D202" s="236" t="s">
        <v>936</v>
      </c>
      <c r="E202" s="128" t="s">
        <v>2632</v>
      </c>
      <c r="F202" s="128"/>
      <c r="G202" s="241" t="s">
        <v>1053</v>
      </c>
      <c r="H202" s="241" t="s">
        <v>2948</v>
      </c>
      <c r="I202" s="195" t="s">
        <v>1055</v>
      </c>
      <c r="J202" s="128"/>
      <c r="K202" s="236" t="s">
        <v>60</v>
      </c>
      <c r="L202" s="227"/>
      <c r="M202" s="236" t="s">
        <v>912</v>
      </c>
      <c r="N202" s="128" t="s">
        <v>913</v>
      </c>
      <c r="O202" s="128">
        <v>1440</v>
      </c>
      <c r="P202" s="128">
        <v>8544700000</v>
      </c>
      <c r="Q202" s="240">
        <v>3.1511849717256588</v>
      </c>
      <c r="R202" s="149" t="s">
        <v>9</v>
      </c>
      <c r="T202" s="168">
        <v>10.503949905752197</v>
      </c>
      <c r="U202" s="168">
        <v>6.3023699434513185</v>
      </c>
      <c r="V202" s="168">
        <v>5.2519749528760986</v>
      </c>
      <c r="W202" s="168">
        <v>4.2015799623008787</v>
      </c>
    </row>
    <row r="203" spans="1:23" s="129" customFormat="1" ht="14.25">
      <c r="A203" s="195" t="s">
        <v>1276</v>
      </c>
      <c r="B203" s="195" t="s">
        <v>656</v>
      </c>
      <c r="C203" s="195" t="s">
        <v>907</v>
      </c>
      <c r="D203" s="236" t="s">
        <v>936</v>
      </c>
      <c r="E203" s="128" t="s">
        <v>2632</v>
      </c>
      <c r="F203" s="128"/>
      <c r="G203" s="241" t="s">
        <v>1653</v>
      </c>
      <c r="H203" s="241" t="s">
        <v>2825</v>
      </c>
      <c r="I203" s="195" t="s">
        <v>1657</v>
      </c>
      <c r="J203" s="128"/>
      <c r="K203" s="236" t="s">
        <v>60</v>
      </c>
      <c r="L203" s="227"/>
      <c r="M203" s="236" t="s">
        <v>912</v>
      </c>
      <c r="N203" s="128" t="s">
        <v>913</v>
      </c>
      <c r="O203" s="128">
        <v>720</v>
      </c>
      <c r="P203" s="128">
        <v>8544700000</v>
      </c>
      <c r="Q203" s="240">
        <v>3.6555409666715839</v>
      </c>
      <c r="R203" s="149" t="s">
        <v>9</v>
      </c>
      <c r="T203" s="168">
        <v>12.185136555571948</v>
      </c>
      <c r="U203" s="168">
        <v>7.3110819333431678</v>
      </c>
      <c r="V203" s="168">
        <v>6.0925682777859738</v>
      </c>
      <c r="W203" s="168">
        <v>4.8740546222287797</v>
      </c>
    </row>
    <row r="204" spans="1:23" s="129" customFormat="1" ht="14.25">
      <c r="A204" s="195" t="s">
        <v>1276</v>
      </c>
      <c r="B204" s="195" t="s">
        <v>656</v>
      </c>
      <c r="C204" s="195" t="s">
        <v>907</v>
      </c>
      <c r="D204" s="236" t="s">
        <v>936</v>
      </c>
      <c r="E204" s="128" t="s">
        <v>2632</v>
      </c>
      <c r="F204" s="128"/>
      <c r="G204" s="241" t="s">
        <v>1654</v>
      </c>
      <c r="H204" s="241" t="s">
        <v>2825</v>
      </c>
      <c r="I204" s="195" t="s">
        <v>1658</v>
      </c>
      <c r="J204" s="128"/>
      <c r="K204" s="236" t="s">
        <v>60</v>
      </c>
      <c r="L204" s="227"/>
      <c r="M204" s="236" t="s">
        <v>912</v>
      </c>
      <c r="N204" s="128" t="s">
        <v>913</v>
      </c>
      <c r="O204" s="128">
        <v>480</v>
      </c>
      <c r="P204" s="128">
        <v>8544700000</v>
      </c>
      <c r="Q204" s="240">
        <v>4.2694333032617173</v>
      </c>
      <c r="R204" s="149" t="s">
        <v>9</v>
      </c>
      <c r="T204" s="168">
        <v>14.231444344205725</v>
      </c>
      <c r="U204" s="168">
        <v>8.5388666065234347</v>
      </c>
      <c r="V204" s="168">
        <v>7.1157221721028625</v>
      </c>
      <c r="W204" s="168">
        <v>5.6925777376822904</v>
      </c>
    </row>
    <row r="205" spans="1:23" s="129" customFormat="1" ht="14.25">
      <c r="A205" s="195" t="s">
        <v>1276</v>
      </c>
      <c r="B205" s="195" t="s">
        <v>656</v>
      </c>
      <c r="C205" s="195" t="s">
        <v>907</v>
      </c>
      <c r="D205" s="236" t="s">
        <v>936</v>
      </c>
      <c r="E205" s="128" t="s">
        <v>2632</v>
      </c>
      <c r="F205" s="128"/>
      <c r="G205" s="241" t="s">
        <v>1044</v>
      </c>
      <c r="H205" s="241" t="s">
        <v>2945</v>
      </c>
      <c r="I205" s="195" t="s">
        <v>1046</v>
      </c>
      <c r="J205" s="128"/>
      <c r="K205" s="236" t="s">
        <v>60</v>
      </c>
      <c r="L205" s="227"/>
      <c r="M205" s="236" t="s">
        <v>912</v>
      </c>
      <c r="N205" s="128" t="s">
        <v>913</v>
      </c>
      <c r="O205" s="128">
        <v>2160</v>
      </c>
      <c r="P205" s="128">
        <v>8544700000</v>
      </c>
      <c r="Q205" s="240">
        <v>2.7328685427694794</v>
      </c>
      <c r="R205" s="149" t="s">
        <v>9</v>
      </c>
      <c r="T205" s="168">
        <v>9.1095618092315984</v>
      </c>
      <c r="U205" s="168">
        <v>5.4657370855389589</v>
      </c>
      <c r="V205" s="168">
        <v>4.5547809046157992</v>
      </c>
      <c r="W205" s="168">
        <v>3.6438247236926395</v>
      </c>
    </row>
    <row r="206" spans="1:23" s="129" customFormat="1" ht="14.25">
      <c r="A206" s="195" t="s">
        <v>1276</v>
      </c>
      <c r="B206" s="195" t="s">
        <v>656</v>
      </c>
      <c r="C206" s="195" t="s">
        <v>907</v>
      </c>
      <c r="D206" s="236" t="s">
        <v>936</v>
      </c>
      <c r="E206" s="128" t="s">
        <v>2632</v>
      </c>
      <c r="F206" s="128"/>
      <c r="G206" s="241" t="s">
        <v>1047</v>
      </c>
      <c r="H206" s="241" t="s">
        <v>2946</v>
      </c>
      <c r="I206" s="195" t="s">
        <v>1049</v>
      </c>
      <c r="J206" s="128"/>
      <c r="K206" s="236" t="s">
        <v>60</v>
      </c>
      <c r="L206" s="227"/>
      <c r="M206" s="236" t="s">
        <v>912</v>
      </c>
      <c r="N206" s="128" t="s">
        <v>913</v>
      </c>
      <c r="O206" s="128">
        <v>1920</v>
      </c>
      <c r="P206" s="128">
        <v>8544700000</v>
      </c>
      <c r="Q206" s="240">
        <v>2.8401411666063323</v>
      </c>
      <c r="R206" s="149" t="s">
        <v>9</v>
      </c>
      <c r="T206" s="168">
        <v>9.4671372220211083</v>
      </c>
      <c r="U206" s="168">
        <v>5.6802823332126646</v>
      </c>
      <c r="V206" s="168">
        <v>4.7335686110105542</v>
      </c>
      <c r="W206" s="168">
        <v>3.7868548888084437</v>
      </c>
    </row>
    <row r="207" spans="1:23" s="129" customFormat="1" ht="14.25">
      <c r="A207" s="195" t="s">
        <v>1276</v>
      </c>
      <c r="B207" s="195" t="s">
        <v>656</v>
      </c>
      <c r="C207" s="195" t="s">
        <v>907</v>
      </c>
      <c r="D207" s="236" t="s">
        <v>936</v>
      </c>
      <c r="E207" s="128" t="s">
        <v>2632</v>
      </c>
      <c r="F207" s="128"/>
      <c r="G207" s="241" t="s">
        <v>1050</v>
      </c>
      <c r="H207" s="241" t="s">
        <v>2947</v>
      </c>
      <c r="I207" s="195" t="s">
        <v>1052</v>
      </c>
      <c r="J207" s="128"/>
      <c r="K207" s="236" t="s">
        <v>60</v>
      </c>
      <c r="L207" s="227"/>
      <c r="M207" s="236" t="s">
        <v>912</v>
      </c>
      <c r="N207" s="128" t="s">
        <v>913</v>
      </c>
      <c r="O207" s="128">
        <v>1920</v>
      </c>
      <c r="P207" s="128">
        <v>8544700000</v>
      </c>
      <c r="Q207" s="240">
        <v>2.9389034418593076</v>
      </c>
      <c r="R207" s="149" t="s">
        <v>9</v>
      </c>
      <c r="T207" s="168">
        <v>9.796344806197693</v>
      </c>
      <c r="U207" s="168">
        <v>5.8778068837186153</v>
      </c>
      <c r="V207" s="168">
        <v>4.8981724030988465</v>
      </c>
      <c r="W207" s="168">
        <v>3.9185379224790773</v>
      </c>
    </row>
    <row r="208" spans="1:23" s="129" customFormat="1" ht="14.25">
      <c r="A208" s="195" t="s">
        <v>1276</v>
      </c>
      <c r="B208" s="195" t="s">
        <v>656</v>
      </c>
      <c r="C208" s="195" t="s">
        <v>907</v>
      </c>
      <c r="D208" s="236" t="s">
        <v>936</v>
      </c>
      <c r="E208" s="128" t="s">
        <v>2632</v>
      </c>
      <c r="F208" s="128"/>
      <c r="G208" s="241" t="s">
        <v>1053</v>
      </c>
      <c r="H208" s="241" t="s">
        <v>2948</v>
      </c>
      <c r="I208" s="195" t="s">
        <v>1055</v>
      </c>
      <c r="J208" s="128"/>
      <c r="K208" s="236" t="s">
        <v>60</v>
      </c>
      <c r="L208" s="227"/>
      <c r="M208" s="236" t="s">
        <v>912</v>
      </c>
      <c r="N208" s="128" t="s">
        <v>913</v>
      </c>
      <c r="O208" s="128">
        <v>1440</v>
      </c>
      <c r="P208" s="128">
        <v>8544700000</v>
      </c>
      <c r="Q208" s="240">
        <v>3.1511849717256588</v>
      </c>
      <c r="R208" s="149" t="s">
        <v>9</v>
      </c>
      <c r="T208" s="168">
        <v>10.503949905752197</v>
      </c>
      <c r="U208" s="168">
        <v>6.3023699434513185</v>
      </c>
      <c r="V208" s="168">
        <v>5.2519749528760986</v>
      </c>
      <c r="W208" s="168">
        <v>4.2015799623008787</v>
      </c>
    </row>
    <row r="209" spans="1:23" s="129" customFormat="1" ht="14.25">
      <c r="A209" s="195" t="s">
        <v>1276</v>
      </c>
      <c r="B209" s="195" t="s">
        <v>656</v>
      </c>
      <c r="C209" s="195" t="s">
        <v>907</v>
      </c>
      <c r="D209" s="236" t="s">
        <v>936</v>
      </c>
      <c r="E209" s="128" t="s">
        <v>2632</v>
      </c>
      <c r="F209" s="128"/>
      <c r="G209" s="241" t="s">
        <v>1784</v>
      </c>
      <c r="H209" s="241" t="s">
        <v>2825</v>
      </c>
      <c r="I209" s="195" t="s">
        <v>1657</v>
      </c>
      <c r="J209" s="128"/>
      <c r="K209" s="236" t="s">
        <v>60</v>
      </c>
      <c r="L209" s="227"/>
      <c r="M209" s="236" t="s">
        <v>912</v>
      </c>
      <c r="N209" s="128" t="s">
        <v>913</v>
      </c>
      <c r="O209" s="128">
        <v>720</v>
      </c>
      <c r="P209" s="128">
        <v>8544700000</v>
      </c>
      <c r="Q209" s="240">
        <v>3.6555409666715839</v>
      </c>
      <c r="R209" s="149" t="s">
        <v>9</v>
      </c>
      <c r="T209" s="168">
        <v>12.185136555571948</v>
      </c>
      <c r="U209" s="168">
        <v>7.3110819333431678</v>
      </c>
      <c r="V209" s="168">
        <v>6.0925682777859738</v>
      </c>
      <c r="W209" s="168">
        <v>4.8740546222287797</v>
      </c>
    </row>
    <row r="210" spans="1:23" s="129" customFormat="1" ht="14.25">
      <c r="A210" s="195" t="s">
        <v>1276</v>
      </c>
      <c r="B210" s="195" t="s">
        <v>656</v>
      </c>
      <c r="C210" s="195" t="s">
        <v>907</v>
      </c>
      <c r="D210" s="236" t="s">
        <v>908</v>
      </c>
      <c r="E210" s="128" t="s">
        <v>1785</v>
      </c>
      <c r="F210" s="128"/>
      <c r="G210" s="241" t="s">
        <v>1020</v>
      </c>
      <c r="H210" s="241" t="s">
        <v>2937</v>
      </c>
      <c r="I210" s="195" t="s">
        <v>1022</v>
      </c>
      <c r="J210" s="128"/>
      <c r="K210" s="236" t="s">
        <v>60</v>
      </c>
      <c r="L210" s="227"/>
      <c r="M210" s="236" t="s">
        <v>912</v>
      </c>
      <c r="N210" s="128" t="s">
        <v>913</v>
      </c>
      <c r="O210" s="128">
        <v>2160</v>
      </c>
      <c r="P210" s="128">
        <v>8544700000</v>
      </c>
      <c r="Q210" s="240">
        <v>2.7418469314288405</v>
      </c>
      <c r="R210" s="149" t="s">
        <v>9</v>
      </c>
      <c r="T210" s="168">
        <v>9.1394897714294689</v>
      </c>
      <c r="U210" s="168">
        <v>5.483693862857681</v>
      </c>
      <c r="V210" s="168">
        <v>4.5697448857147345</v>
      </c>
      <c r="W210" s="168">
        <v>3.6557959085717879</v>
      </c>
    </row>
    <row r="211" spans="1:23" s="129" customFormat="1" ht="14.25">
      <c r="A211" s="195" t="s">
        <v>1276</v>
      </c>
      <c r="B211" s="195" t="s">
        <v>656</v>
      </c>
      <c r="C211" s="195" t="s">
        <v>907</v>
      </c>
      <c r="D211" s="236" t="s">
        <v>908</v>
      </c>
      <c r="E211" s="128" t="s">
        <v>1785</v>
      </c>
      <c r="F211" s="128"/>
      <c r="G211" s="241" t="s">
        <v>1023</v>
      </c>
      <c r="H211" s="241" t="s">
        <v>2938</v>
      </c>
      <c r="I211" s="195" t="s">
        <v>1025</v>
      </c>
      <c r="J211" s="128"/>
      <c r="K211" s="236" t="s">
        <v>60</v>
      </c>
      <c r="L211" s="227"/>
      <c r="M211" s="236" t="s">
        <v>912</v>
      </c>
      <c r="N211" s="128" t="s">
        <v>913</v>
      </c>
      <c r="O211" s="128">
        <v>1920</v>
      </c>
      <c r="P211" s="128">
        <v>8544700000</v>
      </c>
      <c r="Q211" s="240">
        <v>2.8580979439250549</v>
      </c>
      <c r="R211" s="149" t="s">
        <v>9</v>
      </c>
      <c r="T211" s="168">
        <v>9.5269931464168494</v>
      </c>
      <c r="U211" s="168">
        <v>5.7161958878501098</v>
      </c>
      <c r="V211" s="168">
        <v>4.7634965732084247</v>
      </c>
      <c r="W211" s="168">
        <v>3.81079725856674</v>
      </c>
    </row>
    <row r="212" spans="1:23" s="129" customFormat="1" ht="14.25">
      <c r="A212" s="195" t="s">
        <v>1276</v>
      </c>
      <c r="B212" s="195" t="s">
        <v>656</v>
      </c>
      <c r="C212" s="195" t="s">
        <v>907</v>
      </c>
      <c r="D212" s="236" t="s">
        <v>908</v>
      </c>
      <c r="E212" s="128" t="s">
        <v>1785</v>
      </c>
      <c r="F212" s="128"/>
      <c r="G212" s="241" t="s">
        <v>1026</v>
      </c>
      <c r="H212" s="241" t="s">
        <v>2939</v>
      </c>
      <c r="I212" s="195" t="s">
        <v>1028</v>
      </c>
      <c r="J212" s="128"/>
      <c r="K212" s="236" t="s">
        <v>60</v>
      </c>
      <c r="L212" s="227"/>
      <c r="M212" s="236" t="s">
        <v>912</v>
      </c>
      <c r="N212" s="128" t="s">
        <v>913</v>
      </c>
      <c r="O212" s="128">
        <v>1920</v>
      </c>
      <c r="P212" s="128">
        <v>8544700000</v>
      </c>
      <c r="Q212" s="240">
        <v>2.9658386078373922</v>
      </c>
      <c r="R212" s="149" t="s">
        <v>9</v>
      </c>
      <c r="T212" s="168">
        <v>9.8861286927913081</v>
      </c>
      <c r="U212" s="168">
        <v>5.9316772156747843</v>
      </c>
      <c r="V212" s="168">
        <v>4.9430643463956541</v>
      </c>
      <c r="W212" s="168">
        <v>3.9544514771165233</v>
      </c>
    </row>
    <row r="213" spans="1:23" s="129" customFormat="1" ht="14.25">
      <c r="A213" s="195" t="s">
        <v>1276</v>
      </c>
      <c r="B213" s="195" t="s">
        <v>656</v>
      </c>
      <c r="C213" s="195" t="s">
        <v>907</v>
      </c>
      <c r="D213" s="236" t="s">
        <v>908</v>
      </c>
      <c r="E213" s="128" t="s">
        <v>1785</v>
      </c>
      <c r="F213" s="128"/>
      <c r="G213" s="241" t="s">
        <v>1029</v>
      </c>
      <c r="H213" s="241" t="s">
        <v>2940</v>
      </c>
      <c r="I213" s="195" t="s">
        <v>1031</v>
      </c>
      <c r="J213" s="128"/>
      <c r="K213" s="236" t="s">
        <v>60</v>
      </c>
      <c r="L213" s="227"/>
      <c r="M213" s="236" t="s">
        <v>912</v>
      </c>
      <c r="N213" s="128" t="s">
        <v>913</v>
      </c>
      <c r="O213" s="128">
        <v>1440</v>
      </c>
      <c r="P213" s="128">
        <v>8544700000</v>
      </c>
      <c r="Q213" s="240">
        <v>3.196076915022465</v>
      </c>
      <c r="R213" s="149" t="s">
        <v>9</v>
      </c>
      <c r="T213" s="168">
        <v>10.65358971674155</v>
      </c>
      <c r="U213" s="168">
        <v>6.3921538300449301</v>
      </c>
      <c r="V213" s="168">
        <v>5.3267948583707749</v>
      </c>
      <c r="W213" s="168">
        <v>4.2614358866966198</v>
      </c>
    </row>
    <row r="214" spans="1:23" s="129" customFormat="1" ht="14.25">
      <c r="A214" s="195" t="s">
        <v>1276</v>
      </c>
      <c r="B214" s="195" t="s">
        <v>656</v>
      </c>
      <c r="C214" s="195" t="s">
        <v>907</v>
      </c>
      <c r="D214" s="236" t="s">
        <v>908</v>
      </c>
      <c r="E214" s="128" t="s">
        <v>1785</v>
      </c>
      <c r="F214" s="128"/>
      <c r="G214" s="241" t="s">
        <v>1644</v>
      </c>
      <c r="H214" s="241" t="s">
        <v>2825</v>
      </c>
      <c r="I214" s="195" t="s">
        <v>1788</v>
      </c>
      <c r="J214" s="128"/>
      <c r="K214" s="236" t="s">
        <v>60</v>
      </c>
      <c r="L214" s="227"/>
      <c r="M214" s="236" t="s">
        <v>912</v>
      </c>
      <c r="N214" s="128" t="s">
        <v>913</v>
      </c>
      <c r="O214" s="128">
        <v>720</v>
      </c>
      <c r="P214" s="128">
        <v>8544700000</v>
      </c>
      <c r="Q214" s="240">
        <v>3.7453248532651968</v>
      </c>
      <c r="R214" s="149" t="s">
        <v>9</v>
      </c>
      <c r="T214" s="168">
        <v>12.484416177550656</v>
      </c>
      <c r="U214" s="168">
        <v>7.4906497065303936</v>
      </c>
      <c r="V214" s="168">
        <v>6.2422080887753282</v>
      </c>
      <c r="W214" s="168">
        <v>4.9937664710202627</v>
      </c>
    </row>
    <row r="215" spans="1:23" s="129" customFormat="1" ht="14.25">
      <c r="A215" s="195" t="s">
        <v>1276</v>
      </c>
      <c r="B215" s="195" t="s">
        <v>656</v>
      </c>
      <c r="C215" s="195" t="s">
        <v>907</v>
      </c>
      <c r="D215" s="236" t="s">
        <v>908</v>
      </c>
      <c r="E215" s="128" t="s">
        <v>1785</v>
      </c>
      <c r="F215" s="128"/>
      <c r="G215" s="241" t="s">
        <v>1645</v>
      </c>
      <c r="H215" s="241" t="s">
        <v>2825</v>
      </c>
      <c r="I215" s="195" t="s">
        <v>1790</v>
      </c>
      <c r="J215" s="128"/>
      <c r="K215" s="236" t="s">
        <v>60</v>
      </c>
      <c r="L215" s="227"/>
      <c r="M215" s="236" t="s">
        <v>912</v>
      </c>
      <c r="N215" s="128" t="s">
        <v>913</v>
      </c>
      <c r="O215" s="128">
        <v>480</v>
      </c>
      <c r="P215" s="128">
        <v>8544700000</v>
      </c>
      <c r="Q215" s="240">
        <v>4.4041091331521383</v>
      </c>
      <c r="R215" s="149" t="s">
        <v>9</v>
      </c>
      <c r="T215" s="168">
        <v>14.680363777173795</v>
      </c>
      <c r="U215" s="168">
        <v>8.8082182663042765</v>
      </c>
      <c r="V215" s="168">
        <v>7.3401818885868977</v>
      </c>
      <c r="W215" s="168">
        <v>5.8721455108695189</v>
      </c>
    </row>
    <row r="216" spans="1:23" s="129" customFormat="1" ht="14.25">
      <c r="A216" s="195" t="s">
        <v>1276</v>
      </c>
      <c r="B216" s="195" t="s">
        <v>656</v>
      </c>
      <c r="C216" s="195" t="s">
        <v>907</v>
      </c>
      <c r="D216" s="236" t="s">
        <v>923</v>
      </c>
      <c r="E216" s="128" t="s">
        <v>1785</v>
      </c>
      <c r="F216" s="128"/>
      <c r="G216" s="241" t="s">
        <v>1032</v>
      </c>
      <c r="H216" s="241" t="s">
        <v>2941</v>
      </c>
      <c r="I216" s="195" t="s">
        <v>1034</v>
      </c>
      <c r="J216" s="128"/>
      <c r="K216" s="236" t="s">
        <v>60</v>
      </c>
      <c r="L216" s="227"/>
      <c r="M216" s="236" t="s">
        <v>912</v>
      </c>
      <c r="N216" s="128" t="s">
        <v>913</v>
      </c>
      <c r="O216" s="128">
        <v>2160</v>
      </c>
      <c r="P216" s="128">
        <v>8544700000</v>
      </c>
      <c r="Q216" s="240">
        <v>2.7418469314288405</v>
      </c>
      <c r="R216" s="149" t="s">
        <v>9</v>
      </c>
      <c r="T216" s="168">
        <v>9.1394897714294689</v>
      </c>
      <c r="U216" s="168">
        <v>5.483693862857681</v>
      </c>
      <c r="V216" s="168">
        <v>4.5697448857147345</v>
      </c>
      <c r="W216" s="168">
        <v>3.6557959085717879</v>
      </c>
    </row>
    <row r="217" spans="1:23" s="129" customFormat="1" ht="14.25">
      <c r="A217" s="195" t="s">
        <v>1276</v>
      </c>
      <c r="B217" s="195" t="s">
        <v>656</v>
      </c>
      <c r="C217" s="195" t="s">
        <v>907</v>
      </c>
      <c r="D217" s="236" t="s">
        <v>923</v>
      </c>
      <c r="E217" s="128" t="s">
        <v>1785</v>
      </c>
      <c r="F217" s="128"/>
      <c r="G217" s="241" t="s">
        <v>1035</v>
      </c>
      <c r="H217" s="241" t="s">
        <v>2942</v>
      </c>
      <c r="I217" s="195" t="s">
        <v>1037</v>
      </c>
      <c r="J217" s="128"/>
      <c r="K217" s="236" t="s">
        <v>60</v>
      </c>
      <c r="L217" s="227"/>
      <c r="M217" s="236" t="s">
        <v>912</v>
      </c>
      <c r="N217" s="128" t="s">
        <v>913</v>
      </c>
      <c r="O217" s="128">
        <v>1920</v>
      </c>
      <c r="P217" s="128">
        <v>8544700000</v>
      </c>
      <c r="Q217" s="240">
        <v>2.8580979439250549</v>
      </c>
      <c r="R217" s="149" t="s">
        <v>9</v>
      </c>
      <c r="T217" s="168">
        <v>9.5269931464168494</v>
      </c>
      <c r="U217" s="168">
        <v>5.7161958878501098</v>
      </c>
      <c r="V217" s="168">
        <v>4.7634965732084247</v>
      </c>
      <c r="W217" s="168">
        <v>3.81079725856674</v>
      </c>
    </row>
    <row r="218" spans="1:23" s="129" customFormat="1" ht="14.25">
      <c r="A218" s="195" t="s">
        <v>1276</v>
      </c>
      <c r="B218" s="195" t="s">
        <v>656</v>
      </c>
      <c r="C218" s="195" t="s">
        <v>907</v>
      </c>
      <c r="D218" s="236" t="s">
        <v>923</v>
      </c>
      <c r="E218" s="128" t="s">
        <v>1785</v>
      </c>
      <c r="F218" s="128"/>
      <c r="G218" s="241" t="s">
        <v>1038</v>
      </c>
      <c r="H218" s="241" t="s">
        <v>2943</v>
      </c>
      <c r="I218" s="195" t="s">
        <v>1040</v>
      </c>
      <c r="J218" s="128"/>
      <c r="K218" s="236" t="s">
        <v>60</v>
      </c>
      <c r="L218" s="227"/>
      <c r="M218" s="236" t="s">
        <v>912</v>
      </c>
      <c r="N218" s="128" t="s">
        <v>913</v>
      </c>
      <c r="O218" s="128">
        <v>1920</v>
      </c>
      <c r="P218" s="128">
        <v>8544700000</v>
      </c>
      <c r="Q218" s="240">
        <v>2.9658386078373922</v>
      </c>
      <c r="R218" s="149" t="s">
        <v>9</v>
      </c>
      <c r="T218" s="168">
        <v>9.8861286927913081</v>
      </c>
      <c r="U218" s="168">
        <v>5.9316772156747843</v>
      </c>
      <c r="V218" s="168">
        <v>4.9430643463956541</v>
      </c>
      <c r="W218" s="168">
        <v>3.9544514771165233</v>
      </c>
    </row>
    <row r="219" spans="1:23" s="129" customFormat="1" ht="14.25">
      <c r="A219" s="195" t="s">
        <v>1276</v>
      </c>
      <c r="B219" s="195" t="s">
        <v>656</v>
      </c>
      <c r="C219" s="195" t="s">
        <v>907</v>
      </c>
      <c r="D219" s="236" t="s">
        <v>923</v>
      </c>
      <c r="E219" s="128" t="s">
        <v>1785</v>
      </c>
      <c r="F219" s="128"/>
      <c r="G219" s="241" t="s">
        <v>1041</v>
      </c>
      <c r="H219" s="241" t="s">
        <v>2944</v>
      </c>
      <c r="I219" s="195" t="s">
        <v>1043</v>
      </c>
      <c r="J219" s="128"/>
      <c r="K219" s="236" t="s">
        <v>60</v>
      </c>
      <c r="L219" s="227"/>
      <c r="M219" s="236" t="s">
        <v>912</v>
      </c>
      <c r="N219" s="128" t="s">
        <v>913</v>
      </c>
      <c r="O219" s="128">
        <v>1440</v>
      </c>
      <c r="P219" s="128">
        <v>8544700000</v>
      </c>
      <c r="Q219" s="240">
        <v>3.196076915022465</v>
      </c>
      <c r="R219" s="149" t="s">
        <v>9</v>
      </c>
      <c r="T219" s="168">
        <v>10.65358971674155</v>
      </c>
      <c r="U219" s="168">
        <v>6.3921538300449301</v>
      </c>
      <c r="V219" s="168">
        <v>5.3267948583707749</v>
      </c>
      <c r="W219" s="168">
        <v>4.2614358866966198</v>
      </c>
    </row>
    <row r="220" spans="1:23" s="129" customFormat="1" ht="14.25">
      <c r="A220" s="195" t="s">
        <v>1276</v>
      </c>
      <c r="B220" s="195" t="s">
        <v>656</v>
      </c>
      <c r="C220" s="195" t="s">
        <v>907</v>
      </c>
      <c r="D220" s="236" t="s">
        <v>923</v>
      </c>
      <c r="E220" s="128" t="s">
        <v>1785</v>
      </c>
      <c r="F220" s="128"/>
      <c r="G220" s="241" t="s">
        <v>1471</v>
      </c>
      <c r="H220" s="241" t="s">
        <v>2825</v>
      </c>
      <c r="I220" s="195" t="s">
        <v>1792</v>
      </c>
      <c r="J220" s="128"/>
      <c r="K220" s="236" t="s">
        <v>60</v>
      </c>
      <c r="L220" s="227"/>
      <c r="M220" s="236" t="s">
        <v>912</v>
      </c>
      <c r="N220" s="128" t="s">
        <v>913</v>
      </c>
      <c r="O220" s="128">
        <v>720</v>
      </c>
      <c r="P220" s="128">
        <v>8544700000</v>
      </c>
      <c r="Q220" s="240">
        <v>3.7453248532651968</v>
      </c>
      <c r="R220" s="149" t="s">
        <v>9</v>
      </c>
      <c r="T220" s="168">
        <v>12.484416177550656</v>
      </c>
      <c r="U220" s="168">
        <v>7.4906497065303936</v>
      </c>
      <c r="V220" s="168">
        <v>6.2422080887753282</v>
      </c>
      <c r="W220" s="168">
        <v>4.9937664710202627</v>
      </c>
    </row>
    <row r="221" spans="1:23" s="129" customFormat="1" ht="14.25">
      <c r="A221" s="195" t="s">
        <v>1276</v>
      </c>
      <c r="B221" s="195" t="s">
        <v>656</v>
      </c>
      <c r="C221" s="195" t="s">
        <v>907</v>
      </c>
      <c r="D221" s="236" t="s">
        <v>923</v>
      </c>
      <c r="E221" s="128" t="s">
        <v>1785</v>
      </c>
      <c r="F221" s="128"/>
      <c r="G221" s="241" t="s">
        <v>1650</v>
      </c>
      <c r="H221" s="241" t="s">
        <v>2825</v>
      </c>
      <c r="I221" s="195" t="s">
        <v>1794</v>
      </c>
      <c r="J221" s="128"/>
      <c r="K221" s="236" t="s">
        <v>60</v>
      </c>
      <c r="L221" s="227"/>
      <c r="M221" s="236" t="s">
        <v>912</v>
      </c>
      <c r="N221" s="128" t="s">
        <v>913</v>
      </c>
      <c r="O221" s="128">
        <v>480</v>
      </c>
      <c r="P221" s="128">
        <v>8544700000</v>
      </c>
      <c r="Q221" s="240">
        <v>4.4041091331521383</v>
      </c>
      <c r="R221" s="149" t="s">
        <v>9</v>
      </c>
      <c r="T221" s="168">
        <v>14.680363777173795</v>
      </c>
      <c r="U221" s="168">
        <v>8.8082182663042765</v>
      </c>
      <c r="V221" s="168">
        <v>7.3401818885868977</v>
      </c>
      <c r="W221" s="168">
        <v>5.8721455108695189</v>
      </c>
    </row>
    <row r="222" spans="1:23" s="129" customFormat="1" ht="14.25">
      <c r="A222" s="195" t="s">
        <v>1276</v>
      </c>
      <c r="B222" s="195" t="s">
        <v>656</v>
      </c>
      <c r="C222" s="195" t="s">
        <v>907</v>
      </c>
      <c r="D222" s="236" t="s">
        <v>936</v>
      </c>
      <c r="E222" s="128" t="s">
        <v>1785</v>
      </c>
      <c r="F222" s="128"/>
      <c r="G222" s="241" t="s">
        <v>1044</v>
      </c>
      <c r="H222" s="241" t="s">
        <v>2945</v>
      </c>
      <c r="I222" s="195" t="s">
        <v>1046</v>
      </c>
      <c r="J222" s="128"/>
      <c r="K222" s="236" t="s">
        <v>60</v>
      </c>
      <c r="L222" s="227"/>
      <c r="M222" s="236" t="s">
        <v>912</v>
      </c>
      <c r="N222" s="128" t="s">
        <v>913</v>
      </c>
      <c r="O222" s="128">
        <v>2160</v>
      </c>
      <c r="P222" s="128">
        <v>8544700000</v>
      </c>
      <c r="Q222" s="240">
        <v>2.7418469314288405</v>
      </c>
      <c r="R222" s="149" t="s">
        <v>9</v>
      </c>
      <c r="T222" s="168">
        <v>9.1394897714294689</v>
      </c>
      <c r="U222" s="168">
        <v>5.483693862857681</v>
      </c>
      <c r="V222" s="168">
        <v>4.5697448857147345</v>
      </c>
      <c r="W222" s="168">
        <v>3.6557959085717879</v>
      </c>
    </row>
    <row r="223" spans="1:23" s="129" customFormat="1" ht="14.25">
      <c r="A223" s="195" t="s">
        <v>1276</v>
      </c>
      <c r="B223" s="195" t="s">
        <v>656</v>
      </c>
      <c r="C223" s="195" t="s">
        <v>907</v>
      </c>
      <c r="D223" s="236" t="s">
        <v>936</v>
      </c>
      <c r="E223" s="128" t="s">
        <v>1785</v>
      </c>
      <c r="F223" s="128"/>
      <c r="G223" s="241" t="s">
        <v>1047</v>
      </c>
      <c r="H223" s="241" t="s">
        <v>2946</v>
      </c>
      <c r="I223" s="195" t="s">
        <v>1049</v>
      </c>
      <c r="J223" s="128"/>
      <c r="K223" s="236" t="s">
        <v>60</v>
      </c>
      <c r="L223" s="227"/>
      <c r="M223" s="236" t="s">
        <v>912</v>
      </c>
      <c r="N223" s="128" t="s">
        <v>913</v>
      </c>
      <c r="O223" s="128">
        <v>1920</v>
      </c>
      <c r="P223" s="128">
        <v>8544700000</v>
      </c>
      <c r="Q223" s="240">
        <v>2.8580979439250549</v>
      </c>
      <c r="R223" s="149" t="s">
        <v>9</v>
      </c>
      <c r="T223" s="168">
        <v>9.5269931464168494</v>
      </c>
      <c r="U223" s="168">
        <v>5.7161958878501098</v>
      </c>
      <c r="V223" s="168">
        <v>4.7634965732084247</v>
      </c>
      <c r="W223" s="168">
        <v>3.81079725856674</v>
      </c>
    </row>
    <row r="224" spans="1:23" s="129" customFormat="1" ht="14.25">
      <c r="A224" s="195" t="s">
        <v>1276</v>
      </c>
      <c r="B224" s="195" t="s">
        <v>656</v>
      </c>
      <c r="C224" s="195" t="s">
        <v>907</v>
      </c>
      <c r="D224" s="236" t="s">
        <v>936</v>
      </c>
      <c r="E224" s="128" t="s">
        <v>1785</v>
      </c>
      <c r="F224" s="128"/>
      <c r="G224" s="241" t="s">
        <v>1050</v>
      </c>
      <c r="H224" s="241" t="s">
        <v>2947</v>
      </c>
      <c r="I224" s="195" t="s">
        <v>1052</v>
      </c>
      <c r="J224" s="128"/>
      <c r="K224" s="236" t="s">
        <v>60</v>
      </c>
      <c r="L224" s="227"/>
      <c r="M224" s="236" t="s">
        <v>912</v>
      </c>
      <c r="N224" s="128" t="s">
        <v>913</v>
      </c>
      <c r="O224" s="128">
        <v>1920</v>
      </c>
      <c r="P224" s="128">
        <v>8544700000</v>
      </c>
      <c r="Q224" s="240">
        <v>2.9658386078373922</v>
      </c>
      <c r="R224" s="149" t="s">
        <v>9</v>
      </c>
      <c r="T224" s="168">
        <v>9.8861286927913081</v>
      </c>
      <c r="U224" s="168">
        <v>5.9316772156747843</v>
      </c>
      <c r="V224" s="168">
        <v>4.9430643463956541</v>
      </c>
      <c r="W224" s="168">
        <v>3.9544514771165233</v>
      </c>
    </row>
    <row r="225" spans="1:23" s="129" customFormat="1" ht="14.25">
      <c r="A225" s="195" t="s">
        <v>1276</v>
      </c>
      <c r="B225" s="195" t="s">
        <v>656</v>
      </c>
      <c r="C225" s="195" t="s">
        <v>907</v>
      </c>
      <c r="D225" s="236" t="s">
        <v>936</v>
      </c>
      <c r="E225" s="128" t="s">
        <v>1785</v>
      </c>
      <c r="F225" s="128"/>
      <c r="G225" s="241" t="s">
        <v>1053</v>
      </c>
      <c r="H225" s="241" t="s">
        <v>2948</v>
      </c>
      <c r="I225" s="195" t="s">
        <v>1055</v>
      </c>
      <c r="J225" s="128"/>
      <c r="K225" s="236" t="s">
        <v>60</v>
      </c>
      <c r="L225" s="227"/>
      <c r="M225" s="236" t="s">
        <v>912</v>
      </c>
      <c r="N225" s="128" t="s">
        <v>913</v>
      </c>
      <c r="O225" s="128">
        <v>1440</v>
      </c>
      <c r="P225" s="128">
        <v>8544700000</v>
      </c>
      <c r="Q225" s="240">
        <v>3.196076915022465</v>
      </c>
      <c r="R225" s="149" t="s">
        <v>9</v>
      </c>
      <c r="T225" s="168">
        <v>10.65358971674155</v>
      </c>
      <c r="U225" s="168">
        <v>6.3921538300449301</v>
      </c>
      <c r="V225" s="168">
        <v>5.3267948583707749</v>
      </c>
      <c r="W225" s="168">
        <v>4.2614358866966198</v>
      </c>
    </row>
    <row r="226" spans="1:23" s="129" customFormat="1" ht="14.25">
      <c r="A226" s="195" t="s">
        <v>1276</v>
      </c>
      <c r="B226" s="195" t="s">
        <v>656</v>
      </c>
      <c r="C226" s="195" t="s">
        <v>907</v>
      </c>
      <c r="D226" s="236" t="s">
        <v>936</v>
      </c>
      <c r="E226" s="128" t="s">
        <v>1785</v>
      </c>
      <c r="F226" s="128"/>
      <c r="G226" s="241" t="s">
        <v>1653</v>
      </c>
      <c r="H226" s="241" t="s">
        <v>2825</v>
      </c>
      <c r="I226" s="195" t="s">
        <v>1796</v>
      </c>
      <c r="J226" s="128"/>
      <c r="K226" s="236" t="s">
        <v>60</v>
      </c>
      <c r="L226" s="227"/>
      <c r="M226" s="236" t="s">
        <v>912</v>
      </c>
      <c r="N226" s="128" t="s">
        <v>913</v>
      </c>
      <c r="O226" s="128">
        <v>720</v>
      </c>
      <c r="P226" s="128">
        <v>8544700000</v>
      </c>
      <c r="Q226" s="240">
        <v>3.7453248532651968</v>
      </c>
      <c r="R226" s="149" t="s">
        <v>9</v>
      </c>
      <c r="T226" s="168">
        <v>12.484416177550656</v>
      </c>
      <c r="U226" s="168">
        <v>7.4906497065303936</v>
      </c>
      <c r="V226" s="168">
        <v>6.2422080887753282</v>
      </c>
      <c r="W226" s="168">
        <v>4.9937664710202627</v>
      </c>
    </row>
    <row r="227" spans="1:23" s="129" customFormat="1" ht="14.25">
      <c r="A227" s="195" t="s">
        <v>1276</v>
      </c>
      <c r="B227" s="195" t="s">
        <v>656</v>
      </c>
      <c r="C227" s="195" t="s">
        <v>907</v>
      </c>
      <c r="D227" s="236" t="s">
        <v>936</v>
      </c>
      <c r="E227" s="128" t="s">
        <v>1785</v>
      </c>
      <c r="F227" s="128"/>
      <c r="G227" s="241" t="s">
        <v>1654</v>
      </c>
      <c r="H227" s="241" t="s">
        <v>2825</v>
      </c>
      <c r="I227" s="195" t="s">
        <v>1798</v>
      </c>
      <c r="J227" s="128"/>
      <c r="K227" s="236" t="s">
        <v>60</v>
      </c>
      <c r="L227" s="227"/>
      <c r="M227" s="236" t="s">
        <v>912</v>
      </c>
      <c r="N227" s="128" t="s">
        <v>913</v>
      </c>
      <c r="O227" s="128">
        <v>480</v>
      </c>
      <c r="P227" s="128">
        <v>8544700000</v>
      </c>
      <c r="Q227" s="240">
        <v>4.4041091331521383</v>
      </c>
      <c r="R227" s="149" t="s">
        <v>9</v>
      </c>
      <c r="T227" s="168">
        <v>14.680363777173795</v>
      </c>
      <c r="U227" s="168">
        <v>8.8082182663042765</v>
      </c>
      <c r="V227" s="168">
        <v>7.3401818885868977</v>
      </c>
      <c r="W227" s="168">
        <v>5.8721455108695189</v>
      </c>
    </row>
    <row r="228" spans="1:23" s="129" customFormat="1" ht="14.25">
      <c r="A228" s="195" t="s">
        <v>1276</v>
      </c>
      <c r="B228" s="195" t="s">
        <v>656</v>
      </c>
      <c r="C228" s="195" t="s">
        <v>907</v>
      </c>
      <c r="D228" s="236" t="s">
        <v>936</v>
      </c>
      <c r="E228" s="128" t="s">
        <v>1785</v>
      </c>
      <c r="F228" s="128"/>
      <c r="G228" s="241" t="s">
        <v>1044</v>
      </c>
      <c r="H228" s="241" t="s">
        <v>2945</v>
      </c>
      <c r="I228" s="195" t="s">
        <v>1046</v>
      </c>
      <c r="J228" s="128"/>
      <c r="K228" s="236" t="s">
        <v>60</v>
      </c>
      <c r="L228" s="227"/>
      <c r="M228" s="236" t="s">
        <v>912</v>
      </c>
      <c r="N228" s="128" t="s">
        <v>913</v>
      </c>
      <c r="O228" s="128">
        <v>2160</v>
      </c>
      <c r="P228" s="128">
        <v>8544700000</v>
      </c>
      <c r="Q228" s="240">
        <v>2.7418469314288405</v>
      </c>
      <c r="R228" s="149" t="s">
        <v>9</v>
      </c>
      <c r="T228" s="168">
        <v>9.1394897714294689</v>
      </c>
      <c r="U228" s="168">
        <v>5.483693862857681</v>
      </c>
      <c r="V228" s="168">
        <v>4.5697448857147345</v>
      </c>
      <c r="W228" s="168">
        <v>3.6557959085717879</v>
      </c>
    </row>
    <row r="229" spans="1:23" s="129" customFormat="1" ht="14.25">
      <c r="A229" s="195" t="s">
        <v>1276</v>
      </c>
      <c r="B229" s="195" t="s">
        <v>656</v>
      </c>
      <c r="C229" s="195" t="s">
        <v>907</v>
      </c>
      <c r="D229" s="236" t="s">
        <v>936</v>
      </c>
      <c r="E229" s="128" t="s">
        <v>1785</v>
      </c>
      <c r="F229" s="128"/>
      <c r="G229" s="241" t="s">
        <v>1047</v>
      </c>
      <c r="H229" s="241" t="s">
        <v>2946</v>
      </c>
      <c r="I229" s="195" t="s">
        <v>1049</v>
      </c>
      <c r="J229" s="128"/>
      <c r="K229" s="236" t="s">
        <v>60</v>
      </c>
      <c r="L229" s="227"/>
      <c r="M229" s="236" t="s">
        <v>912</v>
      </c>
      <c r="N229" s="128" t="s">
        <v>913</v>
      </c>
      <c r="O229" s="128">
        <v>1920</v>
      </c>
      <c r="P229" s="128">
        <v>8544700000</v>
      </c>
      <c r="Q229" s="240">
        <v>2.8580979439250549</v>
      </c>
      <c r="R229" s="149" t="s">
        <v>9</v>
      </c>
      <c r="T229" s="168">
        <v>9.5269931464168494</v>
      </c>
      <c r="U229" s="168">
        <v>5.7161958878501098</v>
      </c>
      <c r="V229" s="168">
        <v>4.7634965732084247</v>
      </c>
      <c r="W229" s="168">
        <v>3.81079725856674</v>
      </c>
    </row>
    <row r="230" spans="1:23" s="129" customFormat="1" ht="14.25">
      <c r="A230" s="195" t="s">
        <v>1276</v>
      </c>
      <c r="B230" s="195" t="s">
        <v>656</v>
      </c>
      <c r="C230" s="195" t="s">
        <v>907</v>
      </c>
      <c r="D230" s="236" t="s">
        <v>936</v>
      </c>
      <c r="E230" s="128" t="s">
        <v>1785</v>
      </c>
      <c r="F230" s="128"/>
      <c r="G230" s="241" t="s">
        <v>1050</v>
      </c>
      <c r="H230" s="241" t="s">
        <v>2947</v>
      </c>
      <c r="I230" s="195" t="s">
        <v>1052</v>
      </c>
      <c r="J230" s="128"/>
      <c r="K230" s="236" t="s">
        <v>60</v>
      </c>
      <c r="L230" s="227"/>
      <c r="M230" s="236" t="s">
        <v>912</v>
      </c>
      <c r="N230" s="128" t="s">
        <v>913</v>
      </c>
      <c r="O230" s="128">
        <v>1920</v>
      </c>
      <c r="P230" s="128">
        <v>8544700000</v>
      </c>
      <c r="Q230" s="240">
        <v>2.9658386078373922</v>
      </c>
      <c r="R230" s="149" t="s">
        <v>9</v>
      </c>
      <c r="T230" s="168">
        <v>9.8861286927913081</v>
      </c>
      <c r="U230" s="168">
        <v>5.9316772156747843</v>
      </c>
      <c r="V230" s="168">
        <v>4.9430643463956541</v>
      </c>
      <c r="W230" s="168">
        <v>3.9544514771165233</v>
      </c>
    </row>
    <row r="231" spans="1:23" s="129" customFormat="1" ht="14.25">
      <c r="A231" s="195" t="s">
        <v>1276</v>
      </c>
      <c r="B231" s="195" t="s">
        <v>656</v>
      </c>
      <c r="C231" s="195" t="s">
        <v>907</v>
      </c>
      <c r="D231" s="236" t="s">
        <v>936</v>
      </c>
      <c r="E231" s="128" t="s">
        <v>1785</v>
      </c>
      <c r="F231" s="128"/>
      <c r="G231" s="241" t="s">
        <v>1053</v>
      </c>
      <c r="H231" s="241" t="s">
        <v>2948</v>
      </c>
      <c r="I231" s="195" t="s">
        <v>1055</v>
      </c>
      <c r="J231" s="128"/>
      <c r="K231" s="236" t="s">
        <v>60</v>
      </c>
      <c r="L231" s="227"/>
      <c r="M231" s="236" t="s">
        <v>912</v>
      </c>
      <c r="N231" s="128" t="s">
        <v>913</v>
      </c>
      <c r="O231" s="128">
        <v>1440</v>
      </c>
      <c r="P231" s="128">
        <v>8544700000</v>
      </c>
      <c r="Q231" s="240">
        <v>3.196076915022465</v>
      </c>
      <c r="R231" s="149" t="s">
        <v>9</v>
      </c>
      <c r="T231" s="168">
        <v>10.65358971674155</v>
      </c>
      <c r="U231" s="168">
        <v>6.3921538300449301</v>
      </c>
      <c r="V231" s="168">
        <v>5.3267948583707749</v>
      </c>
      <c r="W231" s="168">
        <v>4.2614358866966198</v>
      </c>
    </row>
    <row r="232" spans="1:23" s="129" customFormat="1" ht="14.25">
      <c r="A232" s="195" t="s">
        <v>1276</v>
      </c>
      <c r="B232" s="195" t="s">
        <v>656</v>
      </c>
      <c r="C232" s="195" t="s">
        <v>907</v>
      </c>
      <c r="D232" s="236" t="s">
        <v>936</v>
      </c>
      <c r="E232" s="128" t="s">
        <v>1785</v>
      </c>
      <c r="F232" s="128"/>
      <c r="G232" s="241" t="s">
        <v>1784</v>
      </c>
      <c r="H232" s="241" t="s">
        <v>2825</v>
      </c>
      <c r="I232" s="195" t="s">
        <v>1796</v>
      </c>
      <c r="J232" s="128"/>
      <c r="K232" s="236" t="s">
        <v>60</v>
      </c>
      <c r="L232" s="227"/>
      <c r="M232" s="236" t="s">
        <v>912</v>
      </c>
      <c r="N232" s="128" t="s">
        <v>913</v>
      </c>
      <c r="O232" s="128">
        <v>720</v>
      </c>
      <c r="P232" s="128">
        <v>8544700000</v>
      </c>
      <c r="Q232" s="240">
        <v>3.7453248532651968</v>
      </c>
      <c r="R232" s="149" t="s">
        <v>9</v>
      </c>
      <c r="T232" s="168">
        <v>12.484416177550656</v>
      </c>
      <c r="U232" s="168">
        <v>7.4906497065303936</v>
      </c>
      <c r="V232" s="168">
        <v>6.2422080887753282</v>
      </c>
      <c r="W232" s="168">
        <v>4.9937664710202627</v>
      </c>
    </row>
    <row r="233" spans="1:23" s="129" customFormat="1" ht="14.25">
      <c r="A233" s="195" t="s">
        <v>1276</v>
      </c>
      <c r="B233" s="195" t="s">
        <v>656</v>
      </c>
      <c r="C233" s="195" t="s">
        <v>1056</v>
      </c>
      <c r="D233" s="236" t="s">
        <v>1056</v>
      </c>
      <c r="E233" s="128"/>
      <c r="F233" s="128"/>
      <c r="G233" s="241" t="s">
        <v>1057</v>
      </c>
      <c r="H233" s="241" t="s">
        <v>2949</v>
      </c>
      <c r="I233" s="195" t="s">
        <v>1058</v>
      </c>
      <c r="J233" s="128"/>
      <c r="K233" s="236" t="s">
        <v>60</v>
      </c>
      <c r="L233" s="227"/>
      <c r="M233" s="236" t="s">
        <v>241</v>
      </c>
      <c r="N233" s="128" t="s">
        <v>1059</v>
      </c>
      <c r="O233" s="128">
        <v>90</v>
      </c>
      <c r="P233" s="128" t="s">
        <v>630</v>
      </c>
      <c r="Q233" s="240">
        <v>15.214383637701019</v>
      </c>
      <c r="R233" s="149" t="s">
        <v>5</v>
      </c>
      <c r="T233" s="168">
        <v>50.714612125670065</v>
      </c>
      <c r="U233" s="168">
        <v>30.428767275402038</v>
      </c>
      <c r="V233" s="168">
        <v>25.357306062835033</v>
      </c>
      <c r="W233" s="168">
        <v>20.285844850268028</v>
      </c>
    </row>
    <row r="234" spans="1:23" s="129" customFormat="1" ht="14.25">
      <c r="A234" s="195" t="s">
        <v>1276</v>
      </c>
      <c r="B234" s="195" t="s">
        <v>656</v>
      </c>
      <c r="C234" s="195" t="s">
        <v>1056</v>
      </c>
      <c r="D234" s="236" t="s">
        <v>1056</v>
      </c>
      <c r="E234" s="128"/>
      <c r="F234" s="128"/>
      <c r="G234" s="241" t="s">
        <v>1455</v>
      </c>
      <c r="H234" s="241" t="s">
        <v>2950</v>
      </c>
      <c r="I234" s="195" t="s">
        <v>1061</v>
      </c>
      <c r="J234" s="128"/>
      <c r="K234" s="236" t="s">
        <v>60</v>
      </c>
      <c r="L234" s="227"/>
      <c r="M234" s="236" t="s">
        <v>241</v>
      </c>
      <c r="N234" s="128" t="s">
        <v>1059</v>
      </c>
      <c r="O234" s="128">
        <v>90</v>
      </c>
      <c r="P234" s="128" t="s">
        <v>630</v>
      </c>
      <c r="Q234" s="240">
        <v>13.873463446238675</v>
      </c>
      <c r="R234" s="149" t="s">
        <v>5</v>
      </c>
      <c r="T234" s="168">
        <v>46.244878154128919</v>
      </c>
      <c r="U234" s="168">
        <v>27.746926892477351</v>
      </c>
      <c r="V234" s="168">
        <v>23.12243907706446</v>
      </c>
      <c r="W234" s="168">
        <v>18.497951261651568</v>
      </c>
    </row>
    <row r="235" spans="1:23" s="129" customFormat="1" ht="14.25">
      <c r="A235" s="195" t="s">
        <v>1276</v>
      </c>
      <c r="B235" s="195" t="s">
        <v>656</v>
      </c>
      <c r="C235" s="195" t="s">
        <v>1056</v>
      </c>
      <c r="D235" s="236" t="s">
        <v>1056</v>
      </c>
      <c r="E235" s="128"/>
      <c r="F235" s="128"/>
      <c r="G235" s="241" t="s">
        <v>1708</v>
      </c>
      <c r="H235" s="241" t="s">
        <v>2825</v>
      </c>
      <c r="I235" s="195" t="s">
        <v>1715</v>
      </c>
      <c r="J235" s="128"/>
      <c r="K235" s="236" t="s">
        <v>60</v>
      </c>
      <c r="L235" s="227"/>
      <c r="M235" s="236" t="s">
        <v>241</v>
      </c>
      <c r="N235" s="128" t="s">
        <v>1059</v>
      </c>
      <c r="O235" s="128">
        <v>90</v>
      </c>
      <c r="P235" s="128" t="s">
        <v>630</v>
      </c>
      <c r="Q235" s="240">
        <v>24.315093879010117</v>
      </c>
      <c r="R235" s="149" t="s">
        <v>5</v>
      </c>
      <c r="T235" s="168">
        <v>81.050312930033726</v>
      </c>
      <c r="U235" s="168">
        <v>48.630187758020234</v>
      </c>
      <c r="V235" s="168">
        <v>40.525156465016863</v>
      </c>
      <c r="W235" s="168">
        <v>32.420125172013492</v>
      </c>
    </row>
    <row r="236" spans="1:23" s="129" customFormat="1" ht="14.25">
      <c r="A236" s="195" t="s">
        <v>1276</v>
      </c>
      <c r="B236" s="195" t="s">
        <v>656</v>
      </c>
      <c r="C236" s="195" t="s">
        <v>1056</v>
      </c>
      <c r="D236" s="236" t="s">
        <v>1056</v>
      </c>
      <c r="E236" s="128"/>
      <c r="F236" s="128"/>
      <c r="G236" s="241" t="s">
        <v>1709</v>
      </c>
      <c r="H236" s="241" t="s">
        <v>2825</v>
      </c>
      <c r="I236" s="195" t="s">
        <v>1716</v>
      </c>
      <c r="J236" s="128"/>
      <c r="K236" s="236" t="s">
        <v>60</v>
      </c>
      <c r="L236" s="227"/>
      <c r="M236" s="236" t="s">
        <v>241</v>
      </c>
      <c r="N236" s="128" t="s">
        <v>1059</v>
      </c>
      <c r="O236" s="128">
        <v>90</v>
      </c>
      <c r="P236" s="128" t="s">
        <v>630</v>
      </c>
      <c r="Q236" s="240">
        <v>28.843789203056033</v>
      </c>
      <c r="R236" s="149" t="s">
        <v>5</v>
      </c>
      <c r="T236" s="168">
        <v>96.145964010186788</v>
      </c>
      <c r="U236" s="168">
        <v>57.687578406112067</v>
      </c>
      <c r="V236" s="168">
        <v>48.072982005093394</v>
      </c>
      <c r="W236" s="168">
        <v>38.458385604074721</v>
      </c>
    </row>
    <row r="237" spans="1:23" s="129" customFormat="1" ht="14.25">
      <c r="A237" s="195" t="s">
        <v>1276</v>
      </c>
      <c r="B237" s="195" t="s">
        <v>656</v>
      </c>
      <c r="C237" s="195" t="s">
        <v>1056</v>
      </c>
      <c r="D237" s="236" t="s">
        <v>1056</v>
      </c>
      <c r="E237" s="128"/>
      <c r="F237" s="128"/>
      <c r="G237" s="241" t="s">
        <v>1710</v>
      </c>
      <c r="H237" s="241" t="s">
        <v>2825</v>
      </c>
      <c r="I237" s="195" t="s">
        <v>1717</v>
      </c>
      <c r="J237" s="128"/>
      <c r="K237" s="236" t="s">
        <v>60</v>
      </c>
      <c r="L237" s="227"/>
      <c r="M237" s="236" t="s">
        <v>241</v>
      </c>
      <c r="N237" s="128" t="s">
        <v>1059</v>
      </c>
      <c r="O237" s="128">
        <v>90</v>
      </c>
      <c r="P237" s="128" t="s">
        <v>630</v>
      </c>
      <c r="Q237" s="240">
        <v>38.102008912081168</v>
      </c>
      <c r="R237" s="149" t="s">
        <v>5</v>
      </c>
      <c r="T237" s="168">
        <v>127.0066963736039</v>
      </c>
      <c r="U237" s="168">
        <v>76.204017824162335</v>
      </c>
      <c r="V237" s="168">
        <v>63.503348186801951</v>
      </c>
      <c r="W237" s="168">
        <v>50.802678549441566</v>
      </c>
    </row>
    <row r="238" spans="1:23" s="129" customFormat="1" ht="14.25">
      <c r="A238" s="195" t="s">
        <v>1276</v>
      </c>
      <c r="B238" s="195" t="s">
        <v>656</v>
      </c>
      <c r="C238" s="195" t="s">
        <v>1056</v>
      </c>
      <c r="D238" s="236" t="s">
        <v>1056</v>
      </c>
      <c r="E238" s="128"/>
      <c r="F238" s="128"/>
      <c r="G238" s="241" t="s">
        <v>1711</v>
      </c>
      <c r="H238" s="241" t="s">
        <v>2825</v>
      </c>
      <c r="I238" s="195" t="s">
        <v>1718</v>
      </c>
      <c r="J238" s="128"/>
      <c r="K238" s="236" t="s">
        <v>60</v>
      </c>
      <c r="L238" s="227"/>
      <c r="M238" s="236" t="s">
        <v>241</v>
      </c>
      <c r="N238" s="128" t="s">
        <v>1059</v>
      </c>
      <c r="O238" s="128">
        <v>90</v>
      </c>
      <c r="P238" s="128" t="s">
        <v>630</v>
      </c>
      <c r="Q238" s="240">
        <v>56.638531236224779</v>
      </c>
      <c r="R238" s="149" t="s">
        <v>5</v>
      </c>
      <c r="T238" s="168">
        <v>188.79510412074927</v>
      </c>
      <c r="U238" s="168">
        <v>113.27706247244956</v>
      </c>
      <c r="V238" s="168">
        <v>94.397552060374636</v>
      </c>
      <c r="W238" s="168">
        <v>75.518041648299715</v>
      </c>
    </row>
    <row r="239" spans="1:23" s="129" customFormat="1" ht="14.25">
      <c r="A239" s="195" t="s">
        <v>1276</v>
      </c>
      <c r="B239" s="195" t="s">
        <v>656</v>
      </c>
      <c r="C239" s="195" t="s">
        <v>1056</v>
      </c>
      <c r="D239" s="236" t="s">
        <v>1056</v>
      </c>
      <c r="E239" s="128"/>
      <c r="F239" s="128"/>
      <c r="G239" s="241" t="s">
        <v>1712</v>
      </c>
      <c r="H239" s="241" t="s">
        <v>2825</v>
      </c>
      <c r="I239" s="195" t="s">
        <v>1719</v>
      </c>
      <c r="J239" s="128"/>
      <c r="K239" s="236" t="s">
        <v>60</v>
      </c>
      <c r="L239" s="227"/>
      <c r="M239" s="236" t="s">
        <v>241</v>
      </c>
      <c r="N239" s="128" t="s">
        <v>1059</v>
      </c>
      <c r="O239" s="128">
        <v>90</v>
      </c>
      <c r="P239" s="128" t="s">
        <v>630</v>
      </c>
      <c r="Q239" s="240">
        <v>25.483919013641923</v>
      </c>
      <c r="R239" s="149" t="s">
        <v>5</v>
      </c>
      <c r="T239" s="168">
        <v>84.946396712139745</v>
      </c>
      <c r="U239" s="168">
        <v>50.967838027283847</v>
      </c>
      <c r="V239" s="168">
        <v>42.473198356069872</v>
      </c>
      <c r="W239" s="168">
        <v>33.978558684855898</v>
      </c>
    </row>
    <row r="240" spans="1:23" s="129" customFormat="1" ht="14.25">
      <c r="A240" s="195" t="s">
        <v>1276</v>
      </c>
      <c r="B240" s="195" t="s">
        <v>656</v>
      </c>
      <c r="C240" s="195" t="s">
        <v>1056</v>
      </c>
      <c r="D240" s="236" t="s">
        <v>1056</v>
      </c>
      <c r="E240" s="128"/>
      <c r="F240" s="128"/>
      <c r="G240" s="241" t="s">
        <v>1713</v>
      </c>
      <c r="H240" s="241" t="s">
        <v>2825</v>
      </c>
      <c r="I240" s="195" t="s">
        <v>1720</v>
      </c>
      <c r="J240" s="128"/>
      <c r="K240" s="236" t="s">
        <v>60</v>
      </c>
      <c r="L240" s="227"/>
      <c r="M240" s="236" t="s">
        <v>241</v>
      </c>
      <c r="N240" s="128" t="s">
        <v>1059</v>
      </c>
      <c r="O240" s="128">
        <v>90</v>
      </c>
      <c r="P240" s="128" t="s">
        <v>630</v>
      </c>
      <c r="Q240" s="240">
        <v>31.181439472319649</v>
      </c>
      <c r="R240" s="149" t="s">
        <v>5</v>
      </c>
      <c r="T240" s="168">
        <v>103.93813157439884</v>
      </c>
      <c r="U240" s="168">
        <v>62.362878944639299</v>
      </c>
      <c r="V240" s="168">
        <v>51.969065787199419</v>
      </c>
      <c r="W240" s="168">
        <v>41.57525262975954</v>
      </c>
    </row>
    <row r="241" spans="1:23" s="129" customFormat="1" ht="14.25">
      <c r="A241" s="195" t="s">
        <v>1276</v>
      </c>
      <c r="B241" s="195" t="s">
        <v>656</v>
      </c>
      <c r="C241" s="195" t="s">
        <v>1056</v>
      </c>
      <c r="D241" s="236" t="s">
        <v>1056</v>
      </c>
      <c r="E241" s="128"/>
      <c r="F241" s="128"/>
      <c r="G241" s="241" t="s">
        <v>1714</v>
      </c>
      <c r="H241" s="241" t="s">
        <v>2825</v>
      </c>
      <c r="I241" s="195" t="s">
        <v>1721</v>
      </c>
      <c r="J241" s="128"/>
      <c r="K241" s="236" t="s">
        <v>60</v>
      </c>
      <c r="L241" s="227"/>
      <c r="M241" s="236" t="s">
        <v>241</v>
      </c>
      <c r="N241" s="128" t="s">
        <v>1059</v>
      </c>
      <c r="O241" s="128">
        <v>90</v>
      </c>
      <c r="P241" s="128" t="s">
        <v>630</v>
      </c>
      <c r="Q241" s="240">
        <v>42.777309450608399</v>
      </c>
      <c r="R241" s="149" t="s">
        <v>5</v>
      </c>
      <c r="T241" s="168">
        <v>142.59103150202802</v>
      </c>
      <c r="U241" s="168">
        <v>85.554618901216813</v>
      </c>
      <c r="V241" s="168">
        <v>71.295515751014008</v>
      </c>
      <c r="W241" s="168">
        <v>57.036412600811211</v>
      </c>
    </row>
    <row r="242" spans="1:23" s="129" customFormat="1" ht="14.25">
      <c r="A242" s="195" t="s">
        <v>1276</v>
      </c>
      <c r="B242" s="195" t="s">
        <v>656</v>
      </c>
      <c r="C242" s="195" t="s">
        <v>1056</v>
      </c>
      <c r="D242" s="236" t="s">
        <v>1056</v>
      </c>
      <c r="E242" s="128"/>
      <c r="F242" s="128"/>
      <c r="G242" s="241" t="s">
        <v>2212</v>
      </c>
      <c r="H242" s="241" t="s">
        <v>2825</v>
      </c>
      <c r="I242" s="195" t="s">
        <v>1722</v>
      </c>
      <c r="J242" s="128"/>
      <c r="K242" s="236" t="s">
        <v>60</v>
      </c>
      <c r="L242" s="227"/>
      <c r="M242" s="236" t="s">
        <v>241</v>
      </c>
      <c r="N242" s="128" t="s">
        <v>1059</v>
      </c>
      <c r="O242" s="128">
        <v>90</v>
      </c>
      <c r="P242" s="128" t="s">
        <v>630</v>
      </c>
      <c r="Q242" s="240">
        <v>65.989132313279256</v>
      </c>
      <c r="R242" s="149" t="s">
        <v>5</v>
      </c>
      <c r="T242" s="168">
        <v>219.96377437759753</v>
      </c>
      <c r="U242" s="168">
        <v>131.97826462655851</v>
      </c>
      <c r="V242" s="168">
        <v>109.98188718879877</v>
      </c>
      <c r="W242" s="168">
        <v>87.985509751039018</v>
      </c>
    </row>
    <row r="243" spans="1:23" s="129" customFormat="1" ht="14.25">
      <c r="A243" s="195" t="s">
        <v>1276</v>
      </c>
      <c r="B243" s="195" t="s">
        <v>656</v>
      </c>
      <c r="C243" s="195" t="s">
        <v>1056</v>
      </c>
      <c r="D243" s="236" t="s">
        <v>1056</v>
      </c>
      <c r="E243" s="128" t="s">
        <v>923</v>
      </c>
      <c r="F243" s="128"/>
      <c r="G243" s="241" t="s">
        <v>2438</v>
      </c>
      <c r="H243" s="241" t="s">
        <v>2951</v>
      </c>
      <c r="I243" s="195" t="s">
        <v>1322</v>
      </c>
      <c r="J243" s="128"/>
      <c r="K243" s="236" t="s">
        <v>60</v>
      </c>
      <c r="L243" s="227"/>
      <c r="M243" s="236" t="s">
        <v>241</v>
      </c>
      <c r="N243" s="128" t="s">
        <v>635</v>
      </c>
      <c r="O243" s="128">
        <v>540</v>
      </c>
      <c r="P243" s="128" t="s">
        <v>630</v>
      </c>
      <c r="Q243" s="240">
        <v>4.0902008060355239</v>
      </c>
      <c r="R243" s="149" t="s">
        <v>5</v>
      </c>
      <c r="T243" s="168">
        <v>13.634002686785081</v>
      </c>
      <c r="U243" s="168">
        <v>8.1804016120710479</v>
      </c>
      <c r="V243" s="168">
        <v>6.8170013433925405</v>
      </c>
      <c r="W243" s="168">
        <v>5.4536010747140331</v>
      </c>
    </row>
    <row r="244" spans="1:23" s="129" customFormat="1" ht="14.25">
      <c r="A244" s="195" t="s">
        <v>1276</v>
      </c>
      <c r="B244" s="195" t="s">
        <v>656</v>
      </c>
      <c r="C244" s="195" t="s">
        <v>1056</v>
      </c>
      <c r="D244" s="236" t="s">
        <v>1056</v>
      </c>
      <c r="E244" s="128" t="s">
        <v>923</v>
      </c>
      <c r="F244" s="128"/>
      <c r="G244" s="241" t="s">
        <v>1694</v>
      </c>
      <c r="H244" s="241" t="s">
        <v>2952</v>
      </c>
      <c r="I244" s="195" t="s">
        <v>1324</v>
      </c>
      <c r="J244" s="128"/>
      <c r="K244" s="236" t="s">
        <v>60</v>
      </c>
      <c r="L244" s="227"/>
      <c r="M244" s="236" t="s">
        <v>241</v>
      </c>
      <c r="N244" s="128" t="s">
        <v>635</v>
      </c>
      <c r="O244" s="128">
        <v>540</v>
      </c>
      <c r="P244" s="128" t="s">
        <v>630</v>
      </c>
      <c r="Q244" s="240">
        <v>3.0453279295713602</v>
      </c>
      <c r="R244" s="149" t="s">
        <v>5</v>
      </c>
      <c r="T244" s="168">
        <v>10.1510930985712</v>
      </c>
      <c r="U244" s="168">
        <v>6.0906558591427205</v>
      </c>
      <c r="V244" s="168">
        <v>5.0755465492856002</v>
      </c>
      <c r="W244" s="168">
        <v>4.06043723942848</v>
      </c>
    </row>
    <row r="245" spans="1:23" s="129" customFormat="1" ht="14.25">
      <c r="A245" s="195" t="s">
        <v>1276</v>
      </c>
      <c r="B245" s="195" t="s">
        <v>656</v>
      </c>
      <c r="C245" s="195" t="s">
        <v>1056</v>
      </c>
      <c r="D245" s="236" t="s">
        <v>1056</v>
      </c>
      <c r="E245" s="128" t="s">
        <v>923</v>
      </c>
      <c r="F245" s="128"/>
      <c r="G245" s="241" t="s">
        <v>1067</v>
      </c>
      <c r="H245" s="241" t="s">
        <v>2953</v>
      </c>
      <c r="I245" s="195" t="s">
        <v>1323</v>
      </c>
      <c r="J245" s="128"/>
      <c r="K245" s="236" t="s">
        <v>60</v>
      </c>
      <c r="L245" s="227"/>
      <c r="M245" s="236" t="s">
        <v>241</v>
      </c>
      <c r="N245" s="128" t="s">
        <v>635</v>
      </c>
      <c r="O245" s="128">
        <v>540</v>
      </c>
      <c r="P245" s="128" t="s">
        <v>630</v>
      </c>
      <c r="Q245" s="240">
        <v>3.0453279295713602</v>
      </c>
      <c r="R245" s="149" t="s">
        <v>5</v>
      </c>
      <c r="T245" s="168">
        <v>10.1510930985712</v>
      </c>
      <c r="U245" s="168">
        <v>6.0906558591427205</v>
      </c>
      <c r="V245" s="168">
        <v>5.0755465492856002</v>
      </c>
      <c r="W245" s="168">
        <v>4.06043723942848</v>
      </c>
    </row>
    <row r="246" spans="1:23" s="129" customFormat="1" ht="14.25">
      <c r="A246" s="195" t="s">
        <v>1276</v>
      </c>
      <c r="B246" s="195" t="s">
        <v>656</v>
      </c>
      <c r="C246" s="195" t="s">
        <v>1056</v>
      </c>
      <c r="D246" s="236" t="s">
        <v>1056</v>
      </c>
      <c r="E246" s="128" t="s">
        <v>923</v>
      </c>
      <c r="F246" s="128"/>
      <c r="G246" s="241" t="s">
        <v>1069</v>
      </c>
      <c r="H246" s="241" t="s">
        <v>2954</v>
      </c>
      <c r="I246" s="195" t="s">
        <v>1325</v>
      </c>
      <c r="J246" s="128"/>
      <c r="K246" s="236" t="s">
        <v>60</v>
      </c>
      <c r="L246" s="227"/>
      <c r="M246" s="236" t="s">
        <v>241</v>
      </c>
      <c r="N246" s="128" t="s">
        <v>635</v>
      </c>
      <c r="O246" s="128">
        <v>540</v>
      </c>
      <c r="P246" s="128" t="s">
        <v>630</v>
      </c>
      <c r="Q246" s="240">
        <v>2.5228914913392786</v>
      </c>
      <c r="R246" s="149" t="s">
        <v>5</v>
      </c>
      <c r="T246" s="168">
        <v>8.4096383044642629</v>
      </c>
      <c r="U246" s="168">
        <v>5.0457829826785572</v>
      </c>
      <c r="V246" s="168">
        <v>4.2048191522321314</v>
      </c>
      <c r="W246" s="168">
        <v>3.3638553217857052</v>
      </c>
    </row>
    <row r="247" spans="1:23" s="129" customFormat="1" ht="14.25">
      <c r="A247" s="195" t="s">
        <v>1276</v>
      </c>
      <c r="B247" s="195" t="s">
        <v>656</v>
      </c>
      <c r="C247" s="195" t="s">
        <v>1056</v>
      </c>
      <c r="D247" s="236" t="s">
        <v>1056</v>
      </c>
      <c r="E247" s="128" t="s">
        <v>1071</v>
      </c>
      <c r="F247" s="128"/>
      <c r="G247" s="241" t="s">
        <v>1072</v>
      </c>
      <c r="H247" s="241" t="s">
        <v>2955</v>
      </c>
      <c r="I247" s="195" t="s">
        <v>1074</v>
      </c>
      <c r="J247" s="128"/>
      <c r="K247" s="236" t="s">
        <v>60</v>
      </c>
      <c r="L247" s="227"/>
      <c r="M247" s="236" t="s">
        <v>241</v>
      </c>
      <c r="N247" s="128" t="s">
        <v>635</v>
      </c>
      <c r="O247" s="128">
        <v>540</v>
      </c>
      <c r="P247" s="128" t="s">
        <v>630</v>
      </c>
      <c r="Q247" s="240">
        <v>3.0453279295713602</v>
      </c>
      <c r="R247" s="149" t="s">
        <v>5</v>
      </c>
      <c r="T247" s="168">
        <v>10.1510930985712</v>
      </c>
      <c r="U247" s="168">
        <v>6.0906558591427205</v>
      </c>
      <c r="V247" s="168">
        <v>5.0755465492856002</v>
      </c>
      <c r="W247" s="168">
        <v>4.06043723942848</v>
      </c>
    </row>
    <row r="248" spans="1:23" s="129" customFormat="1" ht="14.25">
      <c r="A248" s="195" t="s">
        <v>1276</v>
      </c>
      <c r="B248" s="195" t="s">
        <v>656</v>
      </c>
      <c r="C248" s="195" t="s">
        <v>1056</v>
      </c>
      <c r="D248" s="236" t="s">
        <v>1056</v>
      </c>
      <c r="E248" s="128" t="s">
        <v>668</v>
      </c>
      <c r="F248" s="195"/>
      <c r="G248" s="238" t="s">
        <v>1335</v>
      </c>
      <c r="H248" s="238" t="s">
        <v>2956</v>
      </c>
      <c r="I248" s="237" t="s">
        <v>1359</v>
      </c>
      <c r="J248" s="128"/>
      <c r="K248" s="236" t="s">
        <v>60</v>
      </c>
      <c r="L248" s="236"/>
      <c r="M248" s="236" t="s">
        <v>241</v>
      </c>
      <c r="N248" s="128" t="s">
        <v>635</v>
      </c>
      <c r="O248" s="128">
        <v>540</v>
      </c>
      <c r="P248" s="128" t="s">
        <v>630</v>
      </c>
      <c r="Q248" s="240">
        <v>8.2696923118921752</v>
      </c>
      <c r="R248" s="149" t="s">
        <v>5</v>
      </c>
      <c r="T248" s="168">
        <v>27.565641039640585</v>
      </c>
      <c r="U248" s="168">
        <v>16.53938462378435</v>
      </c>
      <c r="V248" s="168">
        <v>13.782820519820293</v>
      </c>
      <c r="W248" s="168">
        <v>11.026256415856235</v>
      </c>
    </row>
    <row r="249" spans="1:23" s="129" customFormat="1" ht="14.25">
      <c r="A249" s="195" t="s">
        <v>1276</v>
      </c>
      <c r="B249" s="195" t="s">
        <v>656</v>
      </c>
      <c r="C249" s="195" t="s">
        <v>1056</v>
      </c>
      <c r="D249" s="236" t="s">
        <v>1056</v>
      </c>
      <c r="E249" s="128" t="s">
        <v>668</v>
      </c>
      <c r="F249" s="195"/>
      <c r="G249" s="238" t="s">
        <v>1337</v>
      </c>
      <c r="H249" s="238" t="s">
        <v>2957</v>
      </c>
      <c r="I249" s="237" t="s">
        <v>1360</v>
      </c>
      <c r="J249" s="128"/>
      <c r="K249" s="236" t="s">
        <v>60</v>
      </c>
      <c r="L249" s="236"/>
      <c r="M249" s="236" t="s">
        <v>241</v>
      </c>
      <c r="N249" s="128" t="s">
        <v>635</v>
      </c>
      <c r="O249" s="128">
        <v>540</v>
      </c>
      <c r="P249" s="128" t="s">
        <v>630</v>
      </c>
      <c r="Q249" s="240">
        <v>6.1799465589638487</v>
      </c>
      <c r="R249" s="149" t="s">
        <v>5</v>
      </c>
      <c r="T249" s="168">
        <v>20.599821863212831</v>
      </c>
      <c r="U249" s="168">
        <v>12.359893117927699</v>
      </c>
      <c r="V249" s="168">
        <v>10.299910931606416</v>
      </c>
      <c r="W249" s="168">
        <v>8.2399287452851322</v>
      </c>
    </row>
    <row r="250" spans="1:23" s="129" customFormat="1" ht="14.25">
      <c r="A250" s="195" t="s">
        <v>1276</v>
      </c>
      <c r="B250" s="195" t="s">
        <v>656</v>
      </c>
      <c r="C250" s="195" t="s">
        <v>1056</v>
      </c>
      <c r="D250" s="236" t="s">
        <v>1056</v>
      </c>
      <c r="E250" s="128" t="s">
        <v>658</v>
      </c>
      <c r="F250" s="195"/>
      <c r="G250" s="238" t="s">
        <v>1338</v>
      </c>
      <c r="H250" s="238" t="s">
        <v>2958</v>
      </c>
      <c r="I250" s="237" t="s">
        <v>1362</v>
      </c>
      <c r="J250" s="128"/>
      <c r="K250" s="236" t="s">
        <v>60</v>
      </c>
      <c r="L250" s="236"/>
      <c r="M250" s="236" t="s">
        <v>241</v>
      </c>
      <c r="N250" s="128" t="s">
        <v>635</v>
      </c>
      <c r="O250" s="128">
        <v>540</v>
      </c>
      <c r="P250" s="128" t="s">
        <v>630</v>
      </c>
      <c r="Q250" s="240">
        <v>10.3594380648205</v>
      </c>
      <c r="R250" s="149" t="s">
        <v>5</v>
      </c>
      <c r="T250" s="168">
        <v>34.531460216068332</v>
      </c>
      <c r="U250" s="168">
        <v>20.718876129641</v>
      </c>
      <c r="V250" s="168">
        <v>17.265730108034166</v>
      </c>
      <c r="W250" s="168">
        <v>13.812584086427334</v>
      </c>
    </row>
    <row r="251" spans="1:23" s="129" customFormat="1" ht="14.25">
      <c r="A251" s="195" t="s">
        <v>1276</v>
      </c>
      <c r="B251" s="195" t="s">
        <v>656</v>
      </c>
      <c r="C251" s="195" t="s">
        <v>1056</v>
      </c>
      <c r="D251" s="236" t="s">
        <v>1056</v>
      </c>
      <c r="E251" s="128" t="s">
        <v>658</v>
      </c>
      <c r="F251" s="195"/>
      <c r="G251" s="238" t="s">
        <v>1339</v>
      </c>
      <c r="H251" s="238" t="s">
        <v>2959</v>
      </c>
      <c r="I251" s="237" t="s">
        <v>1363</v>
      </c>
      <c r="J251" s="128"/>
      <c r="K251" s="236" t="s">
        <v>60</v>
      </c>
      <c r="L251" s="236"/>
      <c r="M251" s="236" t="s">
        <v>241</v>
      </c>
      <c r="N251" s="128" t="s">
        <v>635</v>
      </c>
      <c r="O251" s="128">
        <v>540</v>
      </c>
      <c r="P251" s="128" t="s">
        <v>630</v>
      </c>
      <c r="Q251" s="240">
        <v>6.7023829971959312</v>
      </c>
      <c r="R251" s="149" t="s">
        <v>5</v>
      </c>
      <c r="T251" s="168">
        <v>22.341276657319771</v>
      </c>
      <c r="U251" s="168">
        <v>13.404765994391862</v>
      </c>
      <c r="V251" s="168">
        <v>11.170638328659885</v>
      </c>
      <c r="W251" s="168">
        <v>8.9365106629279083</v>
      </c>
    </row>
    <row r="252" spans="1:23" s="129" customFormat="1" ht="14.25">
      <c r="A252" s="195" t="s">
        <v>1276</v>
      </c>
      <c r="B252" s="195" t="s">
        <v>656</v>
      </c>
      <c r="C252" s="195" t="s">
        <v>1056</v>
      </c>
      <c r="D252" s="236" t="s">
        <v>1056</v>
      </c>
      <c r="E252" s="128" t="s">
        <v>668</v>
      </c>
      <c r="F252" s="195"/>
      <c r="G252" s="238" t="s">
        <v>1340</v>
      </c>
      <c r="H252" s="238" t="s">
        <v>2960</v>
      </c>
      <c r="I252" s="237" t="s">
        <v>1364</v>
      </c>
      <c r="J252" s="128"/>
      <c r="K252" s="236" t="s">
        <v>60</v>
      </c>
      <c r="L252" s="236"/>
      <c r="M252" s="236" t="s">
        <v>241</v>
      </c>
      <c r="N252" s="128" t="s">
        <v>635</v>
      </c>
      <c r="O252" s="128">
        <v>540</v>
      </c>
      <c r="P252" s="128" t="s">
        <v>630</v>
      </c>
      <c r="Q252" s="240">
        <v>8.2696923118921752</v>
      </c>
      <c r="R252" s="149" t="s">
        <v>5</v>
      </c>
      <c r="T252" s="168">
        <v>27.565641039640585</v>
      </c>
      <c r="U252" s="168">
        <v>16.53938462378435</v>
      </c>
      <c r="V252" s="168">
        <v>13.782820519820293</v>
      </c>
      <c r="W252" s="168">
        <v>11.026256415856235</v>
      </c>
    </row>
    <row r="253" spans="1:23" s="129" customFormat="1" ht="14.25">
      <c r="A253" s="195" t="s">
        <v>1276</v>
      </c>
      <c r="B253" s="195" t="s">
        <v>656</v>
      </c>
      <c r="C253" s="195" t="s">
        <v>1056</v>
      </c>
      <c r="D253" s="236" t="s">
        <v>1056</v>
      </c>
      <c r="E253" s="128" t="s">
        <v>668</v>
      </c>
      <c r="F253" s="195"/>
      <c r="G253" s="238" t="s">
        <v>1341</v>
      </c>
      <c r="H253" s="238" t="s">
        <v>2961</v>
      </c>
      <c r="I253" s="237" t="s">
        <v>1365</v>
      </c>
      <c r="J253" s="128"/>
      <c r="K253" s="236" t="s">
        <v>60</v>
      </c>
      <c r="L253" s="236"/>
      <c r="M253" s="236" t="s">
        <v>241</v>
      </c>
      <c r="N253" s="128" t="s">
        <v>635</v>
      </c>
      <c r="O253" s="128">
        <v>540</v>
      </c>
      <c r="P253" s="128" t="s">
        <v>630</v>
      </c>
      <c r="Q253" s="240">
        <v>6.1799465589638487</v>
      </c>
      <c r="R253" s="149" t="s">
        <v>5</v>
      </c>
      <c r="T253" s="168">
        <v>20.599821863212831</v>
      </c>
      <c r="U253" s="168">
        <v>12.359893117927699</v>
      </c>
      <c r="V253" s="168">
        <v>10.299910931606416</v>
      </c>
      <c r="W253" s="168">
        <v>8.2399287452851322</v>
      </c>
    </row>
    <row r="254" spans="1:23" s="129" customFormat="1" ht="14.25">
      <c r="A254" s="195" t="s">
        <v>1276</v>
      </c>
      <c r="B254" s="195" t="s">
        <v>656</v>
      </c>
      <c r="C254" s="195" t="s">
        <v>1056</v>
      </c>
      <c r="D254" s="236" t="s">
        <v>1056</v>
      </c>
      <c r="E254" s="128" t="s">
        <v>658</v>
      </c>
      <c r="F254" s="195"/>
      <c r="G254" s="238" t="s">
        <v>1342</v>
      </c>
      <c r="H254" s="238" t="s">
        <v>2962</v>
      </c>
      <c r="I254" s="237" t="s">
        <v>1366</v>
      </c>
      <c r="J254" s="128"/>
      <c r="K254" s="236" t="s">
        <v>60</v>
      </c>
      <c r="L254" s="236"/>
      <c r="M254" s="236" t="s">
        <v>241</v>
      </c>
      <c r="N254" s="128" t="s">
        <v>635</v>
      </c>
      <c r="O254" s="128">
        <v>540</v>
      </c>
      <c r="P254" s="128" t="s">
        <v>630</v>
      </c>
      <c r="Q254" s="240">
        <v>10.3594380648205</v>
      </c>
      <c r="R254" s="149" t="s">
        <v>5</v>
      </c>
      <c r="T254" s="168">
        <v>34.531460216068332</v>
      </c>
      <c r="U254" s="168">
        <v>20.718876129641</v>
      </c>
      <c r="V254" s="168">
        <v>17.265730108034166</v>
      </c>
      <c r="W254" s="168">
        <v>13.812584086427334</v>
      </c>
    </row>
    <row r="255" spans="1:23" s="129" customFormat="1" ht="14.25">
      <c r="A255" s="195" t="s">
        <v>1276</v>
      </c>
      <c r="B255" s="195" t="s">
        <v>656</v>
      </c>
      <c r="C255" s="195" t="s">
        <v>1056</v>
      </c>
      <c r="D255" s="236" t="s">
        <v>1056</v>
      </c>
      <c r="E255" s="128" t="s">
        <v>658</v>
      </c>
      <c r="F255" s="195"/>
      <c r="G255" s="238" t="s">
        <v>1343</v>
      </c>
      <c r="H255" s="238" t="s">
        <v>2963</v>
      </c>
      <c r="I255" s="237" t="s">
        <v>1367</v>
      </c>
      <c r="J255" s="128"/>
      <c r="K255" s="236" t="s">
        <v>60</v>
      </c>
      <c r="L255" s="227"/>
      <c r="M255" s="236" t="s">
        <v>241</v>
      </c>
      <c r="N255" s="128" t="s">
        <v>635</v>
      </c>
      <c r="O255" s="128">
        <v>540</v>
      </c>
      <c r="P255" s="128" t="s">
        <v>630</v>
      </c>
      <c r="Q255" s="240">
        <v>6.7023829971959312</v>
      </c>
      <c r="R255" s="149" t="s">
        <v>5</v>
      </c>
      <c r="T255" s="168">
        <v>22.341276657319771</v>
      </c>
      <c r="U255" s="168">
        <v>13.404765994391862</v>
      </c>
      <c r="V255" s="168">
        <v>11.170638328659885</v>
      </c>
      <c r="W255" s="168">
        <v>8.9365106629279083</v>
      </c>
    </row>
    <row r="256" spans="1:23" s="129" customFormat="1" ht="14.25">
      <c r="A256" s="195" t="s">
        <v>1276</v>
      </c>
      <c r="B256" s="195" t="s">
        <v>656</v>
      </c>
      <c r="C256" s="195" t="s">
        <v>1079</v>
      </c>
      <c r="D256" s="236" t="s">
        <v>668</v>
      </c>
      <c r="E256" s="128" t="s">
        <v>1679</v>
      </c>
      <c r="F256" s="128"/>
      <c r="G256" s="241" t="s">
        <v>1080</v>
      </c>
      <c r="H256" s="241" t="s">
        <v>2964</v>
      </c>
      <c r="I256" s="195" t="s">
        <v>1082</v>
      </c>
      <c r="J256" s="128"/>
      <c r="K256" s="236" t="s">
        <v>60</v>
      </c>
      <c r="L256" s="227"/>
      <c r="M256" s="236" t="s">
        <v>912</v>
      </c>
      <c r="N256" s="128" t="s">
        <v>635</v>
      </c>
      <c r="O256" s="128">
        <v>10800</v>
      </c>
      <c r="P256" s="128">
        <v>8544700000</v>
      </c>
      <c r="Q256" s="240">
        <v>0.43284006997130958</v>
      </c>
      <c r="R256" s="149" t="s">
        <v>9</v>
      </c>
      <c r="T256" s="168">
        <v>1.4428002332376986</v>
      </c>
      <c r="U256" s="168">
        <v>0.86568013994261916</v>
      </c>
      <c r="V256" s="168">
        <v>0.72140011661884929</v>
      </c>
      <c r="W256" s="168">
        <v>0.57712009329507941</v>
      </c>
    </row>
    <row r="257" spans="1:23" s="129" customFormat="1" ht="14.25">
      <c r="A257" s="195" t="s">
        <v>1276</v>
      </c>
      <c r="B257" s="195" t="s">
        <v>656</v>
      </c>
      <c r="C257" s="195" t="s">
        <v>1079</v>
      </c>
      <c r="D257" s="236" t="s">
        <v>658</v>
      </c>
      <c r="E257" s="128" t="s">
        <v>1679</v>
      </c>
      <c r="F257" s="128"/>
      <c r="G257" s="241" t="s">
        <v>1083</v>
      </c>
      <c r="H257" s="241" t="s">
        <v>2965</v>
      </c>
      <c r="I257" s="195" t="s">
        <v>1085</v>
      </c>
      <c r="J257" s="128"/>
      <c r="K257" s="236" t="s">
        <v>60</v>
      </c>
      <c r="L257" s="227"/>
      <c r="M257" s="236" t="s">
        <v>912</v>
      </c>
      <c r="N257" s="128" t="s">
        <v>635</v>
      </c>
      <c r="O257" s="128">
        <v>10800</v>
      </c>
      <c r="P257" s="128">
        <v>8544700000</v>
      </c>
      <c r="Q257" s="240">
        <v>0.43284006997130958</v>
      </c>
      <c r="R257" s="149" t="s">
        <v>9</v>
      </c>
      <c r="T257" s="168">
        <v>1.4428002332376986</v>
      </c>
      <c r="U257" s="168">
        <v>0.86568013994261916</v>
      </c>
      <c r="V257" s="168">
        <v>0.72140011661884929</v>
      </c>
      <c r="W257" s="168">
        <v>0.57712009329507941</v>
      </c>
    </row>
    <row r="258" spans="1:23" s="129" customFormat="1" ht="14.25">
      <c r="A258" s="195" t="s">
        <v>1276</v>
      </c>
      <c r="B258" s="195" t="s">
        <v>656</v>
      </c>
      <c r="C258" s="195" t="s">
        <v>1079</v>
      </c>
      <c r="D258" s="236" t="s">
        <v>668</v>
      </c>
      <c r="E258" s="128" t="s">
        <v>1686</v>
      </c>
      <c r="F258" s="128"/>
      <c r="G258" s="241" t="s">
        <v>1086</v>
      </c>
      <c r="H258" s="241" t="s">
        <v>2966</v>
      </c>
      <c r="I258" s="195" t="s">
        <v>1088</v>
      </c>
      <c r="J258" s="128"/>
      <c r="K258" s="236" t="s">
        <v>60</v>
      </c>
      <c r="L258" s="227"/>
      <c r="M258" s="236" t="s">
        <v>912</v>
      </c>
      <c r="N258" s="128" t="s">
        <v>635</v>
      </c>
      <c r="O258" s="128">
        <v>10800</v>
      </c>
      <c r="P258" s="128">
        <v>8544700000</v>
      </c>
      <c r="Q258" s="240">
        <v>0.54884085145025852</v>
      </c>
      <c r="R258" s="149" t="s">
        <v>9</v>
      </c>
      <c r="T258" s="168">
        <v>1.8294695048341951</v>
      </c>
      <c r="U258" s="168">
        <v>1.097681702900517</v>
      </c>
      <c r="V258" s="168">
        <v>0.91473475241709756</v>
      </c>
      <c r="W258" s="168">
        <v>0.73178780193367809</v>
      </c>
    </row>
    <row r="259" spans="1:23" s="129" customFormat="1" ht="14.25">
      <c r="A259" s="195" t="s">
        <v>1276</v>
      </c>
      <c r="B259" s="195" t="s">
        <v>656</v>
      </c>
      <c r="C259" s="195" t="s">
        <v>1079</v>
      </c>
      <c r="D259" s="236" t="s">
        <v>658</v>
      </c>
      <c r="E259" s="128" t="s">
        <v>765</v>
      </c>
      <c r="F259" s="128"/>
      <c r="G259" s="241" t="s">
        <v>1089</v>
      </c>
      <c r="H259" s="241" t="s">
        <v>2967</v>
      </c>
      <c r="I259" s="195" t="s">
        <v>1090</v>
      </c>
      <c r="J259" s="128"/>
      <c r="K259" s="236" t="s">
        <v>60</v>
      </c>
      <c r="L259" s="227"/>
      <c r="M259" s="236" t="s">
        <v>912</v>
      </c>
      <c r="N259" s="128" t="s">
        <v>635</v>
      </c>
      <c r="O259" s="128">
        <v>10800</v>
      </c>
      <c r="P259" s="128">
        <v>8544700000</v>
      </c>
      <c r="Q259" s="240">
        <v>0.54884085145025852</v>
      </c>
      <c r="R259" s="149" t="s">
        <v>9</v>
      </c>
      <c r="T259" s="168">
        <v>1.8294695048341951</v>
      </c>
      <c r="U259" s="168">
        <v>1.097681702900517</v>
      </c>
      <c r="V259" s="168">
        <v>0.91473475241709756</v>
      </c>
      <c r="W259" s="168">
        <v>0.73178780193367809</v>
      </c>
    </row>
    <row r="260" spans="1:23" s="129" customFormat="1" ht="14.25">
      <c r="A260" s="195" t="s">
        <v>1276</v>
      </c>
      <c r="B260" s="195" t="s">
        <v>656</v>
      </c>
      <c r="C260" s="195" t="s">
        <v>1079</v>
      </c>
      <c r="D260" s="236" t="s">
        <v>668</v>
      </c>
      <c r="E260" s="128" t="s">
        <v>1736</v>
      </c>
      <c r="F260" s="128"/>
      <c r="G260" s="241" t="s">
        <v>1097</v>
      </c>
      <c r="H260" s="241" t="s">
        <v>2968</v>
      </c>
      <c r="I260" s="195" t="s">
        <v>1099</v>
      </c>
      <c r="J260" s="128"/>
      <c r="K260" s="236" t="s">
        <v>60</v>
      </c>
      <c r="L260" s="227"/>
      <c r="M260" s="236" t="s">
        <v>912</v>
      </c>
      <c r="N260" s="128" t="s">
        <v>635</v>
      </c>
      <c r="O260" s="128">
        <v>10800</v>
      </c>
      <c r="P260" s="128">
        <v>8544700000</v>
      </c>
      <c r="Q260" s="240">
        <v>0.39162926602484094</v>
      </c>
      <c r="R260" s="149" t="s">
        <v>9</v>
      </c>
      <c r="T260" s="168">
        <v>1.3054308867494699</v>
      </c>
      <c r="U260" s="168">
        <v>0.78325853204968199</v>
      </c>
      <c r="V260" s="168">
        <v>0.65271544337473497</v>
      </c>
      <c r="W260" s="168">
        <v>0.52217235469978796</v>
      </c>
    </row>
    <row r="261" spans="1:23" s="129" customFormat="1" ht="14.25">
      <c r="A261" s="195" t="s">
        <v>1276</v>
      </c>
      <c r="B261" s="195" t="s">
        <v>656</v>
      </c>
      <c r="C261" s="195" t="s">
        <v>1079</v>
      </c>
      <c r="D261" s="236" t="s">
        <v>658</v>
      </c>
      <c r="E261" s="128" t="s">
        <v>1736</v>
      </c>
      <c r="F261" s="128"/>
      <c r="G261" s="241" t="s">
        <v>1693</v>
      </c>
      <c r="H261" s="241" t="s">
        <v>2969</v>
      </c>
      <c r="I261" s="195" t="s">
        <v>1101</v>
      </c>
      <c r="J261" s="128"/>
      <c r="K261" s="236" t="s">
        <v>60</v>
      </c>
      <c r="L261" s="227"/>
      <c r="M261" s="236" t="s">
        <v>912</v>
      </c>
      <c r="N261" s="128" t="s">
        <v>635</v>
      </c>
      <c r="O261" s="128">
        <v>10800</v>
      </c>
      <c r="P261" s="128">
        <v>8544700000</v>
      </c>
      <c r="Q261" s="240">
        <v>0.39162926602484094</v>
      </c>
      <c r="R261" s="149" t="s">
        <v>9</v>
      </c>
      <c r="T261" s="168">
        <v>1.3054308867494699</v>
      </c>
      <c r="U261" s="168">
        <v>0.78325853204968199</v>
      </c>
      <c r="V261" s="168">
        <v>0.65271544337473497</v>
      </c>
      <c r="W261" s="168">
        <v>0.52217235469978796</v>
      </c>
    </row>
    <row r="262" spans="1:23" s="129" customFormat="1" ht="14.25">
      <c r="A262" s="195" t="s">
        <v>1276</v>
      </c>
      <c r="B262" s="195" t="s">
        <v>656</v>
      </c>
      <c r="C262" s="195" t="s">
        <v>1079</v>
      </c>
      <c r="D262" s="236" t="s">
        <v>668</v>
      </c>
      <c r="E262" s="128" t="s">
        <v>1786</v>
      </c>
      <c r="F262" s="128"/>
      <c r="G262" s="241" t="s">
        <v>1097</v>
      </c>
      <c r="H262" s="241" t="s">
        <v>2968</v>
      </c>
      <c r="I262" s="195" t="s">
        <v>1099</v>
      </c>
      <c r="J262" s="128"/>
      <c r="K262" s="236" t="s">
        <v>60</v>
      </c>
      <c r="L262" s="227"/>
      <c r="M262" s="236" t="s">
        <v>912</v>
      </c>
      <c r="N262" s="128" t="s">
        <v>635</v>
      </c>
      <c r="O262" s="128">
        <v>10800</v>
      </c>
      <c r="P262" s="128">
        <v>8544700000</v>
      </c>
      <c r="Q262" s="240">
        <v>0.40078722245738951</v>
      </c>
      <c r="R262" s="149" t="s">
        <v>9</v>
      </c>
      <c r="T262" s="168">
        <v>1.3359574081912984</v>
      </c>
      <c r="U262" s="168">
        <v>0.80157444491477903</v>
      </c>
      <c r="V262" s="168">
        <v>0.66797870409564919</v>
      </c>
      <c r="W262" s="168">
        <v>0.53438296327651935</v>
      </c>
    </row>
    <row r="263" spans="1:23" s="129" customFormat="1" ht="14.25">
      <c r="A263" s="195" t="s">
        <v>1276</v>
      </c>
      <c r="B263" s="195" t="s">
        <v>656</v>
      </c>
      <c r="C263" s="195" t="s">
        <v>1079</v>
      </c>
      <c r="D263" s="236" t="s">
        <v>658</v>
      </c>
      <c r="E263" s="128" t="s">
        <v>1786</v>
      </c>
      <c r="F263" s="128"/>
      <c r="G263" s="241" t="s">
        <v>1100</v>
      </c>
      <c r="H263" s="241" t="s">
        <v>2969</v>
      </c>
      <c r="I263" s="195" t="s">
        <v>1101</v>
      </c>
      <c r="J263" s="128"/>
      <c r="K263" s="236" t="s">
        <v>60</v>
      </c>
      <c r="L263" s="227"/>
      <c r="M263" s="236" t="s">
        <v>912</v>
      </c>
      <c r="N263" s="128" t="s">
        <v>635</v>
      </c>
      <c r="O263" s="128">
        <v>10800</v>
      </c>
      <c r="P263" s="128">
        <v>8544700000</v>
      </c>
      <c r="Q263" s="240">
        <v>0.40078722245738951</v>
      </c>
      <c r="R263" s="149" t="s">
        <v>9</v>
      </c>
      <c r="T263" s="168">
        <v>1.3359574081912984</v>
      </c>
      <c r="U263" s="168">
        <v>0.80157444491477903</v>
      </c>
      <c r="V263" s="168">
        <v>0.66797870409564919</v>
      </c>
      <c r="W263" s="168">
        <v>0.53438296327651935</v>
      </c>
    </row>
    <row r="264" spans="1:23" s="129" customFormat="1" ht="14.25">
      <c r="A264" s="195" t="s">
        <v>1276</v>
      </c>
      <c r="B264" s="195" t="s">
        <v>656</v>
      </c>
      <c r="C264" s="195" t="s">
        <v>1079</v>
      </c>
      <c r="D264" s="236" t="s">
        <v>2530</v>
      </c>
      <c r="E264" s="128" t="s">
        <v>1679</v>
      </c>
      <c r="F264" s="128"/>
      <c r="G264" s="234" t="s">
        <v>2524</v>
      </c>
      <c r="H264" s="241"/>
      <c r="I264" s="195" t="s">
        <v>2546</v>
      </c>
      <c r="J264" s="128"/>
      <c r="K264" s="236" t="s">
        <v>1295</v>
      </c>
      <c r="L264" s="227"/>
      <c r="M264" s="195" t="s">
        <v>2532</v>
      </c>
      <c r="N264" s="128" t="s">
        <v>2534</v>
      </c>
      <c r="O264" s="128">
        <v>480</v>
      </c>
      <c r="P264" s="128"/>
      <c r="Q264" s="240">
        <v>5.6666636140145217</v>
      </c>
      <c r="R264" s="149" t="s">
        <v>281</v>
      </c>
      <c r="T264" s="168">
        <v>18.88887871338174</v>
      </c>
      <c r="U264" s="168">
        <v>11.333327228029043</v>
      </c>
      <c r="V264" s="168">
        <v>9.4444393566908698</v>
      </c>
      <c r="W264" s="168">
        <v>7.5555514853526962</v>
      </c>
    </row>
    <row r="265" spans="1:23" s="129" customFormat="1" ht="14.25">
      <c r="A265" s="195" t="s">
        <v>1276</v>
      </c>
      <c r="B265" s="195" t="s">
        <v>656</v>
      </c>
      <c r="C265" s="195" t="s">
        <v>1079</v>
      </c>
      <c r="D265" s="236" t="s">
        <v>2531</v>
      </c>
      <c r="E265" s="128" t="s">
        <v>1679</v>
      </c>
      <c r="F265" s="128"/>
      <c r="G265" s="234" t="s">
        <v>2525</v>
      </c>
      <c r="H265" s="241"/>
      <c r="I265" s="195" t="s">
        <v>2547</v>
      </c>
      <c r="J265" s="128"/>
      <c r="K265" s="236" t="s">
        <v>1295</v>
      </c>
      <c r="L265" s="227"/>
      <c r="M265" s="195" t="s">
        <v>2532</v>
      </c>
      <c r="N265" s="128" t="s">
        <v>2534</v>
      </c>
      <c r="O265" s="128">
        <v>480</v>
      </c>
      <c r="P265" s="128"/>
      <c r="Q265" s="240">
        <v>5.6666636140145217</v>
      </c>
      <c r="R265" s="149" t="s">
        <v>281</v>
      </c>
      <c r="T265" s="168">
        <v>18.88887871338174</v>
      </c>
      <c r="U265" s="168">
        <v>11.333327228029043</v>
      </c>
      <c r="V265" s="168">
        <v>9.4444393566908698</v>
      </c>
      <c r="W265" s="168">
        <v>7.5555514853526962</v>
      </c>
    </row>
    <row r="266" spans="1:23" s="129" customFormat="1" ht="14.25">
      <c r="A266" s="195" t="s">
        <v>1276</v>
      </c>
      <c r="B266" s="195" t="s">
        <v>656</v>
      </c>
      <c r="C266" s="195" t="s">
        <v>1079</v>
      </c>
      <c r="D266" s="236" t="s">
        <v>2530</v>
      </c>
      <c r="E266" s="128" t="s">
        <v>1686</v>
      </c>
      <c r="F266" s="128"/>
      <c r="G266" s="234" t="s">
        <v>2526</v>
      </c>
      <c r="H266" s="241"/>
      <c r="I266" s="195" t="s">
        <v>2548</v>
      </c>
      <c r="J266" s="128"/>
      <c r="K266" s="236" t="s">
        <v>1295</v>
      </c>
      <c r="L266" s="227"/>
      <c r="M266" s="195" t="s">
        <v>2532</v>
      </c>
      <c r="N266" s="128" t="s">
        <v>2534</v>
      </c>
      <c r="O266" s="128">
        <v>480</v>
      </c>
      <c r="P266" s="128"/>
      <c r="Q266" s="240">
        <v>6.7076179951808808</v>
      </c>
      <c r="R266" s="149" t="s">
        <v>281</v>
      </c>
      <c r="T266" s="168">
        <v>22.358726650602936</v>
      </c>
      <c r="U266" s="168">
        <v>13.415235990361762</v>
      </c>
      <c r="V266" s="168">
        <v>11.179363325301468</v>
      </c>
      <c r="W266" s="168">
        <v>8.9434906602411743</v>
      </c>
    </row>
    <row r="267" spans="1:23" s="129" customFormat="1" ht="14.25">
      <c r="A267" s="195" t="s">
        <v>1276</v>
      </c>
      <c r="B267" s="195" t="s">
        <v>656</v>
      </c>
      <c r="C267" s="195" t="s">
        <v>1079</v>
      </c>
      <c r="D267" s="236" t="s">
        <v>2531</v>
      </c>
      <c r="E267" s="128" t="s">
        <v>765</v>
      </c>
      <c r="F267" s="128"/>
      <c r="G267" s="234" t="s">
        <v>2527</v>
      </c>
      <c r="H267" s="241"/>
      <c r="I267" s="195" t="s">
        <v>2549</v>
      </c>
      <c r="J267" s="128"/>
      <c r="K267" s="236" t="s">
        <v>1295</v>
      </c>
      <c r="L267" s="227"/>
      <c r="M267" s="195" t="s">
        <v>2532</v>
      </c>
      <c r="N267" s="128" t="s">
        <v>2534</v>
      </c>
      <c r="O267" s="128">
        <v>480</v>
      </c>
      <c r="P267" s="128"/>
      <c r="Q267" s="240">
        <v>6.7076179951808808</v>
      </c>
      <c r="R267" s="149" t="s">
        <v>281</v>
      </c>
      <c r="T267" s="168">
        <v>22.358726650602936</v>
      </c>
      <c r="U267" s="168">
        <v>13.415235990361762</v>
      </c>
      <c r="V267" s="168">
        <v>11.179363325301468</v>
      </c>
      <c r="W267" s="168">
        <v>8.9434906602411743</v>
      </c>
    </row>
    <row r="268" spans="1:23" s="129" customFormat="1" ht="14.25">
      <c r="A268" s="195" t="s">
        <v>1276</v>
      </c>
      <c r="B268" s="195" t="s">
        <v>656</v>
      </c>
      <c r="C268" s="195" t="s">
        <v>1079</v>
      </c>
      <c r="D268" s="236" t="s">
        <v>2530</v>
      </c>
      <c r="E268" s="128" t="s">
        <v>820</v>
      </c>
      <c r="F268" s="128"/>
      <c r="G268" s="234" t="s">
        <v>2528</v>
      </c>
      <c r="H268" s="241"/>
      <c r="I268" s="195" t="s">
        <v>2550</v>
      </c>
      <c r="J268" s="128"/>
      <c r="K268" s="236" t="s">
        <v>1295</v>
      </c>
      <c r="L268" s="227"/>
      <c r="M268" s="195" t="s">
        <v>2532</v>
      </c>
      <c r="N268" s="128" t="s">
        <v>2534</v>
      </c>
      <c r="O268" s="128">
        <v>480</v>
      </c>
      <c r="P268" s="128"/>
      <c r="Q268" s="240">
        <v>9.0474758636970467</v>
      </c>
      <c r="R268" s="149" t="s">
        <v>281</v>
      </c>
      <c r="T268" s="168">
        <v>30.158252878990158</v>
      </c>
      <c r="U268" s="168">
        <v>18.094951727394093</v>
      </c>
      <c r="V268" s="168">
        <v>15.079126439495079</v>
      </c>
      <c r="W268" s="168">
        <v>12.063301151596065</v>
      </c>
    </row>
    <row r="269" spans="1:23" s="129" customFormat="1" ht="14.25">
      <c r="A269" s="195" t="s">
        <v>1276</v>
      </c>
      <c r="B269" s="195" t="s">
        <v>656</v>
      </c>
      <c r="C269" s="195" t="s">
        <v>1079</v>
      </c>
      <c r="D269" s="236" t="s">
        <v>2531</v>
      </c>
      <c r="E269" s="128" t="s">
        <v>820</v>
      </c>
      <c r="F269" s="128"/>
      <c r="G269" s="234" t="s">
        <v>2529</v>
      </c>
      <c r="H269" s="241"/>
      <c r="I269" s="195" t="s">
        <v>2551</v>
      </c>
      <c r="J269" s="128"/>
      <c r="K269" s="236" t="s">
        <v>1295</v>
      </c>
      <c r="L269" s="227"/>
      <c r="M269" s="195" t="s">
        <v>2532</v>
      </c>
      <c r="N269" s="128" t="s">
        <v>2534</v>
      </c>
      <c r="O269" s="128">
        <v>480</v>
      </c>
      <c r="P269" s="128"/>
      <c r="Q269" s="240">
        <v>9.0474758636970467</v>
      </c>
      <c r="R269" s="149" t="s">
        <v>281</v>
      </c>
      <c r="T269" s="168">
        <v>30.158252878990158</v>
      </c>
      <c r="U269" s="168">
        <v>18.094951727394093</v>
      </c>
      <c r="V269" s="168">
        <v>15.079126439495079</v>
      </c>
      <c r="W269" s="168">
        <v>12.063301151596065</v>
      </c>
    </row>
    <row r="270" spans="1:23" s="129" customFormat="1" ht="14.25">
      <c r="A270" s="195" t="s">
        <v>1276</v>
      </c>
      <c r="B270" s="195" t="s">
        <v>656</v>
      </c>
      <c r="C270" s="195" t="s">
        <v>1079</v>
      </c>
      <c r="D270" s="236" t="s">
        <v>2530</v>
      </c>
      <c r="E270" s="128" t="s">
        <v>1786</v>
      </c>
      <c r="F270" s="128"/>
      <c r="G270" s="234" t="s">
        <v>2522</v>
      </c>
      <c r="H270" s="241"/>
      <c r="I270" s="195" t="s">
        <v>2544</v>
      </c>
      <c r="J270" s="128"/>
      <c r="K270" s="236" t="s">
        <v>1295</v>
      </c>
      <c r="L270" s="227"/>
      <c r="M270" s="195" t="s">
        <v>2532</v>
      </c>
      <c r="N270" s="128" t="s">
        <v>2534</v>
      </c>
      <c r="O270" s="128">
        <v>480</v>
      </c>
      <c r="P270" s="128"/>
      <c r="Q270" s="240">
        <v>4.998132794438475</v>
      </c>
      <c r="R270" s="149" t="s">
        <v>281</v>
      </c>
      <c r="T270" s="168">
        <v>16.660442648128249</v>
      </c>
      <c r="U270" s="168">
        <v>9.99626558887695</v>
      </c>
      <c r="V270" s="168">
        <v>8.3302213240641247</v>
      </c>
      <c r="W270" s="168">
        <v>6.6641770592513003</v>
      </c>
    </row>
    <row r="271" spans="1:23" s="129" customFormat="1" ht="14.25">
      <c r="A271" s="195" t="s">
        <v>1276</v>
      </c>
      <c r="B271" s="195" t="s">
        <v>656</v>
      </c>
      <c r="C271" s="195" t="s">
        <v>1079</v>
      </c>
      <c r="D271" s="236" t="s">
        <v>2531</v>
      </c>
      <c r="E271" s="128" t="s">
        <v>1786</v>
      </c>
      <c r="F271" s="128"/>
      <c r="G271" s="234" t="s">
        <v>2523</v>
      </c>
      <c r="H271" s="241"/>
      <c r="I271" s="195" t="s">
        <v>2545</v>
      </c>
      <c r="J271" s="128"/>
      <c r="K271" s="236" t="s">
        <v>1295</v>
      </c>
      <c r="L271" s="227"/>
      <c r="M271" s="195" t="s">
        <v>2532</v>
      </c>
      <c r="N271" s="128" t="s">
        <v>2534</v>
      </c>
      <c r="O271" s="128">
        <v>480</v>
      </c>
      <c r="P271" s="128"/>
      <c r="Q271" s="240">
        <v>4.998132794438475</v>
      </c>
      <c r="R271" s="149" t="s">
        <v>281</v>
      </c>
      <c r="T271" s="168">
        <v>16.660442648128249</v>
      </c>
      <c r="U271" s="168">
        <v>9.99626558887695</v>
      </c>
      <c r="V271" s="168">
        <v>8.3302213240641247</v>
      </c>
      <c r="W271" s="168">
        <v>6.6641770592513003</v>
      </c>
    </row>
    <row r="272" spans="1:23" s="129" customFormat="1" ht="14.25">
      <c r="A272" s="195" t="s">
        <v>1276</v>
      </c>
      <c r="B272" s="195" t="s">
        <v>1102</v>
      </c>
      <c r="C272" s="195" t="s">
        <v>1103</v>
      </c>
      <c r="D272" s="236" t="s">
        <v>1103</v>
      </c>
      <c r="E272" s="128"/>
      <c r="F272" s="128"/>
      <c r="G272" s="241" t="s">
        <v>1418</v>
      </c>
      <c r="H272" s="241" t="s">
        <v>2970</v>
      </c>
      <c r="I272" s="236" t="s">
        <v>1109</v>
      </c>
      <c r="J272" s="128"/>
      <c r="K272" s="236" t="s">
        <v>60</v>
      </c>
      <c r="L272" s="227"/>
      <c r="M272" s="236" t="s">
        <v>241</v>
      </c>
      <c r="N272" s="128" t="s">
        <v>635</v>
      </c>
      <c r="O272" s="128">
        <v>400</v>
      </c>
      <c r="P272" s="128" t="s">
        <v>1457</v>
      </c>
      <c r="Q272" s="240">
        <v>2.6806930885082374</v>
      </c>
      <c r="R272" s="149" t="s">
        <v>9</v>
      </c>
      <c r="T272" s="168">
        <v>8.9356436283607916</v>
      </c>
      <c r="U272" s="168">
        <v>5.3613861770164748</v>
      </c>
      <c r="V272" s="168">
        <v>4.4678218141803958</v>
      </c>
      <c r="W272" s="168">
        <v>3.5742574513443168</v>
      </c>
    </row>
    <row r="273" spans="1:23" s="129" customFormat="1" ht="14.25">
      <c r="A273" s="237" t="s">
        <v>1276</v>
      </c>
      <c r="B273" s="237" t="s">
        <v>1102</v>
      </c>
      <c r="C273" s="237" t="s">
        <v>1103</v>
      </c>
      <c r="D273" s="237" t="s">
        <v>1103</v>
      </c>
      <c r="E273" s="197"/>
      <c r="F273" s="128"/>
      <c r="G273" s="241" t="s">
        <v>1419</v>
      </c>
      <c r="H273" s="241" t="s">
        <v>2971</v>
      </c>
      <c r="I273" s="237" t="s">
        <v>1112</v>
      </c>
      <c r="J273" s="128"/>
      <c r="K273" s="236" t="s">
        <v>60</v>
      </c>
      <c r="L273" s="128"/>
      <c r="M273" s="236" t="s">
        <v>241</v>
      </c>
      <c r="N273" s="128" t="s">
        <v>635</v>
      </c>
      <c r="O273" s="128">
        <v>400</v>
      </c>
      <c r="P273" s="128" t="s">
        <v>1107</v>
      </c>
      <c r="Q273" s="240">
        <v>3.1833073842246455</v>
      </c>
      <c r="R273" s="149" t="s">
        <v>9</v>
      </c>
      <c r="T273" s="168">
        <v>10.611024614082153</v>
      </c>
      <c r="U273" s="168">
        <v>6.3666147684492911</v>
      </c>
      <c r="V273" s="168">
        <v>5.3055123070410763</v>
      </c>
      <c r="W273" s="168">
        <v>4.2444098456328616</v>
      </c>
    </row>
    <row r="274" spans="1:23" s="129" customFormat="1" ht="14.25">
      <c r="A274" s="237" t="s">
        <v>1276</v>
      </c>
      <c r="B274" s="237" t="s">
        <v>1102</v>
      </c>
      <c r="C274" s="237" t="s">
        <v>1103</v>
      </c>
      <c r="D274" s="237" t="s">
        <v>1103</v>
      </c>
      <c r="E274" s="197"/>
      <c r="F274" s="128"/>
      <c r="G274" s="241" t="s">
        <v>1113</v>
      </c>
      <c r="H274" s="241" t="s">
        <v>2972</v>
      </c>
      <c r="I274" s="237" t="s">
        <v>1114</v>
      </c>
      <c r="J274" s="128"/>
      <c r="K274" s="236" t="s">
        <v>60</v>
      </c>
      <c r="L274" s="128"/>
      <c r="M274" s="236" t="s">
        <v>241</v>
      </c>
      <c r="N274" s="128" t="s">
        <v>242</v>
      </c>
      <c r="O274" s="128">
        <v>360</v>
      </c>
      <c r="P274" s="128" t="s">
        <v>1107</v>
      </c>
      <c r="Q274" s="240">
        <v>3.3007508376268753</v>
      </c>
      <c r="R274" s="149" t="s">
        <v>9</v>
      </c>
      <c r="T274" s="168">
        <v>11.002502792089585</v>
      </c>
      <c r="U274" s="168">
        <v>6.6015016752537505</v>
      </c>
      <c r="V274" s="168">
        <v>5.5012513960447924</v>
      </c>
      <c r="W274" s="168">
        <v>4.4010011168358343</v>
      </c>
    </row>
    <row r="275" spans="1:23" s="129" customFormat="1" ht="14.25">
      <c r="A275" s="237" t="s">
        <v>1276</v>
      </c>
      <c r="B275" s="237" t="s">
        <v>1102</v>
      </c>
      <c r="C275" s="237" t="s">
        <v>1103</v>
      </c>
      <c r="D275" s="237" t="s">
        <v>1103</v>
      </c>
      <c r="E275" s="197"/>
      <c r="F275" s="128"/>
      <c r="G275" s="241" t="s">
        <v>1116</v>
      </c>
      <c r="H275" s="241" t="s">
        <v>2973</v>
      </c>
      <c r="I275" s="237" t="s">
        <v>1118</v>
      </c>
      <c r="J275" s="128"/>
      <c r="K275" s="236" t="s">
        <v>60</v>
      </c>
      <c r="L275" s="128"/>
      <c r="M275" s="236" t="s">
        <v>241</v>
      </c>
      <c r="N275" s="128" t="s">
        <v>242</v>
      </c>
      <c r="O275" s="128">
        <v>360</v>
      </c>
      <c r="P275" s="128" t="s">
        <v>1107</v>
      </c>
      <c r="Q275" s="240">
        <v>10.560875874258702</v>
      </c>
      <c r="R275" s="149" t="s">
        <v>9</v>
      </c>
      <c r="T275" s="168">
        <v>35.202919580862343</v>
      </c>
      <c r="U275" s="168">
        <v>21.121751748517404</v>
      </c>
      <c r="V275" s="168">
        <v>17.601459790431171</v>
      </c>
      <c r="W275" s="168">
        <v>14.081167832344939</v>
      </c>
    </row>
    <row r="276" spans="1:23" s="129" customFormat="1" ht="14.25">
      <c r="A276" s="195" t="s">
        <v>1276</v>
      </c>
      <c r="B276" s="195" t="s">
        <v>1102</v>
      </c>
      <c r="C276" s="195" t="s">
        <v>1103</v>
      </c>
      <c r="D276" s="236" t="s">
        <v>1103</v>
      </c>
      <c r="E276" s="128"/>
      <c r="F276" s="128"/>
      <c r="G276" s="241" t="s">
        <v>1417</v>
      </c>
      <c r="H276" s="241" t="s">
        <v>2974</v>
      </c>
      <c r="I276" s="236" t="s">
        <v>1124</v>
      </c>
      <c r="J276" s="128"/>
      <c r="K276" s="236" t="s">
        <v>60</v>
      </c>
      <c r="L276" s="227"/>
      <c r="M276" s="236" t="s">
        <v>241</v>
      </c>
      <c r="N276" s="128" t="s">
        <v>635</v>
      </c>
      <c r="O276" s="128">
        <v>1600</v>
      </c>
      <c r="P276" s="128" t="s">
        <v>1107</v>
      </c>
      <c r="Q276" s="240">
        <v>2.9317628630039505</v>
      </c>
      <c r="R276" s="149" t="s">
        <v>9</v>
      </c>
      <c r="T276" s="168">
        <v>9.7725428766798359</v>
      </c>
      <c r="U276" s="168">
        <v>5.863525726007901</v>
      </c>
      <c r="V276" s="168">
        <v>4.8862714383399179</v>
      </c>
      <c r="W276" s="168">
        <v>3.9090171506719344</v>
      </c>
    </row>
    <row r="277" spans="1:23" s="129" customFormat="1" ht="14.25">
      <c r="A277" s="195" t="s">
        <v>1276</v>
      </c>
      <c r="B277" s="195" t="s">
        <v>1102</v>
      </c>
      <c r="C277" s="195" t="s">
        <v>1103</v>
      </c>
      <c r="D277" s="236" t="s">
        <v>1103</v>
      </c>
      <c r="E277" s="128"/>
      <c r="F277" s="128"/>
      <c r="G277" s="238" t="s">
        <v>1125</v>
      </c>
      <c r="H277" s="238" t="s">
        <v>2975</v>
      </c>
      <c r="I277" s="195" t="s">
        <v>1127</v>
      </c>
      <c r="J277" s="128"/>
      <c r="K277" s="236" t="s">
        <v>60</v>
      </c>
      <c r="L277" s="128"/>
      <c r="M277" s="236" t="s">
        <v>241</v>
      </c>
      <c r="N277" s="128" t="s">
        <v>383</v>
      </c>
      <c r="O277" s="128">
        <v>128</v>
      </c>
      <c r="P277" s="128" t="s">
        <v>630</v>
      </c>
      <c r="Q277" s="240">
        <v>6.748403384655461</v>
      </c>
      <c r="R277" s="149" t="s">
        <v>9</v>
      </c>
      <c r="T277" s="168">
        <v>22.494677948851539</v>
      </c>
      <c r="U277" s="168">
        <v>13.496806769310924</v>
      </c>
      <c r="V277" s="168">
        <v>11.247338974425769</v>
      </c>
      <c r="W277" s="168">
        <v>8.9978711795406152</v>
      </c>
    </row>
    <row r="278" spans="1:23" s="129" customFormat="1" ht="14.25">
      <c r="A278" s="195" t="s">
        <v>1276</v>
      </c>
      <c r="B278" s="195" t="s">
        <v>1102</v>
      </c>
      <c r="C278" s="195" t="s">
        <v>1103</v>
      </c>
      <c r="D278" s="236" t="s">
        <v>1103</v>
      </c>
      <c r="E278" s="128"/>
      <c r="F278" s="128"/>
      <c r="G278" s="238" t="s">
        <v>1129</v>
      </c>
      <c r="H278" s="238" t="s">
        <v>2976</v>
      </c>
      <c r="I278" s="195" t="s">
        <v>1131</v>
      </c>
      <c r="J278" s="128"/>
      <c r="K278" s="236" t="s">
        <v>60</v>
      </c>
      <c r="L278" s="227"/>
      <c r="M278" s="236" t="s">
        <v>241</v>
      </c>
      <c r="N278" s="128" t="s">
        <v>383</v>
      </c>
      <c r="O278" s="128">
        <v>200</v>
      </c>
      <c r="P278" s="128" t="s">
        <v>630</v>
      </c>
      <c r="Q278" s="240">
        <v>7.1859932422108841</v>
      </c>
      <c r="R278" s="149" t="s">
        <v>9</v>
      </c>
      <c r="T278" s="168">
        <v>23.953310807369615</v>
      </c>
      <c r="U278" s="168">
        <v>14.371986484421768</v>
      </c>
      <c r="V278" s="168">
        <v>11.976655403684807</v>
      </c>
      <c r="W278" s="168">
        <v>9.5813243229478466</v>
      </c>
    </row>
    <row r="279" spans="1:23" s="129" customFormat="1" ht="14.25">
      <c r="A279" s="195" t="s">
        <v>1276</v>
      </c>
      <c r="B279" s="195" t="s">
        <v>1102</v>
      </c>
      <c r="C279" s="195" t="s">
        <v>1103</v>
      </c>
      <c r="D279" s="236" t="s">
        <v>1103</v>
      </c>
      <c r="E279" s="128"/>
      <c r="F279" s="128"/>
      <c r="G279" s="241" t="s">
        <v>1133</v>
      </c>
      <c r="H279" s="241" t="s">
        <v>2977</v>
      </c>
      <c r="I279" s="195" t="s">
        <v>1135</v>
      </c>
      <c r="J279" s="128"/>
      <c r="K279" s="236" t="s">
        <v>60</v>
      </c>
      <c r="L279" s="227"/>
      <c r="M279" s="236" t="s">
        <v>241</v>
      </c>
      <c r="N279" s="128" t="s">
        <v>635</v>
      </c>
      <c r="O279" s="128">
        <v>900</v>
      </c>
      <c r="P279" s="128" t="s">
        <v>1107</v>
      </c>
      <c r="Q279" s="240">
        <v>1.5286838829928564</v>
      </c>
      <c r="R279" s="149" t="s">
        <v>9</v>
      </c>
      <c r="T279" s="168">
        <v>5.0956129433095212</v>
      </c>
      <c r="U279" s="168">
        <v>3.0573677659857128</v>
      </c>
      <c r="V279" s="168">
        <v>2.5478064716547606</v>
      </c>
      <c r="W279" s="168">
        <v>2.0382451773238084</v>
      </c>
    </row>
    <row r="280" spans="1:23" s="129" customFormat="1" ht="14.25">
      <c r="A280" s="237" t="s">
        <v>1276</v>
      </c>
      <c r="B280" s="237" t="s">
        <v>1102</v>
      </c>
      <c r="C280" s="237" t="s">
        <v>1103</v>
      </c>
      <c r="D280" s="237" t="s">
        <v>1103</v>
      </c>
      <c r="E280" s="197"/>
      <c r="F280" s="128"/>
      <c r="G280" s="241" t="s">
        <v>1137</v>
      </c>
      <c r="H280" s="241" t="s">
        <v>2978</v>
      </c>
      <c r="I280" s="237" t="s">
        <v>1139</v>
      </c>
      <c r="J280" s="128"/>
      <c r="K280" s="236" t="s">
        <v>60</v>
      </c>
      <c r="L280" s="128"/>
      <c r="M280" s="236" t="s">
        <v>241</v>
      </c>
      <c r="N280" s="128" t="s">
        <v>635</v>
      </c>
      <c r="O280" s="128">
        <v>400</v>
      </c>
      <c r="P280" s="128" t="s">
        <v>1107</v>
      </c>
      <c r="Q280" s="240">
        <v>3.2028768193806783</v>
      </c>
      <c r="R280" s="149" t="s">
        <v>9</v>
      </c>
      <c r="T280" s="168">
        <v>10.676256064602262</v>
      </c>
      <c r="U280" s="168">
        <v>6.4057536387613565</v>
      </c>
      <c r="V280" s="168">
        <v>5.3381280323011309</v>
      </c>
      <c r="W280" s="168">
        <v>4.2705024258409052</v>
      </c>
    </row>
    <row r="281" spans="1:23" s="129" customFormat="1" ht="14.25">
      <c r="A281" s="237" t="s">
        <v>1276</v>
      </c>
      <c r="B281" s="237" t="s">
        <v>1102</v>
      </c>
      <c r="C281" s="237" t="s">
        <v>1141</v>
      </c>
      <c r="D281" s="237" t="s">
        <v>1141</v>
      </c>
      <c r="E281" s="197"/>
      <c r="F281" s="128"/>
      <c r="G281" s="241" t="s">
        <v>1420</v>
      </c>
      <c r="H281" s="241" t="s">
        <v>2979</v>
      </c>
      <c r="I281" s="237" t="s">
        <v>1144</v>
      </c>
      <c r="J281" s="128"/>
      <c r="K281" s="236" t="s">
        <v>60</v>
      </c>
      <c r="L281" s="128"/>
      <c r="M281" s="236" t="s">
        <v>241</v>
      </c>
      <c r="N281" s="128" t="s">
        <v>1059</v>
      </c>
      <c r="O281" s="128">
        <v>240</v>
      </c>
      <c r="P281" s="128">
        <v>8544422100</v>
      </c>
      <c r="Q281" s="240">
        <v>9.0166702127612144</v>
      </c>
      <c r="R281" s="149" t="s">
        <v>9</v>
      </c>
      <c r="T281" s="168">
        <v>30.055567375870716</v>
      </c>
      <c r="U281" s="168">
        <v>18.033340425522429</v>
      </c>
      <c r="V281" s="168">
        <v>15.027783687935358</v>
      </c>
      <c r="W281" s="168">
        <v>12.022226950348287</v>
      </c>
    </row>
    <row r="282" spans="1:23" s="129" customFormat="1" ht="14.25">
      <c r="A282" s="237" t="s">
        <v>1276</v>
      </c>
      <c r="B282" s="237" t="s">
        <v>1102</v>
      </c>
      <c r="C282" s="237" t="s">
        <v>1141</v>
      </c>
      <c r="D282" s="237" t="s">
        <v>1141</v>
      </c>
      <c r="E282" s="197"/>
      <c r="F282" s="128"/>
      <c r="G282" s="241" t="s">
        <v>1149</v>
      </c>
      <c r="H282" s="241" t="s">
        <v>2980</v>
      </c>
      <c r="I282" s="237" t="s">
        <v>1151</v>
      </c>
      <c r="J282" s="128"/>
      <c r="K282" s="236" t="s">
        <v>60</v>
      </c>
      <c r="L282" s="128"/>
      <c r="M282" s="236" t="s">
        <v>241</v>
      </c>
      <c r="N282" s="128" t="s">
        <v>1059</v>
      </c>
      <c r="O282" s="128">
        <v>240</v>
      </c>
      <c r="P282" s="128">
        <v>8544422100</v>
      </c>
      <c r="Q282" s="240">
        <v>9.1419017434940084</v>
      </c>
      <c r="R282" s="149" t="s">
        <v>9</v>
      </c>
      <c r="T282" s="168">
        <v>30.473005811646697</v>
      </c>
      <c r="U282" s="168">
        <v>18.283803486988017</v>
      </c>
      <c r="V282" s="168">
        <v>15.236502905823349</v>
      </c>
      <c r="W282" s="168">
        <v>12.18920232465868</v>
      </c>
    </row>
    <row r="283" spans="1:23" s="129" customFormat="1" ht="14.25">
      <c r="A283" s="195" t="s">
        <v>1276</v>
      </c>
      <c r="B283" s="195" t="s">
        <v>1102</v>
      </c>
      <c r="C283" s="195" t="s">
        <v>1141</v>
      </c>
      <c r="D283" s="236" t="s">
        <v>1141</v>
      </c>
      <c r="E283" s="128"/>
      <c r="F283" s="128"/>
      <c r="G283" s="241" t="s">
        <v>1153</v>
      </c>
      <c r="H283" s="241" t="s">
        <v>2981</v>
      </c>
      <c r="I283" s="195" t="s">
        <v>1155</v>
      </c>
      <c r="J283" s="128"/>
      <c r="K283" s="236" t="s">
        <v>60</v>
      </c>
      <c r="L283" s="227"/>
      <c r="M283" s="236" t="s">
        <v>241</v>
      </c>
      <c r="N283" s="128" t="s">
        <v>1059</v>
      </c>
      <c r="O283" s="128">
        <v>240</v>
      </c>
      <c r="P283" s="128" t="s">
        <v>1146</v>
      </c>
      <c r="Q283" s="240">
        <v>31.420285682111739</v>
      </c>
      <c r="R283" s="149" t="s">
        <v>9</v>
      </c>
      <c r="T283" s="168">
        <v>104.73428560703914</v>
      </c>
      <c r="U283" s="168">
        <v>62.840571364223479</v>
      </c>
      <c r="V283" s="168">
        <v>52.36714280351957</v>
      </c>
      <c r="W283" s="168">
        <v>41.893714242815662</v>
      </c>
    </row>
    <row r="284" spans="1:23" s="129" customFormat="1" ht="14.25">
      <c r="A284" s="195" t="s">
        <v>1276</v>
      </c>
      <c r="B284" s="195" t="s">
        <v>656</v>
      </c>
      <c r="C284" s="195" t="s">
        <v>684</v>
      </c>
      <c r="D284" s="236" t="s">
        <v>686</v>
      </c>
      <c r="E284" s="128" t="s">
        <v>685</v>
      </c>
      <c r="F284" s="128"/>
      <c r="G284" s="241" t="s">
        <v>2633</v>
      </c>
      <c r="H284" s="241" t="s">
        <v>2825</v>
      </c>
      <c r="I284" s="195" t="s">
        <v>2635</v>
      </c>
      <c r="J284" s="128" t="s">
        <v>1666</v>
      </c>
      <c r="K284" s="236" t="s">
        <v>1223</v>
      </c>
      <c r="L284" s="227"/>
      <c r="M284" s="236" t="s">
        <v>715</v>
      </c>
      <c r="N284" s="128" t="s">
        <v>690</v>
      </c>
      <c r="O284" s="128">
        <v>8</v>
      </c>
      <c r="P284" s="128">
        <v>8544700000</v>
      </c>
      <c r="Q284" s="281">
        <v>472.14285714285717</v>
      </c>
      <c r="R284" s="149" t="s">
        <v>9</v>
      </c>
      <c r="T284" s="134">
        <v>1573.8095238095239</v>
      </c>
      <c r="U284" s="134">
        <v>944.28571428571422</v>
      </c>
      <c r="V284" s="134">
        <v>786.90476190476193</v>
      </c>
      <c r="W284" s="134">
        <v>629.52380952380963</v>
      </c>
    </row>
    <row r="285" spans="1:23" s="129" customFormat="1" ht="14.25">
      <c r="A285" s="195" t="s">
        <v>1276</v>
      </c>
      <c r="B285" s="195" t="s">
        <v>656</v>
      </c>
      <c r="C285" s="195" t="s">
        <v>684</v>
      </c>
      <c r="D285" s="236" t="s">
        <v>686</v>
      </c>
      <c r="E285" s="128" t="s">
        <v>685</v>
      </c>
      <c r="F285" s="128"/>
      <c r="G285" s="241" t="s">
        <v>1671</v>
      </c>
      <c r="H285" s="241" t="s">
        <v>3026</v>
      </c>
      <c r="I285" s="195" t="s">
        <v>1675</v>
      </c>
      <c r="J285" s="128" t="s">
        <v>1666</v>
      </c>
      <c r="K285" s="236" t="s">
        <v>1223</v>
      </c>
      <c r="L285" s="227"/>
      <c r="M285" s="236" t="s">
        <v>715</v>
      </c>
      <c r="N285" s="128" t="s">
        <v>690</v>
      </c>
      <c r="O285" s="128">
        <v>8</v>
      </c>
      <c r="P285" s="128">
        <v>8544700000</v>
      </c>
      <c r="Q285" s="281">
        <v>665</v>
      </c>
      <c r="R285" s="149" t="s">
        <v>9</v>
      </c>
      <c r="T285" s="134">
        <v>2216.666666666667</v>
      </c>
      <c r="U285" s="134">
        <v>1330.0000000000002</v>
      </c>
      <c r="V285" s="134">
        <v>1108.3333333333335</v>
      </c>
      <c r="W285" s="134">
        <v>886.66666666666686</v>
      </c>
    </row>
    <row r="286" spans="1:23" s="129" customFormat="1" ht="14.25">
      <c r="A286" s="195" t="s">
        <v>1276</v>
      </c>
      <c r="B286" s="195" t="s">
        <v>656</v>
      </c>
      <c r="C286" s="195" t="s">
        <v>684</v>
      </c>
      <c r="D286" s="236" t="s">
        <v>686</v>
      </c>
      <c r="E286" s="128" t="s">
        <v>685</v>
      </c>
      <c r="F286" s="128"/>
      <c r="G286" s="241" t="s">
        <v>1672</v>
      </c>
      <c r="H286" s="241" t="s">
        <v>3027</v>
      </c>
      <c r="I286" s="195" t="s">
        <v>1676</v>
      </c>
      <c r="J286" s="128" t="s">
        <v>1666</v>
      </c>
      <c r="K286" s="236" t="s">
        <v>1223</v>
      </c>
      <c r="L286" s="227"/>
      <c r="M286" s="236" t="s">
        <v>715</v>
      </c>
      <c r="N286" s="128" t="s">
        <v>690</v>
      </c>
      <c r="O286" s="128">
        <v>8</v>
      </c>
      <c r="P286" s="128">
        <v>8544700000</v>
      </c>
      <c r="Q286" s="281">
        <v>1162.1428571428571</v>
      </c>
      <c r="R286" s="149" t="s">
        <v>9</v>
      </c>
      <c r="T286" s="134">
        <v>3873.8095238095239</v>
      </c>
      <c r="U286" s="134">
        <v>2324.2857142857142</v>
      </c>
      <c r="V286" s="134">
        <v>1936.9047619047619</v>
      </c>
      <c r="W286" s="134">
        <v>1549.5238095238096</v>
      </c>
    </row>
    <row r="287" spans="1:23" s="129" customFormat="1" ht="14.25">
      <c r="A287" s="195" t="s">
        <v>1276</v>
      </c>
      <c r="B287" s="195" t="s">
        <v>656</v>
      </c>
      <c r="C287" s="195" t="s">
        <v>684</v>
      </c>
      <c r="D287" s="236" t="s">
        <v>702</v>
      </c>
      <c r="E287" s="128" t="s">
        <v>685</v>
      </c>
      <c r="F287" s="128"/>
      <c r="G287" s="241" t="s">
        <v>703</v>
      </c>
      <c r="H287" s="241" t="s">
        <v>2982</v>
      </c>
      <c r="I287" s="195" t="s">
        <v>705</v>
      </c>
      <c r="J287" s="128" t="s">
        <v>125</v>
      </c>
      <c r="K287" s="236" t="s">
        <v>158</v>
      </c>
      <c r="L287" s="227"/>
      <c r="M287" s="236" t="s">
        <v>715</v>
      </c>
      <c r="N287" s="128" t="s">
        <v>690</v>
      </c>
      <c r="O287" s="128">
        <v>8</v>
      </c>
      <c r="P287" s="128">
        <v>8544700000</v>
      </c>
      <c r="Q287" s="281">
        <v>452.14285714285717</v>
      </c>
      <c r="R287" s="149" t="s">
        <v>9</v>
      </c>
      <c r="T287" s="134">
        <v>1507.1428571428573</v>
      </c>
      <c r="U287" s="134">
        <v>904.28571428571433</v>
      </c>
      <c r="V287" s="134">
        <v>753.57142857142867</v>
      </c>
      <c r="W287" s="134">
        <v>602.857142857143</v>
      </c>
    </row>
    <row r="288" spans="1:23" s="129" customFormat="1" ht="14.25">
      <c r="A288" s="195" t="s">
        <v>1276</v>
      </c>
      <c r="B288" s="195" t="s">
        <v>656</v>
      </c>
      <c r="C288" s="195" t="s">
        <v>684</v>
      </c>
      <c r="D288" s="236" t="s">
        <v>702</v>
      </c>
      <c r="E288" s="128" t="s">
        <v>685</v>
      </c>
      <c r="F288" s="128"/>
      <c r="G288" s="241" t="s">
        <v>706</v>
      </c>
      <c r="H288" s="241" t="s">
        <v>2983</v>
      </c>
      <c r="I288" s="195" t="s">
        <v>708</v>
      </c>
      <c r="J288" s="128" t="s">
        <v>125</v>
      </c>
      <c r="K288" s="236" t="s">
        <v>158</v>
      </c>
      <c r="L288" s="227"/>
      <c r="M288" s="236" t="s">
        <v>715</v>
      </c>
      <c r="N288" s="128" t="s">
        <v>690</v>
      </c>
      <c r="O288" s="128">
        <v>8</v>
      </c>
      <c r="P288" s="128">
        <v>8544700000</v>
      </c>
      <c r="Q288" s="281">
        <v>529.28571428571433</v>
      </c>
      <c r="R288" s="149" t="s">
        <v>9</v>
      </c>
      <c r="T288" s="134">
        <v>1764.2857142857144</v>
      </c>
      <c r="U288" s="134">
        <v>1058.5714285714287</v>
      </c>
      <c r="V288" s="134">
        <v>882.14285714285722</v>
      </c>
      <c r="W288" s="134">
        <v>705.71428571428578</v>
      </c>
    </row>
    <row r="289" spans="1:23" s="129" customFormat="1" ht="14.25">
      <c r="A289" s="195" t="s">
        <v>1276</v>
      </c>
      <c r="B289" s="195" t="s">
        <v>656</v>
      </c>
      <c r="C289" s="195" t="s">
        <v>684</v>
      </c>
      <c r="D289" s="236" t="s">
        <v>702</v>
      </c>
      <c r="E289" s="128" t="s">
        <v>685</v>
      </c>
      <c r="F289" s="128"/>
      <c r="G289" s="241" t="s">
        <v>709</v>
      </c>
      <c r="H289" s="241" t="s">
        <v>2984</v>
      </c>
      <c r="I289" s="195" t="s">
        <v>711</v>
      </c>
      <c r="J289" s="128" t="s">
        <v>125</v>
      </c>
      <c r="K289" s="236" t="s">
        <v>158</v>
      </c>
      <c r="L289" s="227"/>
      <c r="M289" s="236" t="s">
        <v>715</v>
      </c>
      <c r="N289" s="128" t="s">
        <v>690</v>
      </c>
      <c r="O289" s="128">
        <v>8</v>
      </c>
      <c r="P289" s="128">
        <v>8544700000</v>
      </c>
      <c r="Q289" s="281">
        <v>705</v>
      </c>
      <c r="R289" s="149" t="s">
        <v>9</v>
      </c>
      <c r="T289" s="134">
        <v>2350</v>
      </c>
      <c r="U289" s="134">
        <v>1410</v>
      </c>
      <c r="V289" s="134">
        <v>1175</v>
      </c>
      <c r="W289" s="134">
        <v>940</v>
      </c>
    </row>
    <row r="290" spans="1:23" s="129" customFormat="1" ht="14.25">
      <c r="A290" s="195" t="s">
        <v>1276</v>
      </c>
      <c r="B290" s="195" t="s">
        <v>656</v>
      </c>
      <c r="C290" s="195" t="s">
        <v>684</v>
      </c>
      <c r="D290" s="236" t="s">
        <v>702</v>
      </c>
      <c r="E290" s="128" t="s">
        <v>685</v>
      </c>
      <c r="F290" s="128"/>
      <c r="G290" s="241" t="s">
        <v>712</v>
      </c>
      <c r="H290" s="241" t="s">
        <v>2985</v>
      </c>
      <c r="I290" s="195" t="s">
        <v>714</v>
      </c>
      <c r="J290" s="128" t="s">
        <v>125</v>
      </c>
      <c r="K290" s="236" t="s">
        <v>158</v>
      </c>
      <c r="L290" s="227"/>
      <c r="M290" s="236" t="s">
        <v>715</v>
      </c>
      <c r="N290" s="128" t="s">
        <v>690</v>
      </c>
      <c r="O290" s="128">
        <v>4</v>
      </c>
      <c r="P290" s="128">
        <v>8544700000</v>
      </c>
      <c r="Q290" s="281">
        <v>1174.2857142857144</v>
      </c>
      <c r="R290" s="149" t="s">
        <v>9</v>
      </c>
      <c r="T290" s="134">
        <v>3914.2857142857151</v>
      </c>
      <c r="U290" s="134">
        <v>2348.5714285714289</v>
      </c>
      <c r="V290" s="134">
        <v>1957.1428571428576</v>
      </c>
      <c r="W290" s="134">
        <v>1565.7142857142862</v>
      </c>
    </row>
    <row r="291" spans="1:23" s="129" customFormat="1" ht="14.25">
      <c r="A291" s="195" t="s">
        <v>1276</v>
      </c>
      <c r="B291" s="195" t="s">
        <v>656</v>
      </c>
      <c r="C291" s="195" t="s">
        <v>684</v>
      </c>
      <c r="D291" s="236" t="s">
        <v>717</v>
      </c>
      <c r="E291" s="128" t="s">
        <v>685</v>
      </c>
      <c r="F291" s="128"/>
      <c r="G291" s="241" t="s">
        <v>718</v>
      </c>
      <c r="H291" s="241" t="s">
        <v>2986</v>
      </c>
      <c r="I291" s="195" t="s">
        <v>720</v>
      </c>
      <c r="J291" s="128" t="s">
        <v>108</v>
      </c>
      <c r="K291" s="236" t="s">
        <v>158</v>
      </c>
      <c r="L291" s="227"/>
      <c r="M291" s="236" t="s">
        <v>715</v>
      </c>
      <c r="N291" s="128" t="s">
        <v>690</v>
      </c>
      <c r="O291" s="128">
        <v>8</v>
      </c>
      <c r="P291" s="128">
        <v>8544700000</v>
      </c>
      <c r="Q291" s="281">
        <v>385</v>
      </c>
      <c r="R291" s="149" t="s">
        <v>9</v>
      </c>
      <c r="T291" s="134">
        <v>1283.3333333333335</v>
      </c>
      <c r="U291" s="134">
        <v>770.00000000000011</v>
      </c>
      <c r="V291" s="134">
        <v>641.66666666666674</v>
      </c>
      <c r="W291" s="134">
        <v>513.33333333333337</v>
      </c>
    </row>
    <row r="292" spans="1:23" s="129" customFormat="1" ht="14.25">
      <c r="A292" s="195" t="s">
        <v>1276</v>
      </c>
      <c r="B292" s="195" t="s">
        <v>656</v>
      </c>
      <c r="C292" s="195" t="s">
        <v>684</v>
      </c>
      <c r="D292" s="236" t="s">
        <v>717</v>
      </c>
      <c r="E292" s="128" t="s">
        <v>685</v>
      </c>
      <c r="F292" s="128"/>
      <c r="G292" s="241" t="s">
        <v>721</v>
      </c>
      <c r="H292" s="241" t="s">
        <v>2987</v>
      </c>
      <c r="I292" s="195" t="s">
        <v>723</v>
      </c>
      <c r="J292" s="128" t="s">
        <v>108</v>
      </c>
      <c r="K292" s="236" t="s">
        <v>158</v>
      </c>
      <c r="L292" s="227"/>
      <c r="M292" s="236" t="s">
        <v>715</v>
      </c>
      <c r="N292" s="128" t="s">
        <v>690</v>
      </c>
      <c r="O292" s="128">
        <v>8</v>
      </c>
      <c r="P292" s="128">
        <v>8544700000</v>
      </c>
      <c r="Q292" s="281">
        <v>457.85714285714289</v>
      </c>
      <c r="R292" s="149" t="s">
        <v>9</v>
      </c>
      <c r="T292" s="134">
        <v>1526.1904761904764</v>
      </c>
      <c r="U292" s="134">
        <v>915.71428571428578</v>
      </c>
      <c r="V292" s="134">
        <v>763.09523809523819</v>
      </c>
      <c r="W292" s="134">
        <v>610.4761904761906</v>
      </c>
    </row>
    <row r="293" spans="1:23" s="129" customFormat="1" ht="14.25">
      <c r="A293" s="195" t="s">
        <v>1276</v>
      </c>
      <c r="B293" s="195" t="s">
        <v>656</v>
      </c>
      <c r="C293" s="195" t="s">
        <v>684</v>
      </c>
      <c r="D293" s="236" t="s">
        <v>717</v>
      </c>
      <c r="E293" s="128" t="s">
        <v>685</v>
      </c>
      <c r="F293" s="128"/>
      <c r="G293" s="241" t="s">
        <v>724</v>
      </c>
      <c r="H293" s="241" t="s">
        <v>2988</v>
      </c>
      <c r="I293" s="195" t="s">
        <v>726</v>
      </c>
      <c r="J293" s="128" t="s">
        <v>108</v>
      </c>
      <c r="K293" s="236" t="s">
        <v>158</v>
      </c>
      <c r="L293" s="227"/>
      <c r="M293" s="236" t="s">
        <v>715</v>
      </c>
      <c r="N293" s="128" t="s">
        <v>690</v>
      </c>
      <c r="O293" s="128">
        <v>8</v>
      </c>
      <c r="P293" s="128">
        <v>8544700000</v>
      </c>
      <c r="Q293" s="281">
        <v>597.85714285714289</v>
      </c>
      <c r="R293" s="149" t="s">
        <v>9</v>
      </c>
      <c r="T293" s="134">
        <v>1992.8571428571431</v>
      </c>
      <c r="U293" s="134">
        <v>1195.7142857142858</v>
      </c>
      <c r="V293" s="134">
        <v>996.42857142857156</v>
      </c>
      <c r="W293" s="134">
        <v>797.14285714285734</v>
      </c>
    </row>
    <row r="294" spans="1:23" s="129" customFormat="1" ht="14.25">
      <c r="A294" s="195" t="s">
        <v>1276</v>
      </c>
      <c r="B294" s="195" t="s">
        <v>656</v>
      </c>
      <c r="C294" s="195" t="s">
        <v>684</v>
      </c>
      <c r="D294" s="236" t="s">
        <v>717</v>
      </c>
      <c r="E294" s="128" t="s">
        <v>685</v>
      </c>
      <c r="F294" s="128"/>
      <c r="G294" s="241" t="s">
        <v>727</v>
      </c>
      <c r="H294" s="241" t="s">
        <v>2989</v>
      </c>
      <c r="I294" s="195" t="s">
        <v>729</v>
      </c>
      <c r="J294" s="128" t="s">
        <v>108</v>
      </c>
      <c r="K294" s="236" t="s">
        <v>158</v>
      </c>
      <c r="L294" s="227"/>
      <c r="M294" s="236" t="s">
        <v>715</v>
      </c>
      <c r="N294" s="128" t="s">
        <v>690</v>
      </c>
      <c r="O294" s="128">
        <v>8</v>
      </c>
      <c r="P294" s="128">
        <v>8544700000</v>
      </c>
      <c r="Q294" s="281">
        <v>1013.5714285714287</v>
      </c>
      <c r="R294" s="149" t="s">
        <v>9</v>
      </c>
      <c r="T294" s="134">
        <v>3378.5714285714289</v>
      </c>
      <c r="U294" s="134">
        <v>2027.1428571428573</v>
      </c>
      <c r="V294" s="134">
        <v>1689.2857142857144</v>
      </c>
      <c r="W294" s="134">
        <v>1351.4285714285716</v>
      </c>
    </row>
    <row r="295" spans="1:23" s="129" customFormat="1" ht="14.25">
      <c r="A295" s="195" t="s">
        <v>1276</v>
      </c>
      <c r="B295" s="195" t="s">
        <v>656</v>
      </c>
      <c r="C295" s="195" t="s">
        <v>684</v>
      </c>
      <c r="D295" s="236" t="s">
        <v>730</v>
      </c>
      <c r="E295" s="128" t="s">
        <v>685</v>
      </c>
      <c r="F295" s="128"/>
      <c r="G295" s="241" t="s">
        <v>731</v>
      </c>
      <c r="H295" s="241" t="s">
        <v>2990</v>
      </c>
      <c r="I295" s="195" t="s">
        <v>733</v>
      </c>
      <c r="J295" s="128" t="s">
        <v>108</v>
      </c>
      <c r="K295" s="236" t="s">
        <v>158</v>
      </c>
      <c r="L295" s="227"/>
      <c r="M295" s="236" t="s">
        <v>715</v>
      </c>
      <c r="N295" s="128" t="s">
        <v>690</v>
      </c>
      <c r="O295" s="128">
        <v>8</v>
      </c>
      <c r="P295" s="128">
        <v>8544700000</v>
      </c>
      <c r="Q295" s="281">
        <v>473.57142857142861</v>
      </c>
      <c r="R295" s="149" t="s">
        <v>9</v>
      </c>
      <c r="T295" s="134">
        <v>1578.5714285714287</v>
      </c>
      <c r="U295" s="134">
        <v>947.14285714285711</v>
      </c>
      <c r="V295" s="134">
        <v>789.28571428571433</v>
      </c>
      <c r="W295" s="134">
        <v>631.42857142857156</v>
      </c>
    </row>
    <row r="296" spans="1:23" s="129" customFormat="1" ht="14.25">
      <c r="A296" s="195" t="s">
        <v>1276</v>
      </c>
      <c r="B296" s="195" t="s">
        <v>656</v>
      </c>
      <c r="C296" s="195" t="s">
        <v>684</v>
      </c>
      <c r="D296" s="236" t="s">
        <v>730</v>
      </c>
      <c r="E296" s="128" t="s">
        <v>685</v>
      </c>
      <c r="F296" s="128"/>
      <c r="G296" s="241" t="s">
        <v>734</v>
      </c>
      <c r="H296" s="241" t="s">
        <v>2991</v>
      </c>
      <c r="I296" s="195" t="s">
        <v>736</v>
      </c>
      <c r="J296" s="128" t="s">
        <v>108</v>
      </c>
      <c r="K296" s="236" t="s">
        <v>158</v>
      </c>
      <c r="L296" s="227"/>
      <c r="M296" s="236" t="s">
        <v>715</v>
      </c>
      <c r="N296" s="128" t="s">
        <v>690</v>
      </c>
      <c r="O296" s="128">
        <v>8</v>
      </c>
      <c r="P296" s="128">
        <v>8544700000</v>
      </c>
      <c r="Q296" s="281">
        <v>542.14285714285722</v>
      </c>
      <c r="R296" s="149" t="s">
        <v>9</v>
      </c>
      <c r="T296" s="134">
        <v>1807.1428571428576</v>
      </c>
      <c r="U296" s="134">
        <v>1084.2857142857144</v>
      </c>
      <c r="V296" s="134">
        <v>903.57142857142878</v>
      </c>
      <c r="W296" s="134">
        <v>722.85714285714312</v>
      </c>
    </row>
    <row r="297" spans="1:23" s="129" customFormat="1" ht="14.25">
      <c r="A297" s="195" t="s">
        <v>1276</v>
      </c>
      <c r="B297" s="195" t="s">
        <v>656</v>
      </c>
      <c r="C297" s="195" t="s">
        <v>684</v>
      </c>
      <c r="D297" s="236" t="s">
        <v>730</v>
      </c>
      <c r="E297" s="128" t="s">
        <v>685</v>
      </c>
      <c r="F297" s="128"/>
      <c r="G297" s="241" t="s">
        <v>737</v>
      </c>
      <c r="H297" s="241" t="s">
        <v>2992</v>
      </c>
      <c r="I297" s="195" t="s">
        <v>739</v>
      </c>
      <c r="J297" s="128" t="s">
        <v>108</v>
      </c>
      <c r="K297" s="236" t="s">
        <v>158</v>
      </c>
      <c r="L297" s="227"/>
      <c r="M297" s="236" t="s">
        <v>715</v>
      </c>
      <c r="N297" s="128" t="s">
        <v>690</v>
      </c>
      <c r="O297" s="128">
        <v>8</v>
      </c>
      <c r="P297" s="128">
        <v>8544700000</v>
      </c>
      <c r="Q297" s="281">
        <v>657.85714285714289</v>
      </c>
      <c r="R297" s="149" t="s">
        <v>9</v>
      </c>
      <c r="T297" s="134">
        <v>2192.8571428571431</v>
      </c>
      <c r="U297" s="134">
        <v>1315.7142857142858</v>
      </c>
      <c r="V297" s="134">
        <v>1096.4285714285716</v>
      </c>
      <c r="W297" s="134">
        <v>877.14285714285734</v>
      </c>
    </row>
    <row r="298" spans="1:23" s="129" customFormat="1" ht="14.25">
      <c r="A298" s="195" t="s">
        <v>1276</v>
      </c>
      <c r="B298" s="195" t="s">
        <v>656</v>
      </c>
      <c r="C298" s="195" t="s">
        <v>684</v>
      </c>
      <c r="D298" s="236" t="s">
        <v>730</v>
      </c>
      <c r="E298" s="128" t="s">
        <v>685</v>
      </c>
      <c r="F298" s="128"/>
      <c r="G298" s="241" t="s">
        <v>740</v>
      </c>
      <c r="H298" s="241" t="s">
        <v>2993</v>
      </c>
      <c r="I298" s="195" t="s">
        <v>742</v>
      </c>
      <c r="J298" s="128" t="s">
        <v>108</v>
      </c>
      <c r="K298" s="236" t="s">
        <v>158</v>
      </c>
      <c r="L298" s="227"/>
      <c r="M298" s="236" t="s">
        <v>715</v>
      </c>
      <c r="N298" s="128" t="s">
        <v>690</v>
      </c>
      <c r="O298" s="128">
        <v>8</v>
      </c>
      <c r="P298" s="128">
        <v>8544700000</v>
      </c>
      <c r="Q298" s="281">
        <v>1095</v>
      </c>
      <c r="R298" s="149" t="s">
        <v>9</v>
      </c>
      <c r="T298" s="134">
        <v>3650</v>
      </c>
      <c r="U298" s="134">
        <v>2190</v>
      </c>
      <c r="V298" s="134">
        <v>1825</v>
      </c>
      <c r="W298" s="134">
        <v>1460</v>
      </c>
    </row>
    <row r="299" spans="1:23" s="129" customFormat="1" ht="14.25">
      <c r="A299" s="195" t="s">
        <v>1276</v>
      </c>
      <c r="B299" s="195" t="s">
        <v>656</v>
      </c>
      <c r="C299" s="195" t="s">
        <v>684</v>
      </c>
      <c r="D299" s="236" t="s">
        <v>730</v>
      </c>
      <c r="E299" s="128" t="s">
        <v>685</v>
      </c>
      <c r="F299" s="128"/>
      <c r="G299" s="241" t="s">
        <v>2272</v>
      </c>
      <c r="H299" s="241" t="s">
        <v>2825</v>
      </c>
      <c r="I299" s="195" t="s">
        <v>2277</v>
      </c>
      <c r="J299" s="128" t="s">
        <v>1584</v>
      </c>
      <c r="K299" s="236" t="s">
        <v>158</v>
      </c>
      <c r="L299" s="227"/>
      <c r="M299" s="236" t="s">
        <v>715</v>
      </c>
      <c r="N299" s="128" t="s">
        <v>690</v>
      </c>
      <c r="O299" s="128">
        <v>8</v>
      </c>
      <c r="P299" s="128">
        <v>8544700000</v>
      </c>
      <c r="Q299" s="281">
        <v>882.14285714285722</v>
      </c>
      <c r="R299" s="149" t="s">
        <v>9</v>
      </c>
      <c r="T299" s="134">
        <v>2940.4761904761908</v>
      </c>
      <c r="U299" s="134">
        <v>1764.2857142857144</v>
      </c>
      <c r="V299" s="134">
        <v>1470.2380952380954</v>
      </c>
      <c r="W299" s="134">
        <v>1176.1904761904764</v>
      </c>
    </row>
    <row r="300" spans="1:23" s="129" customFormat="1" ht="14.25">
      <c r="A300" s="195" t="s">
        <v>1276</v>
      </c>
      <c r="B300" s="195" t="s">
        <v>656</v>
      </c>
      <c r="C300" s="195" t="s">
        <v>684</v>
      </c>
      <c r="D300" s="236" t="s">
        <v>730</v>
      </c>
      <c r="E300" s="128" t="s">
        <v>685</v>
      </c>
      <c r="F300" s="128"/>
      <c r="G300" s="241" t="s">
        <v>2273</v>
      </c>
      <c r="H300" s="241" t="s">
        <v>2825</v>
      </c>
      <c r="I300" s="195" t="s">
        <v>2278</v>
      </c>
      <c r="J300" s="128" t="s">
        <v>1584</v>
      </c>
      <c r="K300" s="236" t="s">
        <v>158</v>
      </c>
      <c r="L300" s="227"/>
      <c r="M300" s="236" t="s">
        <v>715</v>
      </c>
      <c r="N300" s="128" t="s">
        <v>690</v>
      </c>
      <c r="O300" s="128">
        <v>8</v>
      </c>
      <c r="P300" s="128">
        <v>8544700000</v>
      </c>
      <c r="Q300" s="281">
        <v>1362.1428571428573</v>
      </c>
      <c r="R300" s="149" t="s">
        <v>9</v>
      </c>
      <c r="T300" s="134">
        <v>4540.4761904761917</v>
      </c>
      <c r="U300" s="134">
        <v>2724.2857142857151</v>
      </c>
      <c r="V300" s="134">
        <v>2270.2380952380959</v>
      </c>
      <c r="W300" s="134">
        <v>1816.1904761904768</v>
      </c>
    </row>
    <row r="301" spans="1:23" s="129" customFormat="1" ht="14.25">
      <c r="A301" s="195" t="s">
        <v>1276</v>
      </c>
      <c r="B301" s="195" t="s">
        <v>656</v>
      </c>
      <c r="C301" s="195" t="s">
        <v>684</v>
      </c>
      <c r="D301" s="236" t="s">
        <v>730</v>
      </c>
      <c r="E301" s="128" t="s">
        <v>685</v>
      </c>
      <c r="F301" s="128"/>
      <c r="G301" s="241" t="s">
        <v>2279</v>
      </c>
      <c r="H301" s="241" t="s">
        <v>2825</v>
      </c>
      <c r="I301" s="195" t="s">
        <v>2289</v>
      </c>
      <c r="J301" s="128" t="s">
        <v>1584</v>
      </c>
      <c r="K301" s="236" t="s">
        <v>158</v>
      </c>
      <c r="L301" s="227"/>
      <c r="M301" s="236" t="s">
        <v>715</v>
      </c>
      <c r="N301" s="128" t="s">
        <v>690</v>
      </c>
      <c r="O301" s="128">
        <v>8</v>
      </c>
      <c r="P301" s="128">
        <v>8544700000</v>
      </c>
      <c r="Q301" s="281">
        <v>585</v>
      </c>
      <c r="R301" s="149" t="s">
        <v>9</v>
      </c>
      <c r="T301" s="134">
        <v>1950</v>
      </c>
      <c r="U301" s="134">
        <v>1170</v>
      </c>
      <c r="V301" s="134">
        <v>975</v>
      </c>
      <c r="W301" s="134">
        <v>780</v>
      </c>
    </row>
    <row r="302" spans="1:23" s="129" customFormat="1" ht="14.25">
      <c r="A302" s="195" t="s">
        <v>1276</v>
      </c>
      <c r="B302" s="195" t="s">
        <v>656</v>
      </c>
      <c r="C302" s="195" t="s">
        <v>684</v>
      </c>
      <c r="D302" s="236" t="s">
        <v>730</v>
      </c>
      <c r="E302" s="128" t="s">
        <v>685</v>
      </c>
      <c r="F302" s="128"/>
      <c r="G302" s="241" t="s">
        <v>2280</v>
      </c>
      <c r="H302" s="241" t="s">
        <v>2825</v>
      </c>
      <c r="I302" s="195" t="s">
        <v>2290</v>
      </c>
      <c r="J302" s="128" t="s">
        <v>1584</v>
      </c>
      <c r="K302" s="236" t="s">
        <v>158</v>
      </c>
      <c r="L302" s="227"/>
      <c r="M302" s="236" t="s">
        <v>715</v>
      </c>
      <c r="N302" s="128" t="s">
        <v>690</v>
      </c>
      <c r="O302" s="128">
        <v>8</v>
      </c>
      <c r="P302" s="128">
        <v>8544700000</v>
      </c>
      <c r="Q302" s="281">
        <v>655</v>
      </c>
      <c r="R302" s="149" t="s">
        <v>9</v>
      </c>
      <c r="T302" s="134">
        <v>2183.3333333333335</v>
      </c>
      <c r="U302" s="134">
        <v>1310</v>
      </c>
      <c r="V302" s="134">
        <v>1091.6666666666667</v>
      </c>
      <c r="W302" s="134">
        <v>873.33333333333348</v>
      </c>
    </row>
    <row r="303" spans="1:23" s="129" customFormat="1" ht="14.25">
      <c r="A303" s="195" t="s">
        <v>1276</v>
      </c>
      <c r="B303" s="195" t="s">
        <v>656</v>
      </c>
      <c r="C303" s="195" t="s">
        <v>684</v>
      </c>
      <c r="D303" s="236" t="s">
        <v>730</v>
      </c>
      <c r="E303" s="128" t="s">
        <v>685</v>
      </c>
      <c r="F303" s="128"/>
      <c r="G303" s="241" t="s">
        <v>2281</v>
      </c>
      <c r="H303" s="241" t="s">
        <v>2825</v>
      </c>
      <c r="I303" s="195" t="s">
        <v>2291</v>
      </c>
      <c r="J303" s="128" t="s">
        <v>1584</v>
      </c>
      <c r="K303" s="236" t="s">
        <v>158</v>
      </c>
      <c r="L303" s="227"/>
      <c r="M303" s="236" t="s">
        <v>715</v>
      </c>
      <c r="N303" s="128" t="s">
        <v>690</v>
      </c>
      <c r="O303" s="128">
        <v>8</v>
      </c>
      <c r="P303" s="128">
        <v>8544700000</v>
      </c>
      <c r="Q303" s="281">
        <v>737.85714285714289</v>
      </c>
      <c r="R303" s="149" t="s">
        <v>9</v>
      </c>
      <c r="T303" s="134">
        <v>2459.5238095238096</v>
      </c>
      <c r="U303" s="134">
        <v>1475.7142857142858</v>
      </c>
      <c r="V303" s="134">
        <v>1229.7619047619048</v>
      </c>
      <c r="W303" s="134">
        <v>983.80952380952385</v>
      </c>
    </row>
    <row r="304" spans="1:23" s="129" customFormat="1" ht="14.25">
      <c r="A304" s="195" t="s">
        <v>1276</v>
      </c>
      <c r="B304" s="195" t="s">
        <v>656</v>
      </c>
      <c r="C304" s="195" t="s">
        <v>684</v>
      </c>
      <c r="D304" s="236" t="s">
        <v>730</v>
      </c>
      <c r="E304" s="128" t="s">
        <v>685</v>
      </c>
      <c r="F304" s="128"/>
      <c r="G304" s="241" t="s">
        <v>2282</v>
      </c>
      <c r="H304" s="241" t="s">
        <v>2825</v>
      </c>
      <c r="I304" s="195" t="s">
        <v>2292</v>
      </c>
      <c r="J304" s="128" t="s">
        <v>1584</v>
      </c>
      <c r="K304" s="236" t="s">
        <v>158</v>
      </c>
      <c r="L304" s="227"/>
      <c r="M304" s="236" t="s">
        <v>715</v>
      </c>
      <c r="N304" s="128" t="s">
        <v>690</v>
      </c>
      <c r="O304" s="128">
        <v>8</v>
      </c>
      <c r="P304" s="128">
        <v>8544700000</v>
      </c>
      <c r="Q304" s="281">
        <v>890.71428571428578</v>
      </c>
      <c r="R304" s="149" t="s">
        <v>9</v>
      </c>
      <c r="T304" s="134">
        <v>2969.0476190476193</v>
      </c>
      <c r="U304" s="134">
        <v>1781.4285714285716</v>
      </c>
      <c r="V304" s="134">
        <v>1484.5238095238096</v>
      </c>
      <c r="W304" s="134">
        <v>1187.6190476190477</v>
      </c>
    </row>
    <row r="305" spans="1:23" s="129" customFormat="1" ht="14.25">
      <c r="A305" s="195" t="s">
        <v>1276</v>
      </c>
      <c r="B305" s="195" t="s">
        <v>656</v>
      </c>
      <c r="C305" s="195" t="s">
        <v>684</v>
      </c>
      <c r="D305" s="236" t="s">
        <v>730</v>
      </c>
      <c r="E305" s="128" t="s">
        <v>685</v>
      </c>
      <c r="F305" s="128"/>
      <c r="G305" s="241" t="s">
        <v>2283</v>
      </c>
      <c r="H305" s="241" t="s">
        <v>2825</v>
      </c>
      <c r="I305" s="195" t="s">
        <v>2293</v>
      </c>
      <c r="J305" s="128" t="s">
        <v>1584</v>
      </c>
      <c r="K305" s="236" t="s">
        <v>158</v>
      </c>
      <c r="L305" s="227"/>
      <c r="M305" s="236" t="s">
        <v>715</v>
      </c>
      <c r="N305" s="128" t="s">
        <v>690</v>
      </c>
      <c r="O305" s="128">
        <v>8</v>
      </c>
      <c r="P305" s="128">
        <v>8544700000</v>
      </c>
      <c r="Q305" s="281">
        <v>1383.5714285714287</v>
      </c>
      <c r="R305" s="149" t="s">
        <v>9</v>
      </c>
      <c r="T305" s="134">
        <v>4611.9047619047624</v>
      </c>
      <c r="U305" s="134">
        <v>2767.1428571428573</v>
      </c>
      <c r="V305" s="134">
        <v>2305.9523809523812</v>
      </c>
      <c r="W305" s="134">
        <v>1844.761904761905</v>
      </c>
    </row>
    <row r="306" spans="1:23" s="129" customFormat="1" ht="14.25">
      <c r="A306" s="195" t="s">
        <v>1276</v>
      </c>
      <c r="B306" s="195" t="s">
        <v>656</v>
      </c>
      <c r="C306" s="195" t="s">
        <v>684</v>
      </c>
      <c r="D306" s="236" t="s">
        <v>743</v>
      </c>
      <c r="E306" s="128" t="s">
        <v>685</v>
      </c>
      <c r="F306" s="128"/>
      <c r="G306" s="241" t="s">
        <v>2419</v>
      </c>
      <c r="H306" s="241" t="s">
        <v>2825</v>
      </c>
      <c r="I306" s="195" t="s">
        <v>1678</v>
      </c>
      <c r="J306" s="128" t="s">
        <v>1666</v>
      </c>
      <c r="K306" s="236" t="s">
        <v>158</v>
      </c>
      <c r="L306" s="227"/>
      <c r="M306" s="236" t="s">
        <v>715</v>
      </c>
      <c r="N306" s="128" t="s">
        <v>690</v>
      </c>
      <c r="O306" s="128">
        <v>4</v>
      </c>
      <c r="P306" s="128">
        <v>8544700000</v>
      </c>
      <c r="Q306" s="281">
        <v>2290</v>
      </c>
      <c r="R306" s="149" t="s">
        <v>9</v>
      </c>
      <c r="T306" s="134">
        <v>7633.3333333333339</v>
      </c>
      <c r="U306" s="134">
        <v>4580</v>
      </c>
      <c r="V306" s="134">
        <v>3816.666666666667</v>
      </c>
      <c r="W306" s="134">
        <v>3053.3333333333339</v>
      </c>
    </row>
    <row r="307" spans="1:23" s="129" customFormat="1" ht="14.25">
      <c r="A307" s="195" t="s">
        <v>1276</v>
      </c>
      <c r="B307" s="195" t="s">
        <v>656</v>
      </c>
      <c r="C307" s="195" t="s">
        <v>684</v>
      </c>
      <c r="D307" s="236" t="s">
        <v>751</v>
      </c>
      <c r="E307" s="128" t="s">
        <v>685</v>
      </c>
      <c r="F307" s="128"/>
      <c r="G307" s="241" t="s">
        <v>752</v>
      </c>
      <c r="H307" s="241" t="s">
        <v>2994</v>
      </c>
      <c r="I307" s="195" t="s">
        <v>754</v>
      </c>
      <c r="J307" s="128" t="s">
        <v>2403</v>
      </c>
      <c r="K307" s="236" t="s">
        <v>158</v>
      </c>
      <c r="L307" s="227"/>
      <c r="M307" s="236" t="s">
        <v>715</v>
      </c>
      <c r="N307" s="128" t="s">
        <v>690</v>
      </c>
      <c r="O307" s="128">
        <v>4</v>
      </c>
      <c r="P307" s="128">
        <v>8544700000</v>
      </c>
      <c r="Q307" s="281">
        <v>2052.8571428571431</v>
      </c>
      <c r="R307" s="149" t="s">
        <v>9</v>
      </c>
      <c r="T307" s="134">
        <v>6842.857142857144</v>
      </c>
      <c r="U307" s="134">
        <v>4105.7142857142862</v>
      </c>
      <c r="V307" s="134">
        <v>3421.428571428572</v>
      </c>
      <c r="W307" s="134">
        <v>2737.1428571428578</v>
      </c>
    </row>
    <row r="308" spans="1:23" s="129" customFormat="1" ht="14.25">
      <c r="A308" s="195" t="s">
        <v>1276</v>
      </c>
      <c r="B308" s="195" t="s">
        <v>656</v>
      </c>
      <c r="C308" s="195" t="s">
        <v>684</v>
      </c>
      <c r="D308" s="236" t="s">
        <v>751</v>
      </c>
      <c r="E308" s="128" t="s">
        <v>685</v>
      </c>
      <c r="F308" s="128"/>
      <c r="G308" s="241" t="s">
        <v>755</v>
      </c>
      <c r="H308" s="241" t="s">
        <v>2995</v>
      </c>
      <c r="I308" s="195" t="s">
        <v>757</v>
      </c>
      <c r="J308" s="128" t="s">
        <v>2403</v>
      </c>
      <c r="K308" s="236" t="s">
        <v>158</v>
      </c>
      <c r="L308" s="227"/>
      <c r="M308" s="236" t="s">
        <v>715</v>
      </c>
      <c r="N308" s="128" t="s">
        <v>690</v>
      </c>
      <c r="O308" s="128">
        <v>2</v>
      </c>
      <c r="P308" s="128">
        <v>8544700000</v>
      </c>
      <c r="Q308" s="281">
        <v>3714.2857142857147</v>
      </c>
      <c r="R308" s="149" t="s">
        <v>9</v>
      </c>
      <c r="T308" s="134">
        <v>12380.952380952383</v>
      </c>
      <c r="U308" s="134">
        <v>7428.5714285714294</v>
      </c>
      <c r="V308" s="134">
        <v>6190.4761904761917</v>
      </c>
      <c r="W308" s="134">
        <v>4952.3809523809541</v>
      </c>
    </row>
    <row r="309" spans="1:23" s="129" customFormat="1" ht="14.25">
      <c r="A309" s="195" t="s">
        <v>1276</v>
      </c>
      <c r="B309" s="195" t="s">
        <v>656</v>
      </c>
      <c r="C309" s="195" t="s">
        <v>684</v>
      </c>
      <c r="D309" s="236" t="s">
        <v>758</v>
      </c>
      <c r="E309" s="128" t="s">
        <v>685</v>
      </c>
      <c r="F309" s="128"/>
      <c r="G309" s="241" t="s">
        <v>759</v>
      </c>
      <c r="H309" s="241" t="s">
        <v>2996</v>
      </c>
      <c r="I309" s="195" t="s">
        <v>761</v>
      </c>
      <c r="J309" s="128" t="s">
        <v>2403</v>
      </c>
      <c r="K309" s="236" t="s">
        <v>158</v>
      </c>
      <c r="L309" s="227"/>
      <c r="M309" s="236" t="s">
        <v>715</v>
      </c>
      <c r="N309" s="128" t="s">
        <v>690</v>
      </c>
      <c r="O309" s="128">
        <v>8</v>
      </c>
      <c r="P309" s="128">
        <v>8544700000</v>
      </c>
      <c r="Q309" s="281">
        <v>2299.2857142857142</v>
      </c>
      <c r="R309" s="149" t="s">
        <v>9</v>
      </c>
      <c r="T309" s="134">
        <v>7664.2857142857147</v>
      </c>
      <c r="U309" s="134">
        <v>4598.5714285714284</v>
      </c>
      <c r="V309" s="134">
        <v>3832.1428571428573</v>
      </c>
      <c r="W309" s="134">
        <v>3065.7142857142862</v>
      </c>
    </row>
    <row r="310" spans="1:23" s="129" customFormat="1" ht="14.25">
      <c r="A310" s="195" t="s">
        <v>1276</v>
      </c>
      <c r="B310" s="195" t="s">
        <v>656</v>
      </c>
      <c r="C310" s="195" t="s">
        <v>684</v>
      </c>
      <c r="D310" s="236" t="s">
        <v>758</v>
      </c>
      <c r="E310" s="128" t="s">
        <v>685</v>
      </c>
      <c r="F310" s="128"/>
      <c r="G310" s="241" t="s">
        <v>762</v>
      </c>
      <c r="H310" s="241" t="s">
        <v>2997</v>
      </c>
      <c r="I310" s="195" t="s">
        <v>764</v>
      </c>
      <c r="J310" s="128" t="s">
        <v>2403</v>
      </c>
      <c r="K310" s="236" t="s">
        <v>158</v>
      </c>
      <c r="L310" s="227"/>
      <c r="M310" s="236" t="s">
        <v>715</v>
      </c>
      <c r="N310" s="128" t="s">
        <v>690</v>
      </c>
      <c r="O310" s="128">
        <v>2</v>
      </c>
      <c r="P310" s="128">
        <v>8544700000</v>
      </c>
      <c r="Q310" s="281">
        <v>4025.7142857142858</v>
      </c>
      <c r="R310" s="149" t="s">
        <v>9</v>
      </c>
      <c r="T310" s="134">
        <v>13419.04761904762</v>
      </c>
      <c r="U310" s="134">
        <v>8051.4285714285716</v>
      </c>
      <c r="V310" s="134">
        <v>6709.5238095238101</v>
      </c>
      <c r="W310" s="134">
        <v>5367.6190476190486</v>
      </c>
    </row>
    <row r="311" spans="1:23" s="129" customFormat="1" ht="14.25">
      <c r="A311" s="195" t="s">
        <v>1276</v>
      </c>
      <c r="B311" s="195" t="s">
        <v>656</v>
      </c>
      <c r="C311" s="195" t="s">
        <v>684</v>
      </c>
      <c r="D311" s="236" t="s">
        <v>2294</v>
      </c>
      <c r="E311" s="128" t="s">
        <v>1679</v>
      </c>
      <c r="F311" s="128"/>
      <c r="G311" s="241" t="s">
        <v>2295</v>
      </c>
      <c r="H311" s="241" t="s">
        <v>2825</v>
      </c>
      <c r="I311" s="195" t="s">
        <v>2298</v>
      </c>
      <c r="J311" s="128" t="s">
        <v>1584</v>
      </c>
      <c r="K311" s="236" t="s">
        <v>1223</v>
      </c>
      <c r="L311" s="227"/>
      <c r="M311" s="236" t="s">
        <v>715</v>
      </c>
      <c r="N311" s="128" t="s">
        <v>690</v>
      </c>
      <c r="O311" s="128">
        <v>4</v>
      </c>
      <c r="P311" s="128">
        <v>8544700000</v>
      </c>
      <c r="Q311" s="281">
        <v>1286.3013698630136</v>
      </c>
      <c r="R311" s="149" t="s">
        <v>9</v>
      </c>
      <c r="T311" s="134">
        <v>4287.6712328767126</v>
      </c>
      <c r="U311" s="134">
        <v>2572.6027397260273</v>
      </c>
      <c r="V311" s="134">
        <v>2143.8356164383563</v>
      </c>
      <c r="W311" s="134">
        <v>1715.0684931506851</v>
      </c>
    </row>
    <row r="312" spans="1:23" s="129" customFormat="1" ht="14.25">
      <c r="A312" s="195" t="s">
        <v>1276</v>
      </c>
      <c r="B312" s="195" t="s">
        <v>656</v>
      </c>
      <c r="C312" s="195" t="s">
        <v>684</v>
      </c>
      <c r="D312" s="236" t="s">
        <v>2294</v>
      </c>
      <c r="E312" s="128" t="s">
        <v>1679</v>
      </c>
      <c r="F312" s="128"/>
      <c r="G312" s="241" t="s">
        <v>2296</v>
      </c>
      <c r="H312" s="241" t="s">
        <v>2825</v>
      </c>
      <c r="I312" s="195" t="s">
        <v>2299</v>
      </c>
      <c r="J312" s="128" t="s">
        <v>1584</v>
      </c>
      <c r="K312" s="236" t="s">
        <v>1223</v>
      </c>
      <c r="L312" s="227"/>
      <c r="M312" s="236" t="s">
        <v>715</v>
      </c>
      <c r="N312" s="128" t="s">
        <v>690</v>
      </c>
      <c r="O312" s="128">
        <v>4</v>
      </c>
      <c r="P312" s="128">
        <v>8544700000</v>
      </c>
      <c r="Q312" s="281">
        <v>1724.6575342465753</v>
      </c>
      <c r="R312" s="149" t="s">
        <v>9</v>
      </c>
      <c r="T312" s="134">
        <v>5748.8584474885847</v>
      </c>
      <c r="U312" s="134">
        <v>3449.3150684931506</v>
      </c>
      <c r="V312" s="134">
        <v>2874.4292237442924</v>
      </c>
      <c r="W312" s="134">
        <v>2299.5433789954341</v>
      </c>
    </row>
    <row r="313" spans="1:23" s="129" customFormat="1" ht="14.25">
      <c r="A313" s="195" t="s">
        <v>1276</v>
      </c>
      <c r="B313" s="195" t="s">
        <v>656</v>
      </c>
      <c r="C313" s="195" t="s">
        <v>684</v>
      </c>
      <c r="D313" s="236" t="s">
        <v>2294</v>
      </c>
      <c r="E313" s="128" t="s">
        <v>1679</v>
      </c>
      <c r="F313" s="128"/>
      <c r="G313" s="241" t="s">
        <v>2297</v>
      </c>
      <c r="H313" s="241" t="s">
        <v>2825</v>
      </c>
      <c r="I313" s="195" t="s">
        <v>2300</v>
      </c>
      <c r="J313" s="128" t="s">
        <v>1584</v>
      </c>
      <c r="K313" s="236" t="s">
        <v>1223</v>
      </c>
      <c r="L313" s="227"/>
      <c r="M313" s="236" t="s">
        <v>715</v>
      </c>
      <c r="N313" s="128" t="s">
        <v>690</v>
      </c>
      <c r="O313" s="128">
        <v>4</v>
      </c>
      <c r="P313" s="128">
        <v>8544700000</v>
      </c>
      <c r="Q313" s="281">
        <v>2561.6438356164385</v>
      </c>
      <c r="R313" s="149" t="s">
        <v>9</v>
      </c>
      <c r="T313" s="134">
        <v>8538.8127853881288</v>
      </c>
      <c r="U313" s="134">
        <v>5123.2876712328771</v>
      </c>
      <c r="V313" s="134">
        <v>4269.4063926940644</v>
      </c>
      <c r="W313" s="134">
        <v>3415.5251141552517</v>
      </c>
    </row>
    <row r="314" spans="1:23" s="129" customFormat="1" ht="14.25">
      <c r="A314" s="195" t="s">
        <v>1276</v>
      </c>
      <c r="B314" s="195" t="s">
        <v>656</v>
      </c>
      <c r="C314" s="195" t="s">
        <v>684</v>
      </c>
      <c r="D314" s="236" t="s">
        <v>1670</v>
      </c>
      <c r="E314" s="128" t="s">
        <v>1679</v>
      </c>
      <c r="F314" s="128"/>
      <c r="G314" s="241" t="s">
        <v>2344</v>
      </c>
      <c r="H314" s="241" t="s">
        <v>2825</v>
      </c>
      <c r="I314" s="195" t="s">
        <v>2338</v>
      </c>
      <c r="J314" s="128" t="s">
        <v>1584</v>
      </c>
      <c r="K314" s="236" t="s">
        <v>1223</v>
      </c>
      <c r="L314" s="227"/>
      <c r="M314" s="236" t="s">
        <v>715</v>
      </c>
      <c r="N314" s="128" t="s">
        <v>690</v>
      </c>
      <c r="O314" s="128">
        <v>2</v>
      </c>
      <c r="P314" s="128">
        <v>8544700000</v>
      </c>
      <c r="Q314" s="281">
        <v>1512.3287671232877</v>
      </c>
      <c r="R314" s="149" t="s">
        <v>9</v>
      </c>
      <c r="T314" s="134">
        <v>5041.0958904109593</v>
      </c>
      <c r="U314" s="134">
        <v>3024.6575342465753</v>
      </c>
      <c r="V314" s="134">
        <v>2520.5479452054797</v>
      </c>
      <c r="W314" s="134">
        <v>2016.4383561643838</v>
      </c>
    </row>
    <row r="315" spans="1:23" s="129" customFormat="1" ht="14.25">
      <c r="A315" s="195" t="s">
        <v>1276</v>
      </c>
      <c r="B315" s="195" t="s">
        <v>656</v>
      </c>
      <c r="C315" s="195" t="s">
        <v>684</v>
      </c>
      <c r="D315" s="236" t="s">
        <v>1670</v>
      </c>
      <c r="E315" s="128" t="s">
        <v>1679</v>
      </c>
      <c r="F315" s="128"/>
      <c r="G315" s="241" t="s">
        <v>2304</v>
      </c>
      <c r="H315" s="241" t="s">
        <v>2825</v>
      </c>
      <c r="I315" s="195" t="s">
        <v>2339</v>
      </c>
      <c r="J315" s="128" t="s">
        <v>1584</v>
      </c>
      <c r="K315" s="236" t="s">
        <v>1223</v>
      </c>
      <c r="L315" s="227"/>
      <c r="M315" s="236" t="s">
        <v>715</v>
      </c>
      <c r="N315" s="128" t="s">
        <v>690</v>
      </c>
      <c r="O315" s="128">
        <v>2</v>
      </c>
      <c r="P315" s="128">
        <v>8544700000</v>
      </c>
      <c r="Q315" s="281">
        <v>1956.1643835616439</v>
      </c>
      <c r="R315" s="149" t="s">
        <v>9</v>
      </c>
      <c r="T315" s="134">
        <v>6520.5479452054797</v>
      </c>
      <c r="U315" s="134">
        <v>3912.3287671232874</v>
      </c>
      <c r="V315" s="134">
        <v>3260.2739726027398</v>
      </c>
      <c r="W315" s="134">
        <v>2608.2191780821922</v>
      </c>
    </row>
    <row r="316" spans="1:23" s="129" customFormat="1" ht="14.25">
      <c r="A316" s="195" t="s">
        <v>1276</v>
      </c>
      <c r="B316" s="195" t="s">
        <v>656</v>
      </c>
      <c r="C316" s="195" t="s">
        <v>684</v>
      </c>
      <c r="D316" s="236" t="s">
        <v>1670</v>
      </c>
      <c r="E316" s="128" t="s">
        <v>1679</v>
      </c>
      <c r="F316" s="128"/>
      <c r="G316" s="241" t="s">
        <v>2305</v>
      </c>
      <c r="H316" s="241" t="s">
        <v>2825</v>
      </c>
      <c r="I316" s="195" t="s">
        <v>2340</v>
      </c>
      <c r="J316" s="128" t="s">
        <v>1584</v>
      </c>
      <c r="K316" s="236" t="s">
        <v>1223</v>
      </c>
      <c r="L316" s="227"/>
      <c r="M316" s="236" t="s">
        <v>715</v>
      </c>
      <c r="N316" s="128" t="s">
        <v>690</v>
      </c>
      <c r="O316" s="128">
        <v>2</v>
      </c>
      <c r="P316" s="128">
        <v>8544700000</v>
      </c>
      <c r="Q316" s="281">
        <v>2832.8767123287671</v>
      </c>
      <c r="R316" s="149" t="s">
        <v>9</v>
      </c>
      <c r="T316" s="134">
        <v>9442.9223744292249</v>
      </c>
      <c r="U316" s="134">
        <v>5665.7534246575351</v>
      </c>
      <c r="V316" s="134">
        <v>4721.4611872146124</v>
      </c>
      <c r="W316" s="134">
        <v>3777.1689497716902</v>
      </c>
    </row>
    <row r="317" spans="1:23" s="129" customFormat="1" ht="14.25">
      <c r="A317" s="195" t="s">
        <v>1276</v>
      </c>
      <c r="B317" s="195" t="s">
        <v>656</v>
      </c>
      <c r="C317" s="195" t="s">
        <v>684</v>
      </c>
      <c r="D317" s="236" t="s">
        <v>730</v>
      </c>
      <c r="E317" s="128" t="s">
        <v>765</v>
      </c>
      <c r="F317" s="128"/>
      <c r="G317" s="241" t="s">
        <v>2311</v>
      </c>
      <c r="H317" s="241" t="s">
        <v>2825</v>
      </c>
      <c r="I317" s="195" t="s">
        <v>2318</v>
      </c>
      <c r="J317" s="128" t="s">
        <v>1584</v>
      </c>
      <c r="K317" s="236" t="s">
        <v>158</v>
      </c>
      <c r="L317" s="227"/>
      <c r="M317" s="236" t="s">
        <v>715</v>
      </c>
      <c r="N317" s="128" t="s">
        <v>690</v>
      </c>
      <c r="O317" s="128">
        <v>8</v>
      </c>
      <c r="P317" s="128">
        <v>8544700000</v>
      </c>
      <c r="Q317" s="281">
        <v>1424.2647058823532</v>
      </c>
      <c r="R317" s="149" t="s">
        <v>9</v>
      </c>
      <c r="T317" s="134">
        <v>4747.5490196078445</v>
      </c>
      <c r="U317" s="134">
        <v>2848.5294117647068</v>
      </c>
      <c r="V317" s="134">
        <v>2373.7745098039222</v>
      </c>
      <c r="W317" s="134">
        <v>1899.0196078431379</v>
      </c>
    </row>
    <row r="318" spans="1:23" s="129" customFormat="1" ht="14.25">
      <c r="A318" s="195" t="s">
        <v>1276</v>
      </c>
      <c r="B318" s="195" t="s">
        <v>656</v>
      </c>
      <c r="C318" s="195" t="s">
        <v>684</v>
      </c>
      <c r="D318" s="236" t="s">
        <v>730</v>
      </c>
      <c r="E318" s="128" t="s">
        <v>765</v>
      </c>
      <c r="F318" s="128"/>
      <c r="G318" s="241" t="s">
        <v>2312</v>
      </c>
      <c r="H318" s="241" t="s">
        <v>2825</v>
      </c>
      <c r="I318" s="195" t="s">
        <v>2319</v>
      </c>
      <c r="J318" s="128" t="s">
        <v>1584</v>
      </c>
      <c r="K318" s="236" t="s">
        <v>158</v>
      </c>
      <c r="L318" s="227"/>
      <c r="M318" s="236" t="s">
        <v>715</v>
      </c>
      <c r="N318" s="128" t="s">
        <v>690</v>
      </c>
      <c r="O318" s="128">
        <v>8</v>
      </c>
      <c r="P318" s="128">
        <v>8544700000</v>
      </c>
      <c r="Q318" s="281">
        <v>2584.5588235294122</v>
      </c>
      <c r="R318" s="149" t="s">
        <v>9</v>
      </c>
      <c r="T318" s="134">
        <v>8615.1960784313742</v>
      </c>
      <c r="U318" s="134">
        <v>5169.1176470588243</v>
      </c>
      <c r="V318" s="134">
        <v>4307.5980392156871</v>
      </c>
      <c r="W318" s="134">
        <v>3446.0784313725499</v>
      </c>
    </row>
    <row r="319" spans="1:23" s="129" customFormat="1" ht="14.25">
      <c r="A319" s="195" t="s">
        <v>1276</v>
      </c>
      <c r="B319" s="195" t="s">
        <v>656</v>
      </c>
      <c r="C319" s="195" t="s">
        <v>684</v>
      </c>
      <c r="D319" s="236" t="s">
        <v>686</v>
      </c>
      <c r="E319" s="128" t="s">
        <v>765</v>
      </c>
      <c r="F319" s="128"/>
      <c r="G319" s="241" t="s">
        <v>2320</v>
      </c>
      <c r="H319" s="241" t="s">
        <v>2825</v>
      </c>
      <c r="I319" s="195" t="s">
        <v>2324</v>
      </c>
      <c r="J319" s="128" t="s">
        <v>1666</v>
      </c>
      <c r="K319" s="236" t="s">
        <v>158</v>
      </c>
      <c r="L319" s="227"/>
      <c r="M319" s="236" t="s">
        <v>715</v>
      </c>
      <c r="N319" s="128" t="s">
        <v>690</v>
      </c>
      <c r="O319" s="128">
        <v>8</v>
      </c>
      <c r="P319" s="128">
        <v>8544700000</v>
      </c>
      <c r="Q319" s="281">
        <v>784.55882352941182</v>
      </c>
      <c r="R319" s="149" t="s">
        <v>9</v>
      </c>
      <c r="T319" s="134">
        <v>2615.1960784313728</v>
      </c>
      <c r="U319" s="134">
        <v>1569.1176470588236</v>
      </c>
      <c r="V319" s="134">
        <v>1307.5980392156864</v>
      </c>
      <c r="W319" s="134">
        <v>1046.0784313725492</v>
      </c>
    </row>
    <row r="320" spans="1:23" s="129" customFormat="1" ht="14.25">
      <c r="A320" s="195" t="s">
        <v>1276</v>
      </c>
      <c r="B320" s="195" t="s">
        <v>656</v>
      </c>
      <c r="C320" s="195" t="s">
        <v>684</v>
      </c>
      <c r="D320" s="236" t="s">
        <v>686</v>
      </c>
      <c r="E320" s="128" t="s">
        <v>765</v>
      </c>
      <c r="F320" s="128"/>
      <c r="G320" s="241" t="s">
        <v>2321</v>
      </c>
      <c r="H320" s="241" t="s">
        <v>2825</v>
      </c>
      <c r="I320" s="195" t="s">
        <v>2325</v>
      </c>
      <c r="J320" s="128" t="s">
        <v>1666</v>
      </c>
      <c r="K320" s="236" t="s">
        <v>158</v>
      </c>
      <c r="L320" s="227"/>
      <c r="M320" s="236" t="s">
        <v>715</v>
      </c>
      <c r="N320" s="128" t="s">
        <v>690</v>
      </c>
      <c r="O320" s="128">
        <v>8</v>
      </c>
      <c r="P320" s="128">
        <v>8544700000</v>
      </c>
      <c r="Q320" s="281">
        <v>1324.2647058823532</v>
      </c>
      <c r="R320" s="149" t="s">
        <v>9</v>
      </c>
      <c r="T320" s="134">
        <v>4414.2156862745105</v>
      </c>
      <c r="U320" s="134">
        <v>2648.5294117647063</v>
      </c>
      <c r="V320" s="134">
        <v>2207.1078431372553</v>
      </c>
      <c r="W320" s="134">
        <v>1765.6862745098042</v>
      </c>
    </row>
    <row r="321" spans="1:23" s="129" customFormat="1" ht="14.25">
      <c r="A321" s="195" t="s">
        <v>1276</v>
      </c>
      <c r="B321" s="195" t="s">
        <v>656</v>
      </c>
      <c r="C321" s="195" t="s">
        <v>684</v>
      </c>
      <c r="D321" s="236" t="s">
        <v>686</v>
      </c>
      <c r="E321" s="128" t="s">
        <v>765</v>
      </c>
      <c r="F321" s="128"/>
      <c r="G321" s="241" t="s">
        <v>1680</v>
      </c>
      <c r="H321" s="241" t="s">
        <v>2825</v>
      </c>
      <c r="I321" s="195" t="s">
        <v>1684</v>
      </c>
      <c r="J321" s="128" t="s">
        <v>1666</v>
      </c>
      <c r="K321" s="236" t="s">
        <v>158</v>
      </c>
      <c r="L321" s="227"/>
      <c r="M321" s="236" t="s">
        <v>715</v>
      </c>
      <c r="N321" s="128" t="s">
        <v>690</v>
      </c>
      <c r="O321" s="128">
        <v>8</v>
      </c>
      <c r="P321" s="128">
        <v>8544700000</v>
      </c>
      <c r="Q321" s="281">
        <v>2397.794117647059</v>
      </c>
      <c r="R321" s="149" t="s">
        <v>9</v>
      </c>
      <c r="T321" s="134">
        <v>7992.6470588235306</v>
      </c>
      <c r="U321" s="134">
        <v>4795.588235294118</v>
      </c>
      <c r="V321" s="134">
        <v>3996.3235294117653</v>
      </c>
      <c r="W321" s="134">
        <v>3197.0588235294126</v>
      </c>
    </row>
    <row r="322" spans="1:23" s="129" customFormat="1" ht="14.25">
      <c r="A322" s="195" t="s">
        <v>1276</v>
      </c>
      <c r="B322" s="195" t="s">
        <v>656</v>
      </c>
      <c r="C322" s="195" t="s">
        <v>684</v>
      </c>
      <c r="D322" s="236" t="s">
        <v>743</v>
      </c>
      <c r="E322" s="128" t="s">
        <v>765</v>
      </c>
      <c r="F322" s="128"/>
      <c r="G322" s="241" t="s">
        <v>1681</v>
      </c>
      <c r="H322" s="241" t="s">
        <v>2825</v>
      </c>
      <c r="I322" s="195" t="s">
        <v>1685</v>
      </c>
      <c r="J322" s="128" t="s">
        <v>1666</v>
      </c>
      <c r="K322" s="236" t="s">
        <v>158</v>
      </c>
      <c r="L322" s="227"/>
      <c r="M322" s="236" t="s">
        <v>715</v>
      </c>
      <c r="N322" s="128" t="s">
        <v>690</v>
      </c>
      <c r="O322" s="128">
        <v>4</v>
      </c>
      <c r="P322" s="128">
        <v>8544700000</v>
      </c>
      <c r="Q322" s="281">
        <v>5004.4117647058829</v>
      </c>
      <c r="R322" s="149" t="s">
        <v>9</v>
      </c>
      <c r="T322" s="134">
        <v>16681.372549019612</v>
      </c>
      <c r="U322" s="134">
        <v>10008.823529411768</v>
      </c>
      <c r="V322" s="134">
        <v>8340.686274509806</v>
      </c>
      <c r="W322" s="134">
        <v>6672.5490196078454</v>
      </c>
    </row>
    <row r="323" spans="1:23" s="129" customFormat="1" ht="14.25">
      <c r="A323" s="195" t="s">
        <v>1276</v>
      </c>
      <c r="B323" s="195" t="s">
        <v>656</v>
      </c>
      <c r="C323" s="195" t="s">
        <v>684</v>
      </c>
      <c r="D323" s="236" t="s">
        <v>702</v>
      </c>
      <c r="E323" s="128" t="s">
        <v>765</v>
      </c>
      <c r="F323" s="128"/>
      <c r="G323" s="241" t="s">
        <v>784</v>
      </c>
      <c r="H323" s="241" t="s">
        <v>2998</v>
      </c>
      <c r="I323" s="195" t="s">
        <v>786</v>
      </c>
      <c r="J323" s="128" t="s">
        <v>125</v>
      </c>
      <c r="K323" s="236" t="s">
        <v>158</v>
      </c>
      <c r="L323" s="227"/>
      <c r="M323" s="236" t="s">
        <v>715</v>
      </c>
      <c r="N323" s="128" t="s">
        <v>690</v>
      </c>
      <c r="O323" s="128">
        <v>8</v>
      </c>
      <c r="P323" s="128">
        <v>8544700000</v>
      </c>
      <c r="Q323" s="281">
        <v>780.14705882352951</v>
      </c>
      <c r="R323" s="149" t="s">
        <v>9</v>
      </c>
      <c r="T323" s="134">
        <v>2600.4901960784318</v>
      </c>
      <c r="U323" s="134">
        <v>1560.294117647059</v>
      </c>
      <c r="V323" s="134">
        <v>1300.2450980392159</v>
      </c>
      <c r="W323" s="134">
        <v>1040.1960784313728</v>
      </c>
    </row>
    <row r="324" spans="1:23" s="129" customFormat="1" ht="14.25">
      <c r="A324" s="195" t="s">
        <v>1276</v>
      </c>
      <c r="B324" s="195" t="s">
        <v>656</v>
      </c>
      <c r="C324" s="195" t="s">
        <v>684</v>
      </c>
      <c r="D324" s="236" t="s">
        <v>702</v>
      </c>
      <c r="E324" s="128" t="s">
        <v>765</v>
      </c>
      <c r="F324" s="128"/>
      <c r="G324" s="241" t="s">
        <v>2404</v>
      </c>
      <c r="H324" s="241" t="s">
        <v>2999</v>
      </c>
      <c r="I324" s="195" t="s">
        <v>789</v>
      </c>
      <c r="J324" s="128" t="s">
        <v>125</v>
      </c>
      <c r="K324" s="236" t="s">
        <v>158</v>
      </c>
      <c r="L324" s="227"/>
      <c r="M324" s="236" t="s">
        <v>715</v>
      </c>
      <c r="N324" s="128" t="s">
        <v>690</v>
      </c>
      <c r="O324" s="128">
        <v>8</v>
      </c>
      <c r="P324" s="128">
        <v>8544700000</v>
      </c>
      <c r="Q324" s="281">
        <v>966.91176470588243</v>
      </c>
      <c r="R324" s="149" t="s">
        <v>9</v>
      </c>
      <c r="T324" s="134">
        <v>3223.0392156862749</v>
      </c>
      <c r="U324" s="134">
        <v>1933.8235294117649</v>
      </c>
      <c r="V324" s="134">
        <v>1611.5196078431375</v>
      </c>
      <c r="W324" s="134">
        <v>1289.2156862745101</v>
      </c>
    </row>
    <row r="325" spans="1:23" s="129" customFormat="1" ht="14.25">
      <c r="A325" s="195" t="s">
        <v>1276</v>
      </c>
      <c r="B325" s="195" t="s">
        <v>656</v>
      </c>
      <c r="C325" s="195" t="s">
        <v>684</v>
      </c>
      <c r="D325" s="236" t="s">
        <v>702</v>
      </c>
      <c r="E325" s="128" t="s">
        <v>765</v>
      </c>
      <c r="F325" s="128"/>
      <c r="G325" s="241" t="s">
        <v>790</v>
      </c>
      <c r="H325" s="241" t="s">
        <v>3000</v>
      </c>
      <c r="I325" s="195" t="s">
        <v>792</v>
      </c>
      <c r="J325" s="128" t="s">
        <v>125</v>
      </c>
      <c r="K325" s="236" t="s">
        <v>158</v>
      </c>
      <c r="L325" s="227"/>
      <c r="M325" s="236" t="s">
        <v>715</v>
      </c>
      <c r="N325" s="128" t="s">
        <v>690</v>
      </c>
      <c r="O325" s="128">
        <v>8</v>
      </c>
      <c r="P325" s="128">
        <v>8544700000</v>
      </c>
      <c r="Q325" s="281">
        <v>1327.2058823529412</v>
      </c>
      <c r="R325" s="149" t="s">
        <v>9</v>
      </c>
      <c r="T325" s="134">
        <v>4424.0196078431372</v>
      </c>
      <c r="U325" s="134">
        <v>2654.4117647058824</v>
      </c>
      <c r="V325" s="134">
        <v>2212.0098039215686</v>
      </c>
      <c r="W325" s="134">
        <v>1769.607843137255</v>
      </c>
    </row>
    <row r="326" spans="1:23" s="172" customFormat="1" ht="14.25">
      <c r="A326" s="195" t="s">
        <v>1276</v>
      </c>
      <c r="B326" s="195" t="s">
        <v>656</v>
      </c>
      <c r="C326" s="195" t="s">
        <v>684</v>
      </c>
      <c r="D326" s="236" t="s">
        <v>702</v>
      </c>
      <c r="E326" s="128" t="s">
        <v>765</v>
      </c>
      <c r="F326" s="128"/>
      <c r="G326" s="241" t="s">
        <v>793</v>
      </c>
      <c r="H326" s="241" t="s">
        <v>3001</v>
      </c>
      <c r="I326" s="195" t="s">
        <v>795</v>
      </c>
      <c r="J326" s="128" t="s">
        <v>125</v>
      </c>
      <c r="K326" s="236" t="s">
        <v>158</v>
      </c>
      <c r="L326" s="227"/>
      <c r="M326" s="236" t="s">
        <v>715</v>
      </c>
      <c r="N326" s="128" t="s">
        <v>690</v>
      </c>
      <c r="O326" s="128">
        <v>4</v>
      </c>
      <c r="P326" s="128">
        <v>8544700000</v>
      </c>
      <c r="Q326" s="281">
        <v>2477.9411764705883</v>
      </c>
      <c r="R326" s="149" t="s">
        <v>9</v>
      </c>
      <c r="T326" s="134">
        <v>8259.8039215686276</v>
      </c>
      <c r="U326" s="134">
        <v>4955.8823529411766</v>
      </c>
      <c r="V326" s="134">
        <v>4129.9019607843138</v>
      </c>
      <c r="W326" s="134">
        <v>3303.9215686274511</v>
      </c>
    </row>
    <row r="327" spans="1:23" s="129" customFormat="1" ht="14.25">
      <c r="A327" s="195" t="s">
        <v>1276</v>
      </c>
      <c r="B327" s="195" t="s">
        <v>656</v>
      </c>
      <c r="C327" s="195" t="s">
        <v>684</v>
      </c>
      <c r="D327" s="236" t="s">
        <v>702</v>
      </c>
      <c r="E327" s="128" t="s">
        <v>2351</v>
      </c>
      <c r="F327" s="128"/>
      <c r="G327" s="241" t="s">
        <v>796</v>
      </c>
      <c r="H327" s="241" t="s">
        <v>3002</v>
      </c>
      <c r="I327" s="195" t="s">
        <v>798</v>
      </c>
      <c r="J327" s="128" t="s">
        <v>125</v>
      </c>
      <c r="K327" s="236" t="s">
        <v>158</v>
      </c>
      <c r="L327" s="227"/>
      <c r="M327" s="236" t="s">
        <v>715</v>
      </c>
      <c r="N327" s="128" t="s">
        <v>690</v>
      </c>
      <c r="O327" s="128">
        <v>8</v>
      </c>
      <c r="P327" s="128">
        <v>8544700000</v>
      </c>
      <c r="Q327" s="281">
        <v>1341.9117647058824</v>
      </c>
      <c r="R327" s="149" t="s">
        <v>9</v>
      </c>
      <c r="T327" s="134">
        <v>4473.0392156862754</v>
      </c>
      <c r="U327" s="134">
        <v>2683.8235294117653</v>
      </c>
      <c r="V327" s="134">
        <v>2236.5196078431377</v>
      </c>
      <c r="W327" s="134">
        <v>1789.2156862745103</v>
      </c>
    </row>
    <row r="328" spans="1:23" s="129" customFormat="1" ht="14.25">
      <c r="A328" s="195" t="s">
        <v>1276</v>
      </c>
      <c r="B328" s="195" t="s">
        <v>656</v>
      </c>
      <c r="C328" s="195" t="s">
        <v>684</v>
      </c>
      <c r="D328" s="236" t="s">
        <v>702</v>
      </c>
      <c r="E328" s="128" t="s">
        <v>2351</v>
      </c>
      <c r="F328" s="128"/>
      <c r="G328" s="241" t="s">
        <v>799</v>
      </c>
      <c r="H328" s="241" t="s">
        <v>3003</v>
      </c>
      <c r="I328" s="195" t="s">
        <v>801</v>
      </c>
      <c r="J328" s="128" t="s">
        <v>125</v>
      </c>
      <c r="K328" s="236" t="s">
        <v>158</v>
      </c>
      <c r="L328" s="227"/>
      <c r="M328" s="236" t="s">
        <v>715</v>
      </c>
      <c r="N328" s="128" t="s">
        <v>690</v>
      </c>
      <c r="O328" s="128">
        <v>8</v>
      </c>
      <c r="P328" s="128">
        <v>8544700000</v>
      </c>
      <c r="Q328" s="281">
        <v>1724.2647058823532</v>
      </c>
      <c r="R328" s="149" t="s">
        <v>9</v>
      </c>
      <c r="T328" s="134">
        <v>5747.5490196078445</v>
      </c>
      <c r="U328" s="134">
        <v>3448.5294117647068</v>
      </c>
      <c r="V328" s="134">
        <v>2873.7745098039222</v>
      </c>
      <c r="W328" s="134">
        <v>2299.0196078431377</v>
      </c>
    </row>
    <row r="329" spans="1:23" s="129" customFormat="1" ht="14.25">
      <c r="A329" s="195" t="s">
        <v>1276</v>
      </c>
      <c r="B329" s="195" t="s">
        <v>656</v>
      </c>
      <c r="C329" s="195" t="s">
        <v>684</v>
      </c>
      <c r="D329" s="236" t="s">
        <v>702</v>
      </c>
      <c r="E329" s="128" t="s">
        <v>2351</v>
      </c>
      <c r="F329" s="128"/>
      <c r="G329" s="241" t="s">
        <v>802</v>
      </c>
      <c r="H329" s="241" t="s">
        <v>3004</v>
      </c>
      <c r="I329" s="195" t="s">
        <v>804</v>
      </c>
      <c r="J329" s="128" t="s">
        <v>125</v>
      </c>
      <c r="K329" s="236" t="s">
        <v>158</v>
      </c>
      <c r="L329" s="227"/>
      <c r="M329" s="236" t="s">
        <v>715</v>
      </c>
      <c r="N329" s="128" t="s">
        <v>690</v>
      </c>
      <c r="O329" s="128">
        <v>8</v>
      </c>
      <c r="P329" s="128">
        <v>8544700000</v>
      </c>
      <c r="Q329" s="281">
        <v>2584.5588235294122</v>
      </c>
      <c r="R329" s="149" t="s">
        <v>9</v>
      </c>
      <c r="T329" s="134">
        <v>8615.1960784313742</v>
      </c>
      <c r="U329" s="134">
        <v>5169.1176470588243</v>
      </c>
      <c r="V329" s="134">
        <v>4307.5980392156871</v>
      </c>
      <c r="W329" s="134">
        <v>3446.0784313725499</v>
      </c>
    </row>
    <row r="330" spans="1:23" s="129" customFormat="1" ht="14.25">
      <c r="A330" s="195" t="s">
        <v>1276</v>
      </c>
      <c r="B330" s="195" t="s">
        <v>656</v>
      </c>
      <c r="C330" s="195" t="s">
        <v>684</v>
      </c>
      <c r="D330" s="236" t="s">
        <v>702</v>
      </c>
      <c r="E330" s="128" t="s">
        <v>2351</v>
      </c>
      <c r="F330" s="128"/>
      <c r="G330" s="241" t="s">
        <v>805</v>
      </c>
      <c r="H330" s="241" t="s">
        <v>3005</v>
      </c>
      <c r="I330" s="195" t="s">
        <v>807</v>
      </c>
      <c r="J330" s="128" t="s">
        <v>125</v>
      </c>
      <c r="K330" s="236" t="s">
        <v>158</v>
      </c>
      <c r="L330" s="227"/>
      <c r="M330" s="236" t="s">
        <v>715</v>
      </c>
      <c r="N330" s="128" t="s">
        <v>690</v>
      </c>
      <c r="O330" s="128">
        <v>8</v>
      </c>
      <c r="P330" s="128">
        <v>8544700000</v>
      </c>
      <c r="Q330" s="281">
        <v>4888.9705882352946</v>
      </c>
      <c r="R330" s="149" t="s">
        <v>9</v>
      </c>
      <c r="T330" s="134">
        <v>16296.568627450983</v>
      </c>
      <c r="U330" s="134">
        <v>9777.9411764705892</v>
      </c>
      <c r="V330" s="134">
        <v>8148.2843137254913</v>
      </c>
      <c r="W330" s="134">
        <v>6518.6274509803934</v>
      </c>
    </row>
    <row r="331" spans="1:23" s="129" customFormat="1" ht="14.25">
      <c r="A331" s="195" t="s">
        <v>1276</v>
      </c>
      <c r="B331" s="195" t="s">
        <v>656</v>
      </c>
      <c r="C331" s="195" t="s">
        <v>684</v>
      </c>
      <c r="D331" s="236" t="s">
        <v>751</v>
      </c>
      <c r="E331" s="128" t="s">
        <v>765</v>
      </c>
      <c r="F331" s="128"/>
      <c r="G331" s="241" t="s">
        <v>808</v>
      </c>
      <c r="H331" s="241" t="s">
        <v>3006</v>
      </c>
      <c r="I331" s="195" t="s">
        <v>2317</v>
      </c>
      <c r="J331" s="128" t="s">
        <v>2403</v>
      </c>
      <c r="K331" s="236" t="s">
        <v>158</v>
      </c>
      <c r="L331" s="227"/>
      <c r="M331" s="236" t="s">
        <v>715</v>
      </c>
      <c r="N331" s="128" t="s">
        <v>690</v>
      </c>
      <c r="O331" s="128">
        <v>4</v>
      </c>
      <c r="P331" s="128">
        <v>8544700000</v>
      </c>
      <c r="Q331" s="281">
        <v>4566.176470588236</v>
      </c>
      <c r="R331" s="149" t="s">
        <v>9</v>
      </c>
      <c r="T331" s="134">
        <v>15220.588235294121</v>
      </c>
      <c r="U331" s="134">
        <v>9132.3529411764721</v>
      </c>
      <c r="V331" s="134">
        <v>7610.2941176470604</v>
      </c>
      <c r="W331" s="134">
        <v>6088.2352941176487</v>
      </c>
    </row>
    <row r="332" spans="1:23" s="129" customFormat="1" ht="14.25">
      <c r="A332" s="195" t="s">
        <v>1276</v>
      </c>
      <c r="B332" s="195" t="s">
        <v>656</v>
      </c>
      <c r="C332" s="195" t="s">
        <v>684</v>
      </c>
      <c r="D332" s="236" t="s">
        <v>751</v>
      </c>
      <c r="E332" s="128" t="s">
        <v>765</v>
      </c>
      <c r="F332" s="128"/>
      <c r="G332" s="241" t="s">
        <v>811</v>
      </c>
      <c r="H332" s="241" t="s">
        <v>3007</v>
      </c>
      <c r="I332" s="195" t="s">
        <v>813</v>
      </c>
      <c r="J332" s="128" t="s">
        <v>2403</v>
      </c>
      <c r="K332" s="236" t="s">
        <v>158</v>
      </c>
      <c r="L332" s="227"/>
      <c r="M332" s="236" t="s">
        <v>715</v>
      </c>
      <c r="N332" s="128" t="s">
        <v>690</v>
      </c>
      <c r="O332" s="128">
        <v>2</v>
      </c>
      <c r="P332" s="128">
        <v>8544700000</v>
      </c>
      <c r="Q332" s="281">
        <v>8585.2941176470595</v>
      </c>
      <c r="R332" s="149" t="s">
        <v>9</v>
      </c>
      <c r="T332" s="134">
        <v>28617.647058823532</v>
      </c>
      <c r="U332" s="134">
        <v>17170.588235294119</v>
      </c>
      <c r="V332" s="134">
        <v>14308.823529411766</v>
      </c>
      <c r="W332" s="134">
        <v>11447.058823529413</v>
      </c>
    </row>
    <row r="333" spans="1:23" s="129" customFormat="1" ht="14.25">
      <c r="A333" s="195" t="s">
        <v>1276</v>
      </c>
      <c r="B333" s="195" t="s">
        <v>656</v>
      </c>
      <c r="C333" s="195" t="s">
        <v>684</v>
      </c>
      <c r="D333" s="236" t="s">
        <v>758</v>
      </c>
      <c r="E333" s="128" t="s">
        <v>765</v>
      </c>
      <c r="F333" s="128"/>
      <c r="G333" s="241" t="s">
        <v>814</v>
      </c>
      <c r="H333" s="241" t="s">
        <v>3008</v>
      </c>
      <c r="I333" s="195" t="s">
        <v>2316</v>
      </c>
      <c r="J333" s="128" t="s">
        <v>2403</v>
      </c>
      <c r="K333" s="236" t="s">
        <v>158</v>
      </c>
      <c r="L333" s="227"/>
      <c r="M333" s="236" t="s">
        <v>715</v>
      </c>
      <c r="N333" s="128" t="s">
        <v>690</v>
      </c>
      <c r="O333" s="128">
        <v>4</v>
      </c>
      <c r="P333" s="128">
        <v>8544700000</v>
      </c>
      <c r="Q333" s="281">
        <v>4645.588235294118</v>
      </c>
      <c r="R333" s="149" t="s">
        <v>9</v>
      </c>
      <c r="T333" s="134">
        <v>15485.294117647061</v>
      </c>
      <c r="U333" s="134">
        <v>9291.176470588236</v>
      </c>
      <c r="V333" s="134">
        <v>7742.6470588235306</v>
      </c>
      <c r="W333" s="134">
        <v>6194.1176470588252</v>
      </c>
    </row>
    <row r="334" spans="1:23" s="129" customFormat="1" ht="14.25">
      <c r="A334" s="195" t="s">
        <v>1276</v>
      </c>
      <c r="B334" s="195" t="s">
        <v>656</v>
      </c>
      <c r="C334" s="195" t="s">
        <v>684</v>
      </c>
      <c r="D334" s="236" t="s">
        <v>758</v>
      </c>
      <c r="E334" s="128" t="s">
        <v>765</v>
      </c>
      <c r="F334" s="128"/>
      <c r="G334" s="241" t="s">
        <v>817</v>
      </c>
      <c r="H334" s="241" t="s">
        <v>3009</v>
      </c>
      <c r="I334" s="195" t="s">
        <v>819</v>
      </c>
      <c r="J334" s="128" t="s">
        <v>2403</v>
      </c>
      <c r="K334" s="236" t="s">
        <v>158</v>
      </c>
      <c r="L334" s="227"/>
      <c r="M334" s="236" t="s">
        <v>715</v>
      </c>
      <c r="N334" s="128" t="s">
        <v>690</v>
      </c>
      <c r="O334" s="128">
        <v>2</v>
      </c>
      <c r="P334" s="128">
        <v>8544700000</v>
      </c>
      <c r="Q334" s="281">
        <v>8713.2352941176487</v>
      </c>
      <c r="R334" s="149" t="s">
        <v>9</v>
      </c>
      <c r="T334" s="134">
        <v>29044.117647058829</v>
      </c>
      <c r="U334" s="134">
        <v>17426.470588235297</v>
      </c>
      <c r="V334" s="134">
        <v>14522.058823529414</v>
      </c>
      <c r="W334" s="134">
        <v>11617.647058823532</v>
      </c>
    </row>
    <row r="335" spans="1:23" s="129" customFormat="1" ht="14.25">
      <c r="A335" s="195" t="s">
        <v>1276</v>
      </c>
      <c r="B335" s="195" t="s">
        <v>656</v>
      </c>
      <c r="C335" s="195" t="s">
        <v>684</v>
      </c>
      <c r="D335" s="236" t="s">
        <v>2328</v>
      </c>
      <c r="E335" s="128" t="s">
        <v>1686</v>
      </c>
      <c r="F335" s="128"/>
      <c r="G335" s="241" t="s">
        <v>2329</v>
      </c>
      <c r="H335" s="241" t="s">
        <v>2825</v>
      </c>
      <c r="I335" s="195" t="s">
        <v>2335</v>
      </c>
      <c r="J335" s="128" t="s">
        <v>1584</v>
      </c>
      <c r="K335" s="236" t="s">
        <v>1223</v>
      </c>
      <c r="L335" s="227"/>
      <c r="M335" s="236" t="s">
        <v>715</v>
      </c>
      <c r="N335" s="128" t="s">
        <v>690</v>
      </c>
      <c r="O335" s="128">
        <v>4</v>
      </c>
      <c r="P335" s="128">
        <v>8544700000</v>
      </c>
      <c r="Q335" s="281">
        <v>1808.2191780821918</v>
      </c>
      <c r="R335" s="149" t="s">
        <v>9</v>
      </c>
      <c r="T335" s="134">
        <v>6027.3972602739732</v>
      </c>
      <c r="U335" s="134">
        <v>3616.438356164384</v>
      </c>
      <c r="V335" s="134">
        <v>3013.6986301369866</v>
      </c>
      <c r="W335" s="134">
        <v>2410.9589041095892</v>
      </c>
    </row>
    <row r="336" spans="1:23" s="129" customFormat="1" ht="14.25">
      <c r="A336" s="195" t="s">
        <v>1276</v>
      </c>
      <c r="B336" s="195" t="s">
        <v>656</v>
      </c>
      <c r="C336" s="195" t="s">
        <v>684</v>
      </c>
      <c r="D336" s="236" t="s">
        <v>2328</v>
      </c>
      <c r="E336" s="128" t="s">
        <v>1686</v>
      </c>
      <c r="F336" s="128"/>
      <c r="G336" s="241" t="s">
        <v>2330</v>
      </c>
      <c r="H336" s="241" t="s">
        <v>2825</v>
      </c>
      <c r="I336" s="195" t="s">
        <v>2336</v>
      </c>
      <c r="J336" s="128" t="s">
        <v>1584</v>
      </c>
      <c r="K336" s="236" t="s">
        <v>1223</v>
      </c>
      <c r="L336" s="227"/>
      <c r="M336" s="236" t="s">
        <v>715</v>
      </c>
      <c r="N336" s="128" t="s">
        <v>690</v>
      </c>
      <c r="O336" s="128">
        <v>4</v>
      </c>
      <c r="P336" s="128">
        <v>8544700000</v>
      </c>
      <c r="Q336" s="281">
        <v>2820.5479452054797</v>
      </c>
      <c r="R336" s="149" t="s">
        <v>9</v>
      </c>
      <c r="T336" s="134">
        <v>9401.8264840182655</v>
      </c>
      <c r="U336" s="134">
        <v>5641.0958904109593</v>
      </c>
      <c r="V336" s="134">
        <v>4700.9132420091328</v>
      </c>
      <c r="W336" s="134">
        <v>3760.7305936073062</v>
      </c>
    </row>
    <row r="337" spans="1:23" s="129" customFormat="1" ht="14.25">
      <c r="A337" s="195" t="s">
        <v>1276</v>
      </c>
      <c r="B337" s="195" t="s">
        <v>656</v>
      </c>
      <c r="C337" s="195" t="s">
        <v>684</v>
      </c>
      <c r="D337" s="236" t="s">
        <v>2328</v>
      </c>
      <c r="E337" s="128" t="s">
        <v>1686</v>
      </c>
      <c r="F337" s="128"/>
      <c r="G337" s="241" t="s">
        <v>2331</v>
      </c>
      <c r="H337" s="241" t="s">
        <v>2825</v>
      </c>
      <c r="I337" s="195" t="s">
        <v>2337</v>
      </c>
      <c r="J337" s="128" t="s">
        <v>1584</v>
      </c>
      <c r="K337" s="236" t="s">
        <v>1223</v>
      </c>
      <c r="L337" s="227"/>
      <c r="M337" s="236" t="s">
        <v>715</v>
      </c>
      <c r="N337" s="128" t="s">
        <v>690</v>
      </c>
      <c r="O337" s="128">
        <v>4</v>
      </c>
      <c r="P337" s="128">
        <v>8544700000</v>
      </c>
      <c r="Q337" s="281">
        <v>4869.8630136986303</v>
      </c>
      <c r="R337" s="149" t="s">
        <v>9</v>
      </c>
      <c r="T337" s="134">
        <v>16232.876712328769</v>
      </c>
      <c r="U337" s="134">
        <v>9739.7260273972606</v>
      </c>
      <c r="V337" s="134">
        <v>8116.4383561643845</v>
      </c>
      <c r="W337" s="134">
        <v>6493.1506849315083</v>
      </c>
    </row>
    <row r="338" spans="1:23" s="129" customFormat="1" ht="14.25">
      <c r="A338" s="195" t="s">
        <v>1276</v>
      </c>
      <c r="B338" s="195" t="s">
        <v>656</v>
      </c>
      <c r="C338" s="195" t="s">
        <v>684</v>
      </c>
      <c r="D338" s="236" t="s">
        <v>1670</v>
      </c>
      <c r="E338" s="128" t="s">
        <v>1686</v>
      </c>
      <c r="F338" s="128"/>
      <c r="G338" s="241" t="s">
        <v>2341</v>
      </c>
      <c r="H338" s="241" t="s">
        <v>2825</v>
      </c>
      <c r="I338" s="195" t="s">
        <v>2348</v>
      </c>
      <c r="J338" s="128" t="s">
        <v>1584</v>
      </c>
      <c r="K338" s="236" t="s">
        <v>1223</v>
      </c>
      <c r="L338" s="227"/>
      <c r="M338" s="236" t="s">
        <v>715</v>
      </c>
      <c r="N338" s="128" t="s">
        <v>690</v>
      </c>
      <c r="O338" s="128">
        <v>2</v>
      </c>
      <c r="P338" s="128">
        <v>8544700000</v>
      </c>
      <c r="Q338" s="281">
        <v>2178.0821917808221</v>
      </c>
      <c r="R338" s="149" t="s">
        <v>9</v>
      </c>
      <c r="T338" s="134">
        <v>7260.2739726027403</v>
      </c>
      <c r="U338" s="134">
        <v>4356.1643835616442</v>
      </c>
      <c r="V338" s="134">
        <v>3630.1369863013701</v>
      </c>
      <c r="W338" s="134">
        <v>2904.1095890410961</v>
      </c>
    </row>
    <row r="339" spans="1:23" s="129" customFormat="1" ht="14.25">
      <c r="A339" s="195" t="s">
        <v>1276</v>
      </c>
      <c r="B339" s="195" t="s">
        <v>656</v>
      </c>
      <c r="C339" s="195" t="s">
        <v>684</v>
      </c>
      <c r="D339" s="236" t="s">
        <v>1670</v>
      </c>
      <c r="E339" s="128" t="s">
        <v>1686</v>
      </c>
      <c r="F339" s="128"/>
      <c r="G339" s="241" t="s">
        <v>2342</v>
      </c>
      <c r="H339" s="241" t="s">
        <v>2825</v>
      </c>
      <c r="I339" s="195" t="s">
        <v>2349</v>
      </c>
      <c r="J339" s="128" t="s">
        <v>1584</v>
      </c>
      <c r="K339" s="236" t="s">
        <v>1223</v>
      </c>
      <c r="L339" s="227"/>
      <c r="M339" s="236" t="s">
        <v>715</v>
      </c>
      <c r="N339" s="128" t="s">
        <v>690</v>
      </c>
      <c r="O339" s="128">
        <v>2</v>
      </c>
      <c r="P339" s="128">
        <v>8544700000</v>
      </c>
      <c r="Q339" s="281">
        <v>3238.3561643835619</v>
      </c>
      <c r="R339" s="149" t="s">
        <v>9</v>
      </c>
      <c r="T339" s="134">
        <v>10794.520547945207</v>
      </c>
      <c r="U339" s="134">
        <v>6476.7123287671238</v>
      </c>
      <c r="V339" s="134">
        <v>5397.2602739726035</v>
      </c>
      <c r="W339" s="134">
        <v>4317.8082191780832</v>
      </c>
    </row>
    <row r="340" spans="1:23" s="129" customFormat="1" ht="12.75" customHeight="1">
      <c r="A340" s="195" t="s">
        <v>1276</v>
      </c>
      <c r="B340" s="195" t="s">
        <v>656</v>
      </c>
      <c r="C340" s="195" t="s">
        <v>684</v>
      </c>
      <c r="D340" s="236" t="s">
        <v>1670</v>
      </c>
      <c r="E340" s="128" t="s">
        <v>1686</v>
      </c>
      <c r="F340" s="128"/>
      <c r="G340" s="241" t="s">
        <v>2343</v>
      </c>
      <c r="H340" s="241" t="s">
        <v>2825</v>
      </c>
      <c r="I340" s="195" t="s">
        <v>2350</v>
      </c>
      <c r="J340" s="128" t="s">
        <v>1584</v>
      </c>
      <c r="K340" s="236" t="s">
        <v>1223</v>
      </c>
      <c r="L340" s="227"/>
      <c r="M340" s="236" t="s">
        <v>715</v>
      </c>
      <c r="N340" s="128" t="s">
        <v>690</v>
      </c>
      <c r="O340" s="128">
        <v>2</v>
      </c>
      <c r="P340" s="128">
        <v>8544700000</v>
      </c>
      <c r="Q340" s="281">
        <v>5301.3698630136987</v>
      </c>
      <c r="R340" s="149" t="s">
        <v>9</v>
      </c>
      <c r="T340" s="134">
        <v>17671.232876712329</v>
      </c>
      <c r="U340" s="134">
        <v>10602.739726027397</v>
      </c>
      <c r="V340" s="134">
        <v>8835.6164383561645</v>
      </c>
      <c r="W340" s="134">
        <v>7068.4931506849316</v>
      </c>
    </row>
    <row r="341" spans="1:23" s="129" customFormat="1" ht="14.25">
      <c r="A341" s="195" t="s">
        <v>1276</v>
      </c>
      <c r="B341" s="195" t="s">
        <v>656</v>
      </c>
      <c r="C341" s="195" t="s">
        <v>684</v>
      </c>
      <c r="D341" s="236" t="s">
        <v>686</v>
      </c>
      <c r="E341" s="128" t="s">
        <v>839</v>
      </c>
      <c r="F341" s="128"/>
      <c r="G341" s="241" t="s">
        <v>2241</v>
      </c>
      <c r="H341" s="241" t="s">
        <v>3028</v>
      </c>
      <c r="I341" s="195" t="s">
        <v>2243</v>
      </c>
      <c r="J341" s="128" t="s">
        <v>1666</v>
      </c>
      <c r="K341" s="236" t="s">
        <v>1223</v>
      </c>
      <c r="L341" s="227"/>
      <c r="M341" s="236" t="s">
        <v>715</v>
      </c>
      <c r="N341" s="128" t="s">
        <v>690</v>
      </c>
      <c r="O341" s="128">
        <v>8</v>
      </c>
      <c r="P341" s="128">
        <v>8544700000</v>
      </c>
      <c r="Q341" s="281">
        <v>260.95890410958907</v>
      </c>
      <c r="R341" s="149" t="s">
        <v>9</v>
      </c>
      <c r="T341" s="134">
        <v>869.86301369863031</v>
      </c>
      <c r="U341" s="134">
        <v>521.91780821917814</v>
      </c>
      <c r="V341" s="134">
        <v>434.93150684931516</v>
      </c>
      <c r="W341" s="134">
        <v>347.94520547945217</v>
      </c>
    </row>
    <row r="342" spans="1:23" s="129" customFormat="1" ht="14.25">
      <c r="A342" s="195" t="s">
        <v>1276</v>
      </c>
      <c r="B342" s="195" t="s">
        <v>656</v>
      </c>
      <c r="C342" s="195" t="s">
        <v>684</v>
      </c>
      <c r="D342" s="236" t="s">
        <v>686</v>
      </c>
      <c r="E342" s="128" t="s">
        <v>839</v>
      </c>
      <c r="F342" s="128"/>
      <c r="G342" s="241" t="s">
        <v>1660</v>
      </c>
      <c r="H342" s="241" t="s">
        <v>3029</v>
      </c>
      <c r="I342" s="195" t="s">
        <v>1664</v>
      </c>
      <c r="J342" s="128" t="s">
        <v>1666</v>
      </c>
      <c r="K342" s="236" t="s">
        <v>1223</v>
      </c>
      <c r="L342" s="227"/>
      <c r="M342" s="236" t="s">
        <v>715</v>
      </c>
      <c r="N342" s="128" t="s">
        <v>690</v>
      </c>
      <c r="O342" s="128">
        <v>8</v>
      </c>
      <c r="P342" s="128">
        <v>8544700000</v>
      </c>
      <c r="Q342" s="281">
        <v>288.35616438356163</v>
      </c>
      <c r="R342" s="149" t="s">
        <v>9</v>
      </c>
      <c r="T342" s="134">
        <v>961.18721461187215</v>
      </c>
      <c r="U342" s="134">
        <v>576.71232876712327</v>
      </c>
      <c r="V342" s="134">
        <v>480.59360730593608</v>
      </c>
      <c r="W342" s="134">
        <v>384.47488584474888</v>
      </c>
    </row>
    <row r="343" spans="1:23" s="129" customFormat="1" ht="14.25">
      <c r="A343" s="195" t="s">
        <v>1276</v>
      </c>
      <c r="B343" s="195" t="s">
        <v>656</v>
      </c>
      <c r="C343" s="195" t="s">
        <v>684</v>
      </c>
      <c r="D343" s="236" t="s">
        <v>686</v>
      </c>
      <c r="E343" s="128" t="s">
        <v>839</v>
      </c>
      <c r="F343" s="128"/>
      <c r="G343" s="241" t="s">
        <v>1661</v>
      </c>
      <c r="H343" s="241" t="s">
        <v>3030</v>
      </c>
      <c r="I343" s="195" t="s">
        <v>1665</v>
      </c>
      <c r="J343" s="128" t="s">
        <v>1666</v>
      </c>
      <c r="K343" s="236" t="s">
        <v>1223</v>
      </c>
      <c r="L343" s="227"/>
      <c r="M343" s="236" t="s">
        <v>715</v>
      </c>
      <c r="N343" s="128" t="s">
        <v>690</v>
      </c>
      <c r="O343" s="128">
        <v>8</v>
      </c>
      <c r="P343" s="128">
        <v>8544700000</v>
      </c>
      <c r="Q343" s="281">
        <v>360.95890410958907</v>
      </c>
      <c r="R343" s="149" t="s">
        <v>9</v>
      </c>
      <c r="T343" s="134">
        <v>1203.1963470319636</v>
      </c>
      <c r="U343" s="134">
        <v>721.91780821917814</v>
      </c>
      <c r="V343" s="134">
        <v>601.59817351598178</v>
      </c>
      <c r="W343" s="134">
        <v>481.27853881278543</v>
      </c>
    </row>
    <row r="344" spans="1:23" s="129" customFormat="1" ht="14.25">
      <c r="A344" s="195" t="s">
        <v>1276</v>
      </c>
      <c r="B344" s="195" t="s">
        <v>656</v>
      </c>
      <c r="C344" s="195" t="s">
        <v>684</v>
      </c>
      <c r="D344" s="236" t="s">
        <v>702</v>
      </c>
      <c r="E344" s="128" t="s">
        <v>839</v>
      </c>
      <c r="F344" s="128"/>
      <c r="G344" s="241" t="s">
        <v>853</v>
      </c>
      <c r="H344" s="241" t="s">
        <v>3010</v>
      </c>
      <c r="I344" s="195" t="s">
        <v>855</v>
      </c>
      <c r="J344" s="128" t="s">
        <v>125</v>
      </c>
      <c r="K344" s="236" t="s">
        <v>158</v>
      </c>
      <c r="L344" s="227"/>
      <c r="M344" s="236" t="s">
        <v>715</v>
      </c>
      <c r="N344" s="128" t="s">
        <v>690</v>
      </c>
      <c r="O344" s="128">
        <v>8</v>
      </c>
      <c r="P344" s="128">
        <v>8544700000</v>
      </c>
      <c r="Q344" s="281">
        <v>243.15068493150685</v>
      </c>
      <c r="R344" s="149" t="s">
        <v>9</v>
      </c>
      <c r="T344" s="134">
        <v>810.5022831050228</v>
      </c>
      <c r="U344" s="134">
        <v>486.30136986301363</v>
      </c>
      <c r="V344" s="134">
        <v>405.2511415525114</v>
      </c>
      <c r="W344" s="134">
        <v>324.20091324200916</v>
      </c>
    </row>
    <row r="345" spans="1:23" s="129" customFormat="1" ht="14.25">
      <c r="A345" s="195" t="s">
        <v>1276</v>
      </c>
      <c r="B345" s="195" t="s">
        <v>656</v>
      </c>
      <c r="C345" s="195" t="s">
        <v>684</v>
      </c>
      <c r="D345" s="236" t="s">
        <v>702</v>
      </c>
      <c r="E345" s="128" t="s">
        <v>839</v>
      </c>
      <c r="F345" s="128"/>
      <c r="G345" s="241" t="s">
        <v>856</v>
      </c>
      <c r="H345" s="241" t="s">
        <v>3011</v>
      </c>
      <c r="I345" s="195" t="s">
        <v>858</v>
      </c>
      <c r="J345" s="128" t="s">
        <v>125</v>
      </c>
      <c r="K345" s="236" t="s">
        <v>158</v>
      </c>
      <c r="L345" s="227"/>
      <c r="M345" s="236" t="s">
        <v>715</v>
      </c>
      <c r="N345" s="128" t="s">
        <v>690</v>
      </c>
      <c r="O345" s="128">
        <v>8</v>
      </c>
      <c r="P345" s="128">
        <v>8544700000</v>
      </c>
      <c r="Q345" s="281">
        <v>274.65753424657532</v>
      </c>
      <c r="R345" s="149" t="s">
        <v>9</v>
      </c>
      <c r="T345" s="134">
        <v>915.52511415525112</v>
      </c>
      <c r="U345" s="134">
        <v>549.31506849315065</v>
      </c>
      <c r="V345" s="134">
        <v>457.76255707762556</v>
      </c>
      <c r="W345" s="134">
        <v>366.21004566210047</v>
      </c>
    </row>
    <row r="346" spans="1:23" s="129" customFormat="1" ht="14.25">
      <c r="A346" s="195" t="s">
        <v>1276</v>
      </c>
      <c r="B346" s="195" t="s">
        <v>656</v>
      </c>
      <c r="C346" s="195" t="s">
        <v>684</v>
      </c>
      <c r="D346" s="236" t="s">
        <v>702</v>
      </c>
      <c r="E346" s="128" t="s">
        <v>839</v>
      </c>
      <c r="F346" s="128"/>
      <c r="G346" s="241" t="s">
        <v>859</v>
      </c>
      <c r="H346" s="241" t="s">
        <v>3012</v>
      </c>
      <c r="I346" s="195" t="s">
        <v>861</v>
      </c>
      <c r="J346" s="128" t="s">
        <v>125</v>
      </c>
      <c r="K346" s="236" t="s">
        <v>158</v>
      </c>
      <c r="L346" s="227"/>
      <c r="M346" s="236" t="s">
        <v>715</v>
      </c>
      <c r="N346" s="128" t="s">
        <v>690</v>
      </c>
      <c r="O346" s="128">
        <v>8</v>
      </c>
      <c r="P346" s="128">
        <v>8544700000</v>
      </c>
      <c r="Q346" s="281">
        <v>315.75342465753425</v>
      </c>
      <c r="R346" s="149" t="s">
        <v>9</v>
      </c>
      <c r="T346" s="134">
        <v>1052.5114155251142</v>
      </c>
      <c r="U346" s="134">
        <v>631.50684931506851</v>
      </c>
      <c r="V346" s="134">
        <v>526.25570776255711</v>
      </c>
      <c r="W346" s="134">
        <v>421.00456621004571</v>
      </c>
    </row>
    <row r="347" spans="1:23" s="129" customFormat="1" ht="14.25">
      <c r="A347" s="195" t="s">
        <v>1276</v>
      </c>
      <c r="B347" s="195" t="s">
        <v>656</v>
      </c>
      <c r="C347" s="195" t="s">
        <v>684</v>
      </c>
      <c r="D347" s="236" t="s">
        <v>702</v>
      </c>
      <c r="E347" s="128" t="s">
        <v>839</v>
      </c>
      <c r="F347" s="128"/>
      <c r="G347" s="241" t="s">
        <v>862</v>
      </c>
      <c r="H347" s="241" t="s">
        <v>3013</v>
      </c>
      <c r="I347" s="195" t="s">
        <v>864</v>
      </c>
      <c r="J347" s="128" t="s">
        <v>125</v>
      </c>
      <c r="K347" s="236" t="s">
        <v>158</v>
      </c>
      <c r="L347" s="227"/>
      <c r="M347" s="236" t="s">
        <v>715</v>
      </c>
      <c r="N347" s="128" t="s">
        <v>690</v>
      </c>
      <c r="O347" s="128">
        <v>8</v>
      </c>
      <c r="P347" s="128">
        <v>8544700000</v>
      </c>
      <c r="Q347" s="281">
        <v>436.30136986301369</v>
      </c>
      <c r="R347" s="149" t="s">
        <v>9</v>
      </c>
      <c r="T347" s="134">
        <v>1454.3378995433791</v>
      </c>
      <c r="U347" s="134">
        <v>872.60273972602738</v>
      </c>
      <c r="V347" s="134">
        <v>727.16894977168954</v>
      </c>
      <c r="W347" s="134">
        <v>581.7351598173517</v>
      </c>
    </row>
    <row r="348" spans="1:23" s="129" customFormat="1" ht="14.25">
      <c r="A348" s="195" t="s">
        <v>1276</v>
      </c>
      <c r="B348" s="195" t="s">
        <v>656</v>
      </c>
      <c r="C348" s="195" t="s">
        <v>684</v>
      </c>
      <c r="D348" s="236" t="s">
        <v>717</v>
      </c>
      <c r="E348" s="128" t="s">
        <v>839</v>
      </c>
      <c r="F348" s="128"/>
      <c r="G348" s="241" t="s">
        <v>865</v>
      </c>
      <c r="H348" s="241" t="s">
        <v>3014</v>
      </c>
      <c r="I348" s="195" t="s">
        <v>867</v>
      </c>
      <c r="J348" s="128" t="s">
        <v>108</v>
      </c>
      <c r="K348" s="236" t="s">
        <v>158</v>
      </c>
      <c r="L348" s="227"/>
      <c r="M348" s="236" t="s">
        <v>715</v>
      </c>
      <c r="N348" s="128" t="s">
        <v>690</v>
      </c>
      <c r="O348" s="128">
        <v>8</v>
      </c>
      <c r="P348" s="128">
        <v>8544700000</v>
      </c>
      <c r="Q348" s="281">
        <v>213.01369863013699</v>
      </c>
      <c r="R348" s="149" t="s">
        <v>9</v>
      </c>
      <c r="T348" s="134">
        <v>710.04566210045664</v>
      </c>
      <c r="U348" s="134">
        <v>426.02739726027397</v>
      </c>
      <c r="V348" s="134">
        <v>355.02283105022832</v>
      </c>
      <c r="W348" s="134">
        <v>284.01826484018267</v>
      </c>
    </row>
    <row r="349" spans="1:23" s="129" customFormat="1" ht="14.25">
      <c r="A349" s="195" t="s">
        <v>1276</v>
      </c>
      <c r="B349" s="195" t="s">
        <v>656</v>
      </c>
      <c r="C349" s="195" t="s">
        <v>684</v>
      </c>
      <c r="D349" s="236" t="s">
        <v>717</v>
      </c>
      <c r="E349" s="128" t="s">
        <v>839</v>
      </c>
      <c r="F349" s="128"/>
      <c r="G349" s="241" t="s">
        <v>868</v>
      </c>
      <c r="H349" s="241" t="s">
        <v>3015</v>
      </c>
      <c r="I349" s="195" t="s">
        <v>870</v>
      </c>
      <c r="J349" s="128" t="s">
        <v>108</v>
      </c>
      <c r="K349" s="236" t="s">
        <v>158</v>
      </c>
      <c r="L349" s="227"/>
      <c r="M349" s="236" t="s">
        <v>715</v>
      </c>
      <c r="N349" s="128" t="s">
        <v>690</v>
      </c>
      <c r="O349" s="128">
        <v>8</v>
      </c>
      <c r="P349" s="128">
        <v>8544700000</v>
      </c>
      <c r="Q349" s="281">
        <v>228.08219178082192</v>
      </c>
      <c r="R349" s="149" t="s">
        <v>9</v>
      </c>
      <c r="T349" s="134">
        <v>760.27397260273972</v>
      </c>
      <c r="U349" s="134">
        <v>456.16438356164383</v>
      </c>
      <c r="V349" s="134">
        <v>380.13698630136986</v>
      </c>
      <c r="W349" s="134">
        <v>304.10958904109589</v>
      </c>
    </row>
    <row r="350" spans="1:23" s="129" customFormat="1" ht="14.25">
      <c r="A350" s="195" t="s">
        <v>1276</v>
      </c>
      <c r="B350" s="195" t="s">
        <v>656</v>
      </c>
      <c r="C350" s="195" t="s">
        <v>684</v>
      </c>
      <c r="D350" s="236" t="s">
        <v>717</v>
      </c>
      <c r="E350" s="128" t="s">
        <v>839</v>
      </c>
      <c r="F350" s="128"/>
      <c r="G350" s="241" t="s">
        <v>871</v>
      </c>
      <c r="H350" s="241" t="s">
        <v>3016</v>
      </c>
      <c r="I350" s="195" t="s">
        <v>873</v>
      </c>
      <c r="J350" s="128" t="s">
        <v>108</v>
      </c>
      <c r="K350" s="236" t="s">
        <v>158</v>
      </c>
      <c r="L350" s="227"/>
      <c r="M350" s="236" t="s">
        <v>715</v>
      </c>
      <c r="N350" s="128" t="s">
        <v>690</v>
      </c>
      <c r="O350" s="128">
        <v>8</v>
      </c>
      <c r="P350" s="128">
        <v>8544700000</v>
      </c>
      <c r="Q350" s="281">
        <v>243.15068493150685</v>
      </c>
      <c r="R350" s="149" t="s">
        <v>9</v>
      </c>
      <c r="T350" s="134">
        <v>810.5022831050228</v>
      </c>
      <c r="U350" s="134">
        <v>486.30136986301363</v>
      </c>
      <c r="V350" s="134">
        <v>405.2511415525114</v>
      </c>
      <c r="W350" s="134">
        <v>324.20091324200916</v>
      </c>
    </row>
    <row r="351" spans="1:23" s="129" customFormat="1" ht="14.25">
      <c r="A351" s="195" t="s">
        <v>1276</v>
      </c>
      <c r="B351" s="195" t="s">
        <v>656</v>
      </c>
      <c r="C351" s="195" t="s">
        <v>684</v>
      </c>
      <c r="D351" s="236" t="s">
        <v>717</v>
      </c>
      <c r="E351" s="128" t="s">
        <v>839</v>
      </c>
      <c r="F351" s="128"/>
      <c r="G351" s="241" t="s">
        <v>874</v>
      </c>
      <c r="H351" s="241" t="s">
        <v>3017</v>
      </c>
      <c r="I351" s="195" t="s">
        <v>876</v>
      </c>
      <c r="J351" s="128" t="s">
        <v>108</v>
      </c>
      <c r="K351" s="236" t="s">
        <v>158</v>
      </c>
      <c r="L351" s="227"/>
      <c r="M351" s="236" t="s">
        <v>715</v>
      </c>
      <c r="N351" s="128" t="s">
        <v>690</v>
      </c>
      <c r="O351" s="128">
        <v>8</v>
      </c>
      <c r="P351" s="128">
        <v>8544700000</v>
      </c>
      <c r="Q351" s="281">
        <v>323.97260273972603</v>
      </c>
      <c r="R351" s="149" t="s">
        <v>9</v>
      </c>
      <c r="T351" s="134">
        <v>1079.9086757990867</v>
      </c>
      <c r="U351" s="134">
        <v>647.94520547945206</v>
      </c>
      <c r="V351" s="134">
        <v>539.95433789954336</v>
      </c>
      <c r="W351" s="134">
        <v>431.96347031963472</v>
      </c>
    </row>
    <row r="352" spans="1:23" s="129" customFormat="1" ht="14.25">
      <c r="A352" s="195" t="s">
        <v>1276</v>
      </c>
      <c r="B352" s="195" t="s">
        <v>656</v>
      </c>
      <c r="C352" s="195" t="s">
        <v>684</v>
      </c>
      <c r="D352" s="236" t="s">
        <v>730</v>
      </c>
      <c r="E352" s="128" t="s">
        <v>839</v>
      </c>
      <c r="F352" s="128"/>
      <c r="G352" s="241" t="s">
        <v>877</v>
      </c>
      <c r="H352" s="241" t="s">
        <v>3018</v>
      </c>
      <c r="I352" s="195" t="s">
        <v>879</v>
      </c>
      <c r="J352" s="128" t="s">
        <v>108</v>
      </c>
      <c r="K352" s="236" t="s">
        <v>158</v>
      </c>
      <c r="L352" s="227"/>
      <c r="M352" s="236" t="s">
        <v>715</v>
      </c>
      <c r="N352" s="128" t="s">
        <v>690</v>
      </c>
      <c r="O352" s="128">
        <v>8</v>
      </c>
      <c r="P352" s="128">
        <v>8544700000</v>
      </c>
      <c r="Q352" s="281">
        <v>288.35616438356163</v>
      </c>
      <c r="R352" s="149" t="s">
        <v>9</v>
      </c>
      <c r="T352" s="134">
        <v>961.18721461187215</v>
      </c>
      <c r="U352" s="134">
        <v>576.71232876712327</v>
      </c>
      <c r="V352" s="134">
        <v>480.59360730593608</v>
      </c>
      <c r="W352" s="134">
        <v>384.47488584474888</v>
      </c>
    </row>
    <row r="353" spans="1:23" s="129" customFormat="1" ht="14.25">
      <c r="A353" s="195" t="s">
        <v>1276</v>
      </c>
      <c r="B353" s="195" t="s">
        <v>656</v>
      </c>
      <c r="C353" s="195" t="s">
        <v>684</v>
      </c>
      <c r="D353" s="236" t="s">
        <v>730</v>
      </c>
      <c r="E353" s="128" t="s">
        <v>839</v>
      </c>
      <c r="F353" s="128"/>
      <c r="G353" s="241" t="s">
        <v>880</v>
      </c>
      <c r="H353" s="241" t="s">
        <v>3019</v>
      </c>
      <c r="I353" s="195" t="s">
        <v>882</v>
      </c>
      <c r="J353" s="128" t="s">
        <v>108</v>
      </c>
      <c r="K353" s="236" t="s">
        <v>158</v>
      </c>
      <c r="L353" s="227"/>
      <c r="M353" s="236" t="s">
        <v>715</v>
      </c>
      <c r="N353" s="128" t="s">
        <v>690</v>
      </c>
      <c r="O353" s="128">
        <v>8</v>
      </c>
      <c r="P353" s="128">
        <v>8544700000</v>
      </c>
      <c r="Q353" s="281">
        <v>300.6849315068493</v>
      </c>
      <c r="R353" s="149" t="s">
        <v>9</v>
      </c>
      <c r="T353" s="134">
        <v>1002.283105022831</v>
      </c>
      <c r="U353" s="134">
        <v>601.36986301369859</v>
      </c>
      <c r="V353" s="134">
        <v>501.14155251141551</v>
      </c>
      <c r="W353" s="134">
        <v>400.91324200913243</v>
      </c>
    </row>
    <row r="354" spans="1:23" s="129" customFormat="1" ht="14.25">
      <c r="A354" s="195" t="s">
        <v>1276</v>
      </c>
      <c r="B354" s="195" t="s">
        <v>656</v>
      </c>
      <c r="C354" s="195" t="s">
        <v>684</v>
      </c>
      <c r="D354" s="236" t="s">
        <v>730</v>
      </c>
      <c r="E354" s="128" t="s">
        <v>839</v>
      </c>
      <c r="F354" s="128"/>
      <c r="G354" s="241" t="s">
        <v>2409</v>
      </c>
      <c r="H354" s="241" t="s">
        <v>3020</v>
      </c>
      <c r="I354" s="195" t="s">
        <v>885</v>
      </c>
      <c r="J354" s="128" t="s">
        <v>108</v>
      </c>
      <c r="K354" s="236" t="s">
        <v>158</v>
      </c>
      <c r="L354" s="227"/>
      <c r="M354" s="236" t="s">
        <v>715</v>
      </c>
      <c r="N354" s="128" t="s">
        <v>690</v>
      </c>
      <c r="O354" s="128">
        <v>8</v>
      </c>
      <c r="P354" s="128">
        <v>8544700000</v>
      </c>
      <c r="Q354" s="281">
        <v>315.75342465753425</v>
      </c>
      <c r="R354" s="149" t="s">
        <v>9</v>
      </c>
      <c r="T354" s="134">
        <v>1052.5114155251142</v>
      </c>
      <c r="U354" s="134">
        <v>631.50684931506851</v>
      </c>
      <c r="V354" s="134">
        <v>526.25570776255711</v>
      </c>
      <c r="W354" s="134">
        <v>421.00456621004571</v>
      </c>
    </row>
    <row r="355" spans="1:23" s="129" customFormat="1" ht="14.25">
      <c r="A355" s="195" t="s">
        <v>1276</v>
      </c>
      <c r="B355" s="195" t="s">
        <v>656</v>
      </c>
      <c r="C355" s="195" t="s">
        <v>684</v>
      </c>
      <c r="D355" s="236" t="s">
        <v>730</v>
      </c>
      <c r="E355" s="128" t="s">
        <v>839</v>
      </c>
      <c r="F355" s="128"/>
      <c r="G355" s="241" t="s">
        <v>2410</v>
      </c>
      <c r="H355" s="241" t="s">
        <v>3021</v>
      </c>
      <c r="I355" s="195" t="s">
        <v>2355</v>
      </c>
      <c r="J355" s="128" t="s">
        <v>108</v>
      </c>
      <c r="K355" s="236" t="s">
        <v>158</v>
      </c>
      <c r="L355" s="227"/>
      <c r="M355" s="236" t="s">
        <v>715</v>
      </c>
      <c r="N355" s="128" t="s">
        <v>690</v>
      </c>
      <c r="O355" s="128">
        <v>8</v>
      </c>
      <c r="P355" s="128">
        <v>8544700000</v>
      </c>
      <c r="Q355" s="281">
        <v>392.46575342465752</v>
      </c>
      <c r="R355" s="149" t="s">
        <v>9</v>
      </c>
      <c r="T355" s="134">
        <v>1308.2191780821918</v>
      </c>
      <c r="U355" s="134">
        <v>784.93150684931504</v>
      </c>
      <c r="V355" s="134">
        <v>654.10958904109589</v>
      </c>
      <c r="W355" s="134">
        <v>523.28767123287673</v>
      </c>
    </row>
    <row r="356" spans="1:23" s="129" customFormat="1" ht="14.25">
      <c r="A356" s="195" t="s">
        <v>1276</v>
      </c>
      <c r="B356" s="195" t="s">
        <v>656</v>
      </c>
      <c r="C356" s="195" t="s">
        <v>684</v>
      </c>
      <c r="D356" s="236" t="s">
        <v>730</v>
      </c>
      <c r="E356" s="128" t="s">
        <v>839</v>
      </c>
      <c r="F356" s="128"/>
      <c r="G356" s="241" t="s">
        <v>2405</v>
      </c>
      <c r="H356" s="241" t="s">
        <v>2825</v>
      </c>
      <c r="I356" s="195" t="s">
        <v>2356</v>
      </c>
      <c r="J356" s="128" t="s">
        <v>1584</v>
      </c>
      <c r="K356" s="236" t="s">
        <v>158</v>
      </c>
      <c r="L356" s="227"/>
      <c r="M356" s="236" t="s">
        <v>715</v>
      </c>
      <c r="N356" s="128" t="s">
        <v>690</v>
      </c>
      <c r="O356" s="128">
        <v>8</v>
      </c>
      <c r="P356" s="128">
        <v>8544700000</v>
      </c>
      <c r="Q356" s="281">
        <v>451.36986301369865</v>
      </c>
      <c r="R356" s="149" t="s">
        <v>9</v>
      </c>
      <c r="T356" s="134">
        <v>1504.5662100456623</v>
      </c>
      <c r="U356" s="134">
        <v>902.7397260273973</v>
      </c>
      <c r="V356" s="134">
        <v>752.28310502283114</v>
      </c>
      <c r="W356" s="134">
        <v>601.82648401826498</v>
      </c>
    </row>
    <row r="357" spans="1:23" s="129" customFormat="1" ht="14.25">
      <c r="A357" s="195" t="s">
        <v>1276</v>
      </c>
      <c r="B357" s="195" t="s">
        <v>656</v>
      </c>
      <c r="C357" s="195" t="s">
        <v>684</v>
      </c>
      <c r="D357" s="236" t="s">
        <v>730</v>
      </c>
      <c r="E357" s="128" t="s">
        <v>839</v>
      </c>
      <c r="F357" s="128"/>
      <c r="G357" s="241" t="s">
        <v>2352</v>
      </c>
      <c r="H357" s="241" t="s">
        <v>2825</v>
      </c>
      <c r="I357" s="195" t="s">
        <v>2357</v>
      </c>
      <c r="J357" s="128" t="s">
        <v>1584</v>
      </c>
      <c r="K357" s="236" t="s">
        <v>158</v>
      </c>
      <c r="L357" s="227"/>
      <c r="M357" s="236" t="s">
        <v>715</v>
      </c>
      <c r="N357" s="128" t="s">
        <v>690</v>
      </c>
      <c r="O357" s="128">
        <v>8</v>
      </c>
      <c r="P357" s="128">
        <v>8544700000</v>
      </c>
      <c r="Q357" s="281">
        <v>576.02739726027403</v>
      </c>
      <c r="R357" s="149" t="s">
        <v>9</v>
      </c>
      <c r="T357" s="134">
        <v>1920.0913242009135</v>
      </c>
      <c r="U357" s="134">
        <v>1152.0547945205481</v>
      </c>
      <c r="V357" s="134">
        <v>960.04566210045675</v>
      </c>
      <c r="W357" s="134">
        <v>768.03652968036545</v>
      </c>
    </row>
    <row r="358" spans="1:23" s="129" customFormat="1" ht="14.25">
      <c r="A358" s="195" t="s">
        <v>1276</v>
      </c>
      <c r="B358" s="195" t="s">
        <v>656</v>
      </c>
      <c r="C358" s="195" t="s">
        <v>684</v>
      </c>
      <c r="D358" s="236" t="s">
        <v>730</v>
      </c>
      <c r="E358" s="128" t="s">
        <v>839</v>
      </c>
      <c r="F358" s="128"/>
      <c r="G358" s="241" t="s">
        <v>2358</v>
      </c>
      <c r="H358" s="241" t="s">
        <v>2825</v>
      </c>
      <c r="I358" s="195" t="s">
        <v>2369</v>
      </c>
      <c r="J358" s="128" t="s">
        <v>1584</v>
      </c>
      <c r="K358" s="236" t="s">
        <v>158</v>
      </c>
      <c r="L358" s="227"/>
      <c r="M358" s="236" t="s">
        <v>715</v>
      </c>
      <c r="N358" s="128" t="s">
        <v>690</v>
      </c>
      <c r="O358" s="128">
        <v>8</v>
      </c>
      <c r="P358" s="128">
        <v>8544700000</v>
      </c>
      <c r="Q358" s="281">
        <v>436.30136986301369</v>
      </c>
      <c r="R358" s="149" t="s">
        <v>9</v>
      </c>
      <c r="T358" s="134">
        <v>1454.3378995433791</v>
      </c>
      <c r="U358" s="134">
        <v>872.60273972602738</v>
      </c>
      <c r="V358" s="134">
        <v>727.16894977168954</v>
      </c>
      <c r="W358" s="134">
        <v>581.7351598173517</v>
      </c>
    </row>
    <row r="359" spans="1:23" s="129" customFormat="1" ht="14.25">
      <c r="A359" s="195" t="s">
        <v>1276</v>
      </c>
      <c r="B359" s="195" t="s">
        <v>656</v>
      </c>
      <c r="C359" s="195" t="s">
        <v>684</v>
      </c>
      <c r="D359" s="236" t="s">
        <v>730</v>
      </c>
      <c r="E359" s="128" t="s">
        <v>839</v>
      </c>
      <c r="F359" s="128"/>
      <c r="G359" s="241" t="s">
        <v>2359</v>
      </c>
      <c r="H359" s="241" t="s">
        <v>2825</v>
      </c>
      <c r="I359" s="195" t="s">
        <v>2370</v>
      </c>
      <c r="J359" s="128" t="s">
        <v>1584</v>
      </c>
      <c r="K359" s="236" t="s">
        <v>158</v>
      </c>
      <c r="L359" s="227"/>
      <c r="M359" s="236" t="s">
        <v>715</v>
      </c>
      <c r="N359" s="128" t="s">
        <v>690</v>
      </c>
      <c r="O359" s="128">
        <v>8</v>
      </c>
      <c r="P359" s="128">
        <v>8544700000</v>
      </c>
      <c r="Q359" s="281">
        <v>445.89041095890411</v>
      </c>
      <c r="R359" s="149" t="s">
        <v>9</v>
      </c>
      <c r="T359" s="134">
        <v>1486.3013698630139</v>
      </c>
      <c r="U359" s="134">
        <v>891.78082191780834</v>
      </c>
      <c r="V359" s="134">
        <v>743.15068493150693</v>
      </c>
      <c r="W359" s="134">
        <v>594.52054794520552</v>
      </c>
    </row>
    <row r="360" spans="1:23" s="129" customFormat="1" ht="14.25">
      <c r="A360" s="195" t="s">
        <v>1276</v>
      </c>
      <c r="B360" s="195" t="s">
        <v>656</v>
      </c>
      <c r="C360" s="195" t="s">
        <v>684</v>
      </c>
      <c r="D360" s="236" t="s">
        <v>730</v>
      </c>
      <c r="E360" s="128" t="s">
        <v>839</v>
      </c>
      <c r="F360" s="128"/>
      <c r="G360" s="241" t="s">
        <v>2360</v>
      </c>
      <c r="H360" s="241" t="s">
        <v>2825</v>
      </c>
      <c r="I360" s="195" t="s">
        <v>2371</v>
      </c>
      <c r="J360" s="128" t="s">
        <v>1584</v>
      </c>
      <c r="K360" s="236" t="s">
        <v>158</v>
      </c>
      <c r="L360" s="227"/>
      <c r="M360" s="236" t="s">
        <v>715</v>
      </c>
      <c r="N360" s="128" t="s">
        <v>690</v>
      </c>
      <c r="O360" s="128">
        <v>8</v>
      </c>
      <c r="P360" s="128">
        <v>8544700000</v>
      </c>
      <c r="Q360" s="281">
        <v>456.84931506849318</v>
      </c>
      <c r="R360" s="149" t="s">
        <v>9</v>
      </c>
      <c r="T360" s="134">
        <v>1522.8310502283107</v>
      </c>
      <c r="U360" s="134">
        <v>913.69863013698637</v>
      </c>
      <c r="V360" s="134">
        <v>761.41552511415534</v>
      </c>
      <c r="W360" s="134">
        <v>609.13242009132432</v>
      </c>
    </row>
    <row r="361" spans="1:23" s="129" customFormat="1" ht="14.25">
      <c r="A361" s="195" t="s">
        <v>1276</v>
      </c>
      <c r="B361" s="195" t="s">
        <v>656</v>
      </c>
      <c r="C361" s="195" t="s">
        <v>684</v>
      </c>
      <c r="D361" s="236" t="s">
        <v>730</v>
      </c>
      <c r="E361" s="128" t="s">
        <v>839</v>
      </c>
      <c r="F361" s="128"/>
      <c r="G361" s="241" t="s">
        <v>2361</v>
      </c>
      <c r="H361" s="241" t="s">
        <v>2825</v>
      </c>
      <c r="I361" s="195" t="s">
        <v>2367</v>
      </c>
      <c r="J361" s="128" t="s">
        <v>1584</v>
      </c>
      <c r="K361" s="236" t="s">
        <v>158</v>
      </c>
      <c r="L361" s="227"/>
      <c r="M361" s="236" t="s">
        <v>715</v>
      </c>
      <c r="N361" s="128" t="s">
        <v>690</v>
      </c>
      <c r="O361" s="128">
        <v>8</v>
      </c>
      <c r="P361" s="128">
        <v>8544700000</v>
      </c>
      <c r="Q361" s="281">
        <v>477.39726027397262</v>
      </c>
      <c r="R361" s="149" t="s">
        <v>9</v>
      </c>
      <c r="T361" s="134">
        <v>1591.3242009132421</v>
      </c>
      <c r="U361" s="134">
        <v>954.79452054794524</v>
      </c>
      <c r="V361" s="134">
        <v>795.66210045662103</v>
      </c>
      <c r="W361" s="134">
        <v>636.52968036529683</v>
      </c>
    </row>
    <row r="362" spans="1:23" s="129" customFormat="1" ht="14.25">
      <c r="A362" s="195" t="s">
        <v>1276</v>
      </c>
      <c r="B362" s="195" t="s">
        <v>656</v>
      </c>
      <c r="C362" s="195" t="s">
        <v>684</v>
      </c>
      <c r="D362" s="236" t="s">
        <v>730</v>
      </c>
      <c r="E362" s="128" t="s">
        <v>839</v>
      </c>
      <c r="F362" s="128"/>
      <c r="G362" s="241" t="s">
        <v>2362</v>
      </c>
      <c r="H362" s="241" t="s">
        <v>2825</v>
      </c>
      <c r="I362" s="195" t="s">
        <v>2368</v>
      </c>
      <c r="J362" s="128" t="s">
        <v>1584</v>
      </c>
      <c r="K362" s="236" t="s">
        <v>158</v>
      </c>
      <c r="L362" s="227"/>
      <c r="M362" s="236" t="s">
        <v>715</v>
      </c>
      <c r="N362" s="128" t="s">
        <v>690</v>
      </c>
      <c r="O362" s="128">
        <v>8</v>
      </c>
      <c r="P362" s="128">
        <v>8544700000</v>
      </c>
      <c r="Q362" s="281">
        <v>602.05479452054794</v>
      </c>
      <c r="R362" s="149" t="s">
        <v>9</v>
      </c>
      <c r="T362" s="134">
        <v>2006.8493150684933</v>
      </c>
      <c r="U362" s="134">
        <v>1204.1095890410959</v>
      </c>
      <c r="V362" s="134">
        <v>1003.4246575342466</v>
      </c>
      <c r="W362" s="134">
        <v>802.73972602739741</v>
      </c>
    </row>
    <row r="363" spans="1:23" s="129" customFormat="1" ht="14.25">
      <c r="A363" s="195" t="s">
        <v>1276</v>
      </c>
      <c r="B363" s="195" t="s">
        <v>656</v>
      </c>
      <c r="C363" s="195" t="s">
        <v>684</v>
      </c>
      <c r="D363" s="236" t="s">
        <v>743</v>
      </c>
      <c r="E363" s="128" t="s">
        <v>839</v>
      </c>
      <c r="F363" s="128"/>
      <c r="G363" s="241" t="s">
        <v>1667</v>
      </c>
      <c r="H363" s="241" t="s">
        <v>2825</v>
      </c>
      <c r="I363" s="195" t="s">
        <v>1669</v>
      </c>
      <c r="J363" s="128" t="s">
        <v>1666</v>
      </c>
      <c r="K363" s="236" t="s">
        <v>158</v>
      </c>
      <c r="L363" s="227"/>
      <c r="M363" s="236" t="s">
        <v>715</v>
      </c>
      <c r="N363" s="128" t="s">
        <v>690</v>
      </c>
      <c r="O363" s="128">
        <v>4</v>
      </c>
      <c r="P363" s="128">
        <v>8544700000</v>
      </c>
      <c r="Q363" s="281">
        <v>779.45205479452056</v>
      </c>
      <c r="R363" s="149" t="s">
        <v>9</v>
      </c>
      <c r="T363" s="134">
        <v>2598.1735159817354</v>
      </c>
      <c r="U363" s="134">
        <v>1558.9041095890411</v>
      </c>
      <c r="V363" s="134">
        <v>1299.0867579908677</v>
      </c>
      <c r="W363" s="134">
        <v>1039.2694063926942</v>
      </c>
    </row>
    <row r="364" spans="1:23" s="129" customFormat="1" ht="14.25">
      <c r="A364" s="195" t="s">
        <v>1276</v>
      </c>
      <c r="B364" s="195" t="s">
        <v>656</v>
      </c>
      <c r="C364" s="195" t="s">
        <v>684</v>
      </c>
      <c r="D364" s="236" t="s">
        <v>751</v>
      </c>
      <c r="E364" s="128" t="s">
        <v>839</v>
      </c>
      <c r="F364" s="128"/>
      <c r="G364" s="241" t="s">
        <v>898</v>
      </c>
      <c r="H364" s="241" t="s">
        <v>3023</v>
      </c>
      <c r="I364" s="195" t="s">
        <v>900</v>
      </c>
      <c r="J364" s="128" t="s">
        <v>2403</v>
      </c>
      <c r="K364" s="236" t="s">
        <v>158</v>
      </c>
      <c r="L364" s="227"/>
      <c r="M364" s="236" t="s">
        <v>715</v>
      </c>
      <c r="N364" s="128" t="s">
        <v>690</v>
      </c>
      <c r="O364" s="128">
        <v>2</v>
      </c>
      <c r="P364" s="128">
        <v>8544700000</v>
      </c>
      <c r="Q364" s="281">
        <v>1027.3972602739727</v>
      </c>
      <c r="R364" s="149" t="s">
        <v>9</v>
      </c>
      <c r="T364" s="134">
        <v>3424.6575342465758</v>
      </c>
      <c r="U364" s="134">
        <v>2054.7945205479455</v>
      </c>
      <c r="V364" s="134">
        <v>1712.3287671232879</v>
      </c>
      <c r="W364" s="134">
        <v>1369.8630136986303</v>
      </c>
    </row>
    <row r="365" spans="1:23" s="129" customFormat="1" ht="14.25">
      <c r="A365" s="195" t="s">
        <v>1276</v>
      </c>
      <c r="B365" s="195" t="s">
        <v>656</v>
      </c>
      <c r="C365" s="195" t="s">
        <v>684</v>
      </c>
      <c r="D365" s="236" t="s">
        <v>751</v>
      </c>
      <c r="E365" s="128" t="s">
        <v>839</v>
      </c>
      <c r="F365" s="128"/>
      <c r="G365" s="241" t="s">
        <v>895</v>
      </c>
      <c r="H365" s="241" t="s">
        <v>3022</v>
      </c>
      <c r="I365" s="195" t="s">
        <v>897</v>
      </c>
      <c r="J365" s="128" t="s">
        <v>2403</v>
      </c>
      <c r="K365" s="236" t="s">
        <v>158</v>
      </c>
      <c r="L365" s="227"/>
      <c r="M365" s="236" t="s">
        <v>715</v>
      </c>
      <c r="N365" s="128" t="s">
        <v>690</v>
      </c>
      <c r="O365" s="128">
        <v>4</v>
      </c>
      <c r="P365" s="128">
        <v>8544700000</v>
      </c>
      <c r="Q365" s="281">
        <v>710.95890410958907</v>
      </c>
      <c r="R365" s="149" t="s">
        <v>9</v>
      </c>
      <c r="T365" s="134">
        <v>2369.8630136986303</v>
      </c>
      <c r="U365" s="134">
        <v>1421.9178082191781</v>
      </c>
      <c r="V365" s="134">
        <v>1184.9315068493152</v>
      </c>
      <c r="W365" s="134">
        <v>947.94520547945217</v>
      </c>
    </row>
    <row r="366" spans="1:23" s="129" customFormat="1" ht="14.25">
      <c r="A366" s="195" t="s">
        <v>1276</v>
      </c>
      <c r="B366" s="195" t="s">
        <v>656</v>
      </c>
      <c r="C366" s="195" t="s">
        <v>684</v>
      </c>
      <c r="D366" s="236" t="s">
        <v>751</v>
      </c>
      <c r="E366" s="128" t="s">
        <v>839</v>
      </c>
      <c r="F366" s="128"/>
      <c r="G366" s="241" t="s">
        <v>2420</v>
      </c>
      <c r="H366" s="241" t="s">
        <v>2825</v>
      </c>
      <c r="I366" s="195" t="s">
        <v>1839</v>
      </c>
      <c r="J366" s="128" t="s">
        <v>2403</v>
      </c>
      <c r="K366" s="236" t="s">
        <v>158</v>
      </c>
      <c r="L366" s="227"/>
      <c r="M366" s="236" t="s">
        <v>715</v>
      </c>
      <c r="N366" s="128" t="s">
        <v>690</v>
      </c>
      <c r="O366" s="128">
        <v>4</v>
      </c>
      <c r="P366" s="128">
        <v>8544700000</v>
      </c>
      <c r="Q366" s="281">
        <v>552.05479452054794</v>
      </c>
      <c r="R366" s="149" t="s">
        <v>9</v>
      </c>
      <c r="T366" s="134">
        <v>1840.1826484018266</v>
      </c>
      <c r="U366" s="134">
        <v>1104.1095890410959</v>
      </c>
      <c r="V366" s="134">
        <v>920.09132420091328</v>
      </c>
      <c r="W366" s="134">
        <v>736.07305936073067</v>
      </c>
    </row>
    <row r="367" spans="1:23" s="129" customFormat="1" ht="14.25">
      <c r="A367" s="195" t="s">
        <v>1276</v>
      </c>
      <c r="B367" s="195" t="s">
        <v>656</v>
      </c>
      <c r="C367" s="195" t="s">
        <v>684</v>
      </c>
      <c r="D367" s="236" t="s">
        <v>758</v>
      </c>
      <c r="E367" s="128" t="s">
        <v>839</v>
      </c>
      <c r="F367" s="128"/>
      <c r="G367" s="241" t="s">
        <v>901</v>
      </c>
      <c r="H367" s="241" t="s">
        <v>3024</v>
      </c>
      <c r="I367" s="195" t="s">
        <v>903</v>
      </c>
      <c r="J367" s="128" t="s">
        <v>2403</v>
      </c>
      <c r="K367" s="236" t="s">
        <v>158</v>
      </c>
      <c r="L367" s="227"/>
      <c r="M367" s="236" t="s">
        <v>715</v>
      </c>
      <c r="N367" s="128" t="s">
        <v>690</v>
      </c>
      <c r="O367" s="128">
        <v>4</v>
      </c>
      <c r="P367" s="128">
        <v>8544700000</v>
      </c>
      <c r="Q367" s="281">
        <v>823.28767123287673</v>
      </c>
      <c r="R367" s="149" t="s">
        <v>9</v>
      </c>
      <c r="T367" s="134">
        <v>2744.2922374429227</v>
      </c>
      <c r="U367" s="134">
        <v>1646.5753424657535</v>
      </c>
      <c r="V367" s="134">
        <v>1372.1461187214613</v>
      </c>
      <c r="W367" s="134">
        <v>1097.7168949771692</v>
      </c>
    </row>
    <row r="368" spans="1:23" s="129" customFormat="1" ht="14.25">
      <c r="A368" s="195" t="s">
        <v>1276</v>
      </c>
      <c r="B368" s="195" t="s">
        <v>656</v>
      </c>
      <c r="C368" s="195" t="s">
        <v>684</v>
      </c>
      <c r="D368" s="236" t="s">
        <v>758</v>
      </c>
      <c r="E368" s="128" t="s">
        <v>839</v>
      </c>
      <c r="F368" s="128"/>
      <c r="G368" s="241" t="s">
        <v>904</v>
      </c>
      <c r="H368" s="241" t="s">
        <v>3025</v>
      </c>
      <c r="I368" s="195" t="s">
        <v>906</v>
      </c>
      <c r="J368" s="128" t="s">
        <v>2403</v>
      </c>
      <c r="K368" s="236" t="s">
        <v>158</v>
      </c>
      <c r="L368" s="227"/>
      <c r="M368" s="236" t="s">
        <v>715</v>
      </c>
      <c r="N368" s="128" t="s">
        <v>690</v>
      </c>
      <c r="O368" s="128">
        <v>2</v>
      </c>
      <c r="P368" s="128">
        <v>8544700000</v>
      </c>
      <c r="Q368" s="281">
        <v>1183.5616438356165</v>
      </c>
      <c r="R368" s="149" t="s">
        <v>9</v>
      </c>
      <c r="T368" s="134">
        <v>3945.205479452055</v>
      </c>
      <c r="U368" s="134">
        <v>2367.1232876712329</v>
      </c>
      <c r="V368" s="134">
        <v>1972.6027397260275</v>
      </c>
      <c r="W368" s="134">
        <v>1578.0821917808221</v>
      </c>
    </row>
    <row r="369" spans="1:23" s="129" customFormat="1" ht="14.25">
      <c r="A369" s="195" t="s">
        <v>1276</v>
      </c>
      <c r="B369" s="195" t="s">
        <v>656</v>
      </c>
      <c r="C369" s="195" t="s">
        <v>684</v>
      </c>
      <c r="D369" s="236" t="s">
        <v>2327</v>
      </c>
      <c r="E369" s="128" t="s">
        <v>839</v>
      </c>
      <c r="F369" s="128"/>
      <c r="G369" s="241" t="s">
        <v>2372</v>
      </c>
      <c r="H369" s="241" t="s">
        <v>2825</v>
      </c>
      <c r="I369" s="195" t="s">
        <v>2383</v>
      </c>
      <c r="J369" s="128" t="s">
        <v>1584</v>
      </c>
      <c r="K369" s="236" t="s">
        <v>1223</v>
      </c>
      <c r="L369" s="227"/>
      <c r="M369" s="236" t="s">
        <v>715</v>
      </c>
      <c r="N369" s="128" t="s">
        <v>690</v>
      </c>
      <c r="O369" s="128">
        <v>4</v>
      </c>
      <c r="P369" s="128">
        <v>8544700000</v>
      </c>
      <c r="Q369" s="281">
        <v>915.06849315068496</v>
      </c>
      <c r="R369" s="149" t="s">
        <v>9</v>
      </c>
      <c r="T369" s="134">
        <v>3050.2283105022834</v>
      </c>
      <c r="U369" s="134">
        <v>1830.1369863013699</v>
      </c>
      <c r="V369" s="134">
        <v>1525.1141552511417</v>
      </c>
      <c r="W369" s="134">
        <v>1220.0913242009135</v>
      </c>
    </row>
    <row r="370" spans="1:23" s="129" customFormat="1" ht="14.25">
      <c r="A370" s="195" t="s">
        <v>1276</v>
      </c>
      <c r="B370" s="195" t="s">
        <v>656</v>
      </c>
      <c r="C370" s="195" t="s">
        <v>684</v>
      </c>
      <c r="D370" s="236" t="s">
        <v>2327</v>
      </c>
      <c r="E370" s="128" t="s">
        <v>839</v>
      </c>
      <c r="F370" s="128"/>
      <c r="G370" s="241" t="s">
        <v>2373</v>
      </c>
      <c r="H370" s="241" t="s">
        <v>2825</v>
      </c>
      <c r="I370" s="195" t="s">
        <v>2384</v>
      </c>
      <c r="J370" s="128" t="s">
        <v>1584</v>
      </c>
      <c r="K370" s="236" t="s">
        <v>1223</v>
      </c>
      <c r="L370" s="227"/>
      <c r="M370" s="236" t="s">
        <v>715</v>
      </c>
      <c r="N370" s="128" t="s">
        <v>690</v>
      </c>
      <c r="O370" s="128">
        <v>4</v>
      </c>
      <c r="P370" s="128">
        <v>8544700000</v>
      </c>
      <c r="Q370" s="281">
        <v>973.97260273972609</v>
      </c>
      <c r="R370" s="149" t="s">
        <v>9</v>
      </c>
      <c r="T370" s="134">
        <v>3246.5753424657537</v>
      </c>
      <c r="U370" s="134">
        <v>1947.9452054794522</v>
      </c>
      <c r="V370" s="134">
        <v>1623.2876712328768</v>
      </c>
      <c r="W370" s="134">
        <v>1298.6301369863015</v>
      </c>
    </row>
    <row r="371" spans="1:23" s="129" customFormat="1" ht="14.25">
      <c r="A371" s="195" t="s">
        <v>1276</v>
      </c>
      <c r="B371" s="195" t="s">
        <v>656</v>
      </c>
      <c r="C371" s="195" t="s">
        <v>684</v>
      </c>
      <c r="D371" s="236" t="s">
        <v>2327</v>
      </c>
      <c r="E371" s="128" t="s">
        <v>839</v>
      </c>
      <c r="F371" s="128"/>
      <c r="G371" s="241" t="s">
        <v>2374</v>
      </c>
      <c r="H371" s="241" t="s">
        <v>2825</v>
      </c>
      <c r="I371" s="195" t="s">
        <v>2385</v>
      </c>
      <c r="J371" s="128" t="s">
        <v>1584</v>
      </c>
      <c r="K371" s="236" t="s">
        <v>1223</v>
      </c>
      <c r="L371" s="227"/>
      <c r="M371" s="236" t="s">
        <v>715</v>
      </c>
      <c r="N371" s="128" t="s">
        <v>690</v>
      </c>
      <c r="O371" s="128">
        <v>4</v>
      </c>
      <c r="P371" s="128">
        <v>8544700000</v>
      </c>
      <c r="Q371" s="281">
        <v>1120.5479452054794</v>
      </c>
      <c r="R371" s="149" t="s">
        <v>9</v>
      </c>
      <c r="T371" s="134">
        <v>3735.1598173515981</v>
      </c>
      <c r="U371" s="134">
        <v>2241.0958904109589</v>
      </c>
      <c r="V371" s="134">
        <v>1867.5799086757991</v>
      </c>
      <c r="W371" s="134">
        <v>1494.0639269406392</v>
      </c>
    </row>
    <row r="372" spans="1:23" s="129" customFormat="1" ht="14.25">
      <c r="A372" s="195" t="s">
        <v>1276</v>
      </c>
      <c r="B372" s="195" t="s">
        <v>656</v>
      </c>
      <c r="C372" s="195" t="s">
        <v>684</v>
      </c>
      <c r="D372" s="236" t="s">
        <v>2327</v>
      </c>
      <c r="E372" s="128" t="s">
        <v>839</v>
      </c>
      <c r="F372" s="128"/>
      <c r="G372" s="241" t="s">
        <v>2375</v>
      </c>
      <c r="H372" s="241" t="s">
        <v>2825</v>
      </c>
      <c r="I372" s="195" t="s">
        <v>2389</v>
      </c>
      <c r="J372" s="128" t="s">
        <v>1584</v>
      </c>
      <c r="K372" s="236" t="s">
        <v>1223</v>
      </c>
      <c r="L372" s="227"/>
      <c r="M372" s="236" t="s">
        <v>715</v>
      </c>
      <c r="N372" s="128" t="s">
        <v>690</v>
      </c>
      <c r="O372" s="128">
        <v>2</v>
      </c>
      <c r="P372" s="128">
        <v>8544700000</v>
      </c>
      <c r="Q372" s="281">
        <v>1910.9589041095892</v>
      </c>
      <c r="R372" s="149" t="s">
        <v>9</v>
      </c>
      <c r="T372" s="134">
        <v>6369.8630136986312</v>
      </c>
      <c r="U372" s="134">
        <v>3821.9178082191784</v>
      </c>
      <c r="V372" s="134">
        <v>3184.9315068493156</v>
      </c>
      <c r="W372" s="134">
        <v>2547.9452054794529</v>
      </c>
    </row>
    <row r="373" spans="1:23" s="129" customFormat="1" ht="14.25">
      <c r="A373" s="195" t="s">
        <v>1276</v>
      </c>
      <c r="B373" s="195" t="s">
        <v>656</v>
      </c>
      <c r="C373" s="195" t="s">
        <v>684</v>
      </c>
      <c r="D373" s="236" t="s">
        <v>2327</v>
      </c>
      <c r="E373" s="128" t="s">
        <v>839</v>
      </c>
      <c r="F373" s="128"/>
      <c r="G373" s="241" t="s">
        <v>2376</v>
      </c>
      <c r="H373" s="241" t="s">
        <v>2825</v>
      </c>
      <c r="I373" s="195" t="s">
        <v>2390</v>
      </c>
      <c r="J373" s="128" t="s">
        <v>1584</v>
      </c>
      <c r="K373" s="236" t="s">
        <v>1223</v>
      </c>
      <c r="L373" s="227"/>
      <c r="M373" s="236" t="s">
        <v>715</v>
      </c>
      <c r="N373" s="128" t="s">
        <v>690</v>
      </c>
      <c r="O373" s="128">
        <v>2</v>
      </c>
      <c r="P373" s="128">
        <v>8544700000</v>
      </c>
      <c r="Q373" s="281">
        <v>2960.2739726027398</v>
      </c>
      <c r="R373" s="149" t="s">
        <v>9</v>
      </c>
      <c r="T373" s="134">
        <v>9867.5799086757997</v>
      </c>
      <c r="U373" s="134">
        <v>5920.5479452054797</v>
      </c>
      <c r="V373" s="134">
        <v>4933.7899543378999</v>
      </c>
      <c r="W373" s="134">
        <v>3947.0319634703201</v>
      </c>
    </row>
    <row r="374" spans="1:23" s="129" customFormat="1" ht="14.25">
      <c r="A374" s="195" t="s">
        <v>1276</v>
      </c>
      <c r="B374" s="195" t="s">
        <v>656</v>
      </c>
      <c r="C374" s="195" t="s">
        <v>684</v>
      </c>
      <c r="D374" s="236" t="s">
        <v>1670</v>
      </c>
      <c r="E374" s="128" t="s">
        <v>839</v>
      </c>
      <c r="F374" s="128"/>
      <c r="G374" s="241" t="s">
        <v>2400</v>
      </c>
      <c r="H374" s="241" t="s">
        <v>2825</v>
      </c>
      <c r="I374" s="195" t="s">
        <v>2402</v>
      </c>
      <c r="J374" s="128" t="s">
        <v>1584</v>
      </c>
      <c r="K374" s="236" t="s">
        <v>1223</v>
      </c>
      <c r="L374" s="227"/>
      <c r="M374" s="236" t="s">
        <v>715</v>
      </c>
      <c r="N374" s="128" t="s">
        <v>690</v>
      </c>
      <c r="O374" s="128">
        <v>2</v>
      </c>
      <c r="P374" s="128">
        <v>8544700000</v>
      </c>
      <c r="Q374" s="281">
        <v>1360.2739726027398</v>
      </c>
      <c r="R374" s="149" t="s">
        <v>9</v>
      </c>
      <c r="T374" s="134">
        <v>4534.2465753424667</v>
      </c>
      <c r="U374" s="134">
        <v>2720.5479452054801</v>
      </c>
      <c r="V374" s="134">
        <v>2267.1232876712334</v>
      </c>
      <c r="W374" s="134">
        <v>1813.6986301369868</v>
      </c>
    </row>
    <row r="375" spans="1:23" s="129" customFormat="1" ht="14.25">
      <c r="A375" s="195" t="s">
        <v>1276</v>
      </c>
      <c r="B375" s="195" t="s">
        <v>656</v>
      </c>
      <c r="C375" s="195" t="s">
        <v>684</v>
      </c>
      <c r="D375" s="236" t="s">
        <v>1670</v>
      </c>
      <c r="E375" s="128" t="s">
        <v>839</v>
      </c>
      <c r="F375" s="128"/>
      <c r="G375" s="241" t="s">
        <v>2399</v>
      </c>
      <c r="H375" s="241" t="s">
        <v>2825</v>
      </c>
      <c r="I375" s="195" t="s">
        <v>2386</v>
      </c>
      <c r="J375" s="128" t="s">
        <v>1584</v>
      </c>
      <c r="K375" s="236" t="s">
        <v>1223</v>
      </c>
      <c r="L375" s="227"/>
      <c r="M375" s="236" t="s">
        <v>715</v>
      </c>
      <c r="N375" s="128" t="s">
        <v>690</v>
      </c>
      <c r="O375" s="128">
        <v>2</v>
      </c>
      <c r="P375" s="128">
        <v>8544700000</v>
      </c>
      <c r="Q375" s="281">
        <v>1147.9452054794522</v>
      </c>
      <c r="R375" s="149" t="s">
        <v>9</v>
      </c>
      <c r="T375" s="134">
        <v>3826.4840182648409</v>
      </c>
      <c r="U375" s="134">
        <v>2295.8904109589043</v>
      </c>
      <c r="V375" s="134">
        <v>1913.2420091324204</v>
      </c>
      <c r="W375" s="134">
        <v>1530.5936073059365</v>
      </c>
    </row>
    <row r="376" spans="1:23" s="129" customFormat="1" ht="14.25">
      <c r="A376" s="195" t="s">
        <v>1276</v>
      </c>
      <c r="B376" s="195" t="s">
        <v>656</v>
      </c>
      <c r="C376" s="195" t="s">
        <v>684</v>
      </c>
      <c r="D376" s="236" t="s">
        <v>1670</v>
      </c>
      <c r="E376" s="128" t="s">
        <v>839</v>
      </c>
      <c r="F376" s="128"/>
      <c r="G376" s="241" t="s">
        <v>2391</v>
      </c>
      <c r="H376" s="241" t="s">
        <v>2825</v>
      </c>
      <c r="I376" s="195" t="s">
        <v>2387</v>
      </c>
      <c r="J376" s="128" t="s">
        <v>1584</v>
      </c>
      <c r="K376" s="236" t="s">
        <v>1223</v>
      </c>
      <c r="L376" s="227"/>
      <c r="M376" s="236" t="s">
        <v>715</v>
      </c>
      <c r="N376" s="128" t="s">
        <v>690</v>
      </c>
      <c r="O376" s="128">
        <v>2</v>
      </c>
      <c r="P376" s="128">
        <v>8544700000</v>
      </c>
      <c r="Q376" s="281">
        <v>1208.2191780821918</v>
      </c>
      <c r="R376" s="149" t="s">
        <v>9</v>
      </c>
      <c r="T376" s="134">
        <v>4027.3972602739727</v>
      </c>
      <c r="U376" s="134">
        <v>2416.4383561643835</v>
      </c>
      <c r="V376" s="134">
        <v>2013.6986301369864</v>
      </c>
      <c r="W376" s="134">
        <v>1610.9589041095892</v>
      </c>
    </row>
    <row r="377" spans="1:23" s="129" customFormat="1" ht="14.25">
      <c r="A377" s="195" t="s">
        <v>1276</v>
      </c>
      <c r="B377" s="195" t="s">
        <v>656</v>
      </c>
      <c r="C377" s="195" t="s">
        <v>684</v>
      </c>
      <c r="D377" s="236" t="s">
        <v>1670</v>
      </c>
      <c r="E377" s="128" t="s">
        <v>839</v>
      </c>
      <c r="F377" s="128"/>
      <c r="G377" s="241" t="s">
        <v>2392</v>
      </c>
      <c r="H377" s="241" t="s">
        <v>2825</v>
      </c>
      <c r="I377" s="195" t="s">
        <v>2388</v>
      </c>
      <c r="J377" s="128" t="s">
        <v>1584</v>
      </c>
      <c r="K377" s="236" t="s">
        <v>1223</v>
      </c>
      <c r="L377" s="227"/>
      <c r="M377" s="236" t="s">
        <v>715</v>
      </c>
      <c r="N377" s="128" t="s">
        <v>690</v>
      </c>
      <c r="O377" s="128">
        <v>2</v>
      </c>
      <c r="P377" s="128">
        <v>8544700000</v>
      </c>
      <c r="Q377" s="281">
        <v>1319.178082191781</v>
      </c>
      <c r="R377" s="149" t="s">
        <v>9</v>
      </c>
      <c r="T377" s="134">
        <v>4397.2602739726035</v>
      </c>
      <c r="U377" s="134">
        <v>2638.3561643835619</v>
      </c>
      <c r="V377" s="134">
        <v>2198.6301369863017</v>
      </c>
      <c r="W377" s="134">
        <v>1758.9041095890416</v>
      </c>
    </row>
    <row r="378" spans="1:23" s="129" customFormat="1" ht="14.25">
      <c r="A378" s="195" t="s">
        <v>1276</v>
      </c>
      <c r="B378" s="195" t="s">
        <v>656</v>
      </c>
      <c r="C378" s="195" t="s">
        <v>684</v>
      </c>
      <c r="D378" s="236" t="s">
        <v>1670</v>
      </c>
      <c r="E378" s="128" t="s">
        <v>839</v>
      </c>
      <c r="F378" s="128"/>
      <c r="G378" s="241" t="s">
        <v>2393</v>
      </c>
      <c r="H378" s="241" t="s">
        <v>2825</v>
      </c>
      <c r="I378" s="195" t="s">
        <v>2397</v>
      </c>
      <c r="J378" s="128" t="s">
        <v>1584</v>
      </c>
      <c r="K378" s="236" t="s">
        <v>1223</v>
      </c>
      <c r="L378" s="227"/>
      <c r="M378" s="236" t="s">
        <v>715</v>
      </c>
      <c r="N378" s="128" t="s">
        <v>690</v>
      </c>
      <c r="O378" s="128">
        <v>2</v>
      </c>
      <c r="P378" s="128">
        <v>8544700000</v>
      </c>
      <c r="Q378" s="281">
        <v>2278.0821917808221</v>
      </c>
      <c r="R378" s="149" t="s">
        <v>9</v>
      </c>
      <c r="T378" s="134">
        <v>7593.6073059360742</v>
      </c>
      <c r="U378" s="134">
        <v>4556.1643835616442</v>
      </c>
      <c r="V378" s="134">
        <v>3796.8036529680371</v>
      </c>
      <c r="W378" s="134">
        <v>3037.4429223744301</v>
      </c>
    </row>
    <row r="379" spans="1:23" s="129" customFormat="1" ht="14.25">
      <c r="A379" s="195" t="s">
        <v>1276</v>
      </c>
      <c r="B379" s="195" t="s">
        <v>656</v>
      </c>
      <c r="C379" s="195" t="s">
        <v>684</v>
      </c>
      <c r="D379" s="236" t="s">
        <v>1670</v>
      </c>
      <c r="E379" s="128" t="s">
        <v>839</v>
      </c>
      <c r="F379" s="128"/>
      <c r="G379" s="241" t="s">
        <v>2394</v>
      </c>
      <c r="H379" s="241" t="s">
        <v>2825</v>
      </c>
      <c r="I379" s="195" t="s">
        <v>2398</v>
      </c>
      <c r="J379" s="128" t="s">
        <v>1584</v>
      </c>
      <c r="K379" s="236" t="s">
        <v>1223</v>
      </c>
      <c r="L379" s="227"/>
      <c r="M379" s="236" t="s">
        <v>715</v>
      </c>
      <c r="N379" s="128" t="s">
        <v>690</v>
      </c>
      <c r="O379" s="128">
        <v>2</v>
      </c>
      <c r="P379" s="128">
        <v>8544700000</v>
      </c>
      <c r="Q379" s="281">
        <v>3452.0547945205481</v>
      </c>
      <c r="R379" s="149" t="s">
        <v>9</v>
      </c>
      <c r="T379" s="134">
        <v>11506.849315068494</v>
      </c>
      <c r="U379" s="134">
        <v>6904.1095890410961</v>
      </c>
      <c r="V379" s="134">
        <v>5753.4246575342468</v>
      </c>
      <c r="W379" s="134">
        <v>4602.7397260273974</v>
      </c>
    </row>
    <row r="380" spans="1:23" s="129" customFormat="1" ht="14.25">
      <c r="A380" s="195" t="s">
        <v>1156</v>
      </c>
      <c r="B380" s="195" t="s">
        <v>55</v>
      </c>
      <c r="C380" s="236" t="s">
        <v>56</v>
      </c>
      <c r="D380" s="237" t="s">
        <v>109</v>
      </c>
      <c r="E380" s="197" t="s">
        <v>132</v>
      </c>
      <c r="F380" s="197">
        <v>23</v>
      </c>
      <c r="G380" s="238" t="s">
        <v>1840</v>
      </c>
      <c r="H380" s="238" t="s">
        <v>3263</v>
      </c>
      <c r="I380" s="237" t="s">
        <v>2573</v>
      </c>
      <c r="J380" s="197" t="s">
        <v>69</v>
      </c>
      <c r="K380" s="239" t="s">
        <v>158</v>
      </c>
      <c r="L380" s="128">
        <v>19</v>
      </c>
      <c r="M380" s="195" t="s">
        <v>61</v>
      </c>
      <c r="N380" s="128" t="s">
        <v>62</v>
      </c>
      <c r="O380" s="128">
        <v>9</v>
      </c>
      <c r="P380" s="197" t="s">
        <v>159</v>
      </c>
      <c r="Q380" s="281">
        <v>390.583021742141</v>
      </c>
      <c r="R380" s="149" t="s">
        <v>9</v>
      </c>
      <c r="T380" s="134">
        <v>1301.9434058071367</v>
      </c>
      <c r="U380" s="134">
        <v>781.166043484282</v>
      </c>
      <c r="V380" s="134">
        <v>650.97170290356837</v>
      </c>
      <c r="W380" s="134">
        <v>520.77736232285474</v>
      </c>
    </row>
    <row r="381" spans="1:23" s="129" customFormat="1" ht="15" customHeight="1">
      <c r="A381" s="195" t="s">
        <v>1249</v>
      </c>
      <c r="B381" s="195" t="s">
        <v>1303</v>
      </c>
      <c r="C381" s="239" t="s">
        <v>1257</v>
      </c>
      <c r="D381" s="237" t="s">
        <v>1258</v>
      </c>
      <c r="E381" s="128"/>
      <c r="F381" s="128"/>
      <c r="G381" s="279" t="s">
        <v>1259</v>
      </c>
      <c r="H381" s="279" t="s">
        <v>2825</v>
      </c>
      <c r="I381" s="236" t="s">
        <v>1260</v>
      </c>
      <c r="J381" s="128"/>
      <c r="K381" s="239" t="s">
        <v>1295</v>
      </c>
      <c r="L381" s="280"/>
      <c r="M381" s="239" t="s">
        <v>1160</v>
      </c>
      <c r="N381" s="197"/>
      <c r="O381" s="197">
        <v>5000</v>
      </c>
      <c r="P381" s="197"/>
      <c r="Q381" s="240">
        <v>2.4841954022988508</v>
      </c>
      <c r="R381" s="277" t="s">
        <v>1162</v>
      </c>
      <c r="T381" s="168">
        <v>8.2806513409961706</v>
      </c>
      <c r="U381" s="168">
        <v>4.9683908045977025</v>
      </c>
      <c r="V381" s="168">
        <v>4.1403256704980853</v>
      </c>
      <c r="W381" s="168">
        <v>3.3122605363984685</v>
      </c>
    </row>
    <row r="382" spans="1:23" s="129" customFormat="1" ht="14.25">
      <c r="A382" s="195" t="s">
        <v>1276</v>
      </c>
      <c r="B382" s="195" t="s">
        <v>1303</v>
      </c>
      <c r="C382" s="239" t="s">
        <v>1250</v>
      </c>
      <c r="D382" s="237" t="s">
        <v>1251</v>
      </c>
      <c r="E382" s="128"/>
      <c r="F382" s="128"/>
      <c r="G382" s="242" t="s">
        <v>1460</v>
      </c>
      <c r="H382" s="242" t="s">
        <v>3264</v>
      </c>
      <c r="I382" s="239" t="s">
        <v>2585</v>
      </c>
      <c r="J382" s="128"/>
      <c r="K382" s="239" t="s">
        <v>1223</v>
      </c>
      <c r="L382" s="197">
        <v>45</v>
      </c>
      <c r="M382" s="239"/>
      <c r="N382" s="197"/>
      <c r="O382" s="197">
        <v>1</v>
      </c>
      <c r="P382" s="197"/>
      <c r="Q382" s="240">
        <v>2264.7058823529414</v>
      </c>
      <c r="R382" s="197" t="s">
        <v>1300</v>
      </c>
      <c r="T382" s="168">
        <v>7549.0196078431381</v>
      </c>
      <c r="U382" s="168">
        <v>4529.4117647058829</v>
      </c>
      <c r="V382" s="168">
        <v>3774.5098039215691</v>
      </c>
      <c r="W382" s="168">
        <v>3019.6078431372553</v>
      </c>
    </row>
    <row r="383" spans="1:23" s="129" customFormat="1" ht="14.25">
      <c r="A383" s="195" t="s">
        <v>1276</v>
      </c>
      <c r="B383" s="195" t="s">
        <v>1303</v>
      </c>
      <c r="C383" s="239" t="s">
        <v>1250</v>
      </c>
      <c r="D383" s="237" t="s">
        <v>1251</v>
      </c>
      <c r="E383" s="128"/>
      <c r="F383" s="128"/>
      <c r="G383" s="242" t="s">
        <v>1461</v>
      </c>
      <c r="H383" s="242" t="s">
        <v>3265</v>
      </c>
      <c r="I383" s="239" t="s">
        <v>2586</v>
      </c>
      <c r="J383" s="128"/>
      <c r="K383" s="239" t="s">
        <v>1223</v>
      </c>
      <c r="L383" s="197">
        <v>78</v>
      </c>
      <c r="M383" s="239"/>
      <c r="N383" s="197"/>
      <c r="O383" s="197">
        <v>1</v>
      </c>
      <c r="P383" s="197"/>
      <c r="Q383" s="240">
        <v>3278.4615384615386</v>
      </c>
      <c r="R383" s="197" t="s">
        <v>1300</v>
      </c>
      <c r="T383" s="168">
        <v>10928.205128205129</v>
      </c>
      <c r="U383" s="168">
        <v>6556.9230769230771</v>
      </c>
      <c r="V383" s="168">
        <v>5464.1025641025644</v>
      </c>
      <c r="W383" s="168">
        <v>4371.2820512820517</v>
      </c>
    </row>
    <row r="384" spans="1:23" s="129" customFormat="1" ht="14.25">
      <c r="A384" s="195" t="s">
        <v>1276</v>
      </c>
      <c r="B384" s="195" t="s">
        <v>1303</v>
      </c>
      <c r="C384" s="239" t="s">
        <v>1250</v>
      </c>
      <c r="D384" s="237" t="s">
        <v>1251</v>
      </c>
      <c r="E384" s="128"/>
      <c r="F384" s="128"/>
      <c r="G384" s="242" t="s">
        <v>1462</v>
      </c>
      <c r="H384" s="242" t="s">
        <v>3266</v>
      </c>
      <c r="I384" s="239" t="s">
        <v>2587</v>
      </c>
      <c r="J384" s="128"/>
      <c r="K384" s="239" t="s">
        <v>1223</v>
      </c>
      <c r="L384" s="197">
        <v>128</v>
      </c>
      <c r="M384" s="239"/>
      <c r="N384" s="197"/>
      <c r="O384" s="197">
        <v>1</v>
      </c>
      <c r="P384" s="197"/>
      <c r="Q384" s="240">
        <v>4520</v>
      </c>
      <c r="R384" s="197" t="s">
        <v>1300</v>
      </c>
      <c r="T384" s="168">
        <v>15066.666666666668</v>
      </c>
      <c r="U384" s="168">
        <v>9040</v>
      </c>
      <c r="V384" s="168">
        <v>7533.3333333333339</v>
      </c>
      <c r="W384" s="168">
        <v>6026.6666666666679</v>
      </c>
    </row>
    <row r="385" spans="1:23" s="129" customFormat="1" ht="14.25">
      <c r="A385" s="195" t="s">
        <v>1276</v>
      </c>
      <c r="B385" s="195" t="s">
        <v>1303</v>
      </c>
      <c r="C385" s="239" t="s">
        <v>1250</v>
      </c>
      <c r="D385" s="237" t="s">
        <v>1251</v>
      </c>
      <c r="E385" s="128"/>
      <c r="F385" s="128"/>
      <c r="G385" s="242" t="s">
        <v>1463</v>
      </c>
      <c r="H385" s="242" t="s">
        <v>2825</v>
      </c>
      <c r="I385" s="239" t="s">
        <v>2588</v>
      </c>
      <c r="J385" s="128"/>
      <c r="K385" s="239" t="s">
        <v>1223</v>
      </c>
      <c r="L385" s="197">
        <v>152</v>
      </c>
      <c r="M385" s="239"/>
      <c r="N385" s="197"/>
      <c r="O385" s="197">
        <v>1</v>
      </c>
      <c r="P385" s="197"/>
      <c r="Q385" s="240">
        <v>5377.1428571428578</v>
      </c>
      <c r="R385" s="197" t="s">
        <v>1300</v>
      </c>
      <c r="T385" s="168">
        <v>17923.809523809527</v>
      </c>
      <c r="U385" s="168">
        <v>10754.285714285716</v>
      </c>
      <c r="V385" s="168">
        <v>8961.9047619047633</v>
      </c>
      <c r="W385" s="168">
        <v>7169.523809523811</v>
      </c>
    </row>
    <row r="386" spans="1:23" s="129" customFormat="1" ht="14.25">
      <c r="A386" s="195" t="s">
        <v>1276</v>
      </c>
      <c r="B386" s="195" t="s">
        <v>1303</v>
      </c>
      <c r="C386" s="239" t="s">
        <v>1250</v>
      </c>
      <c r="D386" s="237" t="s">
        <v>1251</v>
      </c>
      <c r="E386" s="128"/>
      <c r="F386" s="128"/>
      <c r="G386" s="242" t="s">
        <v>1464</v>
      </c>
      <c r="H386" s="242" t="s">
        <v>3267</v>
      </c>
      <c r="I386" s="239" t="s">
        <v>2589</v>
      </c>
      <c r="J386" s="128"/>
      <c r="K386" s="239" t="s">
        <v>1223</v>
      </c>
      <c r="L386" s="197">
        <v>218</v>
      </c>
      <c r="M386" s="239"/>
      <c r="N386" s="197"/>
      <c r="O386" s="197">
        <v>1</v>
      </c>
      <c r="P386" s="197"/>
      <c r="Q386" s="240">
        <v>7368.75</v>
      </c>
      <c r="R386" s="197" t="s">
        <v>1300</v>
      </c>
      <c r="T386" s="168">
        <v>24562.5</v>
      </c>
      <c r="U386" s="168">
        <v>14737.5</v>
      </c>
      <c r="V386" s="168">
        <v>12281.25</v>
      </c>
      <c r="W386" s="168">
        <v>9825</v>
      </c>
    </row>
    <row r="387" spans="1:23" s="129" customFormat="1" ht="14.25">
      <c r="A387" s="195" t="s">
        <v>1276</v>
      </c>
      <c r="B387" s="195" t="s">
        <v>1303</v>
      </c>
      <c r="C387" s="239" t="s">
        <v>1250</v>
      </c>
      <c r="D387" s="237" t="s">
        <v>1251</v>
      </c>
      <c r="E387" s="128"/>
      <c r="F387" s="128"/>
      <c r="G387" s="242" t="s">
        <v>1465</v>
      </c>
      <c r="H387" s="242" t="s">
        <v>3268</v>
      </c>
      <c r="I387" s="239" t="s">
        <v>2590</v>
      </c>
      <c r="J387" s="128"/>
      <c r="K387" s="239" t="s">
        <v>1223</v>
      </c>
      <c r="L387" s="197">
        <v>430</v>
      </c>
      <c r="M387" s="239"/>
      <c r="N387" s="197"/>
      <c r="O387" s="197">
        <v>1</v>
      </c>
      <c r="P387" s="197"/>
      <c r="Q387" s="240">
        <v>13343.75</v>
      </c>
      <c r="R387" s="197" t="s">
        <v>1300</v>
      </c>
      <c r="T387" s="168">
        <v>44479.166666666672</v>
      </c>
      <c r="U387" s="168">
        <v>26687.500000000004</v>
      </c>
      <c r="V387" s="168">
        <v>22239.583333333336</v>
      </c>
      <c r="W387" s="168">
        <v>17791.666666666668</v>
      </c>
    </row>
    <row r="388" spans="1:23" s="129" customFormat="1" ht="14.25">
      <c r="A388" s="195" t="s">
        <v>1276</v>
      </c>
      <c r="B388" s="195" t="s">
        <v>1102</v>
      </c>
      <c r="C388" s="239" t="s">
        <v>1247</v>
      </c>
      <c r="D388" s="237" t="s">
        <v>1845</v>
      </c>
      <c r="E388" s="128"/>
      <c r="F388" s="128"/>
      <c r="G388" s="242" t="s">
        <v>2255</v>
      </c>
      <c r="H388" s="242" t="s">
        <v>2825</v>
      </c>
      <c r="I388" s="236" t="s">
        <v>2664</v>
      </c>
      <c r="J388" s="128"/>
      <c r="K388" s="239" t="s">
        <v>1295</v>
      </c>
      <c r="L388" s="197"/>
      <c r="M388" s="237" t="s">
        <v>1243</v>
      </c>
      <c r="N388" s="588" t="s">
        <v>2252</v>
      </c>
      <c r="O388" s="588" t="s">
        <v>1245</v>
      </c>
      <c r="P388" s="197">
        <v>9403208000</v>
      </c>
      <c r="Q388" s="240">
        <v>63.601532567049802</v>
      </c>
      <c r="R388" s="277" t="s">
        <v>9</v>
      </c>
      <c r="T388" s="168">
        <v>212.00510855683268</v>
      </c>
      <c r="U388" s="168">
        <v>127.2030651340996</v>
      </c>
      <c r="V388" s="168">
        <v>106.00255427841634</v>
      </c>
      <c r="W388" s="168">
        <v>84.802043422733078</v>
      </c>
    </row>
    <row r="389" spans="1:23" s="129" customFormat="1" ht="14.25">
      <c r="A389" s="195" t="s">
        <v>1276</v>
      </c>
      <c r="B389" s="195" t="s">
        <v>1102</v>
      </c>
      <c r="C389" s="239" t="s">
        <v>1247</v>
      </c>
      <c r="D389" s="237" t="s">
        <v>1845</v>
      </c>
      <c r="E389" s="128"/>
      <c r="F389" s="128"/>
      <c r="G389" s="242" t="s">
        <v>2256</v>
      </c>
      <c r="H389" s="242" t="s">
        <v>2825</v>
      </c>
      <c r="I389" s="236" t="s">
        <v>2665</v>
      </c>
      <c r="J389" s="128"/>
      <c r="K389" s="239" t="s">
        <v>1295</v>
      </c>
      <c r="L389" s="197"/>
      <c r="M389" s="237" t="s">
        <v>1243</v>
      </c>
      <c r="N389" s="588"/>
      <c r="O389" s="588"/>
      <c r="P389" s="197">
        <v>9403208000</v>
      </c>
      <c r="Q389" s="240">
        <v>71.000957854406138</v>
      </c>
      <c r="R389" s="277" t="s">
        <v>9</v>
      </c>
      <c r="T389" s="168">
        <v>236.66985951468715</v>
      </c>
      <c r="U389" s="168">
        <v>142.00191570881228</v>
      </c>
      <c r="V389" s="168">
        <v>118.33492975734357</v>
      </c>
      <c r="W389" s="168">
        <v>94.66794380587487</v>
      </c>
    </row>
    <row r="390" spans="1:23" s="129" customFormat="1" ht="14.25">
      <c r="A390" s="195" t="s">
        <v>1276</v>
      </c>
      <c r="B390" s="195" t="s">
        <v>1102</v>
      </c>
      <c r="C390" s="239" t="s">
        <v>1247</v>
      </c>
      <c r="D390" s="237" t="s">
        <v>1845</v>
      </c>
      <c r="E390" s="128"/>
      <c r="F390" s="128"/>
      <c r="G390" s="242" t="s">
        <v>2257</v>
      </c>
      <c r="H390" s="242" t="s">
        <v>2825</v>
      </c>
      <c r="I390" s="236" t="s">
        <v>2666</v>
      </c>
      <c r="J390" s="128"/>
      <c r="K390" s="239" t="s">
        <v>1295</v>
      </c>
      <c r="L390" s="197"/>
      <c r="M390" s="237" t="s">
        <v>1243</v>
      </c>
      <c r="N390" s="588"/>
      <c r="O390" s="588"/>
      <c r="P390" s="197">
        <v>9403208000</v>
      </c>
      <c r="Q390" s="240">
        <v>78.3764367816092</v>
      </c>
      <c r="R390" s="277" t="s">
        <v>9</v>
      </c>
      <c r="T390" s="168">
        <v>261.25478927203068</v>
      </c>
      <c r="U390" s="168">
        <v>156.7528735632184</v>
      </c>
      <c r="V390" s="168">
        <v>130.62739463601534</v>
      </c>
      <c r="W390" s="168">
        <v>104.50191570881228</v>
      </c>
    </row>
    <row r="391" spans="1:23" s="129" customFormat="1" ht="14.25">
      <c r="A391" s="195" t="s">
        <v>1276</v>
      </c>
      <c r="B391" s="195" t="s">
        <v>1102</v>
      </c>
      <c r="C391" s="239" t="s">
        <v>1247</v>
      </c>
      <c r="D391" s="237" t="s">
        <v>1845</v>
      </c>
      <c r="E391" s="128"/>
      <c r="F391" s="128"/>
      <c r="G391" s="242" t="s">
        <v>2254</v>
      </c>
      <c r="H391" s="242" t="s">
        <v>2825</v>
      </c>
      <c r="I391" s="236" t="s">
        <v>2667</v>
      </c>
      <c r="J391" s="128"/>
      <c r="K391" s="239" t="s">
        <v>1295</v>
      </c>
      <c r="L391" s="197"/>
      <c r="M391" s="237" t="s">
        <v>1243</v>
      </c>
      <c r="N391" s="588"/>
      <c r="O391" s="588"/>
      <c r="P391" s="197">
        <v>9403208000</v>
      </c>
      <c r="Q391" s="240">
        <v>87.691570881226056</v>
      </c>
      <c r="R391" s="277" t="s">
        <v>9</v>
      </c>
      <c r="T391" s="168">
        <v>292.30523627075354</v>
      </c>
      <c r="U391" s="168">
        <v>175.38314176245211</v>
      </c>
      <c r="V391" s="168">
        <v>146.15261813537677</v>
      </c>
      <c r="W391" s="168">
        <v>116.92209450830143</v>
      </c>
    </row>
    <row r="392" spans="1:23" s="129" customFormat="1" ht="14.25">
      <c r="A392" s="195" t="s">
        <v>1276</v>
      </c>
      <c r="B392" s="195" t="s">
        <v>1102</v>
      </c>
      <c r="C392" s="239" t="s">
        <v>1247</v>
      </c>
      <c r="D392" s="237" t="s">
        <v>1845</v>
      </c>
      <c r="E392" s="128"/>
      <c r="F392" s="128"/>
      <c r="G392" s="242" t="s">
        <v>2259</v>
      </c>
      <c r="H392" s="242" t="s">
        <v>2825</v>
      </c>
      <c r="I392" s="236" t="s">
        <v>2668</v>
      </c>
      <c r="J392" s="128"/>
      <c r="K392" s="239" t="s">
        <v>1295</v>
      </c>
      <c r="L392" s="197"/>
      <c r="M392" s="237" t="s">
        <v>1243</v>
      </c>
      <c r="N392" s="588"/>
      <c r="O392" s="588"/>
      <c r="P392" s="197">
        <v>9403208000</v>
      </c>
      <c r="Q392" s="240">
        <v>95.641762452107272</v>
      </c>
      <c r="R392" s="277" t="s">
        <v>9</v>
      </c>
      <c r="T392" s="168">
        <v>318.8058748403576</v>
      </c>
      <c r="U392" s="168">
        <v>191.28352490421454</v>
      </c>
      <c r="V392" s="168">
        <v>159.4029374201788</v>
      </c>
      <c r="W392" s="168">
        <v>127.52234993614304</v>
      </c>
    </row>
    <row r="393" spans="1:23" s="129" customFormat="1" ht="14.25">
      <c r="A393" s="195" t="s">
        <v>1276</v>
      </c>
      <c r="B393" s="195" t="s">
        <v>1102</v>
      </c>
      <c r="C393" s="239" t="s">
        <v>1247</v>
      </c>
      <c r="D393" s="237" t="s">
        <v>1845</v>
      </c>
      <c r="E393" s="128"/>
      <c r="F393" s="128"/>
      <c r="G393" s="242" t="s">
        <v>2258</v>
      </c>
      <c r="H393" s="242" t="s">
        <v>2825</v>
      </c>
      <c r="I393" s="236" t="s">
        <v>2669</v>
      </c>
      <c r="J393" s="128"/>
      <c r="K393" s="239" t="s">
        <v>1295</v>
      </c>
      <c r="L393" s="197"/>
      <c r="M393" s="237" t="s">
        <v>1243</v>
      </c>
      <c r="N393" s="588"/>
      <c r="O393" s="588"/>
      <c r="P393" s="197">
        <v>9403208000</v>
      </c>
      <c r="Q393" s="240">
        <v>105.35201149425289</v>
      </c>
      <c r="R393" s="277" t="s">
        <v>9</v>
      </c>
      <c r="T393" s="168">
        <v>351.17337164750967</v>
      </c>
      <c r="U393" s="168">
        <v>210.70402298850578</v>
      </c>
      <c r="V393" s="168">
        <v>175.58668582375483</v>
      </c>
      <c r="W393" s="168">
        <v>140.46934865900388</v>
      </c>
    </row>
    <row r="394" spans="1:23" s="129" customFormat="1" ht="14.25">
      <c r="A394" s="195" t="s">
        <v>1276</v>
      </c>
      <c r="B394" s="195" t="s">
        <v>1102</v>
      </c>
      <c r="C394" s="239" t="s">
        <v>1247</v>
      </c>
      <c r="D394" s="237" t="s">
        <v>1845</v>
      </c>
      <c r="E394" s="128"/>
      <c r="F394" s="128"/>
      <c r="G394" s="242" t="s">
        <v>2260</v>
      </c>
      <c r="H394" s="242" t="s">
        <v>2825</v>
      </c>
      <c r="I394" s="236" t="s">
        <v>2670</v>
      </c>
      <c r="J394" s="128"/>
      <c r="K394" s="239" t="s">
        <v>1295</v>
      </c>
      <c r="L394" s="197"/>
      <c r="M394" s="237" t="s">
        <v>1243</v>
      </c>
      <c r="N394" s="588"/>
      <c r="O394" s="588"/>
      <c r="P394" s="197">
        <v>9403208000</v>
      </c>
      <c r="Q394" s="240">
        <v>0</v>
      </c>
      <c r="R394" s="277" t="s">
        <v>9</v>
      </c>
      <c r="T394" s="168">
        <v>0</v>
      </c>
      <c r="U394" s="168">
        <v>0</v>
      </c>
      <c r="V394" s="168">
        <v>0</v>
      </c>
      <c r="W394" s="168">
        <v>0</v>
      </c>
    </row>
    <row r="395" spans="1:23" s="129" customFormat="1" ht="14.25">
      <c r="A395" s="195" t="s">
        <v>1276</v>
      </c>
      <c r="B395" s="195" t="s">
        <v>1102</v>
      </c>
      <c r="C395" s="239" t="s">
        <v>1247</v>
      </c>
      <c r="D395" s="237" t="s">
        <v>1845</v>
      </c>
      <c r="E395" s="128"/>
      <c r="F395" s="128"/>
      <c r="G395" s="242" t="s">
        <v>2253</v>
      </c>
      <c r="H395" s="242" t="s">
        <v>2825</v>
      </c>
      <c r="I395" s="236" t="s">
        <v>2671</v>
      </c>
      <c r="J395" s="128"/>
      <c r="K395" s="239" t="s">
        <v>1295</v>
      </c>
      <c r="L395" s="197"/>
      <c r="M395" s="237" t="s">
        <v>1243</v>
      </c>
      <c r="N395" s="588"/>
      <c r="O395" s="588"/>
      <c r="P395" s="197">
        <v>9403208000</v>
      </c>
      <c r="Q395" s="240">
        <v>54.298371647509583</v>
      </c>
      <c r="R395" s="277" t="s">
        <v>9</v>
      </c>
      <c r="T395" s="168">
        <v>180.99457215836529</v>
      </c>
      <c r="U395" s="168">
        <v>108.59674329501917</v>
      </c>
      <c r="V395" s="168">
        <v>90.497286079182643</v>
      </c>
      <c r="W395" s="168">
        <v>72.39782886334612</v>
      </c>
    </row>
    <row r="396" spans="1:23" s="129" customFormat="1" ht="14.25">
      <c r="A396" s="195" t="s">
        <v>1276</v>
      </c>
      <c r="B396" s="195" t="s">
        <v>1102</v>
      </c>
      <c r="C396" s="239" t="s">
        <v>1247</v>
      </c>
      <c r="D396" s="237" t="s">
        <v>1845</v>
      </c>
      <c r="E396" s="128"/>
      <c r="F396" s="128"/>
      <c r="G396" s="242" t="s">
        <v>2261</v>
      </c>
      <c r="H396" s="242" t="s">
        <v>2825</v>
      </c>
      <c r="I396" s="236" t="s">
        <v>2672</v>
      </c>
      <c r="J396" s="128"/>
      <c r="K396" s="239" t="s">
        <v>1295</v>
      </c>
      <c r="L396" s="197"/>
      <c r="M396" s="237" t="s">
        <v>1243</v>
      </c>
      <c r="N396" s="588"/>
      <c r="O396" s="588"/>
      <c r="P396" s="197">
        <v>9403208000</v>
      </c>
      <c r="Q396" s="240">
        <v>60.53639846743296</v>
      </c>
      <c r="R396" s="277" t="s">
        <v>9</v>
      </c>
      <c r="T396" s="168">
        <v>201.78799489144322</v>
      </c>
      <c r="U396" s="168">
        <v>121.07279693486592</v>
      </c>
      <c r="V396" s="168">
        <v>100.89399744572161</v>
      </c>
      <c r="W396" s="168">
        <v>80.715197956577299</v>
      </c>
    </row>
    <row r="397" spans="1:23" s="129" customFormat="1" ht="14.25">
      <c r="A397" s="195" t="s">
        <v>1276</v>
      </c>
      <c r="B397" s="195" t="s">
        <v>1102</v>
      </c>
      <c r="C397" s="239" t="s">
        <v>1247</v>
      </c>
      <c r="D397" s="237" t="s">
        <v>1845</v>
      </c>
      <c r="E397" s="128"/>
      <c r="F397" s="128"/>
      <c r="G397" s="242" t="s">
        <v>2262</v>
      </c>
      <c r="H397" s="242" t="s">
        <v>2825</v>
      </c>
      <c r="I397" s="236" t="s">
        <v>2673</v>
      </c>
      <c r="J397" s="128"/>
      <c r="K397" s="239" t="s">
        <v>1295</v>
      </c>
      <c r="L397" s="197"/>
      <c r="M397" s="237" t="s">
        <v>1243</v>
      </c>
      <c r="N397" s="588"/>
      <c r="O397" s="588"/>
      <c r="P397" s="197">
        <v>9403208000</v>
      </c>
      <c r="Q397" s="240">
        <v>67.049808429118769</v>
      </c>
      <c r="R397" s="277" t="s">
        <v>9</v>
      </c>
      <c r="T397" s="168">
        <v>223.49936143039591</v>
      </c>
      <c r="U397" s="168">
        <v>134.09961685823754</v>
      </c>
      <c r="V397" s="168">
        <v>111.74968071519795</v>
      </c>
      <c r="W397" s="168">
        <v>89.399744572158369</v>
      </c>
    </row>
    <row r="398" spans="1:23" s="129" customFormat="1" ht="14.25">
      <c r="A398" s="195" t="s">
        <v>1276</v>
      </c>
      <c r="B398" s="195" t="s">
        <v>1102</v>
      </c>
      <c r="C398" s="239" t="s">
        <v>1247</v>
      </c>
      <c r="D398" s="237" t="s">
        <v>1845</v>
      </c>
      <c r="E398" s="128"/>
      <c r="F398" s="128"/>
      <c r="G398" s="242" t="s">
        <v>2263</v>
      </c>
      <c r="H398" s="242" t="s">
        <v>2825</v>
      </c>
      <c r="I398" s="236" t="s">
        <v>2674</v>
      </c>
      <c r="J398" s="128"/>
      <c r="K398" s="239" t="s">
        <v>1295</v>
      </c>
      <c r="L398" s="197"/>
      <c r="M398" s="237" t="s">
        <v>1243</v>
      </c>
      <c r="N398" s="588"/>
      <c r="O398" s="588"/>
      <c r="P398" s="197">
        <v>9403208000</v>
      </c>
      <c r="Q398" s="240">
        <v>74.796455938697321</v>
      </c>
      <c r="R398" s="277" t="s">
        <v>9</v>
      </c>
      <c r="T398" s="168">
        <v>249.32151979565774</v>
      </c>
      <c r="U398" s="168">
        <v>149.59291187739464</v>
      </c>
      <c r="V398" s="168">
        <v>124.66075989782887</v>
      </c>
      <c r="W398" s="168">
        <v>99.728607918263094</v>
      </c>
    </row>
    <row r="399" spans="1:23" s="129" customFormat="1" ht="14.25">
      <c r="A399" s="195" t="s">
        <v>1276</v>
      </c>
      <c r="B399" s="195" t="s">
        <v>1102</v>
      </c>
      <c r="C399" s="239" t="s">
        <v>1247</v>
      </c>
      <c r="D399" s="237" t="s">
        <v>1845</v>
      </c>
      <c r="E399" s="128"/>
      <c r="F399" s="128"/>
      <c r="G399" s="242" t="s">
        <v>2264</v>
      </c>
      <c r="H399" s="242" t="s">
        <v>2825</v>
      </c>
      <c r="I399" s="236" t="s">
        <v>2675</v>
      </c>
      <c r="J399" s="128"/>
      <c r="K399" s="239" t="s">
        <v>1295</v>
      </c>
      <c r="L399" s="197"/>
      <c r="M399" s="237" t="s">
        <v>1243</v>
      </c>
      <c r="N399" s="588"/>
      <c r="O399" s="588"/>
      <c r="P399" s="197">
        <v>9403208000</v>
      </c>
      <c r="Q399" s="240">
        <v>81.381704980842912</v>
      </c>
      <c r="R399" s="277" t="s">
        <v>9</v>
      </c>
      <c r="T399" s="168">
        <v>271.27234993614303</v>
      </c>
      <c r="U399" s="168">
        <v>162.76340996168582</v>
      </c>
      <c r="V399" s="168">
        <v>135.63617496807151</v>
      </c>
      <c r="W399" s="168">
        <v>108.50893997445722</v>
      </c>
    </row>
    <row r="400" spans="1:23" s="129" customFormat="1" ht="14.25">
      <c r="A400" s="195" t="s">
        <v>1276</v>
      </c>
      <c r="B400" s="195" t="s">
        <v>1102</v>
      </c>
      <c r="C400" s="239" t="s">
        <v>1247</v>
      </c>
      <c r="D400" s="237" t="s">
        <v>1845</v>
      </c>
      <c r="E400" s="128"/>
      <c r="F400" s="128"/>
      <c r="G400" s="242" t="s">
        <v>2265</v>
      </c>
      <c r="H400" s="242" t="s">
        <v>2825</v>
      </c>
      <c r="I400" s="236" t="s">
        <v>2676</v>
      </c>
      <c r="J400" s="128"/>
      <c r="K400" s="239" t="s">
        <v>1295</v>
      </c>
      <c r="L400" s="197"/>
      <c r="M400" s="237" t="s">
        <v>1243</v>
      </c>
      <c r="N400" s="588"/>
      <c r="O400" s="588"/>
      <c r="P400" s="197">
        <v>9403208000</v>
      </c>
      <c r="Q400" s="240">
        <v>90.301724137931046</v>
      </c>
      <c r="R400" s="277" t="s">
        <v>9</v>
      </c>
      <c r="T400" s="168">
        <v>301.00574712643686</v>
      </c>
      <c r="U400" s="168">
        <v>180.60344827586212</v>
      </c>
      <c r="V400" s="168">
        <v>150.50287356321843</v>
      </c>
      <c r="W400" s="168">
        <v>120.40229885057475</v>
      </c>
    </row>
    <row r="401" spans="1:23" s="129" customFormat="1" ht="14.25">
      <c r="A401" s="195" t="s">
        <v>1276</v>
      </c>
      <c r="B401" s="195" t="s">
        <v>1102</v>
      </c>
      <c r="C401" s="239" t="s">
        <v>1247</v>
      </c>
      <c r="D401" s="237" t="s">
        <v>1845</v>
      </c>
      <c r="E401" s="128"/>
      <c r="F401" s="128"/>
      <c r="G401" s="242" t="s">
        <v>2266</v>
      </c>
      <c r="H401" s="242" t="s">
        <v>2825</v>
      </c>
      <c r="I401" s="236" t="s">
        <v>2677</v>
      </c>
      <c r="J401" s="128"/>
      <c r="K401" s="239" t="s">
        <v>1295</v>
      </c>
      <c r="L401" s="197"/>
      <c r="M401" s="237" t="s">
        <v>1243</v>
      </c>
      <c r="N401" s="588"/>
      <c r="O401" s="588"/>
      <c r="P401" s="197">
        <v>9403208000</v>
      </c>
      <c r="Q401" s="240">
        <v>13.888888888888889</v>
      </c>
      <c r="R401" s="277" t="s">
        <v>9</v>
      </c>
      <c r="T401" s="168">
        <v>46.296296296296298</v>
      </c>
      <c r="U401" s="168">
        <v>27.777777777777779</v>
      </c>
      <c r="V401" s="168">
        <v>23.148148148148149</v>
      </c>
      <c r="W401" s="168">
        <v>18.518518518518519</v>
      </c>
    </row>
    <row r="402" spans="1:23" s="129" customFormat="1" ht="14.25">
      <c r="A402" s="195" t="s">
        <v>1276</v>
      </c>
      <c r="B402" s="195" t="s">
        <v>1102</v>
      </c>
      <c r="C402" s="239" t="s">
        <v>1844</v>
      </c>
      <c r="D402" s="237" t="s">
        <v>1845</v>
      </c>
      <c r="E402" s="128" t="s">
        <v>2636</v>
      </c>
      <c r="F402" s="128" t="s">
        <v>3254</v>
      </c>
      <c r="G402" s="238" t="s">
        <v>1847</v>
      </c>
      <c r="H402" s="238" t="s">
        <v>3031</v>
      </c>
      <c r="I402" s="236" t="s">
        <v>2086</v>
      </c>
      <c r="J402" s="128"/>
      <c r="K402" s="239" t="s">
        <v>1223</v>
      </c>
      <c r="L402" s="197"/>
      <c r="M402" s="237" t="s">
        <v>2206</v>
      </c>
      <c r="N402" s="197"/>
      <c r="O402" s="197"/>
      <c r="P402" s="197">
        <v>9403208000</v>
      </c>
      <c r="Q402" s="240">
        <v>214.04109589041101</v>
      </c>
      <c r="R402" s="277" t="s">
        <v>9</v>
      </c>
      <c r="T402" s="168">
        <v>713.4703196347034</v>
      </c>
      <c r="U402" s="168">
        <v>428.08219178082203</v>
      </c>
      <c r="V402" s="168">
        <v>356.7351598173517</v>
      </c>
      <c r="W402" s="168">
        <v>285.38812785388137</v>
      </c>
    </row>
    <row r="403" spans="1:23" s="129" customFormat="1" ht="14.25">
      <c r="A403" s="195" t="s">
        <v>1276</v>
      </c>
      <c r="B403" s="195" t="s">
        <v>1102</v>
      </c>
      <c r="C403" s="239" t="s">
        <v>1844</v>
      </c>
      <c r="D403" s="237" t="s">
        <v>1845</v>
      </c>
      <c r="E403" s="128" t="s">
        <v>2637</v>
      </c>
      <c r="F403" s="128" t="s">
        <v>3254</v>
      </c>
      <c r="G403" s="238" t="s">
        <v>1848</v>
      </c>
      <c r="H403" s="238" t="s">
        <v>3032</v>
      </c>
      <c r="I403" s="236" t="s">
        <v>2087</v>
      </c>
      <c r="J403" s="128"/>
      <c r="K403" s="239" t="s">
        <v>1223</v>
      </c>
      <c r="L403" s="197"/>
      <c r="M403" s="237" t="s">
        <v>2206</v>
      </c>
      <c r="N403" s="197"/>
      <c r="O403" s="197"/>
      <c r="P403" s="197">
        <v>9403208000</v>
      </c>
      <c r="Q403" s="240">
        <v>228.80255077940484</v>
      </c>
      <c r="R403" s="277" t="s">
        <v>9</v>
      </c>
      <c r="T403" s="168">
        <v>762.67516926468284</v>
      </c>
      <c r="U403" s="168">
        <v>457.60510155880968</v>
      </c>
      <c r="V403" s="168">
        <v>381.33758463234142</v>
      </c>
      <c r="W403" s="168">
        <v>305.07006770587316</v>
      </c>
    </row>
    <row r="404" spans="1:23" s="129" customFormat="1" ht="14.25">
      <c r="A404" s="195" t="s">
        <v>1276</v>
      </c>
      <c r="B404" s="195" t="s">
        <v>1102</v>
      </c>
      <c r="C404" s="239" t="s">
        <v>1844</v>
      </c>
      <c r="D404" s="237" t="s">
        <v>1845</v>
      </c>
      <c r="E404" s="128" t="s">
        <v>2638</v>
      </c>
      <c r="F404" s="128" t="s">
        <v>3254</v>
      </c>
      <c r="G404" s="238" t="s">
        <v>1849</v>
      </c>
      <c r="H404" s="238" t="s">
        <v>3033</v>
      </c>
      <c r="I404" s="236" t="s">
        <v>2088</v>
      </c>
      <c r="J404" s="128"/>
      <c r="K404" s="239" t="s">
        <v>1223</v>
      </c>
      <c r="L404" s="197"/>
      <c r="M404" s="237" t="s">
        <v>2206</v>
      </c>
      <c r="N404" s="197"/>
      <c r="O404" s="197"/>
      <c r="P404" s="197">
        <v>9403208000</v>
      </c>
      <c r="Q404" s="240">
        <v>243.56400566839869</v>
      </c>
      <c r="R404" s="277" t="s">
        <v>9</v>
      </c>
      <c r="T404" s="168">
        <v>811.88001889466238</v>
      </c>
      <c r="U404" s="168">
        <v>487.12801133679739</v>
      </c>
      <c r="V404" s="168">
        <v>405.94000944733119</v>
      </c>
      <c r="W404" s="168">
        <v>324.752007557865</v>
      </c>
    </row>
    <row r="405" spans="1:23" s="129" customFormat="1" ht="14.25">
      <c r="A405" s="195" t="s">
        <v>1276</v>
      </c>
      <c r="B405" s="195" t="s">
        <v>1102</v>
      </c>
      <c r="C405" s="239" t="s">
        <v>1844</v>
      </c>
      <c r="D405" s="237" t="s">
        <v>1845</v>
      </c>
      <c r="E405" s="128" t="s">
        <v>2639</v>
      </c>
      <c r="F405" s="128" t="s">
        <v>3254</v>
      </c>
      <c r="G405" s="238" t="s">
        <v>1850</v>
      </c>
      <c r="H405" s="238" t="s">
        <v>3034</v>
      </c>
      <c r="I405" s="236" t="s">
        <v>2089</v>
      </c>
      <c r="J405" s="128"/>
      <c r="K405" s="239" t="s">
        <v>1223</v>
      </c>
      <c r="L405" s="197"/>
      <c r="M405" s="237" t="s">
        <v>2206</v>
      </c>
      <c r="N405" s="197"/>
      <c r="O405" s="197"/>
      <c r="P405" s="197">
        <v>9403208000</v>
      </c>
      <c r="Q405" s="240">
        <v>265.70618800188947</v>
      </c>
      <c r="R405" s="277" t="s">
        <v>9</v>
      </c>
      <c r="T405" s="168">
        <v>885.68729333963165</v>
      </c>
      <c r="U405" s="168">
        <v>531.41237600377895</v>
      </c>
      <c r="V405" s="168">
        <v>442.84364666981583</v>
      </c>
      <c r="W405" s="168">
        <v>354.27491733585271</v>
      </c>
    </row>
    <row r="406" spans="1:23" s="129" customFormat="1" ht="14.25">
      <c r="A406" s="195" t="s">
        <v>1276</v>
      </c>
      <c r="B406" s="195" t="s">
        <v>1102</v>
      </c>
      <c r="C406" s="239" t="s">
        <v>1844</v>
      </c>
      <c r="D406" s="237" t="s">
        <v>1845</v>
      </c>
      <c r="E406" s="128" t="s">
        <v>2640</v>
      </c>
      <c r="F406" s="128" t="s">
        <v>3254</v>
      </c>
      <c r="G406" s="238" t="s">
        <v>1851</v>
      </c>
      <c r="H406" s="238" t="s">
        <v>3035</v>
      </c>
      <c r="I406" s="236" t="s">
        <v>2090</v>
      </c>
      <c r="J406" s="128"/>
      <c r="K406" s="239" t="s">
        <v>1223</v>
      </c>
      <c r="L406" s="197"/>
      <c r="M406" s="237" t="s">
        <v>2206</v>
      </c>
      <c r="N406" s="197"/>
      <c r="O406" s="197"/>
      <c r="P406" s="197">
        <v>9403208000</v>
      </c>
      <c r="Q406" s="240">
        <v>317.37128011336802</v>
      </c>
      <c r="R406" s="277" t="s">
        <v>9</v>
      </c>
      <c r="T406" s="168">
        <v>1057.9042670445601</v>
      </c>
      <c r="U406" s="168">
        <v>634.74256022673603</v>
      </c>
      <c r="V406" s="168">
        <v>528.95213352228006</v>
      </c>
      <c r="W406" s="168">
        <v>423.1617068178241</v>
      </c>
    </row>
    <row r="407" spans="1:23" s="129" customFormat="1" ht="14.25">
      <c r="A407" s="195" t="s">
        <v>1276</v>
      </c>
      <c r="B407" s="195" t="s">
        <v>1102</v>
      </c>
      <c r="C407" s="239" t="s">
        <v>1844</v>
      </c>
      <c r="D407" s="237" t="s">
        <v>1845</v>
      </c>
      <c r="E407" s="128" t="s">
        <v>2640</v>
      </c>
      <c r="F407" s="128" t="s">
        <v>3254</v>
      </c>
      <c r="G407" s="238" t="s">
        <v>1852</v>
      </c>
      <c r="H407" s="238" t="s">
        <v>3036</v>
      </c>
      <c r="I407" s="236" t="s">
        <v>2091</v>
      </c>
      <c r="J407" s="128"/>
      <c r="K407" s="239" t="s">
        <v>1223</v>
      </c>
      <c r="L407" s="197"/>
      <c r="M407" s="237" t="s">
        <v>2206</v>
      </c>
      <c r="N407" s="197"/>
      <c r="O407" s="197"/>
      <c r="P407" s="197">
        <v>9403208000</v>
      </c>
      <c r="Q407" s="240">
        <v>249.46858762399626</v>
      </c>
      <c r="R407" s="277" t="s">
        <v>9</v>
      </c>
      <c r="T407" s="168">
        <v>831.56195874665423</v>
      </c>
      <c r="U407" s="168">
        <v>498.93717524799251</v>
      </c>
      <c r="V407" s="168">
        <v>415.78097937332711</v>
      </c>
      <c r="W407" s="168">
        <v>332.62478349866171</v>
      </c>
    </row>
    <row r="408" spans="1:23" s="129" customFormat="1" ht="14.25">
      <c r="A408" s="195" t="s">
        <v>1276</v>
      </c>
      <c r="B408" s="195" t="s">
        <v>1102</v>
      </c>
      <c r="C408" s="239" t="s">
        <v>1844</v>
      </c>
      <c r="D408" s="237" t="s">
        <v>1845</v>
      </c>
      <c r="E408" s="128" t="s">
        <v>2636</v>
      </c>
      <c r="F408" s="128" t="s">
        <v>3255</v>
      </c>
      <c r="G408" s="238" t="s">
        <v>1853</v>
      </c>
      <c r="H408" s="238" t="s">
        <v>3037</v>
      </c>
      <c r="I408" s="236" t="s">
        <v>2092</v>
      </c>
      <c r="J408" s="128"/>
      <c r="K408" s="239" t="s">
        <v>1223</v>
      </c>
      <c r="L408" s="197"/>
      <c r="M408" s="237" t="s">
        <v>2206</v>
      </c>
      <c r="N408" s="197"/>
      <c r="O408" s="197"/>
      <c r="P408" s="197">
        <v>9403208000</v>
      </c>
      <c r="Q408" s="240">
        <v>250.94473311289562</v>
      </c>
      <c r="R408" s="277" t="s">
        <v>9</v>
      </c>
      <c r="T408" s="168">
        <v>836.4824437096521</v>
      </c>
      <c r="U408" s="168">
        <v>501.88946622579124</v>
      </c>
      <c r="V408" s="168">
        <v>418.24122185482605</v>
      </c>
      <c r="W408" s="168">
        <v>334.59297748386086</v>
      </c>
    </row>
    <row r="409" spans="1:23" s="129" customFormat="1" ht="14.25">
      <c r="A409" s="195" t="s">
        <v>1276</v>
      </c>
      <c r="B409" s="195" t="s">
        <v>1102</v>
      </c>
      <c r="C409" s="239" t="s">
        <v>1844</v>
      </c>
      <c r="D409" s="237" t="s">
        <v>1845</v>
      </c>
      <c r="E409" s="128" t="s">
        <v>2637</v>
      </c>
      <c r="F409" s="128" t="s">
        <v>3255</v>
      </c>
      <c r="G409" s="238" t="s">
        <v>1854</v>
      </c>
      <c r="H409" s="238" t="s">
        <v>3038</v>
      </c>
      <c r="I409" s="236" t="s">
        <v>2093</v>
      </c>
      <c r="J409" s="128"/>
      <c r="K409" s="239" t="s">
        <v>1223</v>
      </c>
      <c r="L409" s="197"/>
      <c r="M409" s="237" t="s">
        <v>2206</v>
      </c>
      <c r="N409" s="197"/>
      <c r="O409" s="197"/>
      <c r="P409" s="197">
        <v>9403208000</v>
      </c>
      <c r="Q409" s="240">
        <v>265.70618800188947</v>
      </c>
      <c r="R409" s="277" t="s">
        <v>9</v>
      </c>
      <c r="T409" s="168">
        <v>885.68729333963165</v>
      </c>
      <c r="U409" s="168">
        <v>531.41237600377895</v>
      </c>
      <c r="V409" s="168">
        <v>442.84364666981583</v>
      </c>
      <c r="W409" s="168">
        <v>354.27491733585271</v>
      </c>
    </row>
    <row r="410" spans="1:23" s="129" customFormat="1" ht="14.25">
      <c r="A410" s="195" t="s">
        <v>1276</v>
      </c>
      <c r="B410" s="195" t="s">
        <v>1102</v>
      </c>
      <c r="C410" s="239" t="s">
        <v>1844</v>
      </c>
      <c r="D410" s="237" t="s">
        <v>1845</v>
      </c>
      <c r="E410" s="128" t="s">
        <v>2638</v>
      </c>
      <c r="F410" s="128" t="s">
        <v>3255</v>
      </c>
      <c r="G410" s="238" t="s">
        <v>1855</v>
      </c>
      <c r="H410" s="238" t="s">
        <v>3039</v>
      </c>
      <c r="I410" s="236" t="s">
        <v>2094</v>
      </c>
      <c r="J410" s="128"/>
      <c r="K410" s="239" t="s">
        <v>1223</v>
      </c>
      <c r="L410" s="197"/>
      <c r="M410" s="237" t="s">
        <v>2206</v>
      </c>
      <c r="N410" s="197"/>
      <c r="O410" s="197"/>
      <c r="P410" s="197">
        <v>9403208000</v>
      </c>
      <c r="Q410" s="240">
        <v>276.03920642418524</v>
      </c>
      <c r="R410" s="277" t="s">
        <v>9</v>
      </c>
      <c r="T410" s="168">
        <v>920.13068808061746</v>
      </c>
      <c r="U410" s="168">
        <v>552.07841284837048</v>
      </c>
      <c r="V410" s="168">
        <v>460.06534404030873</v>
      </c>
      <c r="W410" s="168">
        <v>368.05227523224698</v>
      </c>
    </row>
    <row r="411" spans="1:23" s="129" customFormat="1" ht="14.25">
      <c r="A411" s="195" t="s">
        <v>1276</v>
      </c>
      <c r="B411" s="195" t="s">
        <v>1102</v>
      </c>
      <c r="C411" s="239" t="s">
        <v>1844</v>
      </c>
      <c r="D411" s="237" t="s">
        <v>1845</v>
      </c>
      <c r="E411" s="128" t="s">
        <v>2639</v>
      </c>
      <c r="F411" s="128" t="s">
        <v>3255</v>
      </c>
      <c r="G411" s="238" t="s">
        <v>1856</v>
      </c>
      <c r="H411" s="238" t="s">
        <v>3040</v>
      </c>
      <c r="I411" s="236" t="s">
        <v>2095</v>
      </c>
      <c r="J411" s="128"/>
      <c r="K411" s="239" t="s">
        <v>1223</v>
      </c>
      <c r="L411" s="197"/>
      <c r="M411" s="237" t="s">
        <v>2206</v>
      </c>
      <c r="N411" s="197"/>
      <c r="O411" s="197"/>
      <c r="P411" s="197">
        <v>9403208000</v>
      </c>
      <c r="Q411" s="240">
        <v>302.60982522437416</v>
      </c>
      <c r="R411" s="277" t="s">
        <v>9</v>
      </c>
      <c r="T411" s="168">
        <v>1008.6994174145806</v>
      </c>
      <c r="U411" s="168">
        <v>605.21965044874833</v>
      </c>
      <c r="V411" s="168">
        <v>504.34970870729029</v>
      </c>
      <c r="W411" s="168">
        <v>403.47976696583225</v>
      </c>
    </row>
    <row r="412" spans="1:23" s="129" customFormat="1" ht="14.25">
      <c r="A412" s="195" t="s">
        <v>1276</v>
      </c>
      <c r="B412" s="195" t="s">
        <v>1102</v>
      </c>
      <c r="C412" s="239" t="s">
        <v>1844</v>
      </c>
      <c r="D412" s="237" t="s">
        <v>1845</v>
      </c>
      <c r="E412" s="128" t="s">
        <v>2640</v>
      </c>
      <c r="F412" s="128" t="s">
        <v>3255</v>
      </c>
      <c r="G412" s="238" t="s">
        <v>1857</v>
      </c>
      <c r="H412" s="238" t="s">
        <v>3041</v>
      </c>
      <c r="I412" s="236" t="s">
        <v>2096</v>
      </c>
      <c r="J412" s="128"/>
      <c r="K412" s="239" t="s">
        <v>1223</v>
      </c>
      <c r="L412" s="197"/>
      <c r="M412" s="237" t="s">
        <v>2206</v>
      </c>
      <c r="N412" s="197"/>
      <c r="O412" s="197"/>
      <c r="P412" s="197">
        <v>9403208000</v>
      </c>
      <c r="Q412" s="240">
        <v>339.5134624468588</v>
      </c>
      <c r="R412" s="277" t="s">
        <v>9</v>
      </c>
      <c r="T412" s="168">
        <v>1131.7115414895293</v>
      </c>
      <c r="U412" s="168">
        <v>679.02692489371759</v>
      </c>
      <c r="V412" s="168">
        <v>565.85577074476464</v>
      </c>
      <c r="W412" s="168">
        <v>452.68461659581175</v>
      </c>
    </row>
    <row r="413" spans="1:23" s="129" customFormat="1" ht="14.25">
      <c r="A413" s="195" t="s">
        <v>1276</v>
      </c>
      <c r="B413" s="195" t="s">
        <v>1102</v>
      </c>
      <c r="C413" s="239" t="s">
        <v>1844</v>
      </c>
      <c r="D413" s="237" t="s">
        <v>1845</v>
      </c>
      <c r="E413" s="128" t="s">
        <v>2640</v>
      </c>
      <c r="F413" s="128" t="s">
        <v>3255</v>
      </c>
      <c r="G413" s="238" t="s">
        <v>1858</v>
      </c>
      <c r="H413" s="238" t="s">
        <v>3042</v>
      </c>
      <c r="I413" s="236" t="s">
        <v>2097</v>
      </c>
      <c r="J413" s="128"/>
      <c r="K413" s="239" t="s">
        <v>1223</v>
      </c>
      <c r="L413" s="197"/>
      <c r="M413" s="237" t="s">
        <v>2206</v>
      </c>
      <c r="N413" s="197"/>
      <c r="O413" s="197"/>
      <c r="P413" s="197">
        <v>9403208000</v>
      </c>
      <c r="Q413" s="240">
        <v>265.70618800188947</v>
      </c>
      <c r="R413" s="277" t="s">
        <v>9</v>
      </c>
      <c r="T413" s="168">
        <v>885.68729333963165</v>
      </c>
      <c r="U413" s="168">
        <v>531.41237600377895</v>
      </c>
      <c r="V413" s="168">
        <v>442.84364666981583</v>
      </c>
      <c r="W413" s="168">
        <v>354.27491733585271</v>
      </c>
    </row>
    <row r="414" spans="1:23" s="129" customFormat="1" ht="14.25">
      <c r="A414" s="195" t="s">
        <v>1276</v>
      </c>
      <c r="B414" s="195" t="s">
        <v>1102</v>
      </c>
      <c r="C414" s="239" t="s">
        <v>1844</v>
      </c>
      <c r="D414" s="237" t="s">
        <v>1845</v>
      </c>
      <c r="E414" s="128" t="s">
        <v>2640</v>
      </c>
      <c r="F414" s="128" t="s">
        <v>3256</v>
      </c>
      <c r="G414" s="238" t="s">
        <v>1859</v>
      </c>
      <c r="H414" s="238" t="s">
        <v>3043</v>
      </c>
      <c r="I414" s="236" t="s">
        <v>2098</v>
      </c>
      <c r="J414" s="128"/>
      <c r="K414" s="239" t="s">
        <v>1223</v>
      </c>
      <c r="L414" s="197"/>
      <c r="M414" s="237" t="s">
        <v>2206</v>
      </c>
      <c r="N414" s="197"/>
      <c r="O414" s="197"/>
      <c r="P414" s="197">
        <v>9403208000</v>
      </c>
      <c r="Q414" s="240">
        <v>405.94000944733119</v>
      </c>
      <c r="R414" s="277" t="s">
        <v>9</v>
      </c>
      <c r="T414" s="168">
        <v>1353.1333648244374</v>
      </c>
      <c r="U414" s="168">
        <v>811.88001889466238</v>
      </c>
      <c r="V414" s="168">
        <v>676.56668241221871</v>
      </c>
      <c r="W414" s="168">
        <v>541.25334592977504</v>
      </c>
    </row>
    <row r="415" spans="1:23" s="129" customFormat="1" ht="14.25">
      <c r="A415" s="195" t="s">
        <v>1276</v>
      </c>
      <c r="B415" s="195" t="s">
        <v>1102</v>
      </c>
      <c r="C415" s="239" t="s">
        <v>1844</v>
      </c>
      <c r="D415" s="237" t="s">
        <v>1845</v>
      </c>
      <c r="E415" s="128" t="s">
        <v>2640</v>
      </c>
      <c r="F415" s="128" t="s">
        <v>3257</v>
      </c>
      <c r="G415" s="238" t="s">
        <v>1860</v>
      </c>
      <c r="H415" s="238" t="s">
        <v>3044</v>
      </c>
      <c r="I415" s="236" t="s">
        <v>2099</v>
      </c>
      <c r="J415" s="128"/>
      <c r="K415" s="239" t="s">
        <v>1223</v>
      </c>
      <c r="L415" s="197"/>
      <c r="M415" s="237" t="s">
        <v>2206</v>
      </c>
      <c r="N415" s="197"/>
      <c r="O415" s="197"/>
      <c r="P415" s="197">
        <v>9403208000</v>
      </c>
      <c r="Q415" s="240">
        <v>361.65564478034958</v>
      </c>
      <c r="R415" s="277" t="s">
        <v>9</v>
      </c>
      <c r="T415" s="168">
        <v>1205.5188159344987</v>
      </c>
      <c r="U415" s="168">
        <v>723.31128956069915</v>
      </c>
      <c r="V415" s="168">
        <v>602.75940796724933</v>
      </c>
      <c r="W415" s="168">
        <v>482.20752637379951</v>
      </c>
    </row>
    <row r="416" spans="1:23" s="129" customFormat="1" ht="14.25">
      <c r="A416" s="195" t="s">
        <v>1276</v>
      </c>
      <c r="B416" s="195" t="s">
        <v>1102</v>
      </c>
      <c r="C416" s="239" t="s">
        <v>1844</v>
      </c>
      <c r="D416" s="237" t="s">
        <v>1845</v>
      </c>
      <c r="E416" s="128" t="s">
        <v>2640</v>
      </c>
      <c r="F416" s="128" t="s">
        <v>3257</v>
      </c>
      <c r="G416" s="238" t="s">
        <v>1861</v>
      </c>
      <c r="H416" s="238" t="s">
        <v>3045</v>
      </c>
      <c r="I416" s="236" t="s">
        <v>2100</v>
      </c>
      <c r="J416" s="128"/>
      <c r="K416" s="239" t="s">
        <v>1223</v>
      </c>
      <c r="L416" s="197"/>
      <c r="M416" s="237" t="s">
        <v>2206</v>
      </c>
      <c r="N416" s="197"/>
      <c r="O416" s="197"/>
      <c r="P416" s="197">
        <v>9403208000</v>
      </c>
      <c r="Q416" s="240">
        <v>273.08691544638646</v>
      </c>
      <c r="R416" s="277" t="s">
        <v>9</v>
      </c>
      <c r="T416" s="168">
        <v>910.2897181546216</v>
      </c>
      <c r="U416" s="168">
        <v>546.17383089277291</v>
      </c>
      <c r="V416" s="168">
        <v>455.1448590773108</v>
      </c>
      <c r="W416" s="168">
        <v>364.11588726184868</v>
      </c>
    </row>
    <row r="417" spans="1:23" s="129" customFormat="1" ht="14.25">
      <c r="A417" s="195" t="s">
        <v>1276</v>
      </c>
      <c r="B417" s="195" t="s">
        <v>1102</v>
      </c>
      <c r="C417" s="239" t="s">
        <v>1844</v>
      </c>
      <c r="D417" s="237" t="s">
        <v>1845</v>
      </c>
      <c r="E417" s="128" t="s">
        <v>2638</v>
      </c>
      <c r="F417" s="128" t="s">
        <v>3258</v>
      </c>
      <c r="G417" s="238" t="s">
        <v>1862</v>
      </c>
      <c r="H417" s="238" t="s">
        <v>3046</v>
      </c>
      <c r="I417" s="236" t="s">
        <v>2101</v>
      </c>
      <c r="J417" s="128"/>
      <c r="K417" s="239" t="s">
        <v>1223</v>
      </c>
      <c r="L417" s="197"/>
      <c r="M417" s="237" t="s">
        <v>2206</v>
      </c>
      <c r="N417" s="197"/>
      <c r="O417" s="197"/>
      <c r="P417" s="197">
        <v>9403208000</v>
      </c>
      <c r="Q417" s="240">
        <v>333.60888049126123</v>
      </c>
      <c r="R417" s="277" t="s">
        <v>9</v>
      </c>
      <c r="T417" s="168">
        <v>1112.0296016375376</v>
      </c>
      <c r="U417" s="168">
        <v>667.21776098252246</v>
      </c>
      <c r="V417" s="168">
        <v>556.01480081876878</v>
      </c>
      <c r="W417" s="168">
        <v>444.81184065501503</v>
      </c>
    </row>
    <row r="418" spans="1:23" s="129" customFormat="1" ht="14.25">
      <c r="A418" s="195" t="s">
        <v>1276</v>
      </c>
      <c r="B418" s="195" t="s">
        <v>1102</v>
      </c>
      <c r="C418" s="239" t="s">
        <v>1844</v>
      </c>
      <c r="D418" s="237" t="s">
        <v>1845</v>
      </c>
      <c r="E418" s="128" t="s">
        <v>2639</v>
      </c>
      <c r="F418" s="128" t="s">
        <v>3258</v>
      </c>
      <c r="G418" s="238" t="s">
        <v>1863</v>
      </c>
      <c r="H418" s="238" t="s">
        <v>3047</v>
      </c>
      <c r="I418" s="236" t="s">
        <v>2102</v>
      </c>
      <c r="J418" s="128"/>
      <c r="K418" s="239" t="s">
        <v>1223</v>
      </c>
      <c r="L418" s="197"/>
      <c r="M418" s="237" t="s">
        <v>2206</v>
      </c>
      <c r="N418" s="197"/>
      <c r="O418" s="197"/>
      <c r="P418" s="197">
        <v>9403208000</v>
      </c>
      <c r="Q418" s="240">
        <v>351.32262635805387</v>
      </c>
      <c r="R418" s="277" t="s">
        <v>9</v>
      </c>
      <c r="T418" s="168">
        <v>1171.075421193513</v>
      </c>
      <c r="U418" s="168">
        <v>702.64525271610773</v>
      </c>
      <c r="V418" s="168">
        <v>585.53771059675648</v>
      </c>
      <c r="W418" s="168">
        <v>468.43016847740523</v>
      </c>
    </row>
    <row r="419" spans="1:23" s="129" customFormat="1" ht="14.25">
      <c r="A419" s="195" t="s">
        <v>1276</v>
      </c>
      <c r="B419" s="195" t="s">
        <v>1102</v>
      </c>
      <c r="C419" s="239" t="s">
        <v>1844</v>
      </c>
      <c r="D419" s="237" t="s">
        <v>1845</v>
      </c>
      <c r="E419" s="128" t="s">
        <v>2640</v>
      </c>
      <c r="F419" s="128" t="s">
        <v>3258</v>
      </c>
      <c r="G419" s="238" t="s">
        <v>1864</v>
      </c>
      <c r="H419" s="238" t="s">
        <v>3048</v>
      </c>
      <c r="I419" s="236" t="s">
        <v>2103</v>
      </c>
      <c r="J419" s="128"/>
      <c r="K419" s="239" t="s">
        <v>1223</v>
      </c>
      <c r="L419" s="197"/>
      <c r="M419" s="237" t="s">
        <v>2206</v>
      </c>
      <c r="N419" s="197"/>
      <c r="O419" s="197"/>
      <c r="P419" s="197">
        <v>9403208000</v>
      </c>
      <c r="Q419" s="240">
        <v>391.17855455833728</v>
      </c>
      <c r="R419" s="277" t="s">
        <v>9</v>
      </c>
      <c r="T419" s="168">
        <v>1303.9285151944578</v>
      </c>
      <c r="U419" s="168">
        <v>782.35710911667468</v>
      </c>
      <c r="V419" s="168">
        <v>651.96425759722888</v>
      </c>
      <c r="W419" s="168">
        <v>521.57140607778308</v>
      </c>
    </row>
    <row r="420" spans="1:23" s="129" customFormat="1" ht="14.25">
      <c r="A420" s="195" t="s">
        <v>1276</v>
      </c>
      <c r="B420" s="195" t="s">
        <v>1102</v>
      </c>
      <c r="C420" s="239" t="s">
        <v>1844</v>
      </c>
      <c r="D420" s="237" t="s">
        <v>1845</v>
      </c>
      <c r="E420" s="128" t="s">
        <v>2640</v>
      </c>
      <c r="F420" s="128" t="s">
        <v>3258</v>
      </c>
      <c r="G420" s="238" t="s">
        <v>1865</v>
      </c>
      <c r="H420" s="238" t="s">
        <v>3049</v>
      </c>
      <c r="I420" s="236" t="s">
        <v>2104</v>
      </c>
      <c r="J420" s="128"/>
      <c r="K420" s="239" t="s">
        <v>1223</v>
      </c>
      <c r="L420" s="197"/>
      <c r="M420" s="237" t="s">
        <v>2206</v>
      </c>
      <c r="N420" s="197"/>
      <c r="O420" s="197"/>
      <c r="P420" s="197">
        <v>9403208000</v>
      </c>
      <c r="Q420" s="240">
        <v>309.99055266887109</v>
      </c>
      <c r="R420" s="277" t="s">
        <v>9</v>
      </c>
      <c r="T420" s="168">
        <v>1033.3018422295704</v>
      </c>
      <c r="U420" s="168">
        <v>619.98110533774218</v>
      </c>
      <c r="V420" s="168">
        <v>516.65092111478521</v>
      </c>
      <c r="W420" s="168">
        <v>413.32073689182818</v>
      </c>
    </row>
    <row r="421" spans="1:23" s="129" customFormat="1" ht="14.25">
      <c r="A421" s="195" t="s">
        <v>1276</v>
      </c>
      <c r="B421" s="195" t="s">
        <v>1102</v>
      </c>
      <c r="C421" s="239" t="s">
        <v>1844</v>
      </c>
      <c r="D421" s="237" t="s">
        <v>1845</v>
      </c>
      <c r="E421" s="128" t="s">
        <v>2640</v>
      </c>
      <c r="F421" s="128" t="s">
        <v>3259</v>
      </c>
      <c r="G421" s="238" t="s">
        <v>1866</v>
      </c>
      <c r="H421" s="238" t="s">
        <v>3050</v>
      </c>
      <c r="I421" s="236" t="s">
        <v>2105</v>
      </c>
      <c r="J421" s="128"/>
      <c r="K421" s="239" t="s">
        <v>1223</v>
      </c>
      <c r="L421" s="197"/>
      <c r="M421" s="237" t="s">
        <v>2206</v>
      </c>
      <c r="N421" s="197"/>
      <c r="O421" s="197"/>
      <c r="P421" s="197">
        <v>9403208000</v>
      </c>
      <c r="Q421" s="240">
        <v>442.84364666981588</v>
      </c>
      <c r="R421" s="277" t="s">
        <v>9</v>
      </c>
      <c r="T421" s="168">
        <v>1476.1454888993862</v>
      </c>
      <c r="U421" s="168">
        <v>885.68729333963176</v>
      </c>
      <c r="V421" s="168">
        <v>738.07274444969312</v>
      </c>
      <c r="W421" s="168">
        <v>590.45819555975447</v>
      </c>
    </row>
    <row r="422" spans="1:23" s="129" customFormat="1" ht="14.25">
      <c r="A422" s="195" t="s">
        <v>1276</v>
      </c>
      <c r="B422" s="195" t="s">
        <v>1102</v>
      </c>
      <c r="C422" s="239" t="s">
        <v>1844</v>
      </c>
      <c r="D422" s="237" t="s">
        <v>1845</v>
      </c>
      <c r="E422" s="128" t="s">
        <v>2640</v>
      </c>
      <c r="F422" s="128" t="s">
        <v>3259</v>
      </c>
      <c r="G422" s="238" t="s">
        <v>1867</v>
      </c>
      <c r="H422" s="238" t="s">
        <v>3051</v>
      </c>
      <c r="I422" s="236" t="s">
        <v>2106</v>
      </c>
      <c r="J422" s="128"/>
      <c r="K422" s="239" t="s">
        <v>1223</v>
      </c>
      <c r="L422" s="197"/>
      <c r="M422" s="237" t="s">
        <v>2206</v>
      </c>
      <c r="N422" s="197"/>
      <c r="O422" s="197"/>
      <c r="P422" s="197">
        <v>9403208000</v>
      </c>
      <c r="Q422" s="240">
        <v>361.65564478034958</v>
      </c>
      <c r="R422" s="277" t="s">
        <v>9</v>
      </c>
      <c r="T422" s="168">
        <v>1205.5188159344987</v>
      </c>
      <c r="U422" s="168">
        <v>723.31128956069915</v>
      </c>
      <c r="V422" s="168">
        <v>602.75940796724933</v>
      </c>
      <c r="W422" s="168">
        <v>482.20752637379951</v>
      </c>
    </row>
    <row r="423" spans="1:23" s="129" customFormat="1" ht="14.25">
      <c r="A423" s="195" t="s">
        <v>1276</v>
      </c>
      <c r="B423" s="195" t="s">
        <v>1102</v>
      </c>
      <c r="C423" s="239" t="s">
        <v>1844</v>
      </c>
      <c r="D423" s="237" t="s">
        <v>1845</v>
      </c>
      <c r="E423" s="128"/>
      <c r="F423" s="128"/>
      <c r="G423" s="238" t="s">
        <v>1868</v>
      </c>
      <c r="H423" s="238" t="s">
        <v>2825</v>
      </c>
      <c r="I423" s="236" t="s">
        <v>2107</v>
      </c>
      <c r="J423" s="128"/>
      <c r="K423" s="239" t="s">
        <v>1223</v>
      </c>
      <c r="L423" s="197"/>
      <c r="M423" s="237" t="s">
        <v>2206</v>
      </c>
      <c r="N423" s="197"/>
      <c r="O423" s="197"/>
      <c r="P423" s="197">
        <v>9403208000</v>
      </c>
      <c r="Q423" s="240">
        <v>0</v>
      </c>
      <c r="R423" s="277" t="s">
        <v>9</v>
      </c>
      <c r="T423" s="168">
        <v>0</v>
      </c>
      <c r="U423" s="168">
        <v>0</v>
      </c>
      <c r="V423" s="168">
        <v>0</v>
      </c>
      <c r="W423" s="168">
        <v>0</v>
      </c>
    </row>
    <row r="424" spans="1:23" s="129" customFormat="1" ht="14.25">
      <c r="A424" s="195" t="s">
        <v>1276</v>
      </c>
      <c r="B424" s="195" t="s">
        <v>1102</v>
      </c>
      <c r="C424" s="239" t="s">
        <v>1844</v>
      </c>
      <c r="D424" s="237" t="s">
        <v>1845</v>
      </c>
      <c r="E424" s="128"/>
      <c r="F424" s="128"/>
      <c r="G424" s="238" t="s">
        <v>1869</v>
      </c>
      <c r="H424" s="238" t="s">
        <v>2825</v>
      </c>
      <c r="I424" s="236" t="s">
        <v>2108</v>
      </c>
      <c r="J424" s="128"/>
      <c r="K424" s="239" t="s">
        <v>1223</v>
      </c>
      <c r="L424" s="197"/>
      <c r="M424" s="237" t="s">
        <v>2206</v>
      </c>
      <c r="N424" s="197"/>
      <c r="O424" s="197"/>
      <c r="P424" s="197">
        <v>9403208000</v>
      </c>
      <c r="Q424" s="240">
        <v>0</v>
      </c>
      <c r="R424" s="277" t="s">
        <v>9</v>
      </c>
      <c r="T424" s="168">
        <v>0</v>
      </c>
      <c r="U424" s="168">
        <v>0</v>
      </c>
      <c r="V424" s="168">
        <v>0</v>
      </c>
      <c r="W424" s="168">
        <v>0</v>
      </c>
    </row>
    <row r="425" spans="1:23" s="129" customFormat="1" ht="14.25">
      <c r="A425" s="195" t="s">
        <v>1276</v>
      </c>
      <c r="B425" s="195" t="s">
        <v>1102</v>
      </c>
      <c r="C425" s="239" t="s">
        <v>1844</v>
      </c>
      <c r="D425" s="237" t="s">
        <v>1845</v>
      </c>
      <c r="E425" s="128"/>
      <c r="F425" s="128"/>
      <c r="G425" s="238" t="s">
        <v>1870</v>
      </c>
      <c r="H425" s="238" t="s">
        <v>2825</v>
      </c>
      <c r="I425" s="236" t="s">
        <v>2109</v>
      </c>
      <c r="J425" s="128"/>
      <c r="K425" s="239" t="s">
        <v>1223</v>
      </c>
      <c r="L425" s="197"/>
      <c r="M425" s="237" t="s">
        <v>2206</v>
      </c>
      <c r="N425" s="197"/>
      <c r="O425" s="197"/>
      <c r="P425" s="197">
        <v>9403208000</v>
      </c>
      <c r="Q425" s="240">
        <v>0</v>
      </c>
      <c r="R425" s="277" t="s">
        <v>9</v>
      </c>
      <c r="T425" s="168">
        <v>0</v>
      </c>
      <c r="U425" s="168">
        <v>0</v>
      </c>
      <c r="V425" s="168">
        <v>0</v>
      </c>
      <c r="W425" s="168">
        <v>0</v>
      </c>
    </row>
    <row r="426" spans="1:23" s="129" customFormat="1" ht="14.25">
      <c r="A426" s="195" t="s">
        <v>1276</v>
      </c>
      <c r="B426" s="195" t="s">
        <v>1102</v>
      </c>
      <c r="C426" s="239" t="s">
        <v>1844</v>
      </c>
      <c r="D426" s="237" t="s">
        <v>1845</v>
      </c>
      <c r="E426" s="128"/>
      <c r="F426" s="128"/>
      <c r="G426" s="238" t="s">
        <v>1871</v>
      </c>
      <c r="H426" s="238" t="s">
        <v>2825</v>
      </c>
      <c r="I426" s="236" t="s">
        <v>2110</v>
      </c>
      <c r="J426" s="128"/>
      <c r="K426" s="239" t="s">
        <v>1223</v>
      </c>
      <c r="L426" s="197"/>
      <c r="M426" s="237" t="s">
        <v>2206</v>
      </c>
      <c r="N426" s="197"/>
      <c r="O426" s="197"/>
      <c r="P426" s="197">
        <v>9403208000</v>
      </c>
      <c r="Q426" s="240">
        <v>0</v>
      </c>
      <c r="R426" s="277" t="s">
        <v>9</v>
      </c>
      <c r="T426" s="168">
        <v>0</v>
      </c>
      <c r="U426" s="168">
        <v>0</v>
      </c>
      <c r="V426" s="168">
        <v>0</v>
      </c>
      <c r="W426" s="168">
        <v>0</v>
      </c>
    </row>
    <row r="427" spans="1:23" s="129" customFormat="1" ht="14.25">
      <c r="A427" s="195" t="s">
        <v>1276</v>
      </c>
      <c r="B427" s="195" t="s">
        <v>1102</v>
      </c>
      <c r="C427" s="239" t="s">
        <v>1844</v>
      </c>
      <c r="D427" s="237" t="s">
        <v>1845</v>
      </c>
      <c r="E427" s="128"/>
      <c r="F427" s="128"/>
      <c r="G427" s="238" t="s">
        <v>1872</v>
      </c>
      <c r="H427" s="238" t="s">
        <v>2825</v>
      </c>
      <c r="I427" s="236" t="s">
        <v>2111</v>
      </c>
      <c r="J427" s="128"/>
      <c r="K427" s="239" t="s">
        <v>1223</v>
      </c>
      <c r="L427" s="197"/>
      <c r="M427" s="237" t="s">
        <v>2206</v>
      </c>
      <c r="N427" s="197"/>
      <c r="O427" s="197"/>
      <c r="P427" s="197">
        <v>9403208000</v>
      </c>
      <c r="Q427" s="240">
        <v>0</v>
      </c>
      <c r="R427" s="277" t="s">
        <v>9</v>
      </c>
      <c r="T427" s="168">
        <v>0</v>
      </c>
      <c r="U427" s="168">
        <v>0</v>
      </c>
      <c r="V427" s="168">
        <v>0</v>
      </c>
      <c r="W427" s="168">
        <v>0</v>
      </c>
    </row>
    <row r="428" spans="1:23" s="129" customFormat="1" ht="14.25">
      <c r="A428" s="195" t="s">
        <v>1276</v>
      </c>
      <c r="B428" s="195" t="s">
        <v>1102</v>
      </c>
      <c r="C428" s="239" t="s">
        <v>1844</v>
      </c>
      <c r="D428" s="237" t="s">
        <v>1845</v>
      </c>
      <c r="E428" s="128"/>
      <c r="F428" s="128"/>
      <c r="G428" s="238" t="s">
        <v>1873</v>
      </c>
      <c r="H428" s="238" t="s">
        <v>2825</v>
      </c>
      <c r="I428" s="236" t="s">
        <v>2112</v>
      </c>
      <c r="J428" s="128"/>
      <c r="K428" s="239" t="s">
        <v>1223</v>
      </c>
      <c r="L428" s="197"/>
      <c r="M428" s="237" t="s">
        <v>2206</v>
      </c>
      <c r="N428" s="197"/>
      <c r="O428" s="197"/>
      <c r="P428" s="197">
        <v>9403208000</v>
      </c>
      <c r="Q428" s="240">
        <v>0</v>
      </c>
      <c r="R428" s="277" t="s">
        <v>9</v>
      </c>
      <c r="T428" s="168">
        <v>0</v>
      </c>
      <c r="U428" s="168">
        <v>0</v>
      </c>
      <c r="V428" s="168">
        <v>0</v>
      </c>
      <c r="W428" s="168">
        <v>0</v>
      </c>
    </row>
    <row r="429" spans="1:23" s="129" customFormat="1" ht="14.25">
      <c r="A429" s="195" t="s">
        <v>1276</v>
      </c>
      <c r="B429" s="195" t="s">
        <v>1102</v>
      </c>
      <c r="C429" s="239" t="s">
        <v>1844</v>
      </c>
      <c r="D429" s="237" t="s">
        <v>2207</v>
      </c>
      <c r="E429" s="128" t="s">
        <v>2636</v>
      </c>
      <c r="F429" s="128" t="s">
        <v>3254</v>
      </c>
      <c r="G429" s="238" t="s">
        <v>1874</v>
      </c>
      <c r="H429" s="238" t="s">
        <v>3052</v>
      </c>
      <c r="I429" s="236" t="s">
        <v>2113</v>
      </c>
      <c r="J429" s="128"/>
      <c r="K429" s="239" t="s">
        <v>1223</v>
      </c>
      <c r="L429" s="197"/>
      <c r="M429" s="237" t="s">
        <v>2206</v>
      </c>
      <c r="N429" s="197"/>
      <c r="O429" s="197"/>
      <c r="P429" s="197">
        <v>9403208000</v>
      </c>
      <c r="Q429" s="240">
        <v>251.43678160919538</v>
      </c>
      <c r="R429" s="277" t="s">
        <v>9</v>
      </c>
      <c r="T429" s="168">
        <v>838.12260536398458</v>
      </c>
      <c r="U429" s="168">
        <v>502.8735632183907</v>
      </c>
      <c r="V429" s="168">
        <v>419.06130268199229</v>
      </c>
      <c r="W429" s="168">
        <v>335.24904214559388</v>
      </c>
    </row>
    <row r="430" spans="1:23" s="129" customFormat="1" ht="14.25">
      <c r="A430" s="195" t="s">
        <v>1276</v>
      </c>
      <c r="B430" s="195" t="s">
        <v>1102</v>
      </c>
      <c r="C430" s="239" t="s">
        <v>1844</v>
      </c>
      <c r="D430" s="237" t="s">
        <v>2207</v>
      </c>
      <c r="E430" s="128" t="s">
        <v>2637</v>
      </c>
      <c r="F430" s="128" t="s">
        <v>3254</v>
      </c>
      <c r="G430" s="238" t="s">
        <v>1875</v>
      </c>
      <c r="H430" s="238" t="s">
        <v>3053</v>
      </c>
      <c r="I430" s="236" t="s">
        <v>2114</v>
      </c>
      <c r="J430" s="128"/>
      <c r="K430" s="239" t="s">
        <v>1223</v>
      </c>
      <c r="L430" s="197"/>
      <c r="M430" s="237" t="s">
        <v>2206</v>
      </c>
      <c r="N430" s="197"/>
      <c r="O430" s="197"/>
      <c r="P430" s="197">
        <v>9403208000</v>
      </c>
      <c r="Q430" s="240">
        <v>258.62068965517244</v>
      </c>
      <c r="R430" s="277" t="s">
        <v>9</v>
      </c>
      <c r="T430" s="168">
        <v>862.06896551724151</v>
      </c>
      <c r="U430" s="168">
        <v>517.24137931034488</v>
      </c>
      <c r="V430" s="168">
        <v>431.03448275862075</v>
      </c>
      <c r="W430" s="168">
        <v>344.82758620689663</v>
      </c>
    </row>
    <row r="431" spans="1:23" s="129" customFormat="1" ht="14.25">
      <c r="A431" s="195" t="s">
        <v>1276</v>
      </c>
      <c r="B431" s="195" t="s">
        <v>1102</v>
      </c>
      <c r="C431" s="239" t="s">
        <v>1844</v>
      </c>
      <c r="D431" s="237" t="s">
        <v>2207</v>
      </c>
      <c r="E431" s="128" t="s">
        <v>2638</v>
      </c>
      <c r="F431" s="128" t="s">
        <v>3254</v>
      </c>
      <c r="G431" s="238" t="s">
        <v>1876</v>
      </c>
      <c r="H431" s="238" t="s">
        <v>3054</v>
      </c>
      <c r="I431" s="236" t="s">
        <v>2115</v>
      </c>
      <c r="J431" s="128"/>
      <c r="K431" s="239" t="s">
        <v>1223</v>
      </c>
      <c r="L431" s="197"/>
      <c r="M431" s="237" t="s">
        <v>2206</v>
      </c>
      <c r="N431" s="197"/>
      <c r="O431" s="197"/>
      <c r="P431" s="197">
        <v>9403208000</v>
      </c>
      <c r="Q431" s="240">
        <v>272.98850574712645</v>
      </c>
      <c r="R431" s="277" t="s">
        <v>9</v>
      </c>
      <c r="T431" s="168">
        <v>909.96168582375492</v>
      </c>
      <c r="U431" s="168">
        <v>545.97701149425291</v>
      </c>
      <c r="V431" s="168">
        <v>454.98084291187746</v>
      </c>
      <c r="W431" s="168">
        <v>363.98467432950201</v>
      </c>
    </row>
    <row r="432" spans="1:23" s="129" customFormat="1" ht="14.25">
      <c r="A432" s="195" t="s">
        <v>1276</v>
      </c>
      <c r="B432" s="195" t="s">
        <v>1102</v>
      </c>
      <c r="C432" s="239" t="s">
        <v>1844</v>
      </c>
      <c r="D432" s="237" t="s">
        <v>2207</v>
      </c>
      <c r="E432" s="128" t="s">
        <v>2639</v>
      </c>
      <c r="F432" s="128" t="s">
        <v>3254</v>
      </c>
      <c r="G432" s="238" t="s">
        <v>1877</v>
      </c>
      <c r="H432" s="238" t="s">
        <v>3055</v>
      </c>
      <c r="I432" s="236" t="s">
        <v>2116</v>
      </c>
      <c r="J432" s="128"/>
      <c r="K432" s="239" t="s">
        <v>1223</v>
      </c>
      <c r="L432" s="197"/>
      <c r="M432" s="237" t="s">
        <v>2206</v>
      </c>
      <c r="N432" s="197"/>
      <c r="O432" s="197"/>
      <c r="P432" s="197">
        <v>9403208000</v>
      </c>
      <c r="Q432" s="240">
        <v>301.72413793103448</v>
      </c>
      <c r="R432" s="277" t="s">
        <v>9</v>
      </c>
      <c r="T432" s="168">
        <v>1005.7471264367816</v>
      </c>
      <c r="U432" s="168">
        <v>603.44827586206895</v>
      </c>
      <c r="V432" s="168">
        <v>502.87356321839081</v>
      </c>
      <c r="W432" s="168">
        <v>402.29885057471267</v>
      </c>
    </row>
    <row r="433" spans="1:23" s="129" customFormat="1" ht="14.25">
      <c r="A433" s="195" t="s">
        <v>1276</v>
      </c>
      <c r="B433" s="195" t="s">
        <v>1102</v>
      </c>
      <c r="C433" s="239" t="s">
        <v>1844</v>
      </c>
      <c r="D433" s="237" t="s">
        <v>2207</v>
      </c>
      <c r="E433" s="128" t="s">
        <v>2640</v>
      </c>
      <c r="F433" s="128" t="s">
        <v>3254</v>
      </c>
      <c r="G433" s="238" t="s">
        <v>1878</v>
      </c>
      <c r="H433" s="238" t="s">
        <v>3056</v>
      </c>
      <c r="I433" s="236" t="s">
        <v>2117</v>
      </c>
      <c r="J433" s="128"/>
      <c r="K433" s="239" t="s">
        <v>1223</v>
      </c>
      <c r="L433" s="197"/>
      <c r="M433" s="237" t="s">
        <v>2206</v>
      </c>
      <c r="N433" s="197"/>
      <c r="O433" s="197"/>
      <c r="P433" s="197">
        <v>9403208000</v>
      </c>
      <c r="Q433" s="240">
        <v>352.01149425287355</v>
      </c>
      <c r="R433" s="277" t="s">
        <v>9</v>
      </c>
      <c r="T433" s="168">
        <v>1173.3716475095785</v>
      </c>
      <c r="U433" s="168">
        <v>704.02298850574709</v>
      </c>
      <c r="V433" s="168">
        <v>586.68582375478923</v>
      </c>
      <c r="W433" s="168">
        <v>469.34865900383141</v>
      </c>
    </row>
    <row r="434" spans="1:23" s="129" customFormat="1" ht="14.25">
      <c r="A434" s="195" t="s">
        <v>1276</v>
      </c>
      <c r="B434" s="195" t="s">
        <v>1102</v>
      </c>
      <c r="C434" s="239" t="s">
        <v>1844</v>
      </c>
      <c r="D434" s="237" t="s">
        <v>2207</v>
      </c>
      <c r="E434" s="128" t="s">
        <v>2636</v>
      </c>
      <c r="F434" s="128" t="s">
        <v>3255</v>
      </c>
      <c r="G434" s="238" t="s">
        <v>1879</v>
      </c>
      <c r="H434" s="238" t="s">
        <v>3057</v>
      </c>
      <c r="I434" s="236" t="s">
        <v>2118</v>
      </c>
      <c r="J434" s="128"/>
      <c r="K434" s="239" t="s">
        <v>1223</v>
      </c>
      <c r="L434" s="197"/>
      <c r="M434" s="237" t="s">
        <v>2206</v>
      </c>
      <c r="N434" s="197"/>
      <c r="O434" s="197"/>
      <c r="P434" s="197">
        <v>9403208000</v>
      </c>
      <c r="Q434" s="240">
        <v>272.98850574712645</v>
      </c>
      <c r="R434" s="277" t="s">
        <v>9</v>
      </c>
      <c r="T434" s="168">
        <v>909.96168582375492</v>
      </c>
      <c r="U434" s="168">
        <v>545.97701149425291</v>
      </c>
      <c r="V434" s="168">
        <v>454.98084291187746</v>
      </c>
      <c r="W434" s="168">
        <v>363.98467432950201</v>
      </c>
    </row>
    <row r="435" spans="1:23" s="129" customFormat="1" ht="14.25">
      <c r="A435" s="195" t="s">
        <v>1276</v>
      </c>
      <c r="B435" s="195" t="s">
        <v>1102</v>
      </c>
      <c r="C435" s="239" t="s">
        <v>1844</v>
      </c>
      <c r="D435" s="237" t="s">
        <v>2207</v>
      </c>
      <c r="E435" s="128" t="s">
        <v>2638</v>
      </c>
      <c r="F435" s="128" t="s">
        <v>3255</v>
      </c>
      <c r="G435" s="238" t="s">
        <v>1880</v>
      </c>
      <c r="H435" s="238" t="s">
        <v>3058</v>
      </c>
      <c r="I435" s="236" t="s">
        <v>2119</v>
      </c>
      <c r="J435" s="128"/>
      <c r="K435" s="239" t="s">
        <v>1223</v>
      </c>
      <c r="L435" s="197"/>
      <c r="M435" s="237" t="s">
        <v>2206</v>
      </c>
      <c r="N435" s="197"/>
      <c r="O435" s="197"/>
      <c r="P435" s="197">
        <v>9403208000</v>
      </c>
      <c r="Q435" s="240">
        <v>301.72413793103448</v>
      </c>
      <c r="R435" s="277" t="s">
        <v>9</v>
      </c>
      <c r="T435" s="168">
        <v>1005.7471264367816</v>
      </c>
      <c r="U435" s="168">
        <v>603.44827586206895</v>
      </c>
      <c r="V435" s="168">
        <v>502.87356321839081</v>
      </c>
      <c r="W435" s="168">
        <v>402.29885057471267</v>
      </c>
    </row>
    <row r="436" spans="1:23" s="129" customFormat="1" ht="14.25">
      <c r="A436" s="195" t="s">
        <v>1276</v>
      </c>
      <c r="B436" s="195" t="s">
        <v>1102</v>
      </c>
      <c r="C436" s="239" t="s">
        <v>1844</v>
      </c>
      <c r="D436" s="237" t="s">
        <v>2207</v>
      </c>
      <c r="E436" s="128" t="s">
        <v>2640</v>
      </c>
      <c r="F436" s="128" t="s">
        <v>3255</v>
      </c>
      <c r="G436" s="238" t="s">
        <v>1881</v>
      </c>
      <c r="H436" s="238" t="s">
        <v>3059</v>
      </c>
      <c r="I436" s="236" t="s">
        <v>2120</v>
      </c>
      <c r="J436" s="128"/>
      <c r="K436" s="239" t="s">
        <v>1223</v>
      </c>
      <c r="L436" s="197"/>
      <c r="M436" s="237" t="s">
        <v>2206</v>
      </c>
      <c r="N436" s="197"/>
      <c r="O436" s="197"/>
      <c r="P436" s="197">
        <v>9403208000</v>
      </c>
      <c r="Q436" s="240">
        <v>380.74712643678163</v>
      </c>
      <c r="R436" s="277" t="s">
        <v>9</v>
      </c>
      <c r="T436" s="168">
        <v>1269.1570881226055</v>
      </c>
      <c r="U436" s="168">
        <v>761.49425287356325</v>
      </c>
      <c r="V436" s="168">
        <v>634.57854406130275</v>
      </c>
      <c r="W436" s="168">
        <v>507.66283524904225</v>
      </c>
    </row>
    <row r="437" spans="1:23" s="129" customFormat="1" ht="14.25">
      <c r="A437" s="195" t="s">
        <v>1276</v>
      </c>
      <c r="B437" s="195" t="s">
        <v>1102</v>
      </c>
      <c r="C437" s="239" t="s">
        <v>1844</v>
      </c>
      <c r="D437" s="237" t="s">
        <v>2207</v>
      </c>
      <c r="E437" s="128" t="s">
        <v>2640</v>
      </c>
      <c r="F437" s="128" t="s">
        <v>3256</v>
      </c>
      <c r="G437" s="238" t="s">
        <v>1882</v>
      </c>
      <c r="H437" s="238" t="s">
        <v>3060</v>
      </c>
      <c r="I437" s="236" t="s">
        <v>2121</v>
      </c>
      <c r="J437" s="128"/>
      <c r="K437" s="239" t="s">
        <v>1223</v>
      </c>
      <c r="L437" s="197"/>
      <c r="M437" s="237" t="s">
        <v>2206</v>
      </c>
      <c r="N437" s="197"/>
      <c r="O437" s="197"/>
      <c r="P437" s="197">
        <v>9403208000</v>
      </c>
      <c r="Q437" s="240">
        <v>416.66666666666674</v>
      </c>
      <c r="R437" s="277" t="s">
        <v>9</v>
      </c>
      <c r="T437" s="168">
        <v>1388.8888888888891</v>
      </c>
      <c r="U437" s="168">
        <v>833.33333333333348</v>
      </c>
      <c r="V437" s="168">
        <v>694.44444444444457</v>
      </c>
      <c r="W437" s="168">
        <v>555.55555555555566</v>
      </c>
    </row>
    <row r="438" spans="1:23" s="129" customFormat="1" ht="14.25">
      <c r="A438" s="195" t="s">
        <v>1276</v>
      </c>
      <c r="B438" s="195" t="s">
        <v>1102</v>
      </c>
      <c r="C438" s="239" t="s">
        <v>1844</v>
      </c>
      <c r="D438" s="237" t="s">
        <v>2207</v>
      </c>
      <c r="E438" s="128" t="s">
        <v>2636</v>
      </c>
      <c r="F438" s="128" t="s">
        <v>3254</v>
      </c>
      <c r="G438" s="238" t="s">
        <v>1883</v>
      </c>
      <c r="H438" s="238" t="s">
        <v>3061</v>
      </c>
      <c r="I438" s="236" t="s">
        <v>2122</v>
      </c>
      <c r="J438" s="128"/>
      <c r="K438" s="239" t="s">
        <v>1223</v>
      </c>
      <c r="L438" s="197"/>
      <c r="M438" s="237" t="s">
        <v>2206</v>
      </c>
      <c r="N438" s="197"/>
      <c r="O438" s="197"/>
      <c r="P438" s="197">
        <v>9403208000</v>
      </c>
      <c r="Q438" s="240">
        <v>294.5402298850575</v>
      </c>
      <c r="R438" s="277" t="s">
        <v>9</v>
      </c>
      <c r="T438" s="168">
        <v>981.80076628352504</v>
      </c>
      <c r="U438" s="168">
        <v>589.080459770115</v>
      </c>
      <c r="V438" s="168">
        <v>490.90038314176252</v>
      </c>
      <c r="W438" s="168">
        <v>392.72030651341004</v>
      </c>
    </row>
    <row r="439" spans="1:23" s="129" customFormat="1" ht="14.25">
      <c r="A439" s="195" t="s">
        <v>1276</v>
      </c>
      <c r="B439" s="195" t="s">
        <v>1102</v>
      </c>
      <c r="C439" s="239" t="s">
        <v>1844</v>
      </c>
      <c r="D439" s="237" t="s">
        <v>2207</v>
      </c>
      <c r="E439" s="128" t="s">
        <v>2637</v>
      </c>
      <c r="F439" s="128" t="s">
        <v>3254</v>
      </c>
      <c r="G439" s="238" t="s">
        <v>1884</v>
      </c>
      <c r="H439" s="238" t="s">
        <v>3062</v>
      </c>
      <c r="I439" s="236" t="s">
        <v>2123</v>
      </c>
      <c r="J439" s="128"/>
      <c r="K439" s="239" t="s">
        <v>1223</v>
      </c>
      <c r="L439" s="197"/>
      <c r="M439" s="237" t="s">
        <v>2206</v>
      </c>
      <c r="N439" s="197"/>
      <c r="O439" s="197"/>
      <c r="P439" s="197">
        <v>9403208000</v>
      </c>
      <c r="Q439" s="240">
        <v>303.16091954022988</v>
      </c>
      <c r="R439" s="277" t="s">
        <v>9</v>
      </c>
      <c r="T439" s="168">
        <v>1010.5363984674329</v>
      </c>
      <c r="U439" s="168">
        <v>606.32183908045977</v>
      </c>
      <c r="V439" s="168">
        <v>505.26819923371647</v>
      </c>
      <c r="W439" s="168">
        <v>404.21455938697318</v>
      </c>
    </row>
    <row r="440" spans="1:23" s="129" customFormat="1" ht="14.25">
      <c r="A440" s="195" t="s">
        <v>1276</v>
      </c>
      <c r="B440" s="195" t="s">
        <v>1102</v>
      </c>
      <c r="C440" s="239" t="s">
        <v>1844</v>
      </c>
      <c r="D440" s="237" t="s">
        <v>2207</v>
      </c>
      <c r="E440" s="128" t="s">
        <v>2638</v>
      </c>
      <c r="F440" s="128" t="s">
        <v>3254</v>
      </c>
      <c r="G440" s="238" t="s">
        <v>1885</v>
      </c>
      <c r="H440" s="238" t="s">
        <v>3063</v>
      </c>
      <c r="I440" s="236" t="s">
        <v>2124</v>
      </c>
      <c r="J440" s="128"/>
      <c r="K440" s="239" t="s">
        <v>1223</v>
      </c>
      <c r="L440" s="197"/>
      <c r="M440" s="237" t="s">
        <v>2206</v>
      </c>
      <c r="N440" s="197"/>
      <c r="O440" s="197"/>
      <c r="P440" s="197">
        <v>9403208000</v>
      </c>
      <c r="Q440" s="240">
        <v>316.09195402298855</v>
      </c>
      <c r="R440" s="277" t="s">
        <v>9</v>
      </c>
      <c r="T440" s="168">
        <v>1053.6398467432953</v>
      </c>
      <c r="U440" s="168">
        <v>632.18390804597709</v>
      </c>
      <c r="V440" s="168">
        <v>526.81992337164763</v>
      </c>
      <c r="W440" s="168">
        <v>421.45593869731812</v>
      </c>
    </row>
    <row r="441" spans="1:23" s="129" customFormat="1" ht="14.25">
      <c r="A441" s="195" t="s">
        <v>1276</v>
      </c>
      <c r="B441" s="195" t="s">
        <v>1102</v>
      </c>
      <c r="C441" s="239" t="s">
        <v>1844</v>
      </c>
      <c r="D441" s="237" t="s">
        <v>2207</v>
      </c>
      <c r="E441" s="128" t="s">
        <v>2639</v>
      </c>
      <c r="F441" s="128" t="s">
        <v>3254</v>
      </c>
      <c r="G441" s="238" t="s">
        <v>1886</v>
      </c>
      <c r="H441" s="238" t="s">
        <v>3064</v>
      </c>
      <c r="I441" s="236" t="s">
        <v>2125</v>
      </c>
      <c r="J441" s="128"/>
      <c r="K441" s="239" t="s">
        <v>1223</v>
      </c>
      <c r="L441" s="197"/>
      <c r="M441" s="237" t="s">
        <v>2206</v>
      </c>
      <c r="N441" s="197"/>
      <c r="O441" s="197"/>
      <c r="P441" s="197">
        <v>9403208000</v>
      </c>
      <c r="Q441" s="240">
        <v>354.88505747126442</v>
      </c>
      <c r="R441" s="277" t="s">
        <v>9</v>
      </c>
      <c r="T441" s="168">
        <v>1182.9501915708815</v>
      </c>
      <c r="U441" s="168">
        <v>709.77011494252895</v>
      </c>
      <c r="V441" s="168">
        <v>591.47509578544077</v>
      </c>
      <c r="W441" s="168">
        <v>473.18007662835265</v>
      </c>
    </row>
    <row r="442" spans="1:23" s="129" customFormat="1" ht="14.25">
      <c r="A442" s="195" t="s">
        <v>1276</v>
      </c>
      <c r="B442" s="195" t="s">
        <v>1102</v>
      </c>
      <c r="C442" s="239" t="s">
        <v>1844</v>
      </c>
      <c r="D442" s="237" t="s">
        <v>2207</v>
      </c>
      <c r="E442" s="128" t="s">
        <v>2640</v>
      </c>
      <c r="F442" s="128" t="s">
        <v>3254</v>
      </c>
      <c r="G442" s="238" t="s">
        <v>1887</v>
      </c>
      <c r="H442" s="238" t="s">
        <v>3065</v>
      </c>
      <c r="I442" s="236" t="s">
        <v>2126</v>
      </c>
      <c r="J442" s="128"/>
      <c r="K442" s="239" t="s">
        <v>1223</v>
      </c>
      <c r="L442" s="197"/>
      <c r="M442" s="237" t="s">
        <v>2206</v>
      </c>
      <c r="N442" s="197"/>
      <c r="O442" s="197"/>
      <c r="P442" s="197">
        <v>9403208000</v>
      </c>
      <c r="Q442" s="240">
        <v>395.11494252873564</v>
      </c>
      <c r="R442" s="277" t="s">
        <v>9</v>
      </c>
      <c r="T442" s="168">
        <v>1317.0498084291189</v>
      </c>
      <c r="U442" s="168">
        <v>790.22988505747128</v>
      </c>
      <c r="V442" s="168">
        <v>658.52490421455946</v>
      </c>
      <c r="W442" s="168">
        <v>526.81992337164763</v>
      </c>
    </row>
    <row r="443" spans="1:23" s="129" customFormat="1" ht="14.25">
      <c r="A443" s="195" t="s">
        <v>1276</v>
      </c>
      <c r="B443" s="195" t="s">
        <v>1102</v>
      </c>
      <c r="C443" s="239" t="s">
        <v>1844</v>
      </c>
      <c r="D443" s="237" t="s">
        <v>2207</v>
      </c>
      <c r="E443" s="128" t="s">
        <v>2636</v>
      </c>
      <c r="F443" s="128" t="s">
        <v>3255</v>
      </c>
      <c r="G443" s="238" t="s">
        <v>1888</v>
      </c>
      <c r="H443" s="238" t="s">
        <v>3066</v>
      </c>
      <c r="I443" s="236" t="s">
        <v>2127</v>
      </c>
      <c r="J443" s="128"/>
      <c r="K443" s="239" t="s">
        <v>1223</v>
      </c>
      <c r="L443" s="197"/>
      <c r="M443" s="237" t="s">
        <v>2206</v>
      </c>
      <c r="N443" s="197"/>
      <c r="O443" s="197"/>
      <c r="P443" s="197">
        <v>9403208000</v>
      </c>
      <c r="Q443" s="240">
        <v>316.09195402298855</v>
      </c>
      <c r="R443" s="277" t="s">
        <v>9</v>
      </c>
      <c r="T443" s="168">
        <v>1053.6398467432953</v>
      </c>
      <c r="U443" s="168">
        <v>632.18390804597709</v>
      </c>
      <c r="V443" s="168">
        <v>526.81992337164763</v>
      </c>
      <c r="W443" s="168">
        <v>421.45593869731812</v>
      </c>
    </row>
    <row r="444" spans="1:23" s="129" customFormat="1" ht="14.25">
      <c r="A444" s="195" t="s">
        <v>1276</v>
      </c>
      <c r="B444" s="195" t="s">
        <v>1102</v>
      </c>
      <c r="C444" s="239" t="s">
        <v>1844</v>
      </c>
      <c r="D444" s="237" t="s">
        <v>2207</v>
      </c>
      <c r="E444" s="128" t="s">
        <v>2638</v>
      </c>
      <c r="F444" s="128" t="s">
        <v>3255</v>
      </c>
      <c r="G444" s="238" t="s">
        <v>1889</v>
      </c>
      <c r="H444" s="238" t="s">
        <v>3067</v>
      </c>
      <c r="I444" s="236" t="s">
        <v>2128</v>
      </c>
      <c r="J444" s="128"/>
      <c r="K444" s="239" t="s">
        <v>1223</v>
      </c>
      <c r="L444" s="197"/>
      <c r="M444" s="237" t="s">
        <v>2206</v>
      </c>
      <c r="N444" s="197"/>
      <c r="O444" s="197"/>
      <c r="P444" s="197">
        <v>9403208000</v>
      </c>
      <c r="Q444" s="240">
        <v>344.82758620689657</v>
      </c>
      <c r="R444" s="277" t="s">
        <v>9</v>
      </c>
      <c r="T444" s="168">
        <v>1149.4252873563219</v>
      </c>
      <c r="U444" s="168">
        <v>689.65517241379314</v>
      </c>
      <c r="V444" s="168">
        <v>574.71264367816093</v>
      </c>
      <c r="W444" s="168">
        <v>459.77011494252878</v>
      </c>
    </row>
    <row r="445" spans="1:23" s="129" customFormat="1" ht="14.25">
      <c r="A445" s="195" t="s">
        <v>1276</v>
      </c>
      <c r="B445" s="195" t="s">
        <v>1102</v>
      </c>
      <c r="C445" s="239" t="s">
        <v>1844</v>
      </c>
      <c r="D445" s="237" t="s">
        <v>2207</v>
      </c>
      <c r="E445" s="128" t="s">
        <v>2640</v>
      </c>
      <c r="F445" s="128" t="s">
        <v>3255</v>
      </c>
      <c r="G445" s="238" t="s">
        <v>1890</v>
      </c>
      <c r="H445" s="238" t="s">
        <v>3068</v>
      </c>
      <c r="I445" s="236" t="s">
        <v>2129</v>
      </c>
      <c r="J445" s="128"/>
      <c r="K445" s="239" t="s">
        <v>1223</v>
      </c>
      <c r="L445" s="197"/>
      <c r="M445" s="237" t="s">
        <v>2206</v>
      </c>
      <c r="N445" s="197"/>
      <c r="O445" s="197"/>
      <c r="P445" s="197">
        <v>9403208000</v>
      </c>
      <c r="Q445" s="240">
        <v>431.03448275862075</v>
      </c>
      <c r="R445" s="277" t="s">
        <v>9</v>
      </c>
      <c r="T445" s="168">
        <v>1436.7816091954026</v>
      </c>
      <c r="U445" s="168">
        <v>862.06896551724151</v>
      </c>
      <c r="V445" s="168">
        <v>718.39080459770128</v>
      </c>
      <c r="W445" s="168">
        <v>574.71264367816104</v>
      </c>
    </row>
    <row r="446" spans="1:23" s="129" customFormat="1" ht="14.25">
      <c r="A446" s="195" t="s">
        <v>1276</v>
      </c>
      <c r="B446" s="195" t="s">
        <v>1102</v>
      </c>
      <c r="C446" s="239" t="s">
        <v>1844</v>
      </c>
      <c r="D446" s="237" t="s">
        <v>2207</v>
      </c>
      <c r="E446" s="128" t="s">
        <v>2640</v>
      </c>
      <c r="F446" s="128" t="s">
        <v>3256</v>
      </c>
      <c r="G446" s="238" t="s">
        <v>1891</v>
      </c>
      <c r="H446" s="238" t="s">
        <v>3069</v>
      </c>
      <c r="I446" s="236" t="s">
        <v>2130</v>
      </c>
      <c r="J446" s="128"/>
      <c r="K446" s="239" t="s">
        <v>1223</v>
      </c>
      <c r="L446" s="197"/>
      <c r="M446" s="237" t="s">
        <v>2206</v>
      </c>
      <c r="N446" s="197"/>
      <c r="O446" s="197"/>
      <c r="P446" s="197">
        <v>9403208000</v>
      </c>
      <c r="Q446" s="240">
        <v>474.13793103448279</v>
      </c>
      <c r="R446" s="277" t="s">
        <v>9</v>
      </c>
      <c r="T446" s="168">
        <v>1580.4597701149428</v>
      </c>
      <c r="U446" s="168">
        <v>948.27586206896558</v>
      </c>
      <c r="V446" s="168">
        <v>790.22988505747139</v>
      </c>
      <c r="W446" s="168">
        <v>632.1839080459772</v>
      </c>
    </row>
    <row r="447" spans="1:23" s="129" customFormat="1" ht="14.25">
      <c r="A447" s="195" t="s">
        <v>1276</v>
      </c>
      <c r="B447" s="195" t="s">
        <v>1102</v>
      </c>
      <c r="C447" s="239" t="s">
        <v>1844</v>
      </c>
      <c r="D447" s="237" t="s">
        <v>2207</v>
      </c>
      <c r="E447" s="128" t="s">
        <v>2640</v>
      </c>
      <c r="F447" s="128" t="s">
        <v>3257</v>
      </c>
      <c r="G447" s="238" t="s">
        <v>1892</v>
      </c>
      <c r="H447" s="238" t="s">
        <v>3070</v>
      </c>
      <c r="I447" s="236" t="s">
        <v>2131</v>
      </c>
      <c r="J447" s="128"/>
      <c r="K447" s="239" t="s">
        <v>1223</v>
      </c>
      <c r="L447" s="197"/>
      <c r="M447" s="237" t="s">
        <v>2206</v>
      </c>
      <c r="N447" s="197"/>
      <c r="O447" s="197"/>
      <c r="P447" s="197">
        <v>9403208000</v>
      </c>
      <c r="Q447" s="240">
        <v>488.5057471264368</v>
      </c>
      <c r="R447" s="277" t="s">
        <v>9</v>
      </c>
      <c r="T447" s="168">
        <v>1628.352490421456</v>
      </c>
      <c r="U447" s="168">
        <v>977.01149425287349</v>
      </c>
      <c r="V447" s="168">
        <v>814.17624521072798</v>
      </c>
      <c r="W447" s="168">
        <v>651.34099616858248</v>
      </c>
    </row>
    <row r="448" spans="1:23" s="129" customFormat="1" ht="14.25">
      <c r="A448" s="195" t="s">
        <v>1276</v>
      </c>
      <c r="B448" s="195" t="s">
        <v>1102</v>
      </c>
      <c r="C448" s="239" t="s">
        <v>1844</v>
      </c>
      <c r="D448" s="237" t="s">
        <v>2207</v>
      </c>
      <c r="E448" s="128" t="s">
        <v>2639</v>
      </c>
      <c r="F448" s="128" t="s">
        <v>3258</v>
      </c>
      <c r="G448" s="238" t="s">
        <v>1893</v>
      </c>
      <c r="H448" s="238" t="s">
        <v>3071</v>
      </c>
      <c r="I448" s="236" t="s">
        <v>2132</v>
      </c>
      <c r="J448" s="128"/>
      <c r="K448" s="239" t="s">
        <v>1223</v>
      </c>
      <c r="L448" s="197"/>
      <c r="M448" s="237" t="s">
        <v>2206</v>
      </c>
      <c r="N448" s="197"/>
      <c r="O448" s="197"/>
      <c r="P448" s="197">
        <v>9403208000</v>
      </c>
      <c r="Q448" s="240">
        <v>466.95402298850581</v>
      </c>
      <c r="R448" s="277" t="s">
        <v>9</v>
      </c>
      <c r="T448" s="168">
        <v>1556.5134099616862</v>
      </c>
      <c r="U448" s="168">
        <v>933.90804597701162</v>
      </c>
      <c r="V448" s="168">
        <v>778.2567049808431</v>
      </c>
      <c r="W448" s="168">
        <v>622.60536398467457</v>
      </c>
    </row>
    <row r="449" spans="1:23" s="129" customFormat="1" ht="14.25">
      <c r="A449" s="195" t="s">
        <v>1276</v>
      </c>
      <c r="B449" s="195" t="s">
        <v>1102</v>
      </c>
      <c r="C449" s="239" t="s">
        <v>1844</v>
      </c>
      <c r="D449" s="237" t="s">
        <v>2207</v>
      </c>
      <c r="E449" s="128" t="s">
        <v>2640</v>
      </c>
      <c r="F449" s="128" t="s">
        <v>3258</v>
      </c>
      <c r="G449" s="238" t="s">
        <v>1894</v>
      </c>
      <c r="H449" s="238" t="s">
        <v>3072</v>
      </c>
      <c r="I449" s="236" t="s">
        <v>2133</v>
      </c>
      <c r="J449" s="128"/>
      <c r="K449" s="239" t="s">
        <v>1223</v>
      </c>
      <c r="L449" s="197"/>
      <c r="M449" s="237" t="s">
        <v>2206</v>
      </c>
      <c r="N449" s="197"/>
      <c r="O449" s="197"/>
      <c r="P449" s="197">
        <v>9403208000</v>
      </c>
      <c r="Q449" s="240">
        <v>488.5057471264368</v>
      </c>
      <c r="R449" s="277" t="s">
        <v>9</v>
      </c>
      <c r="T449" s="168">
        <v>1628.352490421456</v>
      </c>
      <c r="U449" s="168">
        <v>977.01149425287349</v>
      </c>
      <c r="V449" s="168">
        <v>814.17624521072798</v>
      </c>
      <c r="W449" s="168">
        <v>651.34099616858248</v>
      </c>
    </row>
    <row r="450" spans="1:23" s="129" customFormat="1" ht="14.25">
      <c r="A450" s="195" t="s">
        <v>1276</v>
      </c>
      <c r="B450" s="195" t="s">
        <v>1102</v>
      </c>
      <c r="C450" s="239" t="s">
        <v>1844</v>
      </c>
      <c r="D450" s="237" t="s">
        <v>2207</v>
      </c>
      <c r="E450" s="128" t="s">
        <v>2641</v>
      </c>
      <c r="F450" s="128" t="s">
        <v>3258</v>
      </c>
      <c r="G450" s="238" t="s">
        <v>1895</v>
      </c>
      <c r="H450" s="238" t="s">
        <v>3073</v>
      </c>
      <c r="I450" s="236" t="s">
        <v>2134</v>
      </c>
      <c r="J450" s="128"/>
      <c r="K450" s="239" t="s">
        <v>1223</v>
      </c>
      <c r="L450" s="197"/>
      <c r="M450" s="237" t="s">
        <v>2206</v>
      </c>
      <c r="N450" s="197"/>
      <c r="O450" s="197"/>
      <c r="P450" s="197">
        <v>9403208000</v>
      </c>
      <c r="Q450" s="240">
        <v>574.71264367816093</v>
      </c>
      <c r="R450" s="277" t="s">
        <v>9</v>
      </c>
      <c r="T450" s="168">
        <v>1915.7088122605364</v>
      </c>
      <c r="U450" s="168">
        <v>1149.4252873563219</v>
      </c>
      <c r="V450" s="168">
        <v>957.85440613026822</v>
      </c>
      <c r="W450" s="168">
        <v>766.28352490421457</v>
      </c>
    </row>
    <row r="451" spans="1:23" s="129" customFormat="1" ht="14.25">
      <c r="A451" s="195" t="s">
        <v>1276</v>
      </c>
      <c r="B451" s="195" t="s">
        <v>1102</v>
      </c>
      <c r="C451" s="239" t="s">
        <v>1844</v>
      </c>
      <c r="D451" s="237" t="s">
        <v>2207</v>
      </c>
      <c r="E451" s="128" t="s">
        <v>2640</v>
      </c>
      <c r="F451" s="128" t="s">
        <v>3259</v>
      </c>
      <c r="G451" s="238" t="s">
        <v>1896</v>
      </c>
      <c r="H451" s="238" t="s">
        <v>3074</v>
      </c>
      <c r="I451" s="236" t="s">
        <v>2135</v>
      </c>
      <c r="J451" s="128"/>
      <c r="K451" s="239" t="s">
        <v>1223</v>
      </c>
      <c r="L451" s="197"/>
      <c r="M451" s="237" t="s">
        <v>2206</v>
      </c>
      <c r="N451" s="197"/>
      <c r="O451" s="197"/>
      <c r="P451" s="197">
        <v>9403208000</v>
      </c>
      <c r="Q451" s="240">
        <v>553.16091954022988</v>
      </c>
      <c r="R451" s="277" t="s">
        <v>9</v>
      </c>
      <c r="T451" s="168">
        <v>1843.8697318007664</v>
      </c>
      <c r="U451" s="168">
        <v>1106.3218390804598</v>
      </c>
      <c r="V451" s="168">
        <v>921.93486590038322</v>
      </c>
      <c r="W451" s="168">
        <v>737.54789272030666</v>
      </c>
    </row>
    <row r="452" spans="1:23" s="129" customFormat="1" ht="14.25">
      <c r="A452" s="195" t="s">
        <v>1276</v>
      </c>
      <c r="B452" s="195" t="s">
        <v>1102</v>
      </c>
      <c r="C452" s="239" t="s">
        <v>1844</v>
      </c>
      <c r="D452" s="237" t="s">
        <v>2207</v>
      </c>
      <c r="E452" s="128" t="s">
        <v>2640</v>
      </c>
      <c r="F452" s="128" t="s">
        <v>3260</v>
      </c>
      <c r="G452" s="238" t="s">
        <v>1897</v>
      </c>
      <c r="H452" s="238" t="s">
        <v>3075</v>
      </c>
      <c r="I452" s="236" t="s">
        <v>2136</v>
      </c>
      <c r="J452" s="128"/>
      <c r="K452" s="239" t="s">
        <v>1223</v>
      </c>
      <c r="L452" s="197"/>
      <c r="M452" s="237" t="s">
        <v>2206</v>
      </c>
      <c r="N452" s="197"/>
      <c r="O452" s="197"/>
      <c r="P452" s="197">
        <v>9403208000</v>
      </c>
      <c r="Q452" s="240">
        <v>625</v>
      </c>
      <c r="R452" s="277" t="s">
        <v>9</v>
      </c>
      <c r="T452" s="168">
        <v>2083.3333333333335</v>
      </c>
      <c r="U452" s="168">
        <v>1250</v>
      </c>
      <c r="V452" s="168">
        <v>1041.6666666666667</v>
      </c>
      <c r="W452" s="168">
        <v>833.33333333333348</v>
      </c>
    </row>
    <row r="453" spans="1:23" s="129" customFormat="1" ht="14.25">
      <c r="A453" s="195" t="s">
        <v>1276</v>
      </c>
      <c r="B453" s="195" t="s">
        <v>1102</v>
      </c>
      <c r="C453" s="239" t="s">
        <v>1844</v>
      </c>
      <c r="D453" s="237" t="s">
        <v>2207</v>
      </c>
      <c r="E453" s="128" t="s">
        <v>2641</v>
      </c>
      <c r="F453" s="128" t="s">
        <v>3260</v>
      </c>
      <c r="G453" s="238" t="s">
        <v>1898</v>
      </c>
      <c r="H453" s="238" t="s">
        <v>3076</v>
      </c>
      <c r="I453" s="236" t="s">
        <v>2137</v>
      </c>
      <c r="J453" s="128"/>
      <c r="K453" s="239" t="s">
        <v>1223</v>
      </c>
      <c r="L453" s="197"/>
      <c r="M453" s="237" t="s">
        <v>2206</v>
      </c>
      <c r="N453" s="197"/>
      <c r="O453" s="197"/>
      <c r="P453" s="197">
        <v>9403208000</v>
      </c>
      <c r="Q453" s="240">
        <v>675.28735632183918</v>
      </c>
      <c r="R453" s="277" t="s">
        <v>9</v>
      </c>
      <c r="T453" s="168">
        <v>2250.9578544061305</v>
      </c>
      <c r="U453" s="168">
        <v>1350.5747126436784</v>
      </c>
      <c r="V453" s="168">
        <v>1125.4789272030653</v>
      </c>
      <c r="W453" s="168">
        <v>900.38314176245228</v>
      </c>
    </row>
    <row r="454" spans="1:23" s="129" customFormat="1" ht="14.25">
      <c r="A454" s="195" t="s">
        <v>1276</v>
      </c>
      <c r="B454" s="195" t="s">
        <v>1102</v>
      </c>
      <c r="C454" s="239" t="s">
        <v>1844</v>
      </c>
      <c r="D454" s="237" t="s">
        <v>2207</v>
      </c>
      <c r="E454" s="128" t="s">
        <v>2639</v>
      </c>
      <c r="F454" s="128" t="s">
        <v>3258</v>
      </c>
      <c r="G454" s="238" t="s">
        <v>1899</v>
      </c>
      <c r="H454" s="238" t="s">
        <v>3077</v>
      </c>
      <c r="I454" s="236" t="s">
        <v>2138</v>
      </c>
      <c r="J454" s="128"/>
      <c r="K454" s="239" t="s">
        <v>1223</v>
      </c>
      <c r="L454" s="197"/>
      <c r="M454" s="237" t="s">
        <v>2206</v>
      </c>
      <c r="N454" s="197"/>
      <c r="O454" s="197"/>
      <c r="P454" s="197">
        <v>9403208000</v>
      </c>
      <c r="Q454" s="240">
        <v>538.79310344827593</v>
      </c>
      <c r="R454" s="277" t="s">
        <v>9</v>
      </c>
      <c r="T454" s="168">
        <v>1795.9770114942532</v>
      </c>
      <c r="U454" s="168">
        <v>1077.5862068965519</v>
      </c>
      <c r="V454" s="168">
        <v>897.98850574712662</v>
      </c>
      <c r="W454" s="168">
        <v>718.39080459770139</v>
      </c>
    </row>
    <row r="455" spans="1:23" s="129" customFormat="1" ht="14.25">
      <c r="A455" s="195" t="s">
        <v>1276</v>
      </c>
      <c r="B455" s="195" t="s">
        <v>1102</v>
      </c>
      <c r="C455" s="239" t="s">
        <v>1844</v>
      </c>
      <c r="D455" s="237" t="s">
        <v>2207</v>
      </c>
      <c r="E455" s="128" t="s">
        <v>2640</v>
      </c>
      <c r="F455" s="128" t="s">
        <v>3258</v>
      </c>
      <c r="G455" s="238" t="s">
        <v>1900</v>
      </c>
      <c r="H455" s="238" t="s">
        <v>3078</v>
      </c>
      <c r="I455" s="236" t="s">
        <v>2139</v>
      </c>
      <c r="J455" s="128"/>
      <c r="K455" s="239" t="s">
        <v>1223</v>
      </c>
      <c r="L455" s="197"/>
      <c r="M455" s="237" t="s">
        <v>2206</v>
      </c>
      <c r="N455" s="197"/>
      <c r="O455" s="197"/>
      <c r="P455" s="197">
        <v>9403208000</v>
      </c>
      <c r="Q455" s="240">
        <v>603.44827586206895</v>
      </c>
      <c r="R455" s="277" t="s">
        <v>9</v>
      </c>
      <c r="T455" s="168">
        <v>2011.4942528735633</v>
      </c>
      <c r="U455" s="168">
        <v>1206.8965517241379</v>
      </c>
      <c r="V455" s="168">
        <v>1005.7471264367816</v>
      </c>
      <c r="W455" s="168">
        <v>804.59770114942535</v>
      </c>
    </row>
    <row r="456" spans="1:23" s="129" customFormat="1" ht="14.25">
      <c r="A456" s="195" t="s">
        <v>1276</v>
      </c>
      <c r="B456" s="195" t="s">
        <v>1102</v>
      </c>
      <c r="C456" s="239" t="s">
        <v>1844</v>
      </c>
      <c r="D456" s="237" t="s">
        <v>2207</v>
      </c>
      <c r="E456" s="128" t="s">
        <v>2641</v>
      </c>
      <c r="F456" s="128" t="s">
        <v>3258</v>
      </c>
      <c r="G456" s="238" t="s">
        <v>1901</v>
      </c>
      <c r="H456" s="238" t="s">
        <v>3079</v>
      </c>
      <c r="I456" s="236" t="s">
        <v>2140</v>
      </c>
      <c r="J456" s="128"/>
      <c r="K456" s="239" t="s">
        <v>1223</v>
      </c>
      <c r="L456" s="197"/>
      <c r="M456" s="237" t="s">
        <v>2206</v>
      </c>
      <c r="N456" s="197"/>
      <c r="O456" s="197"/>
      <c r="P456" s="197">
        <v>9403208000</v>
      </c>
      <c r="Q456" s="240">
        <v>653.73563218390814</v>
      </c>
      <c r="R456" s="277" t="s">
        <v>9</v>
      </c>
      <c r="T456" s="168">
        <v>2179.1187739463608</v>
      </c>
      <c r="U456" s="168">
        <v>1307.4712643678165</v>
      </c>
      <c r="V456" s="168">
        <v>1089.5593869731804</v>
      </c>
      <c r="W456" s="168">
        <v>871.64750957854437</v>
      </c>
    </row>
    <row r="457" spans="1:23" s="129" customFormat="1" ht="14.25">
      <c r="A457" s="195" t="s">
        <v>1276</v>
      </c>
      <c r="B457" s="195" t="s">
        <v>1102</v>
      </c>
      <c r="C457" s="239" t="s">
        <v>1844</v>
      </c>
      <c r="D457" s="237" t="s">
        <v>2207</v>
      </c>
      <c r="E457" s="128" t="s">
        <v>2640</v>
      </c>
      <c r="F457" s="128" t="s">
        <v>3259</v>
      </c>
      <c r="G457" s="238" t="s">
        <v>1902</v>
      </c>
      <c r="H457" s="238" t="s">
        <v>3080</v>
      </c>
      <c r="I457" s="236" t="s">
        <v>2141</v>
      </c>
      <c r="J457" s="128"/>
      <c r="K457" s="239" t="s">
        <v>1223</v>
      </c>
      <c r="L457" s="197"/>
      <c r="M457" s="237" t="s">
        <v>2206</v>
      </c>
      <c r="N457" s="197"/>
      <c r="O457" s="197"/>
      <c r="P457" s="197">
        <v>9403208000</v>
      </c>
      <c r="Q457" s="240">
        <v>639.36781609195407</v>
      </c>
      <c r="R457" s="277" t="s">
        <v>9</v>
      </c>
      <c r="T457" s="168">
        <v>2131.2260536398471</v>
      </c>
      <c r="U457" s="168">
        <v>1278.7356321839081</v>
      </c>
      <c r="V457" s="168">
        <v>1065.6130268199236</v>
      </c>
      <c r="W457" s="168">
        <v>852.49042145593887</v>
      </c>
    </row>
    <row r="458" spans="1:23" s="129" customFormat="1" ht="14.25">
      <c r="A458" s="195" t="s">
        <v>1276</v>
      </c>
      <c r="B458" s="195" t="s">
        <v>1102</v>
      </c>
      <c r="C458" s="239" t="s">
        <v>1844</v>
      </c>
      <c r="D458" s="237" t="s">
        <v>2207</v>
      </c>
      <c r="E458" s="128" t="s">
        <v>2640</v>
      </c>
      <c r="F458" s="128" t="s">
        <v>3260</v>
      </c>
      <c r="G458" s="238" t="s">
        <v>1903</v>
      </c>
      <c r="H458" s="238" t="s">
        <v>3081</v>
      </c>
      <c r="I458" s="236" t="s">
        <v>2142</v>
      </c>
      <c r="J458" s="128"/>
      <c r="K458" s="239" t="s">
        <v>1223</v>
      </c>
      <c r="L458" s="197"/>
      <c r="M458" s="237" t="s">
        <v>2206</v>
      </c>
      <c r="N458" s="197"/>
      <c r="O458" s="197"/>
      <c r="P458" s="197">
        <v>9403208000</v>
      </c>
      <c r="Q458" s="240">
        <v>704.02298850574709</v>
      </c>
      <c r="R458" s="277" t="s">
        <v>9</v>
      </c>
      <c r="T458" s="168">
        <v>2346.7432950191569</v>
      </c>
      <c r="U458" s="168">
        <v>1408.0459770114942</v>
      </c>
      <c r="V458" s="168">
        <v>1173.3716475095785</v>
      </c>
      <c r="W458" s="168">
        <v>938.69731800766283</v>
      </c>
    </row>
    <row r="459" spans="1:23" s="129" customFormat="1" ht="14.25">
      <c r="A459" s="195" t="s">
        <v>1276</v>
      </c>
      <c r="B459" s="195" t="s">
        <v>1102</v>
      </c>
      <c r="C459" s="239" t="s">
        <v>1844</v>
      </c>
      <c r="D459" s="237" t="s">
        <v>2207</v>
      </c>
      <c r="E459" s="128" t="s">
        <v>2641</v>
      </c>
      <c r="F459" s="128" t="s">
        <v>3260</v>
      </c>
      <c r="G459" s="238" t="s">
        <v>1904</v>
      </c>
      <c r="H459" s="238" t="s">
        <v>3082</v>
      </c>
      <c r="I459" s="236" t="s">
        <v>2143</v>
      </c>
      <c r="J459" s="128"/>
      <c r="K459" s="239" t="s">
        <v>1223</v>
      </c>
      <c r="L459" s="197"/>
      <c r="M459" s="237" t="s">
        <v>2206</v>
      </c>
      <c r="N459" s="197"/>
      <c r="O459" s="197"/>
      <c r="P459" s="197">
        <v>9403208000</v>
      </c>
      <c r="Q459" s="240">
        <v>761.49425287356325</v>
      </c>
      <c r="R459" s="277" t="s">
        <v>9</v>
      </c>
      <c r="T459" s="168">
        <v>2538.314176245211</v>
      </c>
      <c r="U459" s="168">
        <v>1522.9885057471265</v>
      </c>
      <c r="V459" s="168">
        <v>1269.1570881226055</v>
      </c>
      <c r="W459" s="168">
        <v>1015.3256704980845</v>
      </c>
    </row>
    <row r="460" spans="1:23" s="129" customFormat="1" ht="14.25">
      <c r="A460" s="195" t="s">
        <v>1276</v>
      </c>
      <c r="B460" s="195" t="s">
        <v>1102</v>
      </c>
      <c r="C460" s="239" t="s">
        <v>1844</v>
      </c>
      <c r="D460" s="237" t="s">
        <v>2207</v>
      </c>
      <c r="E460" s="128" t="s">
        <v>2636</v>
      </c>
      <c r="F460" s="128"/>
      <c r="G460" s="238" t="s">
        <v>1905</v>
      </c>
      <c r="H460" s="238" t="s">
        <v>3083</v>
      </c>
      <c r="I460" s="236" t="s">
        <v>2144</v>
      </c>
      <c r="J460" s="128"/>
      <c r="K460" s="239" t="s">
        <v>1223</v>
      </c>
      <c r="L460" s="197"/>
      <c r="M460" s="237" t="s">
        <v>2206</v>
      </c>
      <c r="N460" s="197"/>
      <c r="O460" s="197"/>
      <c r="P460" s="197">
        <v>9403208000</v>
      </c>
      <c r="Q460" s="240">
        <v>258.62068965517244</v>
      </c>
      <c r="R460" s="277" t="s">
        <v>9</v>
      </c>
      <c r="T460" s="168">
        <v>862.06896551724151</v>
      </c>
      <c r="U460" s="168">
        <v>517.24137931034488</v>
      </c>
      <c r="V460" s="168">
        <v>431.03448275862075</v>
      </c>
      <c r="W460" s="168">
        <v>344.82758620689663</v>
      </c>
    </row>
    <row r="461" spans="1:23" s="129" customFormat="1" ht="14.25">
      <c r="A461" s="195" t="s">
        <v>1276</v>
      </c>
      <c r="B461" s="195" t="s">
        <v>1102</v>
      </c>
      <c r="C461" s="239" t="s">
        <v>1844</v>
      </c>
      <c r="D461" s="237" t="s">
        <v>2207</v>
      </c>
      <c r="E461" s="128" t="s">
        <v>2637</v>
      </c>
      <c r="F461" s="128"/>
      <c r="G461" s="238" t="s">
        <v>1906</v>
      </c>
      <c r="H461" s="238" t="s">
        <v>3084</v>
      </c>
      <c r="I461" s="236" t="s">
        <v>2145</v>
      </c>
      <c r="J461" s="128"/>
      <c r="K461" s="239" t="s">
        <v>1223</v>
      </c>
      <c r="L461" s="197"/>
      <c r="M461" s="237" t="s">
        <v>2206</v>
      </c>
      <c r="N461" s="197"/>
      <c r="O461" s="197"/>
      <c r="P461" s="197">
        <v>9403208000</v>
      </c>
      <c r="Q461" s="240">
        <v>272.98850574712645</v>
      </c>
      <c r="R461" s="277" t="s">
        <v>9</v>
      </c>
      <c r="T461" s="168">
        <v>909.96168582375492</v>
      </c>
      <c r="U461" s="168">
        <v>545.97701149425291</v>
      </c>
      <c r="V461" s="168">
        <v>454.98084291187746</v>
      </c>
      <c r="W461" s="168">
        <v>363.98467432950201</v>
      </c>
    </row>
    <row r="462" spans="1:23" s="129" customFormat="1" ht="14.25">
      <c r="A462" s="195" t="s">
        <v>1276</v>
      </c>
      <c r="B462" s="195" t="s">
        <v>1102</v>
      </c>
      <c r="C462" s="239" t="s">
        <v>1844</v>
      </c>
      <c r="D462" s="237" t="s">
        <v>2207</v>
      </c>
      <c r="E462" s="128" t="s">
        <v>2638</v>
      </c>
      <c r="F462" s="128"/>
      <c r="G462" s="238" t="s">
        <v>1907</v>
      </c>
      <c r="H462" s="238" t="s">
        <v>3085</v>
      </c>
      <c r="I462" s="236" t="s">
        <v>2146</v>
      </c>
      <c r="J462" s="128"/>
      <c r="K462" s="239" t="s">
        <v>1223</v>
      </c>
      <c r="L462" s="197"/>
      <c r="M462" s="237" t="s">
        <v>2206</v>
      </c>
      <c r="N462" s="197"/>
      <c r="O462" s="197"/>
      <c r="P462" s="197">
        <v>9403208000</v>
      </c>
      <c r="Q462" s="240">
        <v>287.35632183908046</v>
      </c>
      <c r="R462" s="277" t="s">
        <v>9</v>
      </c>
      <c r="T462" s="168">
        <v>957.85440613026822</v>
      </c>
      <c r="U462" s="168">
        <v>574.71264367816093</v>
      </c>
      <c r="V462" s="168">
        <v>478.92720306513411</v>
      </c>
      <c r="W462" s="168">
        <v>383.14176245210729</v>
      </c>
    </row>
    <row r="463" spans="1:23" s="129" customFormat="1" ht="14.25">
      <c r="A463" s="195" t="s">
        <v>1276</v>
      </c>
      <c r="B463" s="195" t="s">
        <v>1102</v>
      </c>
      <c r="C463" s="239" t="s">
        <v>1844</v>
      </c>
      <c r="D463" s="237" t="s">
        <v>2207</v>
      </c>
      <c r="E463" s="128" t="s">
        <v>2639</v>
      </c>
      <c r="F463" s="128" t="s">
        <v>3254</v>
      </c>
      <c r="G463" s="238" t="s">
        <v>1908</v>
      </c>
      <c r="H463" s="238" t="s">
        <v>3086</v>
      </c>
      <c r="I463" s="236" t="s">
        <v>2147</v>
      </c>
      <c r="J463" s="128"/>
      <c r="K463" s="239" t="s">
        <v>1223</v>
      </c>
      <c r="L463" s="197"/>
      <c r="M463" s="237" t="s">
        <v>2206</v>
      </c>
      <c r="N463" s="197"/>
      <c r="O463" s="197"/>
      <c r="P463" s="197">
        <v>9403208000</v>
      </c>
      <c r="Q463" s="240">
        <v>316.09195402298855</v>
      </c>
      <c r="R463" s="277" t="s">
        <v>9</v>
      </c>
      <c r="T463" s="168">
        <v>1053.6398467432953</v>
      </c>
      <c r="U463" s="168">
        <v>632.18390804597709</v>
      </c>
      <c r="V463" s="168">
        <v>526.81992337164763</v>
      </c>
      <c r="W463" s="168">
        <v>421.45593869731812</v>
      </c>
    </row>
    <row r="464" spans="1:23" s="129" customFormat="1" ht="14.25">
      <c r="A464" s="195" t="s">
        <v>1276</v>
      </c>
      <c r="B464" s="195" t="s">
        <v>1102</v>
      </c>
      <c r="C464" s="239" t="s">
        <v>1844</v>
      </c>
      <c r="D464" s="237" t="s">
        <v>2207</v>
      </c>
      <c r="E464" s="128" t="s">
        <v>2640</v>
      </c>
      <c r="F464" s="128" t="s">
        <v>3254</v>
      </c>
      <c r="G464" s="238" t="s">
        <v>1909</v>
      </c>
      <c r="H464" s="238" t="s">
        <v>3087</v>
      </c>
      <c r="I464" s="236" t="s">
        <v>2148</v>
      </c>
      <c r="J464" s="128"/>
      <c r="K464" s="239" t="s">
        <v>1223</v>
      </c>
      <c r="L464" s="197"/>
      <c r="M464" s="237" t="s">
        <v>2206</v>
      </c>
      <c r="N464" s="197"/>
      <c r="O464" s="197"/>
      <c r="P464" s="197">
        <v>9403208000</v>
      </c>
      <c r="Q464" s="240">
        <v>359.19540229885052</v>
      </c>
      <c r="R464" s="277" t="s">
        <v>9</v>
      </c>
      <c r="T464" s="168">
        <v>1197.318007662835</v>
      </c>
      <c r="U464" s="168">
        <v>718.39080459770105</v>
      </c>
      <c r="V464" s="168">
        <v>598.65900383141752</v>
      </c>
      <c r="W464" s="168">
        <v>478.92720306513405</v>
      </c>
    </row>
    <row r="465" spans="1:23" s="129" customFormat="1" ht="14.25">
      <c r="A465" s="195" t="s">
        <v>1276</v>
      </c>
      <c r="B465" s="195" t="s">
        <v>1102</v>
      </c>
      <c r="C465" s="239" t="s">
        <v>1844</v>
      </c>
      <c r="D465" s="237" t="s">
        <v>2207</v>
      </c>
      <c r="E465" s="128" t="s">
        <v>2636</v>
      </c>
      <c r="F465" s="128"/>
      <c r="G465" s="238" t="s">
        <v>1910</v>
      </c>
      <c r="H465" s="238" t="s">
        <v>3088</v>
      </c>
      <c r="I465" s="236" t="s">
        <v>2149</v>
      </c>
      <c r="J465" s="128"/>
      <c r="K465" s="239" t="s">
        <v>1223</v>
      </c>
      <c r="L465" s="197"/>
      <c r="M465" s="237" t="s">
        <v>2206</v>
      </c>
      <c r="N465" s="197"/>
      <c r="O465" s="197"/>
      <c r="P465" s="197">
        <v>9403208000</v>
      </c>
      <c r="Q465" s="240">
        <v>287.35632183908046</v>
      </c>
      <c r="R465" s="277" t="s">
        <v>9</v>
      </c>
      <c r="T465" s="168">
        <v>957.85440613026822</v>
      </c>
      <c r="U465" s="168">
        <v>574.71264367816093</v>
      </c>
      <c r="V465" s="168">
        <v>478.92720306513411</v>
      </c>
      <c r="W465" s="168">
        <v>383.14176245210729</v>
      </c>
    </row>
    <row r="466" spans="1:23" s="129" customFormat="1" ht="14.25">
      <c r="A466" s="195" t="s">
        <v>1276</v>
      </c>
      <c r="B466" s="195" t="s">
        <v>1102</v>
      </c>
      <c r="C466" s="239" t="s">
        <v>1844</v>
      </c>
      <c r="D466" s="237" t="s">
        <v>2207</v>
      </c>
      <c r="E466" s="128" t="s">
        <v>2638</v>
      </c>
      <c r="F466" s="128" t="s">
        <v>3255</v>
      </c>
      <c r="G466" s="238" t="s">
        <v>1911</v>
      </c>
      <c r="H466" s="238" t="s">
        <v>3089</v>
      </c>
      <c r="I466" s="236" t="s">
        <v>2150</v>
      </c>
      <c r="J466" s="128"/>
      <c r="K466" s="239" t="s">
        <v>1223</v>
      </c>
      <c r="L466" s="197"/>
      <c r="M466" s="237" t="s">
        <v>2206</v>
      </c>
      <c r="N466" s="197"/>
      <c r="O466" s="197"/>
      <c r="P466" s="197">
        <v>9403208000</v>
      </c>
      <c r="Q466" s="240">
        <v>316.09195402298855</v>
      </c>
      <c r="R466" s="277" t="s">
        <v>9</v>
      </c>
      <c r="T466" s="168">
        <v>1053.6398467432953</v>
      </c>
      <c r="U466" s="168">
        <v>632.18390804597709</v>
      </c>
      <c r="V466" s="168">
        <v>526.81992337164763</v>
      </c>
      <c r="W466" s="168">
        <v>421.45593869731812</v>
      </c>
    </row>
    <row r="467" spans="1:23" s="129" customFormat="1" ht="14.25">
      <c r="A467" s="195" t="s">
        <v>1276</v>
      </c>
      <c r="B467" s="195" t="s">
        <v>1102</v>
      </c>
      <c r="C467" s="239" t="s">
        <v>1844</v>
      </c>
      <c r="D467" s="237" t="s">
        <v>2207</v>
      </c>
      <c r="E467" s="128" t="s">
        <v>2640</v>
      </c>
      <c r="F467" s="128" t="s">
        <v>3255</v>
      </c>
      <c r="G467" s="238" t="s">
        <v>1912</v>
      </c>
      <c r="H467" s="238" t="s">
        <v>3090</v>
      </c>
      <c r="I467" s="236" t="s">
        <v>2151</v>
      </c>
      <c r="J467" s="128"/>
      <c r="K467" s="239" t="s">
        <v>1223</v>
      </c>
      <c r="L467" s="197"/>
      <c r="M467" s="237" t="s">
        <v>2206</v>
      </c>
      <c r="N467" s="197"/>
      <c r="O467" s="197"/>
      <c r="P467" s="197">
        <v>9403208000</v>
      </c>
      <c r="Q467" s="240">
        <v>387.93103448275861</v>
      </c>
      <c r="R467" s="277" t="s">
        <v>9</v>
      </c>
      <c r="T467" s="168">
        <v>1293.1034482758621</v>
      </c>
      <c r="U467" s="168">
        <v>775.86206896551721</v>
      </c>
      <c r="V467" s="168">
        <v>646.55172413793105</v>
      </c>
      <c r="W467" s="168">
        <v>517.24137931034488</v>
      </c>
    </row>
    <row r="468" spans="1:23" s="129" customFormat="1" ht="14.25">
      <c r="A468" s="195" t="s">
        <v>1276</v>
      </c>
      <c r="B468" s="195" t="s">
        <v>1102</v>
      </c>
      <c r="C468" s="239" t="s">
        <v>1844</v>
      </c>
      <c r="D468" s="237" t="s">
        <v>2207</v>
      </c>
      <c r="E468" s="128" t="s">
        <v>2641</v>
      </c>
      <c r="F468" s="128" t="s">
        <v>3255</v>
      </c>
      <c r="G468" s="238" t="s">
        <v>1913</v>
      </c>
      <c r="H468" s="238" t="s">
        <v>3091</v>
      </c>
      <c r="I468" s="236" t="s">
        <v>2152</v>
      </c>
      <c r="J468" s="128"/>
      <c r="K468" s="239" t="s">
        <v>1223</v>
      </c>
      <c r="L468" s="197"/>
      <c r="M468" s="237" t="s">
        <v>2206</v>
      </c>
      <c r="N468" s="197"/>
      <c r="O468" s="197"/>
      <c r="P468" s="197">
        <v>9403208000</v>
      </c>
      <c r="Q468" s="240">
        <v>416.66666666666674</v>
      </c>
      <c r="R468" s="277" t="s">
        <v>9</v>
      </c>
      <c r="T468" s="168">
        <v>1388.8888888888891</v>
      </c>
      <c r="U468" s="168">
        <v>833.33333333333348</v>
      </c>
      <c r="V468" s="168">
        <v>694.44444444444457</v>
      </c>
      <c r="W468" s="168">
        <v>555.55555555555566</v>
      </c>
    </row>
    <row r="469" spans="1:23" s="129" customFormat="1" ht="14.25">
      <c r="A469" s="195" t="s">
        <v>1276</v>
      </c>
      <c r="B469" s="195" t="s">
        <v>1102</v>
      </c>
      <c r="C469" s="239" t="s">
        <v>1844</v>
      </c>
      <c r="D469" s="237" t="s">
        <v>2207</v>
      </c>
      <c r="E469" s="128" t="s">
        <v>2640</v>
      </c>
      <c r="F469" s="128" t="s">
        <v>3256</v>
      </c>
      <c r="G469" s="238" t="s">
        <v>1914</v>
      </c>
      <c r="H469" s="238" t="s">
        <v>3092</v>
      </c>
      <c r="I469" s="236" t="s">
        <v>2153</v>
      </c>
      <c r="J469" s="128"/>
      <c r="K469" s="239" t="s">
        <v>1223</v>
      </c>
      <c r="L469" s="197"/>
      <c r="M469" s="237" t="s">
        <v>2206</v>
      </c>
      <c r="N469" s="197"/>
      <c r="O469" s="197"/>
      <c r="P469" s="197">
        <v>9403208000</v>
      </c>
      <c r="Q469" s="240">
        <v>423.85057471264372</v>
      </c>
      <c r="R469" s="277" t="s">
        <v>9</v>
      </c>
      <c r="T469" s="168">
        <v>1412.8352490421457</v>
      </c>
      <c r="U469" s="168">
        <v>847.70114942528744</v>
      </c>
      <c r="V469" s="168">
        <v>706.41762452107287</v>
      </c>
      <c r="W469" s="168">
        <v>565.13409961685829</v>
      </c>
    </row>
    <row r="470" spans="1:23" s="129" customFormat="1" ht="14.25">
      <c r="A470" s="195" t="s">
        <v>1276</v>
      </c>
      <c r="B470" s="195" t="s">
        <v>1102</v>
      </c>
      <c r="C470" s="239" t="s">
        <v>1844</v>
      </c>
      <c r="D470" s="237" t="s">
        <v>2207</v>
      </c>
      <c r="E470" s="128" t="s">
        <v>2636</v>
      </c>
      <c r="F470" s="128" t="s">
        <v>3261</v>
      </c>
      <c r="G470" s="238" t="s">
        <v>1915</v>
      </c>
      <c r="H470" s="238" t="s">
        <v>3093</v>
      </c>
      <c r="I470" s="236" t="s">
        <v>2154</v>
      </c>
      <c r="J470" s="128"/>
      <c r="K470" s="239" t="s">
        <v>1223</v>
      </c>
      <c r="L470" s="197"/>
      <c r="M470" s="237" t="s">
        <v>2206</v>
      </c>
      <c r="N470" s="197"/>
      <c r="O470" s="197"/>
      <c r="P470" s="197">
        <v>9403208000</v>
      </c>
      <c r="Q470" s="240">
        <v>294.5402298850575</v>
      </c>
      <c r="R470" s="277" t="s">
        <v>9</v>
      </c>
      <c r="T470" s="168">
        <v>981.80076628352504</v>
      </c>
      <c r="U470" s="168">
        <v>589.080459770115</v>
      </c>
      <c r="V470" s="168">
        <v>490.90038314176252</v>
      </c>
      <c r="W470" s="168">
        <v>392.72030651341004</v>
      </c>
    </row>
    <row r="471" spans="1:23" s="129" customFormat="1" ht="14.25">
      <c r="A471" s="195" t="s">
        <v>1276</v>
      </c>
      <c r="B471" s="195" t="s">
        <v>1102</v>
      </c>
      <c r="C471" s="239" t="s">
        <v>1844</v>
      </c>
      <c r="D471" s="237" t="s">
        <v>2207</v>
      </c>
      <c r="E471" s="128" t="s">
        <v>2637</v>
      </c>
      <c r="F471" s="128" t="s">
        <v>3254</v>
      </c>
      <c r="G471" s="238" t="s">
        <v>1916</v>
      </c>
      <c r="H471" s="238" t="s">
        <v>3094</v>
      </c>
      <c r="I471" s="236" t="s">
        <v>2155</v>
      </c>
      <c r="J471" s="128"/>
      <c r="K471" s="239" t="s">
        <v>1223</v>
      </c>
      <c r="L471" s="197"/>
      <c r="M471" s="237" t="s">
        <v>2206</v>
      </c>
      <c r="N471" s="197"/>
      <c r="O471" s="197"/>
      <c r="P471" s="197">
        <v>9403208000</v>
      </c>
      <c r="Q471" s="240">
        <v>308.90804597701157</v>
      </c>
      <c r="R471" s="277" t="s">
        <v>9</v>
      </c>
      <c r="T471" s="168">
        <v>1029.6934865900387</v>
      </c>
      <c r="U471" s="168">
        <v>617.81609195402314</v>
      </c>
      <c r="V471" s="168">
        <v>514.84674329501934</v>
      </c>
      <c r="W471" s="168">
        <v>411.87739463601548</v>
      </c>
    </row>
    <row r="472" spans="1:23" s="129" customFormat="1" ht="14.25">
      <c r="A472" s="195" t="s">
        <v>1276</v>
      </c>
      <c r="B472" s="195" t="s">
        <v>1102</v>
      </c>
      <c r="C472" s="239" t="s">
        <v>1844</v>
      </c>
      <c r="D472" s="237" t="s">
        <v>2207</v>
      </c>
      <c r="E472" s="128" t="s">
        <v>2638</v>
      </c>
      <c r="F472" s="128" t="s">
        <v>3254</v>
      </c>
      <c r="G472" s="238" t="s">
        <v>1917</v>
      </c>
      <c r="H472" s="238" t="s">
        <v>3095</v>
      </c>
      <c r="I472" s="236" t="s">
        <v>2156</v>
      </c>
      <c r="J472" s="128"/>
      <c r="K472" s="239" t="s">
        <v>1223</v>
      </c>
      <c r="L472" s="197"/>
      <c r="M472" s="237" t="s">
        <v>2206</v>
      </c>
      <c r="N472" s="197"/>
      <c r="O472" s="197"/>
      <c r="P472" s="197">
        <v>9403208000</v>
      </c>
      <c r="Q472" s="240">
        <v>323.27586206896552</v>
      </c>
      <c r="R472" s="277" t="s">
        <v>9</v>
      </c>
      <c r="T472" s="168">
        <v>1077.5862068965519</v>
      </c>
      <c r="U472" s="168">
        <v>646.55172413793105</v>
      </c>
      <c r="V472" s="168">
        <v>538.79310344827593</v>
      </c>
      <c r="W472" s="168">
        <v>431.03448275862075</v>
      </c>
    </row>
    <row r="473" spans="1:23" s="129" customFormat="1" ht="14.25">
      <c r="A473" s="195" t="s">
        <v>1276</v>
      </c>
      <c r="B473" s="195" t="s">
        <v>1102</v>
      </c>
      <c r="C473" s="239" t="s">
        <v>1844</v>
      </c>
      <c r="D473" s="237" t="s">
        <v>2207</v>
      </c>
      <c r="E473" s="128" t="s">
        <v>2639</v>
      </c>
      <c r="F473" s="128" t="s">
        <v>3254</v>
      </c>
      <c r="G473" s="238" t="s">
        <v>1918</v>
      </c>
      <c r="H473" s="238" t="s">
        <v>3096</v>
      </c>
      <c r="I473" s="236" t="s">
        <v>2157</v>
      </c>
      <c r="J473" s="128"/>
      <c r="K473" s="239" t="s">
        <v>1223</v>
      </c>
      <c r="L473" s="197"/>
      <c r="M473" s="237" t="s">
        <v>2206</v>
      </c>
      <c r="N473" s="197"/>
      <c r="O473" s="197"/>
      <c r="P473" s="197">
        <v>9403208000</v>
      </c>
      <c r="Q473" s="240">
        <v>359.19540229885052</v>
      </c>
      <c r="R473" s="277" t="s">
        <v>9</v>
      </c>
      <c r="T473" s="168">
        <v>1197.318007662835</v>
      </c>
      <c r="U473" s="168">
        <v>718.39080459770105</v>
      </c>
      <c r="V473" s="168">
        <v>598.65900383141752</v>
      </c>
      <c r="W473" s="168">
        <v>478.92720306513405</v>
      </c>
    </row>
    <row r="474" spans="1:23" s="129" customFormat="1" ht="14.25">
      <c r="A474" s="195" t="s">
        <v>1276</v>
      </c>
      <c r="B474" s="195" t="s">
        <v>1102</v>
      </c>
      <c r="C474" s="239" t="s">
        <v>1844</v>
      </c>
      <c r="D474" s="237" t="s">
        <v>2207</v>
      </c>
      <c r="E474" s="128" t="s">
        <v>2640</v>
      </c>
      <c r="F474" s="128" t="s">
        <v>3254</v>
      </c>
      <c r="G474" s="238" t="s">
        <v>1919</v>
      </c>
      <c r="H474" s="238" t="s">
        <v>3097</v>
      </c>
      <c r="I474" s="236" t="s">
        <v>2158</v>
      </c>
      <c r="J474" s="128"/>
      <c r="K474" s="239" t="s">
        <v>1223</v>
      </c>
      <c r="L474" s="197"/>
      <c r="M474" s="237" t="s">
        <v>2206</v>
      </c>
      <c r="N474" s="197"/>
      <c r="O474" s="197"/>
      <c r="P474" s="197">
        <v>9403208000</v>
      </c>
      <c r="Q474" s="240">
        <v>402.29885057471273</v>
      </c>
      <c r="R474" s="277" t="s">
        <v>9</v>
      </c>
      <c r="T474" s="168">
        <v>1340.9961685823757</v>
      </c>
      <c r="U474" s="168">
        <v>804.59770114942546</v>
      </c>
      <c r="V474" s="168">
        <v>670.49808429118787</v>
      </c>
      <c r="W474" s="168">
        <v>536.39846743295027</v>
      </c>
    </row>
    <row r="475" spans="1:23" s="129" customFormat="1" ht="14.25">
      <c r="A475" s="195" t="s">
        <v>1276</v>
      </c>
      <c r="B475" s="195" t="s">
        <v>1102</v>
      </c>
      <c r="C475" s="239" t="s">
        <v>1844</v>
      </c>
      <c r="D475" s="237" t="s">
        <v>2207</v>
      </c>
      <c r="E475" s="128" t="s">
        <v>2636</v>
      </c>
      <c r="F475" s="128" t="s">
        <v>3255</v>
      </c>
      <c r="G475" s="238" t="s">
        <v>1920</v>
      </c>
      <c r="H475" s="238" t="s">
        <v>3098</v>
      </c>
      <c r="I475" s="236" t="s">
        <v>2159</v>
      </c>
      <c r="J475" s="128"/>
      <c r="K475" s="239" t="s">
        <v>1223</v>
      </c>
      <c r="L475" s="197"/>
      <c r="M475" s="237" t="s">
        <v>2206</v>
      </c>
      <c r="N475" s="197"/>
      <c r="O475" s="197"/>
      <c r="P475" s="197">
        <v>9403208000</v>
      </c>
      <c r="Q475" s="240">
        <v>316.09195402298855</v>
      </c>
      <c r="R475" s="277" t="s">
        <v>9</v>
      </c>
      <c r="T475" s="168">
        <v>1053.6398467432953</v>
      </c>
      <c r="U475" s="168">
        <v>632.18390804597709</v>
      </c>
      <c r="V475" s="168">
        <v>526.81992337164763</v>
      </c>
      <c r="W475" s="168">
        <v>421.45593869731812</v>
      </c>
    </row>
    <row r="476" spans="1:23" s="129" customFormat="1" ht="14.25">
      <c r="A476" s="195" t="s">
        <v>1276</v>
      </c>
      <c r="B476" s="195" t="s">
        <v>1102</v>
      </c>
      <c r="C476" s="239" t="s">
        <v>1844</v>
      </c>
      <c r="D476" s="237" t="s">
        <v>2207</v>
      </c>
      <c r="E476" s="128" t="s">
        <v>2638</v>
      </c>
      <c r="F476" s="128" t="s">
        <v>3255</v>
      </c>
      <c r="G476" s="238" t="s">
        <v>1921</v>
      </c>
      <c r="H476" s="238" t="s">
        <v>3099</v>
      </c>
      <c r="I476" s="236" t="s">
        <v>2160</v>
      </c>
      <c r="J476" s="128"/>
      <c r="K476" s="239" t="s">
        <v>1223</v>
      </c>
      <c r="L476" s="197"/>
      <c r="M476" s="237" t="s">
        <v>2206</v>
      </c>
      <c r="N476" s="197"/>
      <c r="O476" s="197"/>
      <c r="P476" s="197">
        <v>9403208000</v>
      </c>
      <c r="Q476" s="240">
        <v>344.82758620689657</v>
      </c>
      <c r="R476" s="277" t="s">
        <v>9</v>
      </c>
      <c r="T476" s="168">
        <v>1149.4252873563219</v>
      </c>
      <c r="U476" s="168">
        <v>689.65517241379314</v>
      </c>
      <c r="V476" s="168">
        <v>574.71264367816093</v>
      </c>
      <c r="W476" s="168">
        <v>459.77011494252878</v>
      </c>
    </row>
    <row r="477" spans="1:23" s="129" customFormat="1" ht="14.25">
      <c r="A477" s="195" t="s">
        <v>1276</v>
      </c>
      <c r="B477" s="195" t="s">
        <v>1102</v>
      </c>
      <c r="C477" s="239" t="s">
        <v>1844</v>
      </c>
      <c r="D477" s="237" t="s">
        <v>2207</v>
      </c>
      <c r="E477" s="128" t="s">
        <v>2640</v>
      </c>
      <c r="F477" s="128" t="s">
        <v>3255</v>
      </c>
      <c r="G477" s="238" t="s">
        <v>1922</v>
      </c>
      <c r="H477" s="238" t="s">
        <v>3100</v>
      </c>
      <c r="I477" s="236" t="s">
        <v>2161</v>
      </c>
      <c r="J477" s="128"/>
      <c r="K477" s="239" t="s">
        <v>1223</v>
      </c>
      <c r="L477" s="197"/>
      <c r="M477" s="237" t="s">
        <v>2206</v>
      </c>
      <c r="N477" s="197"/>
      <c r="O477" s="197"/>
      <c r="P477" s="197">
        <v>9403208000</v>
      </c>
      <c r="Q477" s="240">
        <v>438.21839080459773</v>
      </c>
      <c r="R477" s="277" t="s">
        <v>9</v>
      </c>
      <c r="T477" s="168">
        <v>1460.7279693486591</v>
      </c>
      <c r="U477" s="168">
        <v>876.43678160919546</v>
      </c>
      <c r="V477" s="168">
        <v>730.36398467432957</v>
      </c>
      <c r="W477" s="168">
        <v>584.29118773946368</v>
      </c>
    </row>
    <row r="478" spans="1:23" s="129" customFormat="1" ht="14.25">
      <c r="A478" s="195" t="s">
        <v>1276</v>
      </c>
      <c r="B478" s="195" t="s">
        <v>1102</v>
      </c>
      <c r="C478" s="239" t="s">
        <v>1844</v>
      </c>
      <c r="D478" s="237" t="s">
        <v>2207</v>
      </c>
      <c r="E478" s="128" t="s">
        <v>2641</v>
      </c>
      <c r="F478" s="128" t="s">
        <v>3255</v>
      </c>
      <c r="G478" s="238" t="s">
        <v>1923</v>
      </c>
      <c r="H478" s="238" t="s">
        <v>3101</v>
      </c>
      <c r="I478" s="236" t="s">
        <v>2162</v>
      </c>
      <c r="J478" s="128"/>
      <c r="K478" s="239" t="s">
        <v>1223</v>
      </c>
      <c r="L478" s="197"/>
      <c r="M478" s="237" t="s">
        <v>2206</v>
      </c>
      <c r="N478" s="197"/>
      <c r="O478" s="197"/>
      <c r="P478" s="197">
        <v>9403208000</v>
      </c>
      <c r="Q478" s="240">
        <v>471.26436781609192</v>
      </c>
      <c r="R478" s="277" t="s">
        <v>9</v>
      </c>
      <c r="T478" s="168">
        <v>1570.8812260536397</v>
      </c>
      <c r="U478" s="168">
        <v>942.52873563218373</v>
      </c>
      <c r="V478" s="168">
        <v>785.44061302681985</v>
      </c>
      <c r="W478" s="168">
        <v>628.35249042145597</v>
      </c>
    </row>
    <row r="479" spans="1:23" s="129" customFormat="1" ht="14.25">
      <c r="A479" s="195" t="s">
        <v>1276</v>
      </c>
      <c r="B479" s="195" t="s">
        <v>1102</v>
      </c>
      <c r="C479" s="239" t="s">
        <v>1844</v>
      </c>
      <c r="D479" s="237" t="s">
        <v>2207</v>
      </c>
      <c r="E479" s="128" t="s">
        <v>2640</v>
      </c>
      <c r="F479" s="128" t="s">
        <v>3256</v>
      </c>
      <c r="G479" s="238" t="s">
        <v>1924</v>
      </c>
      <c r="H479" s="238" t="s">
        <v>3102</v>
      </c>
      <c r="I479" s="236" t="s">
        <v>2163</v>
      </c>
      <c r="J479" s="128"/>
      <c r="K479" s="239" t="s">
        <v>1223</v>
      </c>
      <c r="L479" s="197"/>
      <c r="M479" s="237" t="s">
        <v>2206</v>
      </c>
      <c r="N479" s="197"/>
      <c r="O479" s="197"/>
      <c r="P479" s="197">
        <v>9403208000</v>
      </c>
      <c r="Q479" s="240">
        <v>478.44827586206901</v>
      </c>
      <c r="R479" s="277" t="s">
        <v>9</v>
      </c>
      <c r="T479" s="168">
        <v>1594.8275862068967</v>
      </c>
      <c r="U479" s="168">
        <v>956.89655172413802</v>
      </c>
      <c r="V479" s="168">
        <v>797.41379310344837</v>
      </c>
      <c r="W479" s="168">
        <v>637.93103448275872</v>
      </c>
    </row>
    <row r="480" spans="1:23" s="129" customFormat="1" ht="14.25">
      <c r="A480" s="195" t="s">
        <v>1276</v>
      </c>
      <c r="B480" s="195" t="s">
        <v>1102</v>
      </c>
      <c r="C480" s="239" t="s">
        <v>1844</v>
      </c>
      <c r="D480" s="237" t="s">
        <v>2207</v>
      </c>
      <c r="E480" s="128" t="s">
        <v>2640</v>
      </c>
      <c r="F480" s="128" t="s">
        <v>3257</v>
      </c>
      <c r="G480" s="238" t="s">
        <v>1925</v>
      </c>
      <c r="H480" s="238" t="s">
        <v>3103</v>
      </c>
      <c r="I480" s="236" t="s">
        <v>2164</v>
      </c>
      <c r="J480" s="128"/>
      <c r="K480" s="239" t="s">
        <v>1223</v>
      </c>
      <c r="L480" s="197"/>
      <c r="M480" s="237" t="s">
        <v>2206</v>
      </c>
      <c r="N480" s="197"/>
      <c r="O480" s="197"/>
      <c r="P480" s="197">
        <v>9403208000</v>
      </c>
      <c r="Q480" s="240">
        <v>481.32183908045977</v>
      </c>
      <c r="R480" s="277" t="s">
        <v>9</v>
      </c>
      <c r="T480" s="168">
        <v>1604.4061302681994</v>
      </c>
      <c r="U480" s="168">
        <v>962.64367816091954</v>
      </c>
      <c r="V480" s="168">
        <v>802.20306513409969</v>
      </c>
      <c r="W480" s="168">
        <v>641.76245210727984</v>
      </c>
    </row>
    <row r="481" spans="1:23" s="129" customFormat="1" ht="14.25">
      <c r="A481" s="195" t="s">
        <v>1276</v>
      </c>
      <c r="B481" s="195" t="s">
        <v>1102</v>
      </c>
      <c r="C481" s="239" t="s">
        <v>1844</v>
      </c>
      <c r="D481" s="237" t="s">
        <v>2207</v>
      </c>
      <c r="E481" s="128" t="s">
        <v>2639</v>
      </c>
      <c r="F481" s="128" t="s">
        <v>3258</v>
      </c>
      <c r="G481" s="238" t="s">
        <v>1926</v>
      </c>
      <c r="H481" s="238" t="s">
        <v>3104</v>
      </c>
      <c r="I481" s="236" t="s">
        <v>2165</v>
      </c>
      <c r="J481" s="128"/>
      <c r="K481" s="239" t="s">
        <v>1223</v>
      </c>
      <c r="L481" s="197"/>
      <c r="M481" s="237" t="s">
        <v>2206</v>
      </c>
      <c r="N481" s="197"/>
      <c r="O481" s="197"/>
      <c r="P481" s="197">
        <v>9403208000</v>
      </c>
      <c r="Q481" s="240">
        <v>459.77011494252878</v>
      </c>
      <c r="R481" s="277" t="s">
        <v>9</v>
      </c>
      <c r="T481" s="168">
        <v>1532.5670498084294</v>
      </c>
      <c r="U481" s="168">
        <v>919.54022988505756</v>
      </c>
      <c r="V481" s="168">
        <v>766.28352490421469</v>
      </c>
      <c r="W481" s="168">
        <v>613.02681992337182</v>
      </c>
    </row>
    <row r="482" spans="1:23" s="129" customFormat="1" ht="14.25">
      <c r="A482" s="195" t="s">
        <v>1276</v>
      </c>
      <c r="B482" s="195" t="s">
        <v>1102</v>
      </c>
      <c r="C482" s="239" t="s">
        <v>1844</v>
      </c>
      <c r="D482" s="237" t="s">
        <v>2207</v>
      </c>
      <c r="E482" s="128" t="s">
        <v>2640</v>
      </c>
      <c r="F482" s="128" t="s">
        <v>3258</v>
      </c>
      <c r="G482" s="238" t="s">
        <v>1927</v>
      </c>
      <c r="H482" s="238" t="s">
        <v>3105</v>
      </c>
      <c r="I482" s="236" t="s">
        <v>2166</v>
      </c>
      <c r="J482" s="128"/>
      <c r="K482" s="239" t="s">
        <v>1223</v>
      </c>
      <c r="L482" s="197"/>
      <c r="M482" s="237" t="s">
        <v>2206</v>
      </c>
      <c r="N482" s="197"/>
      <c r="O482" s="197"/>
      <c r="P482" s="197">
        <v>9403208000</v>
      </c>
      <c r="Q482" s="240">
        <v>488.5057471264368</v>
      </c>
      <c r="R482" s="277" t="s">
        <v>9</v>
      </c>
      <c r="T482" s="168">
        <v>1628.352490421456</v>
      </c>
      <c r="U482" s="168">
        <v>977.01149425287349</v>
      </c>
      <c r="V482" s="168">
        <v>814.17624521072798</v>
      </c>
      <c r="W482" s="168">
        <v>651.34099616858248</v>
      </c>
    </row>
    <row r="483" spans="1:23" s="129" customFormat="1" ht="14.25">
      <c r="A483" s="195" t="s">
        <v>1276</v>
      </c>
      <c r="B483" s="195" t="s">
        <v>1102</v>
      </c>
      <c r="C483" s="239" t="s">
        <v>1844</v>
      </c>
      <c r="D483" s="237" t="s">
        <v>2207</v>
      </c>
      <c r="E483" s="128" t="s">
        <v>2641</v>
      </c>
      <c r="F483" s="128" t="s">
        <v>3258</v>
      </c>
      <c r="G483" s="238" t="s">
        <v>1928</v>
      </c>
      <c r="H483" s="238" t="s">
        <v>3106</v>
      </c>
      <c r="I483" s="236" t="s">
        <v>2167</v>
      </c>
      <c r="J483" s="128"/>
      <c r="K483" s="239" t="s">
        <v>1223</v>
      </c>
      <c r="L483" s="197"/>
      <c r="M483" s="237" t="s">
        <v>2206</v>
      </c>
      <c r="N483" s="197"/>
      <c r="O483" s="197"/>
      <c r="P483" s="197">
        <v>9403208000</v>
      </c>
      <c r="Q483" s="240">
        <v>574.71264367816093</v>
      </c>
      <c r="R483" s="277" t="s">
        <v>9</v>
      </c>
      <c r="T483" s="168">
        <v>1915.7088122605364</v>
      </c>
      <c r="U483" s="168">
        <v>1149.4252873563219</v>
      </c>
      <c r="V483" s="168">
        <v>957.85440613026822</v>
      </c>
      <c r="W483" s="168">
        <v>766.28352490421457</v>
      </c>
    </row>
    <row r="484" spans="1:23" s="129" customFormat="1" ht="14.25">
      <c r="A484" s="195" t="s">
        <v>1276</v>
      </c>
      <c r="B484" s="195" t="s">
        <v>1102</v>
      </c>
      <c r="C484" s="239" t="s">
        <v>1844</v>
      </c>
      <c r="D484" s="237" t="s">
        <v>2207</v>
      </c>
      <c r="E484" s="128" t="s">
        <v>2640</v>
      </c>
      <c r="F484" s="128" t="s">
        <v>3259</v>
      </c>
      <c r="G484" s="238" t="s">
        <v>1929</v>
      </c>
      <c r="H484" s="238" t="s">
        <v>3107</v>
      </c>
      <c r="I484" s="236" t="s">
        <v>2168</v>
      </c>
      <c r="J484" s="128"/>
      <c r="K484" s="239" t="s">
        <v>1223</v>
      </c>
      <c r="L484" s="197"/>
      <c r="M484" s="237" t="s">
        <v>2206</v>
      </c>
      <c r="N484" s="197"/>
      <c r="O484" s="197"/>
      <c r="P484" s="197">
        <v>9403208000</v>
      </c>
      <c r="Q484" s="240">
        <v>560.34482758620697</v>
      </c>
      <c r="R484" s="277" t="s">
        <v>9</v>
      </c>
      <c r="T484" s="168">
        <v>1867.8160919540232</v>
      </c>
      <c r="U484" s="168">
        <v>1120.6896551724139</v>
      </c>
      <c r="V484" s="168">
        <v>933.90804597701162</v>
      </c>
      <c r="W484" s="168">
        <v>747.1264367816093</v>
      </c>
    </row>
    <row r="485" spans="1:23" s="129" customFormat="1" ht="14.25">
      <c r="A485" s="195" t="s">
        <v>1276</v>
      </c>
      <c r="B485" s="195" t="s">
        <v>1102</v>
      </c>
      <c r="C485" s="239" t="s">
        <v>1844</v>
      </c>
      <c r="D485" s="237" t="s">
        <v>2207</v>
      </c>
      <c r="E485" s="128" t="s">
        <v>2641</v>
      </c>
      <c r="F485" s="128" t="s">
        <v>3259</v>
      </c>
      <c r="G485" s="238" t="s">
        <v>1930</v>
      </c>
      <c r="H485" s="238" t="s">
        <v>3108</v>
      </c>
      <c r="I485" s="236" t="s">
        <v>2169</v>
      </c>
      <c r="J485" s="128"/>
      <c r="K485" s="239" t="s">
        <v>1223</v>
      </c>
      <c r="L485" s="197"/>
      <c r="M485" s="237" t="s">
        <v>2206</v>
      </c>
      <c r="N485" s="197"/>
      <c r="O485" s="197"/>
      <c r="P485" s="197">
        <v>9403208000</v>
      </c>
      <c r="Q485" s="240">
        <v>610.63218390804604</v>
      </c>
      <c r="R485" s="277" t="s">
        <v>9</v>
      </c>
      <c r="T485" s="168">
        <v>2035.4406130268203</v>
      </c>
      <c r="U485" s="168">
        <v>1221.2643678160921</v>
      </c>
      <c r="V485" s="168">
        <v>1017.7203065134102</v>
      </c>
      <c r="W485" s="168">
        <v>814.17624521072821</v>
      </c>
    </row>
    <row r="486" spans="1:23" s="129" customFormat="1" ht="14.25">
      <c r="A486" s="195" t="s">
        <v>1276</v>
      </c>
      <c r="B486" s="195" t="s">
        <v>1102</v>
      </c>
      <c r="C486" s="239" t="s">
        <v>1844</v>
      </c>
      <c r="D486" s="237" t="s">
        <v>2207</v>
      </c>
      <c r="E486" s="128" t="s">
        <v>2640</v>
      </c>
      <c r="F486" s="128" t="s">
        <v>3260</v>
      </c>
      <c r="G486" s="238" t="s">
        <v>1931</v>
      </c>
      <c r="H486" s="238" t="s">
        <v>3109</v>
      </c>
      <c r="I486" s="236" t="s">
        <v>2170</v>
      </c>
      <c r="J486" s="128"/>
      <c r="K486" s="239" t="s">
        <v>1223</v>
      </c>
      <c r="L486" s="197"/>
      <c r="M486" s="237" t="s">
        <v>2206</v>
      </c>
      <c r="N486" s="197"/>
      <c r="O486" s="197"/>
      <c r="P486" s="197">
        <v>9403208000</v>
      </c>
      <c r="Q486" s="240">
        <v>619.25287356321849</v>
      </c>
      <c r="R486" s="277" t="s">
        <v>9</v>
      </c>
      <c r="T486" s="168">
        <v>2064.1762452107282</v>
      </c>
      <c r="U486" s="168">
        <v>1238.505747126437</v>
      </c>
      <c r="V486" s="168">
        <v>1032.0881226053641</v>
      </c>
      <c r="W486" s="168">
        <v>825.67049808429135</v>
      </c>
    </row>
    <row r="487" spans="1:23" s="129" customFormat="1" ht="14.25">
      <c r="A487" s="195" t="s">
        <v>1276</v>
      </c>
      <c r="B487" s="195" t="s">
        <v>1102</v>
      </c>
      <c r="C487" s="239" t="s">
        <v>1844</v>
      </c>
      <c r="D487" s="237" t="s">
        <v>2207</v>
      </c>
      <c r="E487" s="128" t="s">
        <v>2641</v>
      </c>
      <c r="F487" s="128" t="s">
        <v>3260</v>
      </c>
      <c r="G487" s="238" t="s">
        <v>1932</v>
      </c>
      <c r="H487" s="238" t="s">
        <v>3110</v>
      </c>
      <c r="I487" s="236" t="s">
        <v>2171</v>
      </c>
      <c r="J487" s="128"/>
      <c r="K487" s="239" t="s">
        <v>1223</v>
      </c>
      <c r="L487" s="197"/>
      <c r="M487" s="237" t="s">
        <v>2206</v>
      </c>
      <c r="N487" s="197"/>
      <c r="O487" s="197"/>
      <c r="P487" s="197">
        <v>9403208000</v>
      </c>
      <c r="Q487" s="240">
        <v>682.47126436781616</v>
      </c>
      <c r="R487" s="277" t="s">
        <v>9</v>
      </c>
      <c r="T487" s="168">
        <v>2274.9042145593871</v>
      </c>
      <c r="U487" s="168">
        <v>1364.9425287356323</v>
      </c>
      <c r="V487" s="168">
        <v>1137.4521072796936</v>
      </c>
      <c r="W487" s="168">
        <v>909.96168582375492</v>
      </c>
    </row>
    <row r="488" spans="1:23" s="129" customFormat="1" ht="14.25">
      <c r="A488" s="195" t="s">
        <v>1276</v>
      </c>
      <c r="B488" s="195" t="s">
        <v>1102</v>
      </c>
      <c r="C488" s="239" t="s">
        <v>1844</v>
      </c>
      <c r="D488" s="237" t="s">
        <v>2207</v>
      </c>
      <c r="E488" s="128" t="s">
        <v>2640</v>
      </c>
      <c r="F488" s="128" t="s">
        <v>3257</v>
      </c>
      <c r="G488" s="238" t="s">
        <v>1933</v>
      </c>
      <c r="H488" s="238" t="s">
        <v>3111</v>
      </c>
      <c r="I488" s="236" t="s">
        <v>2172</v>
      </c>
      <c r="J488" s="128"/>
      <c r="K488" s="239" t="s">
        <v>1223</v>
      </c>
      <c r="L488" s="197"/>
      <c r="M488" s="237" t="s">
        <v>2206</v>
      </c>
      <c r="N488" s="197"/>
      <c r="O488" s="197"/>
      <c r="P488" s="197">
        <v>9403208000</v>
      </c>
      <c r="Q488" s="240">
        <v>545.97701149425291</v>
      </c>
      <c r="R488" s="277" t="s">
        <v>9</v>
      </c>
      <c r="T488" s="168">
        <v>1819.9233716475098</v>
      </c>
      <c r="U488" s="168">
        <v>1091.9540229885058</v>
      </c>
      <c r="V488" s="168">
        <v>909.96168582375492</v>
      </c>
      <c r="W488" s="168">
        <v>727.96934865900403</v>
      </c>
    </row>
    <row r="489" spans="1:23" s="129" customFormat="1" ht="14.25">
      <c r="A489" s="195" t="s">
        <v>1276</v>
      </c>
      <c r="B489" s="195" t="s">
        <v>1102</v>
      </c>
      <c r="C489" s="239" t="s">
        <v>1844</v>
      </c>
      <c r="D489" s="237" t="s">
        <v>2207</v>
      </c>
      <c r="E489" s="128" t="s">
        <v>2639</v>
      </c>
      <c r="F489" s="128" t="s">
        <v>3258</v>
      </c>
      <c r="G489" s="238" t="s">
        <v>1934</v>
      </c>
      <c r="H489" s="238" t="s">
        <v>3112</v>
      </c>
      <c r="I489" s="236" t="s">
        <v>2173</v>
      </c>
      <c r="J489" s="128"/>
      <c r="K489" s="239" t="s">
        <v>1223</v>
      </c>
      <c r="L489" s="197"/>
      <c r="M489" s="237" t="s">
        <v>2206</v>
      </c>
      <c r="N489" s="197"/>
      <c r="O489" s="197"/>
      <c r="P489" s="197">
        <v>9403208000</v>
      </c>
      <c r="Q489" s="240">
        <v>517.24137931034488</v>
      </c>
      <c r="R489" s="277" t="s">
        <v>9</v>
      </c>
      <c r="T489" s="168">
        <v>1724.137931034483</v>
      </c>
      <c r="U489" s="168">
        <v>1034.4827586206898</v>
      </c>
      <c r="V489" s="168">
        <v>862.06896551724151</v>
      </c>
      <c r="W489" s="168">
        <v>689.65517241379325</v>
      </c>
    </row>
    <row r="490" spans="1:23" s="129" customFormat="1" ht="14.25">
      <c r="A490" s="195" t="s">
        <v>1276</v>
      </c>
      <c r="B490" s="195" t="s">
        <v>1102</v>
      </c>
      <c r="C490" s="239" t="s">
        <v>1844</v>
      </c>
      <c r="D490" s="237" t="s">
        <v>2207</v>
      </c>
      <c r="E490" s="128" t="s">
        <v>2640</v>
      </c>
      <c r="F490" s="128" t="s">
        <v>3258</v>
      </c>
      <c r="G490" s="238" t="s">
        <v>1935</v>
      </c>
      <c r="H490" s="238" t="s">
        <v>3113</v>
      </c>
      <c r="I490" s="236" t="s">
        <v>2174</v>
      </c>
      <c r="J490" s="128"/>
      <c r="K490" s="239" t="s">
        <v>1223</v>
      </c>
      <c r="L490" s="197"/>
      <c r="M490" s="237" t="s">
        <v>2206</v>
      </c>
      <c r="N490" s="197"/>
      <c r="O490" s="197"/>
      <c r="P490" s="197">
        <v>9403208000</v>
      </c>
      <c r="Q490" s="240">
        <v>545.97701149425291</v>
      </c>
      <c r="R490" s="277" t="s">
        <v>9</v>
      </c>
      <c r="T490" s="168">
        <v>1819.9233716475098</v>
      </c>
      <c r="U490" s="168">
        <v>1091.9540229885058</v>
      </c>
      <c r="V490" s="168">
        <v>909.96168582375492</v>
      </c>
      <c r="W490" s="168">
        <v>727.96934865900403</v>
      </c>
    </row>
    <row r="491" spans="1:23" s="129" customFormat="1" ht="14.25">
      <c r="A491" s="195" t="s">
        <v>1276</v>
      </c>
      <c r="B491" s="195" t="s">
        <v>1102</v>
      </c>
      <c r="C491" s="239" t="s">
        <v>1844</v>
      </c>
      <c r="D491" s="237" t="s">
        <v>2207</v>
      </c>
      <c r="E491" s="128" t="s">
        <v>2641</v>
      </c>
      <c r="F491" s="128" t="s">
        <v>3258</v>
      </c>
      <c r="G491" s="238" t="s">
        <v>1936</v>
      </c>
      <c r="H491" s="238" t="s">
        <v>3114</v>
      </c>
      <c r="I491" s="236" t="s">
        <v>2175</v>
      </c>
      <c r="J491" s="128"/>
      <c r="K491" s="239" t="s">
        <v>1223</v>
      </c>
      <c r="L491" s="197"/>
      <c r="M491" s="237" t="s">
        <v>2206</v>
      </c>
      <c r="N491" s="197"/>
      <c r="O491" s="197"/>
      <c r="P491" s="197">
        <v>9403208000</v>
      </c>
      <c r="Q491" s="240">
        <v>653.73563218390814</v>
      </c>
      <c r="R491" s="277" t="s">
        <v>9</v>
      </c>
      <c r="T491" s="168">
        <v>2179.1187739463608</v>
      </c>
      <c r="U491" s="168">
        <v>1307.4712643678165</v>
      </c>
      <c r="V491" s="168">
        <v>1089.5593869731804</v>
      </c>
      <c r="W491" s="168">
        <v>871.64750957854437</v>
      </c>
    </row>
    <row r="492" spans="1:23" s="129" customFormat="1" ht="14.25">
      <c r="A492" s="195" t="s">
        <v>1276</v>
      </c>
      <c r="B492" s="195" t="s">
        <v>1102</v>
      </c>
      <c r="C492" s="239" t="s">
        <v>1844</v>
      </c>
      <c r="D492" s="237" t="s">
        <v>2207</v>
      </c>
      <c r="E492" s="128" t="s">
        <v>2640</v>
      </c>
      <c r="F492" s="128" t="s">
        <v>3259</v>
      </c>
      <c r="G492" s="238" t="s">
        <v>1937</v>
      </c>
      <c r="H492" s="238" t="s">
        <v>3115</v>
      </c>
      <c r="I492" s="236" t="s">
        <v>2176</v>
      </c>
      <c r="J492" s="128"/>
      <c r="K492" s="239" t="s">
        <v>1223</v>
      </c>
      <c r="L492" s="197"/>
      <c r="M492" s="237" t="s">
        <v>2206</v>
      </c>
      <c r="N492" s="197"/>
      <c r="O492" s="197"/>
      <c r="P492" s="197">
        <v>9403208000</v>
      </c>
      <c r="Q492" s="240">
        <v>610.63218390804604</v>
      </c>
      <c r="R492" s="277" t="s">
        <v>9</v>
      </c>
      <c r="T492" s="168">
        <v>2035.4406130268203</v>
      </c>
      <c r="U492" s="168">
        <v>1221.2643678160921</v>
      </c>
      <c r="V492" s="168">
        <v>1017.7203065134102</v>
      </c>
      <c r="W492" s="168">
        <v>814.17624521072821</v>
      </c>
    </row>
    <row r="493" spans="1:23" s="129" customFormat="1" ht="14.25">
      <c r="A493" s="195" t="s">
        <v>1276</v>
      </c>
      <c r="B493" s="195" t="s">
        <v>1102</v>
      </c>
      <c r="C493" s="239" t="s">
        <v>1844</v>
      </c>
      <c r="D493" s="237" t="s">
        <v>2207</v>
      </c>
      <c r="E493" s="128" t="s">
        <v>2641</v>
      </c>
      <c r="F493" s="128" t="s">
        <v>3259</v>
      </c>
      <c r="G493" s="238" t="s">
        <v>1938</v>
      </c>
      <c r="H493" s="238" t="s">
        <v>3116</v>
      </c>
      <c r="I493" s="236" t="s">
        <v>2177</v>
      </c>
      <c r="J493" s="128"/>
      <c r="K493" s="239" t="s">
        <v>1223</v>
      </c>
      <c r="L493" s="197"/>
      <c r="M493" s="237" t="s">
        <v>2206</v>
      </c>
      <c r="N493" s="197"/>
      <c r="O493" s="197"/>
      <c r="P493" s="197">
        <v>9403208000</v>
      </c>
      <c r="Q493" s="240">
        <v>668.10344827586209</v>
      </c>
      <c r="R493" s="277" t="s">
        <v>9</v>
      </c>
      <c r="T493" s="168">
        <v>2227.0114942528739</v>
      </c>
      <c r="U493" s="168">
        <v>1336.2068965517244</v>
      </c>
      <c r="V493" s="168">
        <v>1113.505747126437</v>
      </c>
      <c r="W493" s="168">
        <v>890.80459770114965</v>
      </c>
    </row>
    <row r="494" spans="1:23" s="129" customFormat="1" ht="14.25">
      <c r="A494" s="195" t="s">
        <v>1276</v>
      </c>
      <c r="B494" s="195" t="s">
        <v>1102</v>
      </c>
      <c r="C494" s="239" t="s">
        <v>1844</v>
      </c>
      <c r="D494" s="237" t="s">
        <v>2207</v>
      </c>
      <c r="E494" s="128" t="s">
        <v>2640</v>
      </c>
      <c r="F494" s="128" t="s">
        <v>3260</v>
      </c>
      <c r="G494" s="238" t="s">
        <v>1939</v>
      </c>
      <c r="H494" s="238" t="s">
        <v>3117</v>
      </c>
      <c r="I494" s="236" t="s">
        <v>2178</v>
      </c>
      <c r="J494" s="128"/>
      <c r="K494" s="239" t="s">
        <v>1223</v>
      </c>
      <c r="L494" s="197"/>
      <c r="M494" s="237" t="s">
        <v>2206</v>
      </c>
      <c r="N494" s="197"/>
      <c r="O494" s="197"/>
      <c r="P494" s="197">
        <v>9403208000</v>
      </c>
      <c r="Q494" s="240">
        <v>675.28735632183918</v>
      </c>
      <c r="R494" s="277" t="s">
        <v>9</v>
      </c>
      <c r="T494" s="168">
        <v>2250.9578544061305</v>
      </c>
      <c r="U494" s="168">
        <v>1350.5747126436784</v>
      </c>
      <c r="V494" s="168">
        <v>1125.4789272030653</v>
      </c>
      <c r="W494" s="168">
        <v>900.38314176245228</v>
      </c>
    </row>
    <row r="495" spans="1:23" s="129" customFormat="1" ht="14.25">
      <c r="A495" s="195" t="s">
        <v>1276</v>
      </c>
      <c r="B495" s="195" t="s">
        <v>1102</v>
      </c>
      <c r="C495" s="239" t="s">
        <v>1844</v>
      </c>
      <c r="D495" s="237" t="s">
        <v>2207</v>
      </c>
      <c r="E495" s="128" t="s">
        <v>2641</v>
      </c>
      <c r="F495" s="128" t="s">
        <v>3260</v>
      </c>
      <c r="G495" s="238" t="s">
        <v>1940</v>
      </c>
      <c r="H495" s="238" t="s">
        <v>3118</v>
      </c>
      <c r="I495" s="236" t="s">
        <v>2179</v>
      </c>
      <c r="J495" s="128"/>
      <c r="K495" s="239" t="s">
        <v>1223</v>
      </c>
      <c r="L495" s="197"/>
      <c r="M495" s="237" t="s">
        <v>2206</v>
      </c>
      <c r="N495" s="197"/>
      <c r="O495" s="197"/>
      <c r="P495" s="197">
        <v>9403208000</v>
      </c>
      <c r="Q495" s="240">
        <v>739.94252873563221</v>
      </c>
      <c r="R495" s="277" t="s">
        <v>9</v>
      </c>
      <c r="T495" s="168">
        <v>2466.4750957854408</v>
      </c>
      <c r="U495" s="168">
        <v>1479.8850574712644</v>
      </c>
      <c r="V495" s="168">
        <v>1233.2375478927204</v>
      </c>
      <c r="W495" s="168">
        <v>986.59003831417635</v>
      </c>
    </row>
    <row r="496" spans="1:23" s="129" customFormat="1" ht="14.25">
      <c r="A496" s="195" t="s">
        <v>1276</v>
      </c>
      <c r="B496" s="195" t="s">
        <v>1102</v>
      </c>
      <c r="C496" s="239" t="s">
        <v>1844</v>
      </c>
      <c r="D496" s="237" t="s">
        <v>2208</v>
      </c>
      <c r="E496" s="128" t="s">
        <v>2640</v>
      </c>
      <c r="F496" s="128" t="s">
        <v>3258</v>
      </c>
      <c r="G496" s="238" t="s">
        <v>1941</v>
      </c>
      <c r="H496" s="238" t="s">
        <v>3119</v>
      </c>
      <c r="I496" s="236" t="s">
        <v>2180</v>
      </c>
      <c r="J496" s="128"/>
      <c r="K496" s="239" t="s">
        <v>1223</v>
      </c>
      <c r="L496" s="197"/>
      <c r="M496" s="237" t="s">
        <v>2206</v>
      </c>
      <c r="N496" s="197"/>
      <c r="O496" s="197"/>
      <c r="P496" s="197">
        <v>9403208000</v>
      </c>
      <c r="Q496" s="240">
        <v>605.21965044874833</v>
      </c>
      <c r="R496" s="277" t="s">
        <v>9</v>
      </c>
      <c r="T496" s="168">
        <v>2017.3988348291612</v>
      </c>
      <c r="U496" s="168">
        <v>1210.4393008974967</v>
      </c>
      <c r="V496" s="168">
        <v>1008.6994174145806</v>
      </c>
      <c r="W496" s="168">
        <v>806.95953393166451</v>
      </c>
    </row>
    <row r="497" spans="1:23" s="129" customFormat="1" ht="14.25">
      <c r="A497" s="195" t="s">
        <v>1276</v>
      </c>
      <c r="B497" s="195" t="s">
        <v>1102</v>
      </c>
      <c r="C497" s="239" t="s">
        <v>1844</v>
      </c>
      <c r="D497" s="237" t="s">
        <v>2208</v>
      </c>
      <c r="E497" s="128" t="s">
        <v>2640</v>
      </c>
      <c r="F497" s="128" t="s">
        <v>3258</v>
      </c>
      <c r="G497" s="238" t="s">
        <v>1942</v>
      </c>
      <c r="H497" s="238" t="s">
        <v>3120</v>
      </c>
      <c r="I497" s="236" t="s">
        <v>2181</v>
      </c>
      <c r="J497" s="128"/>
      <c r="K497" s="239" t="s">
        <v>1223</v>
      </c>
      <c r="L497" s="197"/>
      <c r="M497" s="237" t="s">
        <v>2206</v>
      </c>
      <c r="N497" s="197"/>
      <c r="O497" s="197"/>
      <c r="P497" s="197">
        <v>9403208000</v>
      </c>
      <c r="Q497" s="240">
        <v>524.03164855928208</v>
      </c>
      <c r="R497" s="277" t="s">
        <v>9</v>
      </c>
      <c r="T497" s="168">
        <v>1746.7721618642736</v>
      </c>
      <c r="U497" s="168">
        <v>1048.0632971185642</v>
      </c>
      <c r="V497" s="168">
        <v>873.38608093213679</v>
      </c>
      <c r="W497" s="168">
        <v>698.70886474570943</v>
      </c>
    </row>
    <row r="498" spans="1:23" s="129" customFormat="1" ht="14.25">
      <c r="A498" s="195" t="s">
        <v>1276</v>
      </c>
      <c r="B498" s="195" t="s">
        <v>1102</v>
      </c>
      <c r="C498" s="239" t="s">
        <v>1844</v>
      </c>
      <c r="D498" s="237" t="s">
        <v>2208</v>
      </c>
      <c r="E498" s="128" t="s">
        <v>2640</v>
      </c>
      <c r="F498" s="128" t="s">
        <v>3254</v>
      </c>
      <c r="G498" s="238" t="s">
        <v>1943</v>
      </c>
      <c r="H498" s="238" t="s">
        <v>3121</v>
      </c>
      <c r="I498" s="236" t="s">
        <v>2182</v>
      </c>
      <c r="J498" s="128"/>
      <c r="K498" s="239" t="s">
        <v>1223</v>
      </c>
      <c r="L498" s="197"/>
      <c r="M498" s="237" t="s">
        <v>2206</v>
      </c>
      <c r="N498" s="197"/>
      <c r="O498" s="197"/>
      <c r="P498" s="197">
        <v>9403208000</v>
      </c>
      <c r="Q498" s="240">
        <v>457.60510155880968</v>
      </c>
      <c r="R498" s="277" t="s">
        <v>9</v>
      </c>
      <c r="T498" s="168">
        <v>1525.3503385293657</v>
      </c>
      <c r="U498" s="168">
        <v>915.21020311761936</v>
      </c>
      <c r="V498" s="168">
        <v>762.67516926468284</v>
      </c>
      <c r="W498" s="168">
        <v>610.14013541174631</v>
      </c>
    </row>
    <row r="499" spans="1:23" s="129" customFormat="1" ht="14.25">
      <c r="A499" s="195" t="s">
        <v>1276</v>
      </c>
      <c r="B499" s="195" t="s">
        <v>1102</v>
      </c>
      <c r="C499" s="239" t="s">
        <v>1844</v>
      </c>
      <c r="D499" s="237" t="s">
        <v>2208</v>
      </c>
      <c r="E499" s="128" t="s">
        <v>2640</v>
      </c>
      <c r="F499" s="128" t="s">
        <v>3254</v>
      </c>
      <c r="G499" s="238" t="s">
        <v>1944</v>
      </c>
      <c r="H499" s="238" t="s">
        <v>3122</v>
      </c>
      <c r="I499" s="236" t="s">
        <v>2183</v>
      </c>
      <c r="J499" s="128"/>
      <c r="K499" s="239" t="s">
        <v>1223</v>
      </c>
      <c r="L499" s="197"/>
      <c r="M499" s="237" t="s">
        <v>2206</v>
      </c>
      <c r="N499" s="197"/>
      <c r="O499" s="197"/>
      <c r="P499" s="197">
        <v>9403208000</v>
      </c>
      <c r="Q499" s="240">
        <v>376.41709966934343</v>
      </c>
      <c r="R499" s="277" t="s">
        <v>9</v>
      </c>
      <c r="T499" s="168">
        <v>1254.7236655644781</v>
      </c>
      <c r="U499" s="168">
        <v>752.83419933868686</v>
      </c>
      <c r="V499" s="168">
        <v>627.36183278223905</v>
      </c>
      <c r="W499" s="168">
        <v>501.88946622579124</v>
      </c>
    </row>
    <row r="500" spans="1:23" s="129" customFormat="1" ht="14.25">
      <c r="A500" s="195" t="s">
        <v>1276</v>
      </c>
      <c r="B500" s="195" t="s">
        <v>1102</v>
      </c>
      <c r="C500" s="239" t="s">
        <v>1844</v>
      </c>
      <c r="D500" s="237" t="s">
        <v>2208</v>
      </c>
      <c r="E500" s="128" t="s">
        <v>2640</v>
      </c>
      <c r="F500" s="128" t="s">
        <v>3255</v>
      </c>
      <c r="G500" s="238" t="s">
        <v>1945</v>
      </c>
      <c r="H500" s="238" t="s">
        <v>3123</v>
      </c>
      <c r="I500" s="236" t="s">
        <v>2184</v>
      </c>
      <c r="J500" s="128"/>
      <c r="K500" s="239" t="s">
        <v>1223</v>
      </c>
      <c r="L500" s="197"/>
      <c r="M500" s="237" t="s">
        <v>2206</v>
      </c>
      <c r="N500" s="197"/>
      <c r="O500" s="197"/>
      <c r="P500" s="197">
        <v>9403208000</v>
      </c>
      <c r="Q500" s="240">
        <v>487.12801133679739</v>
      </c>
      <c r="R500" s="277" t="s">
        <v>9</v>
      </c>
      <c r="T500" s="168">
        <v>1623.7600377893248</v>
      </c>
      <c r="U500" s="168">
        <v>974.25602267359477</v>
      </c>
      <c r="V500" s="168">
        <v>811.88001889466238</v>
      </c>
      <c r="W500" s="168">
        <v>649.50401511573</v>
      </c>
    </row>
    <row r="501" spans="1:23" s="129" customFormat="1" ht="14.25">
      <c r="A501" s="195" t="s">
        <v>1276</v>
      </c>
      <c r="B501" s="195" t="s">
        <v>1102</v>
      </c>
      <c r="C501" s="239" t="s">
        <v>1844</v>
      </c>
      <c r="D501" s="237" t="s">
        <v>2208</v>
      </c>
      <c r="E501" s="128" t="s">
        <v>2640</v>
      </c>
      <c r="F501" s="128" t="s">
        <v>3255</v>
      </c>
      <c r="G501" s="238" t="s">
        <v>1946</v>
      </c>
      <c r="H501" s="238" t="s">
        <v>3124</v>
      </c>
      <c r="I501" s="236" t="s">
        <v>2185</v>
      </c>
      <c r="J501" s="128"/>
      <c r="K501" s="239" t="s">
        <v>1223</v>
      </c>
      <c r="L501" s="197"/>
      <c r="M501" s="237" t="s">
        <v>2206</v>
      </c>
      <c r="N501" s="197"/>
      <c r="O501" s="197"/>
      <c r="P501" s="197">
        <v>9403208000</v>
      </c>
      <c r="Q501" s="240">
        <v>391.17855455833728</v>
      </c>
      <c r="R501" s="277" t="s">
        <v>9</v>
      </c>
      <c r="T501" s="168">
        <v>1303.9285151944578</v>
      </c>
      <c r="U501" s="168">
        <v>782.35710911667468</v>
      </c>
      <c r="V501" s="168">
        <v>651.96425759722888</v>
      </c>
      <c r="W501" s="168">
        <v>521.57140607778308</v>
      </c>
    </row>
    <row r="502" spans="1:23" s="129" customFormat="1" ht="14.25">
      <c r="A502" s="195" t="s">
        <v>1276</v>
      </c>
      <c r="B502" s="195" t="s">
        <v>1102</v>
      </c>
      <c r="C502" s="239" t="s">
        <v>1844</v>
      </c>
      <c r="D502" s="237" t="s">
        <v>2208</v>
      </c>
      <c r="E502" s="128" t="s">
        <v>2640</v>
      </c>
      <c r="F502" s="128" t="s">
        <v>3259</v>
      </c>
      <c r="G502" s="238" t="s">
        <v>1947</v>
      </c>
      <c r="H502" s="238" t="s">
        <v>3125</v>
      </c>
      <c r="I502" s="236" t="s">
        <v>2186</v>
      </c>
      <c r="J502" s="128"/>
      <c r="K502" s="239" t="s">
        <v>1223</v>
      </c>
      <c r="L502" s="197"/>
      <c r="M502" s="237" t="s">
        <v>2206</v>
      </c>
      <c r="N502" s="197"/>
      <c r="O502" s="197"/>
      <c r="P502" s="197">
        <v>9403208000</v>
      </c>
      <c r="Q502" s="240">
        <v>656.88474256022687</v>
      </c>
      <c r="R502" s="277" t="s">
        <v>9</v>
      </c>
      <c r="T502" s="168">
        <v>2189.6158085340899</v>
      </c>
      <c r="U502" s="168">
        <v>1313.769485120454</v>
      </c>
      <c r="V502" s="168">
        <v>1094.8079042670449</v>
      </c>
      <c r="W502" s="168">
        <v>875.84632341363601</v>
      </c>
    </row>
    <row r="503" spans="1:23" s="129" customFormat="1" ht="14.25">
      <c r="A503" s="195" t="s">
        <v>1276</v>
      </c>
      <c r="B503" s="195" t="s">
        <v>1102</v>
      </c>
      <c r="C503" s="239" t="s">
        <v>1844</v>
      </c>
      <c r="D503" s="237" t="s">
        <v>2208</v>
      </c>
      <c r="E503" s="128" t="s">
        <v>2640</v>
      </c>
      <c r="F503" s="128" t="s">
        <v>3259</v>
      </c>
      <c r="G503" s="238" t="s">
        <v>1948</v>
      </c>
      <c r="H503" s="238" t="s">
        <v>3126</v>
      </c>
      <c r="I503" s="236" t="s">
        <v>2187</v>
      </c>
      <c r="J503" s="128"/>
      <c r="K503" s="239" t="s">
        <v>1223</v>
      </c>
      <c r="L503" s="197"/>
      <c r="M503" s="237" t="s">
        <v>2206</v>
      </c>
      <c r="N503" s="197"/>
      <c r="O503" s="197"/>
      <c r="P503" s="197">
        <v>9403208000</v>
      </c>
      <c r="Q503" s="240">
        <v>546.17383089277291</v>
      </c>
      <c r="R503" s="277" t="s">
        <v>9</v>
      </c>
      <c r="T503" s="168">
        <v>1820.5794363092432</v>
      </c>
      <c r="U503" s="168">
        <v>1092.3476617855458</v>
      </c>
      <c r="V503" s="168">
        <v>910.2897181546216</v>
      </c>
      <c r="W503" s="168">
        <v>728.23177452369737</v>
      </c>
    </row>
    <row r="504" spans="1:23" s="129" customFormat="1" ht="14.25">
      <c r="A504" s="195" t="s">
        <v>1276</v>
      </c>
      <c r="B504" s="195" t="s">
        <v>1102</v>
      </c>
      <c r="C504" s="239" t="s">
        <v>1844</v>
      </c>
      <c r="D504" s="237" t="s">
        <v>2208</v>
      </c>
      <c r="E504" s="128" t="s">
        <v>2641</v>
      </c>
      <c r="F504" s="128" t="s">
        <v>3258</v>
      </c>
      <c r="G504" s="238" t="s">
        <v>1949</v>
      </c>
      <c r="H504" s="238" t="s">
        <v>3127</v>
      </c>
      <c r="I504" s="236" t="s">
        <v>2188</v>
      </c>
      <c r="J504" s="128"/>
      <c r="K504" s="239" t="s">
        <v>1223</v>
      </c>
      <c r="L504" s="197"/>
      <c r="M504" s="237" t="s">
        <v>2206</v>
      </c>
      <c r="N504" s="197"/>
      <c r="O504" s="197"/>
      <c r="P504" s="197">
        <v>9403208000</v>
      </c>
      <c r="Q504" s="240">
        <v>664.26547000472374</v>
      </c>
      <c r="R504" s="277" t="s">
        <v>9</v>
      </c>
      <c r="T504" s="168">
        <v>2214.2182333490791</v>
      </c>
      <c r="U504" s="168">
        <v>1328.5309400094475</v>
      </c>
      <c r="V504" s="168">
        <v>1107.1091166745396</v>
      </c>
      <c r="W504" s="168">
        <v>885.68729333963165</v>
      </c>
    </row>
    <row r="505" spans="1:23" s="129" customFormat="1" ht="14.25">
      <c r="A505" s="195" t="s">
        <v>1276</v>
      </c>
      <c r="B505" s="195" t="s">
        <v>1102</v>
      </c>
      <c r="C505" s="239" t="s">
        <v>1844</v>
      </c>
      <c r="D505" s="237" t="s">
        <v>2208</v>
      </c>
      <c r="E505" s="128" t="s">
        <v>2641</v>
      </c>
      <c r="F505" s="128" t="s">
        <v>3258</v>
      </c>
      <c r="G505" s="238" t="s">
        <v>1950</v>
      </c>
      <c r="H505" s="238" t="s">
        <v>3128</v>
      </c>
      <c r="I505" s="236" t="s">
        <v>2189</v>
      </c>
      <c r="J505" s="128"/>
      <c r="K505" s="239" t="s">
        <v>1223</v>
      </c>
      <c r="L505" s="197"/>
      <c r="M505" s="237" t="s">
        <v>2206</v>
      </c>
      <c r="N505" s="197"/>
      <c r="O505" s="197"/>
      <c r="P505" s="197">
        <v>9403208000</v>
      </c>
      <c r="Q505" s="240">
        <v>575.69674067076062</v>
      </c>
      <c r="R505" s="277" t="s">
        <v>9</v>
      </c>
      <c r="T505" s="168">
        <v>1918.9891355692021</v>
      </c>
      <c r="U505" s="168">
        <v>1151.3934813415212</v>
      </c>
      <c r="V505" s="168">
        <v>959.49456778460103</v>
      </c>
      <c r="W505" s="168">
        <v>767.59565422768082</v>
      </c>
    </row>
    <row r="506" spans="1:23" s="129" customFormat="1" ht="14.25">
      <c r="A506" s="195" t="s">
        <v>1276</v>
      </c>
      <c r="B506" s="195" t="s">
        <v>1102</v>
      </c>
      <c r="C506" s="239" t="s">
        <v>1844</v>
      </c>
      <c r="D506" s="237" t="s">
        <v>2208</v>
      </c>
      <c r="E506" s="128" t="s">
        <v>2641</v>
      </c>
      <c r="F506" s="128" t="s">
        <v>3259</v>
      </c>
      <c r="G506" s="238" t="s">
        <v>1951</v>
      </c>
      <c r="H506" s="238" t="s">
        <v>3129</v>
      </c>
      <c r="I506" s="236" t="s">
        <v>2190</v>
      </c>
      <c r="J506" s="128"/>
      <c r="K506" s="239" t="s">
        <v>1223</v>
      </c>
      <c r="L506" s="197"/>
      <c r="M506" s="237" t="s">
        <v>2206</v>
      </c>
      <c r="N506" s="197"/>
      <c r="O506" s="197"/>
      <c r="P506" s="197">
        <v>9403208000</v>
      </c>
      <c r="Q506" s="240">
        <v>723.31128956069915</v>
      </c>
      <c r="R506" s="277" t="s">
        <v>9</v>
      </c>
      <c r="T506" s="168">
        <v>2411.0376318689973</v>
      </c>
      <c r="U506" s="168">
        <v>1446.6225791213983</v>
      </c>
      <c r="V506" s="168">
        <v>1205.5188159344987</v>
      </c>
      <c r="W506" s="168">
        <v>964.41505274759902</v>
      </c>
    </row>
    <row r="507" spans="1:23" s="129" customFormat="1" ht="14.25">
      <c r="A507" s="195" t="s">
        <v>1276</v>
      </c>
      <c r="B507" s="195" t="s">
        <v>1102</v>
      </c>
      <c r="C507" s="239" t="s">
        <v>1844</v>
      </c>
      <c r="D507" s="237" t="s">
        <v>2208</v>
      </c>
      <c r="E507" s="128" t="s">
        <v>2641</v>
      </c>
      <c r="F507" s="128" t="s">
        <v>3259</v>
      </c>
      <c r="G507" s="238" t="s">
        <v>1952</v>
      </c>
      <c r="H507" s="238" t="s">
        <v>3130</v>
      </c>
      <c r="I507" s="236" t="s">
        <v>2191</v>
      </c>
      <c r="J507" s="128"/>
      <c r="K507" s="239" t="s">
        <v>1223</v>
      </c>
      <c r="L507" s="197"/>
      <c r="M507" s="237" t="s">
        <v>2206</v>
      </c>
      <c r="N507" s="197"/>
      <c r="O507" s="197"/>
      <c r="P507" s="197">
        <v>9403208000</v>
      </c>
      <c r="Q507" s="240">
        <v>612.6003778932452</v>
      </c>
      <c r="R507" s="277" t="s">
        <v>9</v>
      </c>
      <c r="T507" s="168">
        <v>2042.0012596441507</v>
      </c>
      <c r="U507" s="168">
        <v>1225.2007557864904</v>
      </c>
      <c r="V507" s="168">
        <v>1021.0006298220753</v>
      </c>
      <c r="W507" s="168">
        <v>816.80050385766026</v>
      </c>
    </row>
    <row r="508" spans="1:23" s="129" customFormat="1" ht="14.25">
      <c r="A508" s="195" t="s">
        <v>1276</v>
      </c>
      <c r="B508" s="195" t="s">
        <v>1102</v>
      </c>
      <c r="C508" s="239" t="s">
        <v>2209</v>
      </c>
      <c r="D508" s="237" t="s">
        <v>2207</v>
      </c>
      <c r="E508" s="128" t="s">
        <v>2642</v>
      </c>
      <c r="F508" s="128"/>
      <c r="G508" s="238" t="s">
        <v>1953</v>
      </c>
      <c r="H508" s="238" t="s">
        <v>3131</v>
      </c>
      <c r="I508" s="236" t="s">
        <v>2192</v>
      </c>
      <c r="J508" s="128"/>
      <c r="K508" s="239" t="s">
        <v>1223</v>
      </c>
      <c r="L508" s="197"/>
      <c r="M508" s="237" t="s">
        <v>2206</v>
      </c>
      <c r="N508" s="197"/>
      <c r="O508" s="197"/>
      <c r="P508" s="197">
        <v>9403208000</v>
      </c>
      <c r="Q508" s="240">
        <v>111.68411330049261</v>
      </c>
      <c r="R508" s="277" t="s">
        <v>9</v>
      </c>
      <c r="T508" s="168">
        <v>372.28037766830874</v>
      </c>
      <c r="U508" s="168">
        <v>223.36822660098525</v>
      </c>
      <c r="V508" s="168">
        <v>186.14018883415437</v>
      </c>
      <c r="W508" s="168">
        <v>148.91215106732349</v>
      </c>
    </row>
    <row r="509" spans="1:23" s="129" customFormat="1" ht="14.25">
      <c r="A509" s="195" t="s">
        <v>1276</v>
      </c>
      <c r="B509" s="195" t="s">
        <v>1102</v>
      </c>
      <c r="C509" s="239" t="s">
        <v>2209</v>
      </c>
      <c r="D509" s="237" t="s">
        <v>2207</v>
      </c>
      <c r="E509" s="128" t="s">
        <v>2643</v>
      </c>
      <c r="F509" s="128"/>
      <c r="G509" s="238" t="s">
        <v>1954</v>
      </c>
      <c r="H509" s="238" t="s">
        <v>3132</v>
      </c>
      <c r="I509" s="236" t="s">
        <v>2193</v>
      </c>
      <c r="J509" s="128"/>
      <c r="K509" s="239" t="s">
        <v>1223</v>
      </c>
      <c r="L509" s="197"/>
      <c r="M509" s="237" t="s">
        <v>2206</v>
      </c>
      <c r="N509" s="197"/>
      <c r="O509" s="197"/>
      <c r="P509" s="197">
        <v>9403208000</v>
      </c>
      <c r="Q509" s="240">
        <v>122.76785714285715</v>
      </c>
      <c r="R509" s="277" t="s">
        <v>9</v>
      </c>
      <c r="T509" s="168">
        <v>409.22619047619054</v>
      </c>
      <c r="U509" s="168">
        <v>245.53571428571431</v>
      </c>
      <c r="V509" s="168">
        <v>204.61309523809527</v>
      </c>
      <c r="W509" s="168">
        <v>163.69047619047623</v>
      </c>
    </row>
    <row r="510" spans="1:23" s="129" customFormat="1" ht="14.25">
      <c r="A510" s="195" t="s">
        <v>1276</v>
      </c>
      <c r="B510" s="195" t="s">
        <v>1102</v>
      </c>
      <c r="C510" s="239" t="s">
        <v>2209</v>
      </c>
      <c r="D510" s="237" t="s">
        <v>2207</v>
      </c>
      <c r="E510" s="128" t="s">
        <v>2643</v>
      </c>
      <c r="F510" s="128"/>
      <c r="G510" s="238" t="s">
        <v>1955</v>
      </c>
      <c r="H510" s="238" t="s">
        <v>3133</v>
      </c>
      <c r="I510" s="236" t="s">
        <v>2194</v>
      </c>
      <c r="J510" s="128"/>
      <c r="K510" s="239" t="s">
        <v>1223</v>
      </c>
      <c r="L510" s="197"/>
      <c r="M510" s="237" t="s">
        <v>2206</v>
      </c>
      <c r="N510" s="197"/>
      <c r="O510" s="197"/>
      <c r="P510" s="197">
        <v>9403208000</v>
      </c>
      <c r="Q510" s="240">
        <v>125.07697044334978</v>
      </c>
      <c r="R510" s="277" t="s">
        <v>9</v>
      </c>
      <c r="T510" s="168">
        <v>416.92323481116597</v>
      </c>
      <c r="U510" s="168">
        <v>250.15394088669956</v>
      </c>
      <c r="V510" s="168">
        <v>208.46161740558298</v>
      </c>
      <c r="W510" s="168">
        <v>166.76929392446641</v>
      </c>
    </row>
    <row r="511" spans="1:23" s="129" customFormat="1" ht="14.25">
      <c r="A511" s="195" t="s">
        <v>1276</v>
      </c>
      <c r="B511" s="195" t="s">
        <v>1102</v>
      </c>
      <c r="C511" s="239" t="s">
        <v>2209</v>
      </c>
      <c r="D511" s="237" t="s">
        <v>2207</v>
      </c>
      <c r="E511" s="128" t="s">
        <v>2643</v>
      </c>
      <c r="F511" s="128"/>
      <c r="G511" s="238" t="s">
        <v>1956</v>
      </c>
      <c r="H511" s="238" t="s">
        <v>3134</v>
      </c>
      <c r="I511" s="236" t="s">
        <v>2195</v>
      </c>
      <c r="J511" s="128"/>
      <c r="K511" s="239" t="s">
        <v>1223</v>
      </c>
      <c r="L511" s="197"/>
      <c r="M511" s="237" t="s">
        <v>2206</v>
      </c>
      <c r="N511" s="197"/>
      <c r="O511" s="197"/>
      <c r="P511" s="197">
        <v>9403208000</v>
      </c>
      <c r="Q511" s="240">
        <v>144.31958128078819</v>
      </c>
      <c r="R511" s="277" t="s">
        <v>9</v>
      </c>
      <c r="T511" s="168">
        <v>481.06527093596065</v>
      </c>
      <c r="U511" s="168">
        <v>288.63916256157637</v>
      </c>
      <c r="V511" s="168">
        <v>240.53263546798033</v>
      </c>
      <c r="W511" s="168">
        <v>192.42610837438428</v>
      </c>
    </row>
    <row r="512" spans="1:23" s="129" customFormat="1" ht="14.25">
      <c r="A512" s="195" t="s">
        <v>1276</v>
      </c>
      <c r="B512" s="195" t="s">
        <v>1102</v>
      </c>
      <c r="C512" s="239" t="s">
        <v>2209</v>
      </c>
      <c r="D512" s="237" t="s">
        <v>2207</v>
      </c>
      <c r="E512" s="128" t="s">
        <v>2643</v>
      </c>
      <c r="F512" s="128"/>
      <c r="G512" s="238" t="s">
        <v>1957</v>
      </c>
      <c r="H512" s="238" t="s">
        <v>3135</v>
      </c>
      <c r="I512" s="236" t="s">
        <v>2196</v>
      </c>
      <c r="J512" s="128"/>
      <c r="K512" s="239" t="s">
        <v>1223</v>
      </c>
      <c r="L512" s="197"/>
      <c r="M512" s="237" t="s">
        <v>2206</v>
      </c>
      <c r="N512" s="197"/>
      <c r="O512" s="197"/>
      <c r="P512" s="197">
        <v>9403208000</v>
      </c>
      <c r="Q512" s="240">
        <v>32.481527093596064</v>
      </c>
      <c r="R512" s="277" t="s">
        <v>9</v>
      </c>
      <c r="T512" s="168">
        <v>108.27175697865356</v>
      </c>
      <c r="U512" s="168">
        <v>64.963054187192128</v>
      </c>
      <c r="V512" s="168">
        <v>54.135878489326778</v>
      </c>
      <c r="W512" s="168">
        <v>43.308702791461428</v>
      </c>
    </row>
    <row r="513" spans="1:23" s="129" customFormat="1" ht="14.25">
      <c r="A513" s="195" t="s">
        <v>1276</v>
      </c>
      <c r="B513" s="195" t="s">
        <v>1102</v>
      </c>
      <c r="C513" s="239" t="s">
        <v>2209</v>
      </c>
      <c r="D513" s="237" t="s">
        <v>2207</v>
      </c>
      <c r="E513" s="128" t="s">
        <v>2643</v>
      </c>
      <c r="F513" s="128"/>
      <c r="G513" s="238" t="s">
        <v>1958</v>
      </c>
      <c r="H513" s="238" t="s">
        <v>3136</v>
      </c>
      <c r="I513" s="236" t="s">
        <v>2197</v>
      </c>
      <c r="J513" s="128"/>
      <c r="K513" s="239" t="s">
        <v>1223</v>
      </c>
      <c r="L513" s="197"/>
      <c r="M513" s="237" t="s">
        <v>2206</v>
      </c>
      <c r="N513" s="197"/>
      <c r="O513" s="197"/>
      <c r="P513" s="197">
        <v>9403208000</v>
      </c>
      <c r="Q513" s="240">
        <v>24.47660098522168</v>
      </c>
      <c r="R513" s="277" t="s">
        <v>9</v>
      </c>
      <c r="T513" s="168">
        <v>81.588669950738932</v>
      </c>
      <c r="U513" s="168">
        <v>48.953201970443359</v>
      </c>
      <c r="V513" s="168">
        <v>40.794334975369466</v>
      </c>
      <c r="W513" s="168">
        <v>32.635467980295573</v>
      </c>
    </row>
    <row r="514" spans="1:23" s="129" customFormat="1" ht="14.25">
      <c r="A514" s="195" t="s">
        <v>1276</v>
      </c>
      <c r="B514" s="195" t="s">
        <v>1102</v>
      </c>
      <c r="C514" s="239" t="s">
        <v>2209</v>
      </c>
      <c r="D514" s="237" t="s">
        <v>2207</v>
      </c>
      <c r="E514" s="128" t="s">
        <v>2636</v>
      </c>
      <c r="F514" s="128"/>
      <c r="G514" s="238" t="s">
        <v>1959</v>
      </c>
      <c r="H514" s="238" t="s">
        <v>3137</v>
      </c>
      <c r="I514" s="236" t="s">
        <v>2198</v>
      </c>
      <c r="J514" s="128"/>
      <c r="K514" s="239" t="s">
        <v>1223</v>
      </c>
      <c r="L514" s="197"/>
      <c r="M514" s="237" t="s">
        <v>2206</v>
      </c>
      <c r="N514" s="197"/>
      <c r="O514" s="197"/>
      <c r="P514" s="197">
        <v>9403208000</v>
      </c>
      <c r="Q514" s="240">
        <v>142.65701970443351</v>
      </c>
      <c r="R514" s="277" t="s">
        <v>9</v>
      </c>
      <c r="T514" s="168">
        <v>475.52339901477836</v>
      </c>
      <c r="U514" s="168">
        <v>285.31403940886702</v>
      </c>
      <c r="V514" s="168">
        <v>237.76169950738918</v>
      </c>
      <c r="W514" s="168">
        <v>190.20935960591135</v>
      </c>
    </row>
    <row r="515" spans="1:23" s="129" customFormat="1" ht="14.25">
      <c r="A515" s="195" t="s">
        <v>1276</v>
      </c>
      <c r="B515" s="195" t="s">
        <v>1102</v>
      </c>
      <c r="C515" s="239" t="s">
        <v>2209</v>
      </c>
      <c r="D515" s="237" t="s">
        <v>2207</v>
      </c>
      <c r="E515" s="128" t="s">
        <v>2636</v>
      </c>
      <c r="F515" s="128"/>
      <c r="G515" s="238" t="s">
        <v>1960</v>
      </c>
      <c r="H515" s="238" t="s">
        <v>3138</v>
      </c>
      <c r="I515" s="236" t="s">
        <v>2199</v>
      </c>
      <c r="J515" s="128"/>
      <c r="K515" s="239" t="s">
        <v>1223</v>
      </c>
      <c r="L515" s="197"/>
      <c r="M515" s="237" t="s">
        <v>2206</v>
      </c>
      <c r="N515" s="197"/>
      <c r="O515" s="197"/>
      <c r="P515" s="197">
        <v>9403208000</v>
      </c>
      <c r="Q515" s="240">
        <v>144.96613300492612</v>
      </c>
      <c r="R515" s="277" t="s">
        <v>9</v>
      </c>
      <c r="T515" s="168">
        <v>483.22044334975374</v>
      </c>
      <c r="U515" s="168">
        <v>289.93226600985224</v>
      </c>
      <c r="V515" s="168">
        <v>241.61022167487687</v>
      </c>
      <c r="W515" s="168">
        <v>193.28817733990149</v>
      </c>
    </row>
    <row r="516" spans="1:23" s="129" customFormat="1" ht="14.25">
      <c r="A516" s="195" t="s">
        <v>1276</v>
      </c>
      <c r="B516" s="195" t="s">
        <v>1102</v>
      </c>
      <c r="C516" s="239" t="s">
        <v>2209</v>
      </c>
      <c r="D516" s="237" t="s">
        <v>2207</v>
      </c>
      <c r="E516" s="128" t="s">
        <v>2636</v>
      </c>
      <c r="F516" s="128"/>
      <c r="G516" s="238" t="s">
        <v>1961</v>
      </c>
      <c r="H516" s="238" t="s">
        <v>3139</v>
      </c>
      <c r="I516" s="236" t="s">
        <v>2200</v>
      </c>
      <c r="J516" s="128"/>
      <c r="K516" s="239" t="s">
        <v>1223</v>
      </c>
      <c r="L516" s="197"/>
      <c r="M516" s="237" t="s">
        <v>2206</v>
      </c>
      <c r="N516" s="197"/>
      <c r="O516" s="197"/>
      <c r="P516" s="197">
        <v>9403208000</v>
      </c>
      <c r="Q516" s="240">
        <v>161.63793103448279</v>
      </c>
      <c r="R516" s="277" t="s">
        <v>9</v>
      </c>
      <c r="T516" s="168">
        <v>538.79310344827604</v>
      </c>
      <c r="U516" s="168">
        <v>323.27586206896564</v>
      </c>
      <c r="V516" s="168">
        <v>269.39655172413802</v>
      </c>
      <c r="W516" s="168">
        <v>215.51724137931043</v>
      </c>
    </row>
    <row r="517" spans="1:23" s="129" customFormat="1" ht="14.25">
      <c r="A517" s="195" t="s">
        <v>1276</v>
      </c>
      <c r="B517" s="195" t="s">
        <v>1102</v>
      </c>
      <c r="C517" s="239" t="s">
        <v>2209</v>
      </c>
      <c r="D517" s="237" t="s">
        <v>2207</v>
      </c>
      <c r="E517" s="128" t="s">
        <v>2636</v>
      </c>
      <c r="F517" s="128"/>
      <c r="G517" s="238" t="s">
        <v>1962</v>
      </c>
      <c r="H517" s="238" t="s">
        <v>3140</v>
      </c>
      <c r="I517" s="236" t="s">
        <v>2201</v>
      </c>
      <c r="J517" s="128"/>
      <c r="K517" s="239" t="s">
        <v>1223</v>
      </c>
      <c r="L517" s="197"/>
      <c r="M517" s="237" t="s">
        <v>2206</v>
      </c>
      <c r="N517" s="197"/>
      <c r="O517" s="197"/>
      <c r="P517" s="197">
        <v>9403208000</v>
      </c>
      <c r="Q517" s="240">
        <v>167.21059113300498</v>
      </c>
      <c r="R517" s="277" t="s">
        <v>9</v>
      </c>
      <c r="T517" s="168">
        <v>557.36863711001661</v>
      </c>
      <c r="U517" s="168">
        <v>334.42118226600996</v>
      </c>
      <c r="V517" s="168">
        <v>278.6843185550083</v>
      </c>
      <c r="W517" s="168">
        <v>222.94745484400664</v>
      </c>
    </row>
    <row r="518" spans="1:23" s="129" customFormat="1" ht="14.25">
      <c r="A518" s="195" t="s">
        <v>1276</v>
      </c>
      <c r="B518" s="195" t="s">
        <v>1102</v>
      </c>
      <c r="C518" s="239" t="s">
        <v>2209</v>
      </c>
      <c r="D518" s="237" t="s">
        <v>2207</v>
      </c>
      <c r="E518" s="128" t="s">
        <v>2636</v>
      </c>
      <c r="F518" s="128"/>
      <c r="G518" s="238" t="s">
        <v>1963</v>
      </c>
      <c r="H518" s="238" t="s">
        <v>3141</v>
      </c>
      <c r="I518" s="236" t="s">
        <v>2202</v>
      </c>
      <c r="J518" s="128"/>
      <c r="K518" s="239" t="s">
        <v>1223</v>
      </c>
      <c r="L518" s="197"/>
      <c r="M518" s="237" t="s">
        <v>2206</v>
      </c>
      <c r="N518" s="197"/>
      <c r="O518" s="197"/>
      <c r="P518" s="197">
        <v>9403208000</v>
      </c>
      <c r="Q518" s="240">
        <v>169.33497536945816</v>
      </c>
      <c r="R518" s="277" t="s">
        <v>9</v>
      </c>
      <c r="T518" s="168">
        <v>564.44991789819392</v>
      </c>
      <c r="U518" s="168">
        <v>338.66995073891633</v>
      </c>
      <c r="V518" s="168">
        <v>282.22495894909696</v>
      </c>
      <c r="W518" s="168">
        <v>225.77996715927759</v>
      </c>
    </row>
    <row r="519" spans="1:23" s="129" customFormat="1" ht="14.25">
      <c r="A519" s="195" t="s">
        <v>1276</v>
      </c>
      <c r="B519" s="195" t="s">
        <v>1102</v>
      </c>
      <c r="C519" s="239" t="s">
        <v>2209</v>
      </c>
      <c r="D519" s="237" t="s">
        <v>2207</v>
      </c>
      <c r="E519" s="128" t="s">
        <v>2636</v>
      </c>
      <c r="F519" s="128"/>
      <c r="G519" s="238" t="s">
        <v>1964</v>
      </c>
      <c r="H519" s="238" t="s">
        <v>3142</v>
      </c>
      <c r="I519" s="236" t="s">
        <v>2203</v>
      </c>
      <c r="J519" s="128"/>
      <c r="K519" s="239" t="s">
        <v>1223</v>
      </c>
      <c r="L519" s="197"/>
      <c r="M519" s="237" t="s">
        <v>2206</v>
      </c>
      <c r="N519" s="197"/>
      <c r="O519" s="197"/>
      <c r="P519" s="197">
        <v>9403208000</v>
      </c>
      <c r="Q519" s="240">
        <v>186.45320197044336</v>
      </c>
      <c r="R519" s="277" t="s">
        <v>9</v>
      </c>
      <c r="T519" s="168">
        <v>621.51067323481118</v>
      </c>
      <c r="U519" s="168">
        <v>372.90640394088672</v>
      </c>
      <c r="V519" s="168">
        <v>310.75533661740559</v>
      </c>
      <c r="W519" s="168">
        <v>248.60426929392449</v>
      </c>
    </row>
    <row r="520" spans="1:23" s="129" customFormat="1" ht="14.25">
      <c r="A520" s="195" t="s">
        <v>1276</v>
      </c>
      <c r="B520" s="195" t="s">
        <v>1102</v>
      </c>
      <c r="C520" s="239" t="s">
        <v>2209</v>
      </c>
      <c r="D520" s="237" t="s">
        <v>2207</v>
      </c>
      <c r="E520" s="128" t="s">
        <v>2636</v>
      </c>
      <c r="F520" s="128"/>
      <c r="G520" s="238" t="s">
        <v>1965</v>
      </c>
      <c r="H520" s="238" t="s">
        <v>3143</v>
      </c>
      <c r="I520" s="236" t="s">
        <v>2204</v>
      </c>
      <c r="J520" s="128"/>
      <c r="K520" s="239" t="s">
        <v>1223</v>
      </c>
      <c r="L520" s="197"/>
      <c r="M520" s="237" t="s">
        <v>2206</v>
      </c>
      <c r="N520" s="197"/>
      <c r="O520" s="197"/>
      <c r="P520" s="197">
        <v>9403208000</v>
      </c>
      <c r="Q520" s="240">
        <v>34.944581280788185</v>
      </c>
      <c r="R520" s="277" t="s">
        <v>9</v>
      </c>
      <c r="T520" s="168">
        <v>116.48193760262728</v>
      </c>
      <c r="U520" s="168">
        <v>69.88916256157637</v>
      </c>
      <c r="V520" s="168">
        <v>58.240968801313642</v>
      </c>
      <c r="W520" s="168">
        <v>46.592775041050913</v>
      </c>
    </row>
    <row r="521" spans="1:23" s="129" customFormat="1" ht="14.25">
      <c r="A521" s="195" t="s">
        <v>1276</v>
      </c>
      <c r="B521" s="195" t="s">
        <v>1102</v>
      </c>
      <c r="C521" s="239" t="s">
        <v>2209</v>
      </c>
      <c r="D521" s="237" t="s">
        <v>2207</v>
      </c>
      <c r="E521" s="128" t="s">
        <v>2636</v>
      </c>
      <c r="F521" s="128"/>
      <c r="G521" s="238" t="s">
        <v>1966</v>
      </c>
      <c r="H521" s="238" t="s">
        <v>3144</v>
      </c>
      <c r="I521" s="236" t="s">
        <v>2205</v>
      </c>
      <c r="J521" s="128"/>
      <c r="K521" s="239" t="s">
        <v>1223</v>
      </c>
      <c r="L521" s="197"/>
      <c r="M521" s="237" t="s">
        <v>2206</v>
      </c>
      <c r="N521" s="197"/>
      <c r="O521" s="197"/>
      <c r="P521" s="197">
        <v>9403208000</v>
      </c>
      <c r="Q521" s="240">
        <v>46.644088669950747</v>
      </c>
      <c r="R521" s="277" t="s">
        <v>9</v>
      </c>
      <c r="T521" s="168">
        <v>155.48029556650249</v>
      </c>
      <c r="U521" s="168">
        <v>93.288177339901495</v>
      </c>
      <c r="V521" s="168">
        <v>77.740147783251246</v>
      </c>
      <c r="W521" s="168">
        <v>62.192118226600996</v>
      </c>
    </row>
    <row r="522" spans="1:23" s="129" customFormat="1">
      <c r="A522" s="195" t="s">
        <v>1276</v>
      </c>
      <c r="B522" s="195" t="s">
        <v>1102</v>
      </c>
      <c r="C522" s="239" t="s">
        <v>2209</v>
      </c>
      <c r="D522" s="237" t="s">
        <v>2445</v>
      </c>
      <c r="E522" s="128" t="s">
        <v>2644</v>
      </c>
      <c r="F522" s="128"/>
      <c r="G522" s="233" t="s">
        <v>2446</v>
      </c>
      <c r="H522" s="238"/>
      <c r="I522" s="236" t="s">
        <v>2685</v>
      </c>
      <c r="J522" s="128"/>
      <c r="K522" s="239" t="s">
        <v>1223</v>
      </c>
      <c r="L522" s="197"/>
      <c r="M522" s="237" t="s">
        <v>2206</v>
      </c>
      <c r="N522" s="197"/>
      <c r="O522" s="197"/>
      <c r="P522" s="197">
        <v>9403208000</v>
      </c>
      <c r="Q522" s="240">
        <v>157.69554247266612</v>
      </c>
      <c r="R522" s="277" t="s">
        <v>9</v>
      </c>
      <c r="T522" s="168">
        <v>525.65180824222045</v>
      </c>
      <c r="U522" s="168">
        <v>315.39108494533224</v>
      </c>
      <c r="V522" s="168">
        <v>262.82590412111023</v>
      </c>
      <c r="W522" s="168">
        <v>210.26072329688819</v>
      </c>
    </row>
    <row r="523" spans="1:23" s="129" customFormat="1">
      <c r="A523" s="195" t="s">
        <v>1276</v>
      </c>
      <c r="B523" s="195" t="s">
        <v>1102</v>
      </c>
      <c r="C523" s="239" t="s">
        <v>2209</v>
      </c>
      <c r="D523" s="237" t="s">
        <v>2445</v>
      </c>
      <c r="E523" s="128" t="s">
        <v>2642</v>
      </c>
      <c r="F523" s="128"/>
      <c r="G523" s="233" t="s">
        <v>2447</v>
      </c>
      <c r="H523" s="238"/>
      <c r="I523" s="236" t="s">
        <v>2686</v>
      </c>
      <c r="J523" s="128"/>
      <c r="K523" s="239" t="s">
        <v>1223</v>
      </c>
      <c r="L523" s="197"/>
      <c r="M523" s="237" t="s">
        <v>2206</v>
      </c>
      <c r="N523" s="197"/>
      <c r="O523" s="197"/>
      <c r="P523" s="197">
        <v>9403208000</v>
      </c>
      <c r="Q523" s="240">
        <v>170.83683767872159</v>
      </c>
      <c r="R523" s="277" t="s">
        <v>9</v>
      </c>
      <c r="T523" s="168">
        <v>569.45612559573863</v>
      </c>
      <c r="U523" s="168">
        <v>341.67367535744319</v>
      </c>
      <c r="V523" s="168">
        <v>284.72806279786931</v>
      </c>
      <c r="W523" s="168">
        <v>227.78245023829547</v>
      </c>
    </row>
    <row r="524" spans="1:23" s="129" customFormat="1">
      <c r="A524" s="195" t="s">
        <v>1276</v>
      </c>
      <c r="B524" s="195" t="s">
        <v>1102</v>
      </c>
      <c r="C524" s="239" t="s">
        <v>2209</v>
      </c>
      <c r="D524" s="237" t="s">
        <v>2445</v>
      </c>
      <c r="E524" s="128" t="s">
        <v>2643</v>
      </c>
      <c r="F524" s="128"/>
      <c r="G524" s="233" t="s">
        <v>2448</v>
      </c>
      <c r="H524" s="238"/>
      <c r="I524" s="236" t="s">
        <v>2687</v>
      </c>
      <c r="J524" s="128"/>
      <c r="K524" s="239" t="s">
        <v>1223</v>
      </c>
      <c r="L524" s="197"/>
      <c r="M524" s="237" t="s">
        <v>2206</v>
      </c>
      <c r="N524" s="197"/>
      <c r="O524" s="197"/>
      <c r="P524" s="197">
        <v>9403208000</v>
      </c>
      <c r="Q524" s="240">
        <v>183.97813288477715</v>
      </c>
      <c r="R524" s="277" t="s">
        <v>9</v>
      </c>
      <c r="T524" s="168">
        <v>613.26044294925725</v>
      </c>
      <c r="U524" s="168">
        <v>367.95626576955436</v>
      </c>
      <c r="V524" s="168">
        <v>306.63022147462863</v>
      </c>
      <c r="W524" s="168">
        <v>245.30417717970292</v>
      </c>
    </row>
    <row r="525" spans="1:23" s="129" customFormat="1">
      <c r="A525" s="195" t="s">
        <v>1276</v>
      </c>
      <c r="B525" s="195" t="s">
        <v>1102</v>
      </c>
      <c r="C525" s="239" t="s">
        <v>2209</v>
      </c>
      <c r="D525" s="237" t="s">
        <v>2445</v>
      </c>
      <c r="E525" s="128" t="s">
        <v>2645</v>
      </c>
      <c r="F525" s="128"/>
      <c r="G525" s="233" t="s">
        <v>2449</v>
      </c>
      <c r="H525" s="238"/>
      <c r="I525" s="236" t="s">
        <v>2688</v>
      </c>
      <c r="J525" s="128"/>
      <c r="K525" s="239" t="s">
        <v>1223</v>
      </c>
      <c r="L525" s="197"/>
      <c r="M525" s="237" t="s">
        <v>2206</v>
      </c>
      <c r="N525" s="197"/>
      <c r="O525" s="197"/>
      <c r="P525" s="197">
        <v>9403208000</v>
      </c>
      <c r="Q525" s="240">
        <v>210.26072329688813</v>
      </c>
      <c r="R525" s="277" t="s">
        <v>9</v>
      </c>
      <c r="T525" s="168">
        <v>700.86907765629383</v>
      </c>
      <c r="U525" s="168">
        <v>420.52144659377626</v>
      </c>
      <c r="V525" s="168">
        <v>350.43453882814691</v>
      </c>
      <c r="W525" s="168">
        <v>280.34763106251756</v>
      </c>
    </row>
    <row r="526" spans="1:23" s="129" customFormat="1">
      <c r="A526" s="195" t="s">
        <v>1276</v>
      </c>
      <c r="B526" s="195" t="s">
        <v>1102</v>
      </c>
      <c r="C526" s="239" t="s">
        <v>2209</v>
      </c>
      <c r="D526" s="237" t="s">
        <v>2445</v>
      </c>
      <c r="E526" s="128" t="s">
        <v>2646</v>
      </c>
      <c r="F526" s="128"/>
      <c r="G526" s="233" t="s">
        <v>2450</v>
      </c>
      <c r="H526" s="238"/>
      <c r="I526" s="236" t="s">
        <v>2689</v>
      </c>
      <c r="J526" s="128"/>
      <c r="K526" s="239" t="s">
        <v>1223</v>
      </c>
      <c r="L526" s="197"/>
      <c r="M526" s="237" t="s">
        <v>2206</v>
      </c>
      <c r="N526" s="197"/>
      <c r="O526" s="197"/>
      <c r="P526" s="197">
        <v>9403208000</v>
      </c>
      <c r="Q526" s="240">
        <v>223.40201850294366</v>
      </c>
      <c r="R526" s="277" t="s">
        <v>9</v>
      </c>
      <c r="T526" s="168">
        <v>744.67339500981222</v>
      </c>
      <c r="U526" s="168">
        <v>446.80403700588732</v>
      </c>
      <c r="V526" s="168">
        <v>372.33669750490611</v>
      </c>
      <c r="W526" s="168">
        <v>297.8693580039249</v>
      </c>
    </row>
    <row r="527" spans="1:23" s="129" customFormat="1">
      <c r="A527" s="195" t="s">
        <v>1276</v>
      </c>
      <c r="B527" s="195" t="s">
        <v>1102</v>
      </c>
      <c r="C527" s="239" t="s">
        <v>2209</v>
      </c>
      <c r="D527" s="237" t="s">
        <v>2445</v>
      </c>
      <c r="E527" s="128" t="s">
        <v>2647</v>
      </c>
      <c r="F527" s="128"/>
      <c r="G527" s="233" t="s">
        <v>2451</v>
      </c>
      <c r="H527" s="238"/>
      <c r="I527" s="236" t="s">
        <v>2690</v>
      </c>
      <c r="J527" s="128"/>
      <c r="K527" s="239" t="s">
        <v>1223</v>
      </c>
      <c r="L527" s="197"/>
      <c r="M527" s="237" t="s">
        <v>2206</v>
      </c>
      <c r="N527" s="197"/>
      <c r="O527" s="197"/>
      <c r="P527" s="197">
        <v>9403208000</v>
      </c>
      <c r="Q527" s="240">
        <v>236.54331370899916</v>
      </c>
      <c r="R527" s="277" t="s">
        <v>9</v>
      </c>
      <c r="T527" s="168">
        <v>788.47771236333062</v>
      </c>
      <c r="U527" s="168">
        <v>473.08662741799833</v>
      </c>
      <c r="V527" s="168">
        <v>394.23885618166531</v>
      </c>
      <c r="W527" s="168">
        <v>315.3910849453323</v>
      </c>
    </row>
    <row r="528" spans="1:23" s="129" customFormat="1">
      <c r="A528" s="195" t="s">
        <v>1276</v>
      </c>
      <c r="B528" s="195" t="s">
        <v>1102</v>
      </c>
      <c r="C528" s="239" t="s">
        <v>2209</v>
      </c>
      <c r="D528" s="237" t="s">
        <v>2445</v>
      </c>
      <c r="E528" s="128" t="s">
        <v>2636</v>
      </c>
      <c r="F528" s="128"/>
      <c r="G528" s="233" t="s">
        <v>2452</v>
      </c>
      <c r="H528" s="238"/>
      <c r="I528" s="236" t="s">
        <v>2691</v>
      </c>
      <c r="J528" s="128"/>
      <c r="K528" s="239" t="s">
        <v>1223</v>
      </c>
      <c r="L528" s="197"/>
      <c r="M528" s="237" t="s">
        <v>2206</v>
      </c>
      <c r="N528" s="197"/>
      <c r="O528" s="197"/>
      <c r="P528" s="197">
        <v>9403208000</v>
      </c>
      <c r="Q528" s="240">
        <v>262.82590412111017</v>
      </c>
      <c r="R528" s="277" t="s">
        <v>9</v>
      </c>
      <c r="T528" s="168">
        <v>876.08634707036731</v>
      </c>
      <c r="U528" s="168">
        <v>525.65180824222034</v>
      </c>
      <c r="V528" s="168">
        <v>438.04317353518366</v>
      </c>
      <c r="W528" s="168">
        <v>350.43453882814697</v>
      </c>
    </row>
    <row r="529" spans="1:23" s="129" customFormat="1">
      <c r="A529" s="195" t="s">
        <v>1276</v>
      </c>
      <c r="B529" s="195" t="s">
        <v>1102</v>
      </c>
      <c r="C529" s="239" t="s">
        <v>2209</v>
      </c>
      <c r="D529" s="237" t="s">
        <v>2445</v>
      </c>
      <c r="E529" s="128" t="s">
        <v>2644</v>
      </c>
      <c r="F529" s="128"/>
      <c r="G529" s="233" t="s">
        <v>2453</v>
      </c>
      <c r="H529" s="238"/>
      <c r="I529" s="236" t="s">
        <v>2699</v>
      </c>
      <c r="J529" s="128"/>
      <c r="K529" s="239" t="s">
        <v>1223</v>
      </c>
      <c r="L529" s="197"/>
      <c r="M529" s="237" t="s">
        <v>2206</v>
      </c>
      <c r="N529" s="197"/>
      <c r="O529" s="197"/>
      <c r="P529" s="197">
        <v>9403208000</v>
      </c>
      <c r="Q529" s="240">
        <v>243.11396131202693</v>
      </c>
      <c r="R529" s="277" t="s">
        <v>9</v>
      </c>
      <c r="T529" s="168">
        <v>810.37987104008982</v>
      </c>
      <c r="U529" s="168">
        <v>486.22792262405386</v>
      </c>
      <c r="V529" s="168">
        <v>405.18993552004491</v>
      </c>
      <c r="W529" s="168">
        <v>324.15194841603596</v>
      </c>
    </row>
    <row r="530" spans="1:23" s="129" customFormat="1">
      <c r="A530" s="195" t="s">
        <v>1276</v>
      </c>
      <c r="B530" s="195" t="s">
        <v>1102</v>
      </c>
      <c r="C530" s="239" t="s">
        <v>2209</v>
      </c>
      <c r="D530" s="237" t="s">
        <v>2445</v>
      </c>
      <c r="E530" s="128" t="s">
        <v>2642</v>
      </c>
      <c r="F530" s="128"/>
      <c r="G530" s="233" t="s">
        <v>2454</v>
      </c>
      <c r="H530" s="238"/>
      <c r="I530" s="236" t="s">
        <v>2700</v>
      </c>
      <c r="J530" s="128"/>
      <c r="K530" s="239" t="s">
        <v>1223</v>
      </c>
      <c r="L530" s="197"/>
      <c r="M530" s="237" t="s">
        <v>2206</v>
      </c>
      <c r="N530" s="197"/>
      <c r="O530" s="197"/>
      <c r="P530" s="197">
        <v>9403208000</v>
      </c>
      <c r="Q530" s="240">
        <v>256.25525651808243</v>
      </c>
      <c r="R530" s="277" t="s">
        <v>9</v>
      </c>
      <c r="T530" s="168">
        <v>854.18418839360811</v>
      </c>
      <c r="U530" s="168">
        <v>512.51051303616487</v>
      </c>
      <c r="V530" s="168">
        <v>427.09209419680406</v>
      </c>
      <c r="W530" s="168">
        <v>341.67367535744324</v>
      </c>
    </row>
    <row r="531" spans="1:23" s="129" customFormat="1">
      <c r="A531" s="195" t="s">
        <v>1276</v>
      </c>
      <c r="B531" s="195" t="s">
        <v>1102</v>
      </c>
      <c r="C531" s="239" t="s">
        <v>2209</v>
      </c>
      <c r="D531" s="237" t="s">
        <v>2445</v>
      </c>
      <c r="E531" s="128" t="s">
        <v>2643</v>
      </c>
      <c r="F531" s="128"/>
      <c r="G531" s="233" t="s">
        <v>2455</v>
      </c>
      <c r="H531" s="238"/>
      <c r="I531" s="236" t="s">
        <v>2701</v>
      </c>
      <c r="J531" s="128"/>
      <c r="K531" s="239" t="s">
        <v>1223</v>
      </c>
      <c r="L531" s="197"/>
      <c r="M531" s="237" t="s">
        <v>2206</v>
      </c>
      <c r="N531" s="197"/>
      <c r="O531" s="197"/>
      <c r="P531" s="197">
        <v>9403208000</v>
      </c>
      <c r="Q531" s="240">
        <v>275.9671993271657</v>
      </c>
      <c r="R531" s="277" t="s">
        <v>9</v>
      </c>
      <c r="T531" s="168">
        <v>919.89066442388571</v>
      </c>
      <c r="U531" s="168">
        <v>551.9343986543314</v>
      </c>
      <c r="V531" s="168">
        <v>459.94533221194285</v>
      </c>
      <c r="W531" s="168">
        <v>367.95626576955431</v>
      </c>
    </row>
    <row r="532" spans="1:23" s="129" customFormat="1">
      <c r="A532" s="195" t="s">
        <v>1276</v>
      </c>
      <c r="B532" s="195" t="s">
        <v>1102</v>
      </c>
      <c r="C532" s="239" t="s">
        <v>2209</v>
      </c>
      <c r="D532" s="237" t="s">
        <v>2445</v>
      </c>
      <c r="E532" s="128" t="s">
        <v>2645</v>
      </c>
      <c r="F532" s="128"/>
      <c r="G532" s="233" t="s">
        <v>2456</v>
      </c>
      <c r="H532" s="238"/>
      <c r="I532" s="236" t="s">
        <v>2702</v>
      </c>
      <c r="J532" s="128"/>
      <c r="K532" s="239" t="s">
        <v>1223</v>
      </c>
      <c r="L532" s="197"/>
      <c r="M532" s="237" t="s">
        <v>2206</v>
      </c>
      <c r="N532" s="197"/>
      <c r="O532" s="197"/>
      <c r="P532" s="197">
        <v>9403208000</v>
      </c>
      <c r="Q532" s="240">
        <v>295.67914213624897</v>
      </c>
      <c r="R532" s="277" t="s">
        <v>9</v>
      </c>
      <c r="T532" s="168">
        <v>985.59714045416331</v>
      </c>
      <c r="U532" s="168">
        <v>591.35828427249794</v>
      </c>
      <c r="V532" s="168">
        <v>492.79857022708165</v>
      </c>
      <c r="W532" s="168">
        <v>394.23885618166537</v>
      </c>
    </row>
    <row r="533" spans="1:23" s="129" customFormat="1">
      <c r="A533" s="195" t="s">
        <v>1276</v>
      </c>
      <c r="B533" s="195" t="s">
        <v>1102</v>
      </c>
      <c r="C533" s="239" t="s">
        <v>2209</v>
      </c>
      <c r="D533" s="237" t="s">
        <v>2445</v>
      </c>
      <c r="E533" s="128" t="s">
        <v>2646</v>
      </c>
      <c r="F533" s="128"/>
      <c r="G533" s="233" t="s">
        <v>2457</v>
      </c>
      <c r="H533" s="238"/>
      <c r="I533" s="236" t="s">
        <v>2703</v>
      </c>
      <c r="J533" s="128"/>
      <c r="K533" s="239" t="s">
        <v>1223</v>
      </c>
      <c r="L533" s="197"/>
      <c r="M533" s="237" t="s">
        <v>2206</v>
      </c>
      <c r="N533" s="197"/>
      <c r="O533" s="197"/>
      <c r="P533" s="197">
        <v>9403208000</v>
      </c>
      <c r="Q533" s="240">
        <v>328.53238015138766</v>
      </c>
      <c r="R533" s="277" t="s">
        <v>9</v>
      </c>
      <c r="T533" s="168">
        <v>1095.1079338379589</v>
      </c>
      <c r="U533" s="168">
        <v>657.06476030277531</v>
      </c>
      <c r="V533" s="168">
        <v>547.55396691897943</v>
      </c>
      <c r="W533" s="168">
        <v>438.04317353518354</v>
      </c>
    </row>
    <row r="534" spans="1:23" s="129" customFormat="1">
      <c r="A534" s="195" t="s">
        <v>1276</v>
      </c>
      <c r="B534" s="195" t="s">
        <v>1102</v>
      </c>
      <c r="C534" s="239" t="s">
        <v>2209</v>
      </c>
      <c r="D534" s="237" t="s">
        <v>2445</v>
      </c>
      <c r="E534" s="128" t="s">
        <v>2647</v>
      </c>
      <c r="F534" s="128"/>
      <c r="G534" s="233" t="s">
        <v>2458</v>
      </c>
      <c r="H534" s="238"/>
      <c r="I534" s="236" t="s">
        <v>2704</v>
      </c>
      <c r="J534" s="128"/>
      <c r="K534" s="239" t="s">
        <v>1223</v>
      </c>
      <c r="L534" s="197"/>
      <c r="M534" s="237" t="s">
        <v>2206</v>
      </c>
      <c r="N534" s="197"/>
      <c r="O534" s="197"/>
      <c r="P534" s="197">
        <v>9403208000</v>
      </c>
      <c r="Q534" s="240">
        <v>354.81497056349872</v>
      </c>
      <c r="R534" s="277" t="s">
        <v>9</v>
      </c>
      <c r="T534" s="168">
        <v>1182.7165685449959</v>
      </c>
      <c r="U534" s="168">
        <v>709.62994112699755</v>
      </c>
      <c r="V534" s="168">
        <v>591.35828427249794</v>
      </c>
      <c r="W534" s="168">
        <v>473.08662741799839</v>
      </c>
    </row>
    <row r="535" spans="1:23" s="129" customFormat="1">
      <c r="A535" s="195" t="s">
        <v>1276</v>
      </c>
      <c r="B535" s="195" t="s">
        <v>1102</v>
      </c>
      <c r="C535" s="239" t="s">
        <v>2209</v>
      </c>
      <c r="D535" s="237" t="s">
        <v>2445</v>
      </c>
      <c r="E535" s="128" t="s">
        <v>2636</v>
      </c>
      <c r="F535" s="128"/>
      <c r="G535" s="233" t="s">
        <v>2459</v>
      </c>
      <c r="H535" s="238"/>
      <c r="I535" s="236" t="s">
        <v>2705</v>
      </c>
      <c r="J535" s="128"/>
      <c r="K535" s="239" t="s">
        <v>1223</v>
      </c>
      <c r="L535" s="197"/>
      <c r="M535" s="237" t="s">
        <v>2206</v>
      </c>
      <c r="N535" s="197"/>
      <c r="O535" s="197"/>
      <c r="P535" s="197">
        <v>9403208000</v>
      </c>
      <c r="Q535" s="240">
        <v>367.95626576955431</v>
      </c>
      <c r="R535" s="277" t="s">
        <v>9</v>
      </c>
      <c r="T535" s="168">
        <v>1226.5208858985145</v>
      </c>
      <c r="U535" s="168">
        <v>735.91253153910873</v>
      </c>
      <c r="V535" s="168">
        <v>613.26044294925725</v>
      </c>
      <c r="W535" s="168">
        <v>490.60835435940584</v>
      </c>
    </row>
    <row r="536" spans="1:23" s="129" customFormat="1">
      <c r="A536" s="195" t="s">
        <v>1276</v>
      </c>
      <c r="B536" s="195" t="s">
        <v>1102</v>
      </c>
      <c r="C536" s="239" t="s">
        <v>2209</v>
      </c>
      <c r="D536" s="237" t="s">
        <v>2445</v>
      </c>
      <c r="E536" s="128" t="s">
        <v>2644</v>
      </c>
      <c r="F536" s="128"/>
      <c r="G536" s="233" t="s">
        <v>2460</v>
      </c>
      <c r="H536" s="238"/>
      <c r="I536" s="236" t="s">
        <v>2713</v>
      </c>
      <c r="J536" s="128"/>
      <c r="K536" s="239" t="s">
        <v>1223</v>
      </c>
      <c r="L536" s="197"/>
      <c r="M536" s="237" t="s">
        <v>2206</v>
      </c>
      <c r="N536" s="197"/>
      <c r="O536" s="197"/>
      <c r="P536" s="197">
        <v>9403208000</v>
      </c>
      <c r="Q536" s="240">
        <v>256.25525651808243</v>
      </c>
      <c r="R536" s="277" t="s">
        <v>9</v>
      </c>
      <c r="T536" s="168">
        <v>854.18418839360811</v>
      </c>
      <c r="U536" s="168">
        <v>512.51051303616487</v>
      </c>
      <c r="V536" s="168">
        <v>427.09209419680406</v>
      </c>
      <c r="W536" s="168">
        <v>341.67367535744324</v>
      </c>
    </row>
    <row r="537" spans="1:23" s="129" customFormat="1">
      <c r="A537" s="195" t="s">
        <v>1276</v>
      </c>
      <c r="B537" s="195" t="s">
        <v>1102</v>
      </c>
      <c r="C537" s="239" t="s">
        <v>2209</v>
      </c>
      <c r="D537" s="237" t="s">
        <v>2445</v>
      </c>
      <c r="E537" s="128" t="s">
        <v>2642</v>
      </c>
      <c r="F537" s="128"/>
      <c r="G537" s="233" t="s">
        <v>2461</v>
      </c>
      <c r="H537" s="238"/>
      <c r="I537" s="236" t="s">
        <v>2714</v>
      </c>
      <c r="J537" s="128"/>
      <c r="K537" s="239" t="s">
        <v>1223</v>
      </c>
      <c r="L537" s="197"/>
      <c r="M537" s="237" t="s">
        <v>2206</v>
      </c>
      <c r="N537" s="197"/>
      <c r="O537" s="197"/>
      <c r="P537" s="197">
        <v>9403208000</v>
      </c>
      <c r="Q537" s="240">
        <v>269.39655172413796</v>
      </c>
      <c r="R537" s="277" t="s">
        <v>9</v>
      </c>
      <c r="T537" s="168">
        <v>897.98850574712662</v>
      </c>
      <c r="U537" s="168">
        <v>538.79310344827593</v>
      </c>
      <c r="V537" s="168">
        <v>448.99425287356331</v>
      </c>
      <c r="W537" s="168">
        <v>359.19540229885069</v>
      </c>
    </row>
    <row r="538" spans="1:23" s="129" customFormat="1">
      <c r="A538" s="195" t="s">
        <v>1276</v>
      </c>
      <c r="B538" s="195" t="s">
        <v>1102</v>
      </c>
      <c r="C538" s="239" t="s">
        <v>2209</v>
      </c>
      <c r="D538" s="237" t="s">
        <v>2445</v>
      </c>
      <c r="E538" s="128" t="s">
        <v>2643</v>
      </c>
      <c r="F538" s="128"/>
      <c r="G538" s="233" t="s">
        <v>2462</v>
      </c>
      <c r="H538" s="238"/>
      <c r="I538" s="236" t="s">
        <v>2715</v>
      </c>
      <c r="J538" s="128"/>
      <c r="K538" s="239" t="s">
        <v>1223</v>
      </c>
      <c r="L538" s="197"/>
      <c r="M538" s="237" t="s">
        <v>2206</v>
      </c>
      <c r="N538" s="197"/>
      <c r="O538" s="197"/>
      <c r="P538" s="197">
        <v>9403208000</v>
      </c>
      <c r="Q538" s="240">
        <v>289.10849453322118</v>
      </c>
      <c r="R538" s="277" t="s">
        <v>9</v>
      </c>
      <c r="T538" s="168">
        <v>963.694981777404</v>
      </c>
      <c r="U538" s="168">
        <v>578.21698906644235</v>
      </c>
      <c r="V538" s="168">
        <v>481.847490888702</v>
      </c>
      <c r="W538" s="168">
        <v>385.47799271096164</v>
      </c>
    </row>
    <row r="539" spans="1:23" s="129" customFormat="1">
      <c r="A539" s="195" t="s">
        <v>1276</v>
      </c>
      <c r="B539" s="195" t="s">
        <v>1102</v>
      </c>
      <c r="C539" s="239" t="s">
        <v>2209</v>
      </c>
      <c r="D539" s="237" t="s">
        <v>2445</v>
      </c>
      <c r="E539" s="128" t="s">
        <v>2645</v>
      </c>
      <c r="F539" s="128"/>
      <c r="G539" s="233" t="s">
        <v>2463</v>
      </c>
      <c r="H539" s="238"/>
      <c r="I539" s="236" t="s">
        <v>2716</v>
      </c>
      <c r="J539" s="128"/>
      <c r="K539" s="239" t="s">
        <v>1223</v>
      </c>
      <c r="L539" s="197"/>
      <c r="M539" s="237" t="s">
        <v>2206</v>
      </c>
      <c r="N539" s="197"/>
      <c r="O539" s="197"/>
      <c r="P539" s="197">
        <v>9403208000</v>
      </c>
      <c r="Q539" s="240">
        <v>308.82043734230444</v>
      </c>
      <c r="R539" s="277" t="s">
        <v>9</v>
      </c>
      <c r="T539" s="168">
        <v>1029.4014578076815</v>
      </c>
      <c r="U539" s="168">
        <v>617.64087468460889</v>
      </c>
      <c r="V539" s="168">
        <v>514.70072890384074</v>
      </c>
      <c r="W539" s="168">
        <v>411.76058312307259</v>
      </c>
    </row>
    <row r="540" spans="1:23" s="129" customFormat="1">
      <c r="A540" s="195" t="s">
        <v>1276</v>
      </c>
      <c r="B540" s="195" t="s">
        <v>1102</v>
      </c>
      <c r="C540" s="239" t="s">
        <v>2209</v>
      </c>
      <c r="D540" s="237" t="s">
        <v>2445</v>
      </c>
      <c r="E540" s="128" t="s">
        <v>2646</v>
      </c>
      <c r="F540" s="128"/>
      <c r="G540" s="233" t="s">
        <v>2464</v>
      </c>
      <c r="H540" s="238"/>
      <c r="I540" s="236" t="s">
        <v>2717</v>
      </c>
      <c r="J540" s="128"/>
      <c r="K540" s="239" t="s">
        <v>1223</v>
      </c>
      <c r="L540" s="197"/>
      <c r="M540" s="237" t="s">
        <v>2206</v>
      </c>
      <c r="N540" s="197"/>
      <c r="O540" s="197"/>
      <c r="P540" s="197">
        <v>9403208000</v>
      </c>
      <c r="Q540" s="240">
        <v>341.67367535744319</v>
      </c>
      <c r="R540" s="277" t="s">
        <v>9</v>
      </c>
      <c r="T540" s="168">
        <v>1138.9122511914773</v>
      </c>
      <c r="U540" s="168">
        <v>683.34735071488637</v>
      </c>
      <c r="V540" s="168">
        <v>569.45612559573863</v>
      </c>
      <c r="W540" s="168">
        <v>455.56490047659094</v>
      </c>
    </row>
    <row r="541" spans="1:23" s="129" customFormat="1">
      <c r="A541" s="195" t="s">
        <v>1276</v>
      </c>
      <c r="B541" s="195" t="s">
        <v>1102</v>
      </c>
      <c r="C541" s="239" t="s">
        <v>2209</v>
      </c>
      <c r="D541" s="237" t="s">
        <v>2445</v>
      </c>
      <c r="E541" s="128" t="s">
        <v>2647</v>
      </c>
      <c r="F541" s="128"/>
      <c r="G541" s="233" t="s">
        <v>2465</v>
      </c>
      <c r="H541" s="238"/>
      <c r="I541" s="236" t="s">
        <v>2718</v>
      </c>
      <c r="J541" s="128"/>
      <c r="K541" s="239" t="s">
        <v>1223</v>
      </c>
      <c r="L541" s="197"/>
      <c r="M541" s="237" t="s">
        <v>2206</v>
      </c>
      <c r="N541" s="197"/>
      <c r="O541" s="197"/>
      <c r="P541" s="197">
        <v>9403208000</v>
      </c>
      <c r="Q541" s="240">
        <v>367.95626576955431</v>
      </c>
      <c r="R541" s="277" t="s">
        <v>9</v>
      </c>
      <c r="T541" s="168">
        <v>1226.5208858985145</v>
      </c>
      <c r="U541" s="168">
        <v>735.91253153910873</v>
      </c>
      <c r="V541" s="168">
        <v>613.26044294925725</v>
      </c>
      <c r="W541" s="168">
        <v>490.60835435940584</v>
      </c>
    </row>
    <row r="542" spans="1:23" s="129" customFormat="1">
      <c r="A542" s="195" t="s">
        <v>1276</v>
      </c>
      <c r="B542" s="195" t="s">
        <v>1102</v>
      </c>
      <c r="C542" s="239" t="s">
        <v>2209</v>
      </c>
      <c r="D542" s="237" t="s">
        <v>2445</v>
      </c>
      <c r="E542" s="128" t="s">
        <v>2636</v>
      </c>
      <c r="F542" s="128"/>
      <c r="G542" s="233" t="s">
        <v>2466</v>
      </c>
      <c r="H542" s="238"/>
      <c r="I542" s="236" t="s">
        <v>2719</v>
      </c>
      <c r="J542" s="128"/>
      <c r="K542" s="239" t="s">
        <v>1223</v>
      </c>
      <c r="L542" s="197"/>
      <c r="M542" s="237" t="s">
        <v>2206</v>
      </c>
      <c r="N542" s="197"/>
      <c r="O542" s="197"/>
      <c r="P542" s="197">
        <v>9403208000</v>
      </c>
      <c r="Q542" s="240">
        <v>381.09756097560978</v>
      </c>
      <c r="R542" s="277" t="s">
        <v>9</v>
      </c>
      <c r="T542" s="168">
        <v>1270.3252032520327</v>
      </c>
      <c r="U542" s="168">
        <v>762.19512195121956</v>
      </c>
      <c r="V542" s="168">
        <v>635.16260162601634</v>
      </c>
      <c r="W542" s="168">
        <v>508.13008130081312</v>
      </c>
    </row>
    <row r="543" spans="1:23" s="129" customFormat="1">
      <c r="A543" s="195" t="s">
        <v>1276</v>
      </c>
      <c r="B543" s="195" t="s">
        <v>1102</v>
      </c>
      <c r="C543" s="239" t="s">
        <v>2209</v>
      </c>
      <c r="D543" s="237" t="s">
        <v>2445</v>
      </c>
      <c r="E543" s="128" t="s">
        <v>2644</v>
      </c>
      <c r="F543" s="128"/>
      <c r="G543" s="233" t="s">
        <v>2467</v>
      </c>
      <c r="H543" s="238"/>
      <c r="I543" s="236" t="s">
        <v>2721</v>
      </c>
      <c r="J543" s="128"/>
      <c r="K543" s="239" t="s">
        <v>1223</v>
      </c>
      <c r="L543" s="197"/>
      <c r="M543" s="237" t="s">
        <v>2206</v>
      </c>
      <c r="N543" s="197"/>
      <c r="O543" s="197"/>
      <c r="P543" s="197">
        <v>9403208000</v>
      </c>
      <c r="Q543" s="240">
        <v>269.39655172413796</v>
      </c>
      <c r="R543" s="277" t="s">
        <v>9</v>
      </c>
      <c r="T543" s="168">
        <v>897.98850574712662</v>
      </c>
      <c r="U543" s="168">
        <v>538.79310344827593</v>
      </c>
      <c r="V543" s="168">
        <v>448.99425287356331</v>
      </c>
      <c r="W543" s="168">
        <v>359.19540229885069</v>
      </c>
    </row>
    <row r="544" spans="1:23" s="129" customFormat="1">
      <c r="A544" s="195" t="s">
        <v>1276</v>
      </c>
      <c r="B544" s="195" t="s">
        <v>1102</v>
      </c>
      <c r="C544" s="239" t="s">
        <v>2209</v>
      </c>
      <c r="D544" s="237" t="s">
        <v>2445</v>
      </c>
      <c r="E544" s="128" t="s">
        <v>2642</v>
      </c>
      <c r="F544" s="128"/>
      <c r="G544" s="233" t="s">
        <v>2468</v>
      </c>
      <c r="H544" s="238"/>
      <c r="I544" s="236" t="s">
        <v>2723</v>
      </c>
      <c r="J544" s="128"/>
      <c r="K544" s="239" t="s">
        <v>1223</v>
      </c>
      <c r="L544" s="197"/>
      <c r="M544" s="237" t="s">
        <v>2206</v>
      </c>
      <c r="N544" s="197"/>
      <c r="O544" s="197"/>
      <c r="P544" s="197">
        <v>9403208000</v>
      </c>
      <c r="Q544" s="240">
        <v>282.5378469301935</v>
      </c>
      <c r="R544" s="277" t="s">
        <v>9</v>
      </c>
      <c r="T544" s="168">
        <v>941.79282310064502</v>
      </c>
      <c r="U544" s="168">
        <v>565.07569386038699</v>
      </c>
      <c r="V544" s="168">
        <v>470.89641155032251</v>
      </c>
      <c r="W544" s="168">
        <v>376.71712924025803</v>
      </c>
    </row>
    <row r="545" spans="1:23" s="129" customFormat="1">
      <c r="A545" s="195" t="s">
        <v>1276</v>
      </c>
      <c r="B545" s="195" t="s">
        <v>1102</v>
      </c>
      <c r="C545" s="239" t="s">
        <v>2209</v>
      </c>
      <c r="D545" s="237" t="s">
        <v>2445</v>
      </c>
      <c r="E545" s="128" t="s">
        <v>2643</v>
      </c>
      <c r="F545" s="128"/>
      <c r="G545" s="233" t="s">
        <v>2469</v>
      </c>
      <c r="H545" s="238"/>
      <c r="I545" s="236" t="s">
        <v>2725</v>
      </c>
      <c r="J545" s="128"/>
      <c r="K545" s="239" t="s">
        <v>1223</v>
      </c>
      <c r="L545" s="197"/>
      <c r="M545" s="237" t="s">
        <v>2206</v>
      </c>
      <c r="N545" s="197"/>
      <c r="O545" s="197"/>
      <c r="P545" s="197">
        <v>9403208000</v>
      </c>
      <c r="Q545" s="240">
        <v>306.19217830109335</v>
      </c>
      <c r="R545" s="277" t="s">
        <v>9</v>
      </c>
      <c r="T545" s="168">
        <v>1020.6405943369779</v>
      </c>
      <c r="U545" s="168">
        <v>612.3843566021867</v>
      </c>
      <c r="V545" s="168">
        <v>510.32029716848893</v>
      </c>
      <c r="W545" s="168">
        <v>408.25623773479117</v>
      </c>
    </row>
    <row r="546" spans="1:23" s="129" customFormat="1">
      <c r="A546" s="195" t="s">
        <v>1276</v>
      </c>
      <c r="B546" s="195" t="s">
        <v>1102</v>
      </c>
      <c r="C546" s="239" t="s">
        <v>2209</v>
      </c>
      <c r="D546" s="237" t="s">
        <v>2445</v>
      </c>
      <c r="E546" s="128" t="s">
        <v>2645</v>
      </c>
      <c r="F546" s="128"/>
      <c r="G546" s="233" t="s">
        <v>2470</v>
      </c>
      <c r="H546" s="238"/>
      <c r="I546" s="236" t="s">
        <v>2727</v>
      </c>
      <c r="J546" s="128"/>
      <c r="K546" s="239" t="s">
        <v>1223</v>
      </c>
      <c r="L546" s="197"/>
      <c r="M546" s="237" t="s">
        <v>2206</v>
      </c>
      <c r="N546" s="197"/>
      <c r="O546" s="197"/>
      <c r="P546" s="197">
        <v>9403208000</v>
      </c>
      <c r="Q546" s="240">
        <v>328.53238015138766</v>
      </c>
      <c r="R546" s="277" t="s">
        <v>9</v>
      </c>
      <c r="T546" s="168">
        <v>1095.1079338379589</v>
      </c>
      <c r="U546" s="168">
        <v>657.06476030277531</v>
      </c>
      <c r="V546" s="168">
        <v>547.55396691897943</v>
      </c>
      <c r="W546" s="168">
        <v>438.04317353518354</v>
      </c>
    </row>
    <row r="547" spans="1:23" s="129" customFormat="1">
      <c r="A547" s="195" t="s">
        <v>1276</v>
      </c>
      <c r="B547" s="195" t="s">
        <v>1102</v>
      </c>
      <c r="C547" s="239" t="s">
        <v>2209</v>
      </c>
      <c r="D547" s="237" t="s">
        <v>2445</v>
      </c>
      <c r="E547" s="128" t="s">
        <v>2646</v>
      </c>
      <c r="F547" s="128"/>
      <c r="G547" s="233" t="s">
        <v>2471</v>
      </c>
      <c r="H547" s="238"/>
      <c r="I547" s="236" t="s">
        <v>2729</v>
      </c>
      <c r="J547" s="128"/>
      <c r="K547" s="239" t="s">
        <v>1223</v>
      </c>
      <c r="L547" s="197"/>
      <c r="M547" s="237" t="s">
        <v>2206</v>
      </c>
      <c r="N547" s="197"/>
      <c r="O547" s="197"/>
      <c r="P547" s="197">
        <v>9403208000</v>
      </c>
      <c r="Q547" s="240">
        <v>361.38561816652651</v>
      </c>
      <c r="R547" s="277" t="s">
        <v>9</v>
      </c>
      <c r="T547" s="168">
        <v>1204.6187272217551</v>
      </c>
      <c r="U547" s="168">
        <v>722.77123633305303</v>
      </c>
      <c r="V547" s="168">
        <v>602.30936361087754</v>
      </c>
      <c r="W547" s="168">
        <v>481.84749088870205</v>
      </c>
    </row>
    <row r="548" spans="1:23" s="129" customFormat="1">
      <c r="A548" s="195" t="s">
        <v>1276</v>
      </c>
      <c r="B548" s="195" t="s">
        <v>1102</v>
      </c>
      <c r="C548" s="239" t="s">
        <v>2209</v>
      </c>
      <c r="D548" s="237" t="s">
        <v>2445</v>
      </c>
      <c r="E548" s="128" t="s">
        <v>2647</v>
      </c>
      <c r="F548" s="128"/>
      <c r="G548" s="233" t="s">
        <v>2472</v>
      </c>
      <c r="H548" s="238"/>
      <c r="I548" s="236" t="s">
        <v>2731</v>
      </c>
      <c r="J548" s="128"/>
      <c r="K548" s="239" t="s">
        <v>1223</v>
      </c>
      <c r="L548" s="197"/>
      <c r="M548" s="237" t="s">
        <v>2206</v>
      </c>
      <c r="N548" s="197"/>
      <c r="O548" s="197"/>
      <c r="P548" s="197">
        <v>9403208000</v>
      </c>
      <c r="Q548" s="240">
        <v>387.66820857863752</v>
      </c>
      <c r="R548" s="277" t="s">
        <v>9</v>
      </c>
      <c r="T548" s="168">
        <v>1292.2273619287919</v>
      </c>
      <c r="U548" s="168">
        <v>775.33641715727515</v>
      </c>
      <c r="V548" s="168">
        <v>646.11368096439594</v>
      </c>
      <c r="W548" s="168">
        <v>516.89094477151673</v>
      </c>
    </row>
    <row r="549" spans="1:23" s="129" customFormat="1">
      <c r="A549" s="195" t="s">
        <v>1276</v>
      </c>
      <c r="B549" s="195" t="s">
        <v>1102</v>
      </c>
      <c r="C549" s="239" t="s">
        <v>2209</v>
      </c>
      <c r="D549" s="237" t="s">
        <v>2445</v>
      </c>
      <c r="E549" s="128" t="s">
        <v>2636</v>
      </c>
      <c r="F549" s="128"/>
      <c r="G549" s="233" t="s">
        <v>2473</v>
      </c>
      <c r="H549" s="238"/>
      <c r="I549" s="236" t="s">
        <v>2733</v>
      </c>
      <c r="J549" s="128"/>
      <c r="K549" s="239" t="s">
        <v>1223</v>
      </c>
      <c r="L549" s="197"/>
      <c r="M549" s="237" t="s">
        <v>2206</v>
      </c>
      <c r="N549" s="197"/>
      <c r="O549" s="197"/>
      <c r="P549" s="197">
        <v>9403208000</v>
      </c>
      <c r="Q549" s="240">
        <v>413.95079899074852</v>
      </c>
      <c r="R549" s="277" t="s">
        <v>9</v>
      </c>
      <c r="T549" s="168">
        <v>1379.8359966358285</v>
      </c>
      <c r="U549" s="168">
        <v>827.90159798149705</v>
      </c>
      <c r="V549" s="168">
        <v>689.91799831791423</v>
      </c>
      <c r="W549" s="168">
        <v>551.9343986543314</v>
      </c>
    </row>
    <row r="550" spans="1:23" s="129" customFormat="1">
      <c r="A550" s="195" t="s">
        <v>1276</v>
      </c>
      <c r="B550" s="195" t="s">
        <v>1102</v>
      </c>
      <c r="C550" s="239" t="s">
        <v>2209</v>
      </c>
      <c r="D550" s="237" t="s">
        <v>2445</v>
      </c>
      <c r="E550" s="128" t="s">
        <v>2644</v>
      </c>
      <c r="F550" s="128"/>
      <c r="G550" s="233" t="s">
        <v>2474</v>
      </c>
      <c r="H550" s="238"/>
      <c r="I550" s="236" t="s">
        <v>2735</v>
      </c>
      <c r="J550" s="128"/>
      <c r="K550" s="239" t="s">
        <v>1223</v>
      </c>
      <c r="L550" s="197"/>
      <c r="M550" s="237" t="s">
        <v>2206</v>
      </c>
      <c r="N550" s="197"/>
      <c r="O550" s="197"/>
      <c r="P550" s="197">
        <v>9403208000</v>
      </c>
      <c r="Q550" s="240">
        <v>282.5378469301935</v>
      </c>
      <c r="R550" s="277" t="s">
        <v>9</v>
      </c>
      <c r="T550" s="168">
        <v>941.79282310064502</v>
      </c>
      <c r="U550" s="168">
        <v>565.07569386038699</v>
      </c>
      <c r="V550" s="168">
        <v>470.89641155032251</v>
      </c>
      <c r="W550" s="168">
        <v>376.71712924025803</v>
      </c>
    </row>
    <row r="551" spans="1:23" s="129" customFormat="1">
      <c r="A551" s="195" t="s">
        <v>1276</v>
      </c>
      <c r="B551" s="195" t="s">
        <v>1102</v>
      </c>
      <c r="C551" s="239" t="s">
        <v>2209</v>
      </c>
      <c r="D551" s="237" t="s">
        <v>2445</v>
      </c>
      <c r="E551" s="128" t="s">
        <v>2642</v>
      </c>
      <c r="F551" s="128"/>
      <c r="G551" s="233" t="s">
        <v>2475</v>
      </c>
      <c r="H551" s="238"/>
      <c r="I551" s="236" t="s">
        <v>2737</v>
      </c>
      <c r="J551" s="128"/>
      <c r="K551" s="239" t="s">
        <v>1223</v>
      </c>
      <c r="L551" s="197"/>
      <c r="M551" s="237" t="s">
        <v>2206</v>
      </c>
      <c r="N551" s="197"/>
      <c r="O551" s="197"/>
      <c r="P551" s="197">
        <v>9403208000</v>
      </c>
      <c r="Q551" s="240">
        <v>295.67914213624897</v>
      </c>
      <c r="R551" s="277" t="s">
        <v>9</v>
      </c>
      <c r="T551" s="168">
        <v>985.59714045416331</v>
      </c>
      <c r="U551" s="168">
        <v>591.35828427249794</v>
      </c>
      <c r="V551" s="168">
        <v>492.79857022708165</v>
      </c>
      <c r="W551" s="168">
        <v>394.23885618166537</v>
      </c>
    </row>
    <row r="552" spans="1:23" s="129" customFormat="1">
      <c r="A552" s="195" t="s">
        <v>1276</v>
      </c>
      <c r="B552" s="195" t="s">
        <v>1102</v>
      </c>
      <c r="C552" s="239" t="s">
        <v>2209</v>
      </c>
      <c r="D552" s="237" t="s">
        <v>2445</v>
      </c>
      <c r="E552" s="128" t="s">
        <v>2643</v>
      </c>
      <c r="F552" s="128"/>
      <c r="G552" s="233" t="s">
        <v>2476</v>
      </c>
      <c r="H552" s="238"/>
      <c r="I552" s="236" t="s">
        <v>2739</v>
      </c>
      <c r="J552" s="128"/>
      <c r="K552" s="239" t="s">
        <v>1223</v>
      </c>
      <c r="L552" s="197"/>
      <c r="M552" s="237" t="s">
        <v>2206</v>
      </c>
      <c r="N552" s="197"/>
      <c r="O552" s="197"/>
      <c r="P552" s="197">
        <v>9403208000</v>
      </c>
      <c r="Q552" s="240">
        <v>315.39108494533224</v>
      </c>
      <c r="R552" s="277" t="s">
        <v>9</v>
      </c>
      <c r="T552" s="168">
        <v>1051.3036164844409</v>
      </c>
      <c r="U552" s="168">
        <v>630.78216989066448</v>
      </c>
      <c r="V552" s="168">
        <v>525.65180824222045</v>
      </c>
      <c r="W552" s="168">
        <v>420.52144659377637</v>
      </c>
    </row>
    <row r="553" spans="1:23" s="129" customFormat="1">
      <c r="A553" s="195" t="s">
        <v>1276</v>
      </c>
      <c r="B553" s="195" t="s">
        <v>1102</v>
      </c>
      <c r="C553" s="239" t="s">
        <v>2209</v>
      </c>
      <c r="D553" s="237" t="s">
        <v>2445</v>
      </c>
      <c r="E553" s="128" t="s">
        <v>2645</v>
      </c>
      <c r="F553" s="128"/>
      <c r="G553" s="233" t="s">
        <v>2477</v>
      </c>
      <c r="H553" s="238"/>
      <c r="I553" s="236" t="s">
        <v>2741</v>
      </c>
      <c r="J553" s="128"/>
      <c r="K553" s="239" t="s">
        <v>1223</v>
      </c>
      <c r="L553" s="197"/>
      <c r="M553" s="237" t="s">
        <v>2206</v>
      </c>
      <c r="N553" s="197"/>
      <c r="O553" s="197"/>
      <c r="P553" s="197">
        <v>9403208000</v>
      </c>
      <c r="Q553" s="240">
        <v>341.67367535744319</v>
      </c>
      <c r="R553" s="277" t="s">
        <v>9</v>
      </c>
      <c r="T553" s="168">
        <v>1138.9122511914773</v>
      </c>
      <c r="U553" s="168">
        <v>683.34735071488637</v>
      </c>
      <c r="V553" s="168">
        <v>569.45612559573863</v>
      </c>
      <c r="W553" s="168">
        <v>455.56490047659094</v>
      </c>
    </row>
    <row r="554" spans="1:23" s="129" customFormat="1">
      <c r="A554" s="195" t="s">
        <v>1276</v>
      </c>
      <c r="B554" s="195" t="s">
        <v>1102</v>
      </c>
      <c r="C554" s="239" t="s">
        <v>2209</v>
      </c>
      <c r="D554" s="237" t="s">
        <v>2445</v>
      </c>
      <c r="E554" s="128" t="s">
        <v>2646</v>
      </c>
      <c r="F554" s="128"/>
      <c r="G554" s="233" t="s">
        <v>2478</v>
      </c>
      <c r="H554" s="238"/>
      <c r="I554" s="236" t="s">
        <v>2743</v>
      </c>
      <c r="J554" s="128"/>
      <c r="K554" s="239" t="s">
        <v>1223</v>
      </c>
      <c r="L554" s="197"/>
      <c r="M554" s="237" t="s">
        <v>2206</v>
      </c>
      <c r="N554" s="197"/>
      <c r="O554" s="197"/>
      <c r="P554" s="197">
        <v>9403208000</v>
      </c>
      <c r="Q554" s="240">
        <v>374.52691337258199</v>
      </c>
      <c r="R554" s="277" t="s">
        <v>9</v>
      </c>
      <c r="T554" s="168">
        <v>1248.4230445752733</v>
      </c>
      <c r="U554" s="168">
        <v>749.05382674516397</v>
      </c>
      <c r="V554" s="168">
        <v>624.21152228763663</v>
      </c>
      <c r="W554" s="168">
        <v>499.36921783010933</v>
      </c>
    </row>
    <row r="555" spans="1:23" s="129" customFormat="1">
      <c r="A555" s="195" t="s">
        <v>1276</v>
      </c>
      <c r="B555" s="195" t="s">
        <v>1102</v>
      </c>
      <c r="C555" s="239" t="s">
        <v>2209</v>
      </c>
      <c r="D555" s="237" t="s">
        <v>2445</v>
      </c>
      <c r="E555" s="128" t="s">
        <v>2647</v>
      </c>
      <c r="F555" s="128"/>
      <c r="G555" s="233" t="s">
        <v>2479</v>
      </c>
      <c r="H555" s="238"/>
      <c r="I555" s="236" t="s">
        <v>2745</v>
      </c>
      <c r="J555" s="128"/>
      <c r="K555" s="239" t="s">
        <v>1223</v>
      </c>
      <c r="L555" s="197"/>
      <c r="M555" s="237" t="s">
        <v>2206</v>
      </c>
      <c r="N555" s="197"/>
      <c r="O555" s="197"/>
      <c r="P555" s="197">
        <v>9403208000</v>
      </c>
      <c r="Q555" s="240">
        <v>407.38015138772073</v>
      </c>
      <c r="R555" s="277" t="s">
        <v>9</v>
      </c>
      <c r="T555" s="168">
        <v>1357.9338379590693</v>
      </c>
      <c r="U555" s="168">
        <v>814.76030277544157</v>
      </c>
      <c r="V555" s="168">
        <v>678.96691897953463</v>
      </c>
      <c r="W555" s="168">
        <v>543.17353518362768</v>
      </c>
    </row>
    <row r="556" spans="1:23" s="129" customFormat="1">
      <c r="A556" s="195" t="s">
        <v>1276</v>
      </c>
      <c r="B556" s="195" t="s">
        <v>1102</v>
      </c>
      <c r="C556" s="239" t="s">
        <v>2209</v>
      </c>
      <c r="D556" s="237" t="s">
        <v>2445</v>
      </c>
      <c r="E556" s="128" t="s">
        <v>2636</v>
      </c>
      <c r="F556" s="128"/>
      <c r="G556" s="233" t="s">
        <v>2480</v>
      </c>
      <c r="H556" s="238"/>
      <c r="I556" s="236" t="s">
        <v>2747</v>
      </c>
      <c r="J556" s="128"/>
      <c r="K556" s="239" t="s">
        <v>1223</v>
      </c>
      <c r="L556" s="197"/>
      <c r="M556" s="237" t="s">
        <v>2206</v>
      </c>
      <c r="N556" s="197"/>
      <c r="O556" s="197"/>
      <c r="P556" s="197">
        <v>9403208000</v>
      </c>
      <c r="Q556" s="240">
        <v>420.52144659377626</v>
      </c>
      <c r="R556" s="277" t="s">
        <v>9</v>
      </c>
      <c r="T556" s="168">
        <v>1401.7381553125877</v>
      </c>
      <c r="U556" s="168">
        <v>841.04289318755252</v>
      </c>
      <c r="V556" s="168">
        <v>700.86907765629383</v>
      </c>
      <c r="W556" s="168">
        <v>560.69526212503513</v>
      </c>
    </row>
    <row r="557" spans="1:23" s="129" customFormat="1">
      <c r="A557" s="195" t="s">
        <v>1276</v>
      </c>
      <c r="B557" s="195" t="s">
        <v>1102</v>
      </c>
      <c r="C557" s="239" t="s">
        <v>2209</v>
      </c>
      <c r="D557" s="237" t="s">
        <v>2207</v>
      </c>
      <c r="E557" s="128" t="s">
        <v>2648</v>
      </c>
      <c r="F557" s="128"/>
      <c r="G557" s="233" t="s">
        <v>2481</v>
      </c>
      <c r="H557" s="238"/>
      <c r="I557" s="236" t="s">
        <v>2748</v>
      </c>
      <c r="J557" s="128"/>
      <c r="K557" s="239" t="s">
        <v>1223</v>
      </c>
      <c r="L557" s="197"/>
      <c r="M557" s="237" t="s">
        <v>2206</v>
      </c>
      <c r="N557" s="197"/>
      <c r="O557" s="197"/>
      <c r="P557" s="197">
        <v>9403208000</v>
      </c>
      <c r="Q557" s="240">
        <v>75.983642793987627</v>
      </c>
      <c r="R557" s="277" t="s">
        <v>9</v>
      </c>
      <c r="T557" s="168">
        <v>253.2788093132921</v>
      </c>
      <c r="U557" s="168">
        <v>151.96728558797525</v>
      </c>
      <c r="V557" s="168">
        <v>126.63940465664605</v>
      </c>
      <c r="W557" s="168">
        <v>101.31152372531685</v>
      </c>
    </row>
    <row r="558" spans="1:23" s="129" customFormat="1">
      <c r="A558" s="195" t="s">
        <v>1276</v>
      </c>
      <c r="B558" s="195" t="s">
        <v>1102</v>
      </c>
      <c r="C558" s="239" t="s">
        <v>2209</v>
      </c>
      <c r="D558" s="237" t="s">
        <v>2207</v>
      </c>
      <c r="E558" s="128" t="s">
        <v>2642</v>
      </c>
      <c r="F558" s="128"/>
      <c r="G558" s="233" t="s">
        <v>2482</v>
      </c>
      <c r="H558" s="238"/>
      <c r="I558" s="236" t="s">
        <v>2755</v>
      </c>
      <c r="J558" s="128"/>
      <c r="K558" s="239" t="s">
        <v>1223</v>
      </c>
      <c r="L558" s="197"/>
      <c r="M558" s="237" t="s">
        <v>2206</v>
      </c>
      <c r="N558" s="197"/>
      <c r="O558" s="197"/>
      <c r="P558" s="197">
        <v>9403208000</v>
      </c>
      <c r="Q558" s="240">
        <v>82.891246684350136</v>
      </c>
      <c r="R558" s="277" t="s">
        <v>9</v>
      </c>
      <c r="T558" s="168">
        <v>276.30415561450047</v>
      </c>
      <c r="U558" s="168">
        <v>165.78249336870027</v>
      </c>
      <c r="V558" s="168">
        <v>138.15207780725024</v>
      </c>
      <c r="W558" s="168">
        <v>110.5216622458002</v>
      </c>
    </row>
    <row r="559" spans="1:23" s="129" customFormat="1">
      <c r="A559" s="195" t="s">
        <v>1276</v>
      </c>
      <c r="B559" s="195" t="s">
        <v>1102</v>
      </c>
      <c r="C559" s="239" t="s">
        <v>2209</v>
      </c>
      <c r="D559" s="237" t="s">
        <v>2207</v>
      </c>
      <c r="E559" s="128" t="s">
        <v>2643</v>
      </c>
      <c r="F559" s="128"/>
      <c r="G559" s="233" t="s">
        <v>2483</v>
      </c>
      <c r="H559" s="238"/>
      <c r="I559" s="236" t="s">
        <v>2756</v>
      </c>
      <c r="J559" s="128"/>
      <c r="K559" s="239" t="s">
        <v>1223</v>
      </c>
      <c r="L559" s="197"/>
      <c r="M559" s="237" t="s">
        <v>2206</v>
      </c>
      <c r="N559" s="197"/>
      <c r="O559" s="197"/>
      <c r="P559" s="197">
        <v>9403208000</v>
      </c>
      <c r="Q559" s="240">
        <v>89.798850574712631</v>
      </c>
      <c r="R559" s="277" t="s">
        <v>9</v>
      </c>
      <c r="T559" s="168">
        <v>299.32950191570876</v>
      </c>
      <c r="U559" s="168">
        <v>179.59770114942526</v>
      </c>
      <c r="V559" s="168">
        <v>149.66475095785438</v>
      </c>
      <c r="W559" s="168">
        <v>119.73180076628351</v>
      </c>
    </row>
    <row r="560" spans="1:23" s="129" customFormat="1">
      <c r="A560" s="195" t="s">
        <v>1276</v>
      </c>
      <c r="B560" s="195" t="s">
        <v>1102</v>
      </c>
      <c r="C560" s="239" t="s">
        <v>2209</v>
      </c>
      <c r="D560" s="237" t="s">
        <v>2207</v>
      </c>
      <c r="E560" s="128" t="s">
        <v>2649</v>
      </c>
      <c r="F560" s="128"/>
      <c r="G560" s="233" t="s">
        <v>2484</v>
      </c>
      <c r="H560" s="238"/>
      <c r="I560" s="236" t="s">
        <v>2757</v>
      </c>
      <c r="J560" s="128"/>
      <c r="K560" s="239" t="s">
        <v>1223</v>
      </c>
      <c r="L560" s="197"/>
      <c r="M560" s="237" t="s">
        <v>2206</v>
      </c>
      <c r="N560" s="197"/>
      <c r="O560" s="197"/>
      <c r="P560" s="197">
        <v>9403208000</v>
      </c>
      <c r="Q560" s="240">
        <v>103.61405835543768</v>
      </c>
      <c r="R560" s="277" t="s">
        <v>9</v>
      </c>
      <c r="T560" s="168">
        <v>345.38019451812562</v>
      </c>
      <c r="U560" s="168">
        <v>207.22811671087536</v>
      </c>
      <c r="V560" s="168">
        <v>172.69009725906281</v>
      </c>
      <c r="W560" s="168">
        <v>138.15207780725027</v>
      </c>
    </row>
    <row r="561" spans="1:23" s="129" customFormat="1">
      <c r="A561" s="195" t="s">
        <v>1276</v>
      </c>
      <c r="B561" s="195" t="s">
        <v>1102</v>
      </c>
      <c r="C561" s="239" t="s">
        <v>2209</v>
      </c>
      <c r="D561" s="237" t="s">
        <v>2207</v>
      </c>
      <c r="E561" s="128" t="s">
        <v>2646</v>
      </c>
      <c r="F561" s="128"/>
      <c r="G561" s="233" t="s">
        <v>2485</v>
      </c>
      <c r="H561" s="238"/>
      <c r="I561" s="236" t="s">
        <v>2758</v>
      </c>
      <c r="J561" s="128"/>
      <c r="K561" s="239" t="s">
        <v>1223</v>
      </c>
      <c r="L561" s="197"/>
      <c r="M561" s="237" t="s">
        <v>2206</v>
      </c>
      <c r="N561" s="197"/>
      <c r="O561" s="197"/>
      <c r="P561" s="197">
        <v>9403208000</v>
      </c>
      <c r="Q561" s="240">
        <v>110.52166224580017</v>
      </c>
      <c r="R561" s="277" t="s">
        <v>9</v>
      </c>
      <c r="T561" s="168">
        <v>368.40554081933391</v>
      </c>
      <c r="U561" s="168">
        <v>221.04332449160034</v>
      </c>
      <c r="V561" s="168">
        <v>184.20277040966695</v>
      </c>
      <c r="W561" s="168">
        <v>147.36221632773356</v>
      </c>
    </row>
    <row r="562" spans="1:23" s="129" customFormat="1">
      <c r="A562" s="195" t="s">
        <v>1276</v>
      </c>
      <c r="B562" s="195" t="s">
        <v>1102</v>
      </c>
      <c r="C562" s="239" t="s">
        <v>2209</v>
      </c>
      <c r="D562" s="237" t="s">
        <v>2207</v>
      </c>
      <c r="E562" s="128" t="s">
        <v>2636</v>
      </c>
      <c r="F562" s="128"/>
      <c r="G562" s="233" t="s">
        <v>2486</v>
      </c>
      <c r="H562" s="238"/>
      <c r="I562" s="236" t="s">
        <v>2759</v>
      </c>
      <c r="J562" s="128"/>
      <c r="K562" s="239" t="s">
        <v>1223</v>
      </c>
      <c r="L562" s="197"/>
      <c r="M562" s="237" t="s">
        <v>2206</v>
      </c>
      <c r="N562" s="197"/>
      <c r="O562" s="197"/>
      <c r="P562" s="197">
        <v>9403208000</v>
      </c>
      <c r="Q562" s="240">
        <v>124.3368700265252</v>
      </c>
      <c r="R562" s="277" t="s">
        <v>9</v>
      </c>
      <c r="T562" s="168">
        <v>414.45623342175071</v>
      </c>
      <c r="U562" s="168">
        <v>248.67374005305041</v>
      </c>
      <c r="V562" s="168">
        <v>207.22811671087536</v>
      </c>
      <c r="W562" s="168">
        <v>165.7824933687003</v>
      </c>
    </row>
    <row r="563" spans="1:23" s="129" customFormat="1">
      <c r="A563" s="195" t="s">
        <v>1276</v>
      </c>
      <c r="B563" s="195" t="s">
        <v>1102</v>
      </c>
      <c r="C563" s="239" t="s">
        <v>2209</v>
      </c>
      <c r="D563" s="237" t="s">
        <v>2207</v>
      </c>
      <c r="E563" s="128" t="s">
        <v>2648</v>
      </c>
      <c r="F563" s="128"/>
      <c r="G563" s="233" t="s">
        <v>2487</v>
      </c>
      <c r="H563" s="238"/>
      <c r="I563" s="236" t="s">
        <v>2766</v>
      </c>
      <c r="J563" s="128"/>
      <c r="K563" s="239" t="s">
        <v>1223</v>
      </c>
      <c r="L563" s="197"/>
      <c r="M563" s="237" t="s">
        <v>2206</v>
      </c>
      <c r="N563" s="197"/>
      <c r="O563" s="197"/>
      <c r="P563" s="197">
        <v>9403208000</v>
      </c>
      <c r="Q563" s="240">
        <v>82.891246684350136</v>
      </c>
      <c r="R563" s="277" t="s">
        <v>9</v>
      </c>
      <c r="T563" s="168">
        <v>276.30415561450047</v>
      </c>
      <c r="U563" s="168">
        <v>165.78249336870027</v>
      </c>
      <c r="V563" s="168">
        <v>138.15207780725024</v>
      </c>
      <c r="W563" s="168">
        <v>110.5216622458002</v>
      </c>
    </row>
    <row r="564" spans="1:23" s="129" customFormat="1">
      <c r="A564" s="195" t="s">
        <v>1276</v>
      </c>
      <c r="B564" s="195" t="s">
        <v>1102</v>
      </c>
      <c r="C564" s="239" t="s">
        <v>2209</v>
      </c>
      <c r="D564" s="237" t="s">
        <v>2207</v>
      </c>
      <c r="E564" s="128" t="s">
        <v>2642</v>
      </c>
      <c r="F564" s="128"/>
      <c r="G564" s="233" t="s">
        <v>2488</v>
      </c>
      <c r="H564" s="238"/>
      <c r="I564" s="236" t="s">
        <v>2767</v>
      </c>
      <c r="J564" s="128"/>
      <c r="K564" s="239" t="s">
        <v>1223</v>
      </c>
      <c r="L564" s="197"/>
      <c r="M564" s="237" t="s">
        <v>2206</v>
      </c>
      <c r="N564" s="197"/>
      <c r="O564" s="197"/>
      <c r="P564" s="197">
        <v>9403208000</v>
      </c>
      <c r="Q564" s="240">
        <v>89.798850574712631</v>
      </c>
      <c r="R564" s="277" t="s">
        <v>9</v>
      </c>
      <c r="T564" s="168">
        <v>299.32950191570876</v>
      </c>
      <c r="U564" s="168">
        <v>179.59770114942526</v>
      </c>
      <c r="V564" s="168">
        <v>149.66475095785438</v>
      </c>
      <c r="W564" s="168">
        <v>119.73180076628351</v>
      </c>
    </row>
    <row r="565" spans="1:23" s="129" customFormat="1">
      <c r="A565" s="195" t="s">
        <v>1276</v>
      </c>
      <c r="B565" s="195" t="s">
        <v>1102</v>
      </c>
      <c r="C565" s="239" t="s">
        <v>2209</v>
      </c>
      <c r="D565" s="237" t="s">
        <v>2207</v>
      </c>
      <c r="E565" s="128" t="s">
        <v>2643</v>
      </c>
      <c r="F565" s="128"/>
      <c r="G565" s="233" t="s">
        <v>2489</v>
      </c>
      <c r="H565" s="238"/>
      <c r="I565" s="236" t="s">
        <v>2768</v>
      </c>
      <c r="J565" s="128"/>
      <c r="K565" s="239" t="s">
        <v>1223</v>
      </c>
      <c r="L565" s="197"/>
      <c r="M565" s="237" t="s">
        <v>2206</v>
      </c>
      <c r="N565" s="197"/>
      <c r="O565" s="197"/>
      <c r="P565" s="197">
        <v>9403208000</v>
      </c>
      <c r="Q565" s="240">
        <v>99.469496021220166</v>
      </c>
      <c r="R565" s="277" t="s">
        <v>9</v>
      </c>
      <c r="T565" s="168">
        <v>331.56498673740055</v>
      </c>
      <c r="U565" s="168">
        <v>198.93899204244033</v>
      </c>
      <c r="V565" s="168">
        <v>165.78249336870027</v>
      </c>
      <c r="W565" s="168">
        <v>132.62599469496021</v>
      </c>
    </row>
    <row r="566" spans="1:23" s="129" customFormat="1">
      <c r="A566" s="195" t="s">
        <v>1276</v>
      </c>
      <c r="B566" s="195" t="s">
        <v>1102</v>
      </c>
      <c r="C566" s="239" t="s">
        <v>2209</v>
      </c>
      <c r="D566" s="237" t="s">
        <v>2207</v>
      </c>
      <c r="E566" s="128" t="s">
        <v>2649</v>
      </c>
      <c r="F566" s="128"/>
      <c r="G566" s="233" t="s">
        <v>2490</v>
      </c>
      <c r="H566" s="238"/>
      <c r="I566" s="236" t="s">
        <v>2769</v>
      </c>
      <c r="J566" s="128"/>
      <c r="K566" s="239" t="s">
        <v>1223</v>
      </c>
      <c r="L566" s="197"/>
      <c r="M566" s="237" t="s">
        <v>2206</v>
      </c>
      <c r="N566" s="197"/>
      <c r="O566" s="197"/>
      <c r="P566" s="197">
        <v>9403208000</v>
      </c>
      <c r="Q566" s="240">
        <v>110.52166224580017</v>
      </c>
      <c r="R566" s="277" t="s">
        <v>9</v>
      </c>
      <c r="T566" s="168">
        <v>368.40554081933391</v>
      </c>
      <c r="U566" s="168">
        <v>221.04332449160034</v>
      </c>
      <c r="V566" s="168">
        <v>184.20277040966695</v>
      </c>
      <c r="W566" s="168">
        <v>147.36221632773356</v>
      </c>
    </row>
    <row r="567" spans="1:23" s="129" customFormat="1">
      <c r="A567" s="195" t="s">
        <v>1276</v>
      </c>
      <c r="B567" s="195" t="s">
        <v>1102</v>
      </c>
      <c r="C567" s="239" t="s">
        <v>2209</v>
      </c>
      <c r="D567" s="237" t="s">
        <v>2207</v>
      </c>
      <c r="E567" s="128" t="s">
        <v>2646</v>
      </c>
      <c r="F567" s="128"/>
      <c r="G567" s="233" t="s">
        <v>2491</v>
      </c>
      <c r="H567" s="238"/>
      <c r="I567" s="236" t="s">
        <v>2770</v>
      </c>
      <c r="J567" s="128"/>
      <c r="K567" s="239" t="s">
        <v>1223</v>
      </c>
      <c r="L567" s="197"/>
      <c r="M567" s="237" t="s">
        <v>2206</v>
      </c>
      <c r="N567" s="197"/>
      <c r="O567" s="197"/>
      <c r="P567" s="197">
        <v>9403208000</v>
      </c>
      <c r="Q567" s="240">
        <v>124.3368700265252</v>
      </c>
      <c r="R567" s="277" t="s">
        <v>9</v>
      </c>
      <c r="T567" s="168">
        <v>414.45623342175071</v>
      </c>
      <c r="U567" s="168">
        <v>248.67374005305041</v>
      </c>
      <c r="V567" s="168">
        <v>207.22811671087536</v>
      </c>
      <c r="W567" s="168">
        <v>165.7824933687003</v>
      </c>
    </row>
    <row r="568" spans="1:23" s="129" customFormat="1">
      <c r="A568" s="195" t="s">
        <v>1276</v>
      </c>
      <c r="B568" s="195" t="s">
        <v>1102</v>
      </c>
      <c r="C568" s="239" t="s">
        <v>2209</v>
      </c>
      <c r="D568" s="237" t="s">
        <v>2207</v>
      </c>
      <c r="E568" s="128" t="s">
        <v>2636</v>
      </c>
      <c r="F568" s="128"/>
      <c r="G568" s="233" t="s">
        <v>2492</v>
      </c>
      <c r="H568" s="238"/>
      <c r="I568" s="236" t="s">
        <v>2771</v>
      </c>
      <c r="J568" s="128"/>
      <c r="K568" s="239" t="s">
        <v>1223</v>
      </c>
      <c r="L568" s="197"/>
      <c r="M568" s="237" t="s">
        <v>2206</v>
      </c>
      <c r="N568" s="197"/>
      <c r="O568" s="197"/>
      <c r="P568" s="197">
        <v>9403208000</v>
      </c>
      <c r="Q568" s="240">
        <v>138.15207780725021</v>
      </c>
      <c r="R568" s="277" t="s">
        <v>9</v>
      </c>
      <c r="T568" s="168">
        <v>460.5069260241674</v>
      </c>
      <c r="U568" s="168">
        <v>276.30415561450042</v>
      </c>
      <c r="V568" s="168">
        <v>230.2534630120837</v>
      </c>
      <c r="W568" s="168">
        <v>184.20277040966698</v>
      </c>
    </row>
    <row r="569" spans="1:23" s="129" customFormat="1">
      <c r="A569" s="195" t="s">
        <v>1276</v>
      </c>
      <c r="B569" s="195" t="s">
        <v>1102</v>
      </c>
      <c r="C569" s="239" t="s">
        <v>2792</v>
      </c>
      <c r="D569" s="237" t="s">
        <v>2793</v>
      </c>
      <c r="E569" s="128"/>
      <c r="F569" s="128" t="s">
        <v>3258</v>
      </c>
      <c r="G569" s="233" t="s">
        <v>2772</v>
      </c>
      <c r="H569" s="238"/>
      <c r="I569" s="236" t="s">
        <v>2773</v>
      </c>
      <c r="J569" s="128"/>
      <c r="K569" s="239" t="s">
        <v>1223</v>
      </c>
      <c r="L569" s="197"/>
      <c r="M569" s="237" t="s">
        <v>2206</v>
      </c>
      <c r="N569" s="197"/>
      <c r="O569" s="197"/>
      <c r="P569" s="197">
        <v>9403208000</v>
      </c>
      <c r="Q569" s="240">
        <v>134.95484400656815</v>
      </c>
      <c r="R569" s="277" t="s">
        <v>9</v>
      </c>
      <c r="T569" s="168">
        <v>449.84948002189384</v>
      </c>
      <c r="U569" s="168">
        <v>269.9096880131363</v>
      </c>
      <c r="V569" s="168">
        <v>224.92474001094692</v>
      </c>
      <c r="W569" s="168">
        <v>179.93979200875754</v>
      </c>
    </row>
    <row r="570" spans="1:23" s="129" customFormat="1">
      <c r="A570" s="195" t="s">
        <v>1276</v>
      </c>
      <c r="B570" s="195" t="s">
        <v>1102</v>
      </c>
      <c r="C570" s="239" t="s">
        <v>2792</v>
      </c>
      <c r="D570" s="237" t="s">
        <v>2793</v>
      </c>
      <c r="E570" s="128"/>
      <c r="F570" s="128" t="s">
        <v>3258</v>
      </c>
      <c r="G570" s="233" t="s">
        <v>2774</v>
      </c>
      <c r="H570" s="238"/>
      <c r="I570" s="236" t="s">
        <v>2775</v>
      </c>
      <c r="J570" s="128"/>
      <c r="K570" s="239" t="s">
        <v>1223</v>
      </c>
      <c r="L570" s="197"/>
      <c r="M570" s="237" t="s">
        <v>2206</v>
      </c>
      <c r="N570" s="197"/>
      <c r="O570" s="197"/>
      <c r="P570" s="197">
        <v>9403208000</v>
      </c>
      <c r="Q570" s="240">
        <v>144.02025177887248</v>
      </c>
      <c r="R570" s="277" t="s">
        <v>9</v>
      </c>
      <c r="T570" s="168">
        <v>480.06750592957496</v>
      </c>
      <c r="U570" s="168">
        <v>288.04050355774496</v>
      </c>
      <c r="V570" s="168">
        <v>240.03375296478748</v>
      </c>
      <c r="W570" s="168">
        <v>192.02700237183001</v>
      </c>
    </row>
    <row r="571" spans="1:23" s="129" customFormat="1">
      <c r="A571" s="195" t="s">
        <v>1276</v>
      </c>
      <c r="B571" s="195" t="s">
        <v>1102</v>
      </c>
      <c r="C571" s="239" t="s">
        <v>2792</v>
      </c>
      <c r="D571" s="237" t="s">
        <v>2793</v>
      </c>
      <c r="E571" s="128"/>
      <c r="F571" s="128" t="s">
        <v>3259</v>
      </c>
      <c r="G571" s="233" t="s">
        <v>2776</v>
      </c>
      <c r="H571" s="238"/>
      <c r="I571" s="236" t="s">
        <v>2777</v>
      </c>
      <c r="J571" s="128"/>
      <c r="K571" s="239" t="s">
        <v>1223</v>
      </c>
      <c r="L571" s="197"/>
      <c r="M571" s="237" t="s">
        <v>2206</v>
      </c>
      <c r="N571" s="197"/>
      <c r="O571" s="197"/>
      <c r="P571" s="197">
        <v>9403208000</v>
      </c>
      <c r="Q571" s="240">
        <v>149.83579638752053</v>
      </c>
      <c r="R571" s="277" t="s">
        <v>9</v>
      </c>
      <c r="T571" s="168">
        <v>499.45265462506848</v>
      </c>
      <c r="U571" s="168">
        <v>299.67159277504106</v>
      </c>
      <c r="V571" s="168">
        <v>249.72632731253424</v>
      </c>
      <c r="W571" s="168">
        <v>199.78106185002741</v>
      </c>
    </row>
    <row r="572" spans="1:23" s="129" customFormat="1">
      <c r="A572" s="195" t="s">
        <v>1276</v>
      </c>
      <c r="B572" s="195" t="s">
        <v>1102</v>
      </c>
      <c r="C572" s="239" t="s">
        <v>2792</v>
      </c>
      <c r="D572" s="237" t="s">
        <v>2793</v>
      </c>
      <c r="E572" s="128"/>
      <c r="F572" s="128" t="s">
        <v>3259</v>
      </c>
      <c r="G572" s="233" t="s">
        <v>2778</v>
      </c>
      <c r="H572" s="238"/>
      <c r="I572" s="236" t="s">
        <v>2779</v>
      </c>
      <c r="J572" s="128"/>
      <c r="K572" s="239" t="s">
        <v>1223</v>
      </c>
      <c r="L572" s="197"/>
      <c r="M572" s="237" t="s">
        <v>2206</v>
      </c>
      <c r="N572" s="197"/>
      <c r="O572" s="197"/>
      <c r="P572" s="197">
        <v>9403208000</v>
      </c>
      <c r="Q572" s="240">
        <v>158.90120415982486</v>
      </c>
      <c r="R572" s="277" t="s">
        <v>9</v>
      </c>
      <c r="T572" s="168">
        <v>529.67068053274954</v>
      </c>
      <c r="U572" s="168">
        <v>317.80240831964971</v>
      </c>
      <c r="V572" s="168">
        <v>264.83534026637477</v>
      </c>
      <c r="W572" s="168">
        <v>211.86827221309983</v>
      </c>
    </row>
    <row r="573" spans="1:23" s="129" customFormat="1">
      <c r="A573" s="195" t="s">
        <v>1276</v>
      </c>
      <c r="B573" s="195" t="s">
        <v>1102</v>
      </c>
      <c r="C573" s="239" t="s">
        <v>2792</v>
      </c>
      <c r="D573" s="237" t="s">
        <v>2793</v>
      </c>
      <c r="E573" s="128"/>
      <c r="F573" s="128" t="s">
        <v>3254</v>
      </c>
      <c r="G573" s="233" t="s">
        <v>2780</v>
      </c>
      <c r="H573" s="238"/>
      <c r="I573" s="236" t="s">
        <v>2781</v>
      </c>
      <c r="J573" s="128"/>
      <c r="K573" s="239" t="s">
        <v>1223</v>
      </c>
      <c r="L573" s="197"/>
      <c r="M573" s="237" t="s">
        <v>2206</v>
      </c>
      <c r="N573" s="197"/>
      <c r="O573" s="197"/>
      <c r="P573" s="197">
        <v>9403208000</v>
      </c>
      <c r="Q573" s="240">
        <v>111.86371100164205</v>
      </c>
      <c r="R573" s="277" t="s">
        <v>9</v>
      </c>
      <c r="T573" s="168">
        <v>372.87903667214016</v>
      </c>
      <c r="U573" s="168">
        <v>223.72742200328409</v>
      </c>
      <c r="V573" s="168">
        <v>186.43951833607008</v>
      </c>
      <c r="W573" s="168">
        <v>149.15161466885607</v>
      </c>
    </row>
    <row r="574" spans="1:23" s="129" customFormat="1">
      <c r="A574" s="195" t="s">
        <v>1276</v>
      </c>
      <c r="B574" s="195" t="s">
        <v>1102</v>
      </c>
      <c r="C574" s="239" t="s">
        <v>2792</v>
      </c>
      <c r="D574" s="237" t="s">
        <v>2793</v>
      </c>
      <c r="E574" s="128"/>
      <c r="F574" s="128" t="s">
        <v>3254</v>
      </c>
      <c r="G574" s="233" t="s">
        <v>2782</v>
      </c>
      <c r="H574" s="238"/>
      <c r="I574" s="236" t="s">
        <v>2783</v>
      </c>
      <c r="J574" s="128"/>
      <c r="K574" s="239" t="s">
        <v>1223</v>
      </c>
      <c r="L574" s="197"/>
      <c r="M574" s="237" t="s">
        <v>2206</v>
      </c>
      <c r="N574" s="197"/>
      <c r="O574" s="197"/>
      <c r="P574" s="197">
        <v>9403208000</v>
      </c>
      <c r="Q574" s="240">
        <v>120.92911877394639</v>
      </c>
      <c r="R574" s="277" t="s">
        <v>9</v>
      </c>
      <c r="T574" s="168">
        <v>403.09706257982128</v>
      </c>
      <c r="U574" s="168">
        <v>241.85823754789277</v>
      </c>
      <c r="V574" s="168">
        <v>201.54853128991064</v>
      </c>
      <c r="W574" s="168">
        <v>161.23882503192851</v>
      </c>
    </row>
    <row r="575" spans="1:23" s="129" customFormat="1">
      <c r="A575" s="195" t="s">
        <v>1276</v>
      </c>
      <c r="B575" s="195" t="s">
        <v>1102</v>
      </c>
      <c r="C575" s="239" t="s">
        <v>2792</v>
      </c>
      <c r="D575" s="237" t="s">
        <v>2793</v>
      </c>
      <c r="E575" s="128"/>
      <c r="F575" s="128" t="s">
        <v>3255</v>
      </c>
      <c r="G575" s="233" t="s">
        <v>2784</v>
      </c>
      <c r="H575" s="238"/>
      <c r="I575" s="236" t="s">
        <v>2785</v>
      </c>
      <c r="J575" s="128"/>
      <c r="K575" s="239" t="s">
        <v>1223</v>
      </c>
      <c r="L575" s="197"/>
      <c r="M575" s="237" t="s">
        <v>2206</v>
      </c>
      <c r="N575" s="197"/>
      <c r="O575" s="197"/>
      <c r="P575" s="197">
        <v>9403208000</v>
      </c>
      <c r="Q575" s="240">
        <v>123.32375478927203</v>
      </c>
      <c r="R575" s="277" t="s">
        <v>9</v>
      </c>
      <c r="T575" s="168">
        <v>411.07918263090676</v>
      </c>
      <c r="U575" s="168">
        <v>246.64750957854403</v>
      </c>
      <c r="V575" s="168">
        <v>205.53959131545338</v>
      </c>
      <c r="W575" s="168">
        <v>164.43167305236273</v>
      </c>
    </row>
    <row r="576" spans="1:23" s="129" customFormat="1">
      <c r="A576" s="195" t="s">
        <v>1276</v>
      </c>
      <c r="B576" s="195" t="s">
        <v>1102</v>
      </c>
      <c r="C576" s="239" t="s">
        <v>2792</v>
      </c>
      <c r="D576" s="237" t="s">
        <v>2793</v>
      </c>
      <c r="E576" s="128"/>
      <c r="F576" s="128" t="s">
        <v>3255</v>
      </c>
      <c r="G576" s="233" t="s">
        <v>2786</v>
      </c>
      <c r="H576" s="238"/>
      <c r="I576" s="236" t="s">
        <v>2787</v>
      </c>
      <c r="J576" s="128"/>
      <c r="K576" s="239" t="s">
        <v>1223</v>
      </c>
      <c r="L576" s="197"/>
      <c r="M576" s="237" t="s">
        <v>2206</v>
      </c>
      <c r="N576" s="197"/>
      <c r="O576" s="197"/>
      <c r="P576" s="197">
        <v>9403208000</v>
      </c>
      <c r="Q576" s="240">
        <v>132.21811713191025</v>
      </c>
      <c r="R576" s="277" t="s">
        <v>9</v>
      </c>
      <c r="T576" s="168">
        <v>440.72705710636751</v>
      </c>
      <c r="U576" s="168">
        <v>264.4362342638205</v>
      </c>
      <c r="V576" s="168">
        <v>220.36352855318376</v>
      </c>
      <c r="W576" s="168">
        <v>176.29082284254702</v>
      </c>
    </row>
    <row r="577" spans="1:23" s="129" customFormat="1">
      <c r="A577" s="195" t="s">
        <v>1276</v>
      </c>
      <c r="B577" s="195" t="s">
        <v>1102</v>
      </c>
      <c r="C577" s="239" t="s">
        <v>2792</v>
      </c>
      <c r="D577" s="237" t="s">
        <v>2793</v>
      </c>
      <c r="E577" s="128"/>
      <c r="F577" s="128" t="s">
        <v>3256</v>
      </c>
      <c r="G577" s="233" t="s">
        <v>2788</v>
      </c>
      <c r="H577" s="238"/>
      <c r="I577" s="236" t="s">
        <v>2789</v>
      </c>
      <c r="J577" s="128"/>
      <c r="K577" s="239" t="s">
        <v>1223</v>
      </c>
      <c r="L577" s="197"/>
      <c r="M577" s="237" t="s">
        <v>2206</v>
      </c>
      <c r="N577" s="197"/>
      <c r="O577" s="197"/>
      <c r="P577" s="197">
        <v>9403208000</v>
      </c>
      <c r="Q577" s="240">
        <v>135.81007115489876</v>
      </c>
      <c r="R577" s="277" t="s">
        <v>9</v>
      </c>
      <c r="T577" s="168">
        <v>452.70023718299592</v>
      </c>
      <c r="U577" s="168">
        <v>271.62014230979753</v>
      </c>
      <c r="V577" s="168">
        <v>226.35011859149796</v>
      </c>
      <c r="W577" s="168">
        <v>181.08009487319839</v>
      </c>
    </row>
    <row r="578" spans="1:23" s="129" customFormat="1">
      <c r="A578" s="195" t="s">
        <v>1276</v>
      </c>
      <c r="B578" s="195" t="s">
        <v>1102</v>
      </c>
      <c r="C578" s="239" t="s">
        <v>2792</v>
      </c>
      <c r="D578" s="237" t="s">
        <v>2793</v>
      </c>
      <c r="E578" s="128"/>
      <c r="F578" s="128" t="s">
        <v>3262</v>
      </c>
      <c r="G578" s="233" t="s">
        <v>2790</v>
      </c>
      <c r="H578" s="238"/>
      <c r="I578" s="236" t="s">
        <v>2791</v>
      </c>
      <c r="J578" s="128"/>
      <c r="K578" s="239" t="s">
        <v>1223</v>
      </c>
      <c r="L578" s="197"/>
      <c r="M578" s="237" t="s">
        <v>2206</v>
      </c>
      <c r="N578" s="197"/>
      <c r="O578" s="197"/>
      <c r="P578" s="197">
        <v>9403208000</v>
      </c>
      <c r="Q578" s="240">
        <v>145.04652435686921</v>
      </c>
      <c r="R578" s="277" t="s">
        <v>9</v>
      </c>
      <c r="T578" s="168">
        <v>483.48841452289741</v>
      </c>
      <c r="U578" s="168">
        <v>290.09304871373843</v>
      </c>
      <c r="V578" s="168">
        <v>241.74420726144871</v>
      </c>
      <c r="W578" s="168">
        <v>193.39536580915899</v>
      </c>
    </row>
    <row r="579" spans="1:23">
      <c r="A579" s="195" t="s">
        <v>1276</v>
      </c>
      <c r="B579" s="195" t="s">
        <v>1102</v>
      </c>
      <c r="C579" s="239" t="s">
        <v>2792</v>
      </c>
      <c r="D579" s="237" t="s">
        <v>2793</v>
      </c>
      <c r="E579" s="128"/>
      <c r="F579" s="128"/>
      <c r="G579" s="233" t="s">
        <v>3171</v>
      </c>
      <c r="H579" s="238"/>
      <c r="I579" s="236" t="s">
        <v>3251</v>
      </c>
      <c r="J579" s="128"/>
      <c r="K579" s="239" t="s">
        <v>1223</v>
      </c>
      <c r="L579" s="197"/>
      <c r="M579" s="237" t="s">
        <v>2206</v>
      </c>
      <c r="N579" s="197"/>
      <c r="O579" s="197"/>
      <c r="P579" s="197">
        <v>9403208000</v>
      </c>
      <c r="Q579" s="240">
        <v>42.761357416529833</v>
      </c>
      <c r="R579" s="277" t="s">
        <v>9</v>
      </c>
      <c r="T579" s="168">
        <v>142.53785805509946</v>
      </c>
      <c r="U579" s="168">
        <v>85.52271483305968</v>
      </c>
      <c r="V579" s="168">
        <v>71.268929027549731</v>
      </c>
      <c r="W579" s="168">
        <v>57.015143222039789</v>
      </c>
    </row>
    <row r="580" spans="1:23">
      <c r="A580" s="195" t="s">
        <v>1276</v>
      </c>
      <c r="B580" s="195" t="s">
        <v>1102</v>
      </c>
      <c r="C580" s="239" t="s">
        <v>2792</v>
      </c>
      <c r="D580" s="237" t="s">
        <v>2793</v>
      </c>
      <c r="E580" s="128"/>
      <c r="F580" s="128"/>
      <c r="G580" s="233" t="s">
        <v>3172</v>
      </c>
      <c r="H580" s="238"/>
      <c r="I580" s="236" t="s">
        <v>3252</v>
      </c>
      <c r="J580" s="128"/>
      <c r="K580" s="239" t="s">
        <v>1223</v>
      </c>
      <c r="L580" s="197"/>
      <c r="M580" s="237" t="s">
        <v>2206</v>
      </c>
      <c r="N580" s="197"/>
      <c r="O580" s="197"/>
      <c r="P580" s="197">
        <v>9403208000</v>
      </c>
      <c r="Q580" s="240">
        <v>68.418171866447736</v>
      </c>
      <c r="R580" s="277" t="s">
        <v>9</v>
      </c>
      <c r="T580" s="168">
        <v>228.06057288815913</v>
      </c>
      <c r="U580" s="168">
        <v>136.83634373289547</v>
      </c>
      <c r="V580" s="168">
        <v>114.03028644407956</v>
      </c>
      <c r="W580" s="168">
        <v>91.224229155263657</v>
      </c>
    </row>
    <row r="581" spans="1:23">
      <c r="A581" s="195" t="s">
        <v>1276</v>
      </c>
      <c r="B581" s="195" t="s">
        <v>1102</v>
      </c>
      <c r="C581" s="237" t="s">
        <v>1103</v>
      </c>
      <c r="D581" s="237" t="s">
        <v>1103</v>
      </c>
      <c r="E581" s="128"/>
      <c r="F581" s="128"/>
      <c r="G581" s="233" t="s">
        <v>3173</v>
      </c>
      <c r="H581" s="238"/>
      <c r="I581" s="195" t="s">
        <v>3225</v>
      </c>
      <c r="J581" s="128"/>
      <c r="K581" s="239" t="s">
        <v>1223</v>
      </c>
      <c r="L581" s="197"/>
      <c r="M581" s="237" t="s">
        <v>2206</v>
      </c>
      <c r="N581" s="128" t="s">
        <v>3237</v>
      </c>
      <c r="O581" s="197"/>
      <c r="P581" s="197">
        <v>9403208000</v>
      </c>
      <c r="Q581" s="240">
        <v>13.084975369458132</v>
      </c>
      <c r="R581" s="277" t="s">
        <v>9</v>
      </c>
      <c r="T581" s="168">
        <v>43.616584564860439</v>
      </c>
      <c r="U581" s="168">
        <v>26.169950738916263</v>
      </c>
      <c r="V581" s="168">
        <v>21.808292282430219</v>
      </c>
      <c r="W581" s="168">
        <v>17.446633825944176</v>
      </c>
    </row>
    <row r="582" spans="1:23">
      <c r="A582" s="195" t="s">
        <v>1276</v>
      </c>
      <c r="B582" s="195" t="s">
        <v>1102</v>
      </c>
      <c r="C582" s="237" t="s">
        <v>1103</v>
      </c>
      <c r="D582" s="237" t="s">
        <v>1103</v>
      </c>
      <c r="E582" s="128"/>
      <c r="F582" s="128"/>
      <c r="G582" s="233" t="s">
        <v>3174</v>
      </c>
      <c r="H582" s="238"/>
      <c r="I582" s="195" t="s">
        <v>3226</v>
      </c>
      <c r="J582" s="128"/>
      <c r="K582" s="239" t="s">
        <v>1223</v>
      </c>
      <c r="L582" s="197"/>
      <c r="M582" s="237" t="s">
        <v>2206</v>
      </c>
      <c r="N582" s="128" t="s">
        <v>3237</v>
      </c>
      <c r="O582" s="197"/>
      <c r="P582" s="197">
        <v>9403208000</v>
      </c>
      <c r="Q582" s="240">
        <v>15.39408866995074</v>
      </c>
      <c r="R582" s="277" t="s">
        <v>9</v>
      </c>
      <c r="T582" s="168">
        <v>51.313628899835805</v>
      </c>
      <c r="U582" s="168">
        <v>30.78817733990148</v>
      </c>
      <c r="V582" s="168">
        <v>25.656814449917903</v>
      </c>
      <c r="W582" s="168">
        <v>20.525451559934325</v>
      </c>
    </row>
    <row r="583" spans="1:23">
      <c r="A583" s="195" t="s">
        <v>1276</v>
      </c>
      <c r="B583" s="195" t="s">
        <v>1102</v>
      </c>
      <c r="C583" s="237" t="s">
        <v>1103</v>
      </c>
      <c r="D583" s="237" t="s">
        <v>1103</v>
      </c>
      <c r="E583" s="128"/>
      <c r="F583" s="128"/>
      <c r="G583" s="233" t="s">
        <v>3175</v>
      </c>
      <c r="H583" s="238"/>
      <c r="I583" s="195" t="s">
        <v>3227</v>
      </c>
      <c r="J583" s="128"/>
      <c r="K583" s="239" t="s">
        <v>1223</v>
      </c>
      <c r="L583" s="197"/>
      <c r="M583" s="237" t="s">
        <v>2206</v>
      </c>
      <c r="N583" s="128" t="s">
        <v>3237</v>
      </c>
      <c r="O583" s="197"/>
      <c r="P583" s="197">
        <v>9403208000</v>
      </c>
      <c r="Q583" s="240">
        <v>17.959770114942529</v>
      </c>
      <c r="R583" s="277" t="s">
        <v>9</v>
      </c>
      <c r="T583" s="168">
        <v>59.865900383141764</v>
      </c>
      <c r="U583" s="168">
        <v>35.919540229885058</v>
      </c>
      <c r="V583" s="168">
        <v>29.932950191570882</v>
      </c>
      <c r="W583" s="168">
        <v>23.946360153256705</v>
      </c>
    </row>
    <row r="584" spans="1:23">
      <c r="A584" s="195" t="s">
        <v>1276</v>
      </c>
      <c r="B584" s="195" t="s">
        <v>1102</v>
      </c>
      <c r="C584" s="237" t="s">
        <v>1103</v>
      </c>
      <c r="D584" s="237" t="s">
        <v>1103</v>
      </c>
      <c r="E584" s="128"/>
      <c r="F584" s="128"/>
      <c r="G584" s="233" t="s">
        <v>3176</v>
      </c>
      <c r="H584" s="238"/>
      <c r="I584" s="195" t="s">
        <v>3228</v>
      </c>
      <c r="J584" s="128"/>
      <c r="K584" s="239" t="s">
        <v>1223</v>
      </c>
      <c r="L584" s="197"/>
      <c r="M584" s="237" t="s">
        <v>2206</v>
      </c>
      <c r="N584" s="128" t="s">
        <v>3237</v>
      </c>
      <c r="O584" s="197"/>
      <c r="P584" s="197">
        <v>9403208000</v>
      </c>
      <c r="Q584" s="240">
        <v>18.814997263273128</v>
      </c>
      <c r="R584" s="277" t="s">
        <v>9</v>
      </c>
      <c r="T584" s="168">
        <v>62.716657544243759</v>
      </c>
      <c r="U584" s="168">
        <v>37.629994526546255</v>
      </c>
      <c r="V584" s="168">
        <v>31.35832877212188</v>
      </c>
      <c r="W584" s="168">
        <v>25.086663017697504</v>
      </c>
    </row>
    <row r="585" spans="1:23">
      <c r="A585" s="195" t="s">
        <v>1276</v>
      </c>
      <c r="B585" s="195" t="s">
        <v>1102</v>
      </c>
      <c r="C585" s="237" t="s">
        <v>1103</v>
      </c>
      <c r="D585" s="237" t="s">
        <v>1103</v>
      </c>
      <c r="E585" s="128"/>
      <c r="F585" s="128"/>
      <c r="G585" s="233" t="s">
        <v>3177</v>
      </c>
      <c r="H585" s="238"/>
      <c r="I585" s="195" t="s">
        <v>3230</v>
      </c>
      <c r="J585" s="128"/>
      <c r="K585" s="239" t="s">
        <v>1223</v>
      </c>
      <c r="L585" s="197"/>
      <c r="M585" s="237" t="s">
        <v>2206</v>
      </c>
      <c r="N585" s="128" t="s">
        <v>3237</v>
      </c>
      <c r="O585" s="197"/>
      <c r="P585" s="197">
        <v>9403208000</v>
      </c>
      <c r="Q585" s="240">
        <v>28.222495894909688</v>
      </c>
      <c r="R585" s="277" t="s">
        <v>9</v>
      </c>
      <c r="T585" s="168">
        <v>94.074986316365624</v>
      </c>
      <c r="U585" s="168">
        <v>56.444991789819376</v>
      </c>
      <c r="V585" s="168">
        <v>47.037493158182812</v>
      </c>
      <c r="W585" s="168">
        <v>37.629994526546248</v>
      </c>
    </row>
    <row r="586" spans="1:23">
      <c r="A586" s="195" t="s">
        <v>1276</v>
      </c>
      <c r="B586" s="195" t="s">
        <v>1102</v>
      </c>
      <c r="C586" s="237" t="s">
        <v>1103</v>
      </c>
      <c r="D586" s="237" t="s">
        <v>1103</v>
      </c>
      <c r="E586" s="128"/>
      <c r="F586" s="128"/>
      <c r="G586" s="233" t="s">
        <v>3178</v>
      </c>
      <c r="H586" s="238"/>
      <c r="I586" s="195" t="s">
        <v>3229</v>
      </c>
      <c r="J586" s="128"/>
      <c r="K586" s="239" t="s">
        <v>1223</v>
      </c>
      <c r="L586" s="197"/>
      <c r="M586" s="237" t="s">
        <v>2206</v>
      </c>
      <c r="N586" s="128" t="s">
        <v>3237</v>
      </c>
      <c r="O586" s="197"/>
      <c r="P586" s="197">
        <v>9403208000</v>
      </c>
      <c r="Q586" s="240">
        <v>23.51874657909141</v>
      </c>
      <c r="R586" s="277" t="s">
        <v>9</v>
      </c>
      <c r="T586" s="168">
        <v>78.395821930304706</v>
      </c>
      <c r="U586" s="168">
        <v>47.037493158182819</v>
      </c>
      <c r="V586" s="168">
        <v>39.197910965152353</v>
      </c>
      <c r="W586" s="168">
        <v>31.358328772121883</v>
      </c>
    </row>
    <row r="587" spans="1:23">
      <c r="A587" s="195" t="s">
        <v>1276</v>
      </c>
      <c r="B587" s="195" t="s">
        <v>1102</v>
      </c>
      <c r="C587" s="237" t="s">
        <v>1103</v>
      </c>
      <c r="D587" s="237" t="s">
        <v>1103</v>
      </c>
      <c r="E587" s="128"/>
      <c r="F587" s="128"/>
      <c r="G587" s="233" t="s">
        <v>3179</v>
      </c>
      <c r="H587" s="238"/>
      <c r="I587" s="195" t="s">
        <v>3231</v>
      </c>
      <c r="J587" s="128"/>
      <c r="K587" s="239" t="s">
        <v>1223</v>
      </c>
      <c r="L587" s="197"/>
      <c r="M587" s="237" t="s">
        <v>2206</v>
      </c>
      <c r="N587" s="128" t="s">
        <v>3237</v>
      </c>
      <c r="O587" s="197"/>
      <c r="P587" s="197">
        <v>9403208000</v>
      </c>
      <c r="Q587" s="240">
        <v>25.656814449917899</v>
      </c>
      <c r="R587" s="277" t="s">
        <v>9</v>
      </c>
      <c r="T587" s="168">
        <v>85.522714833059666</v>
      </c>
      <c r="U587" s="168">
        <v>51.313628899835798</v>
      </c>
      <c r="V587" s="168">
        <v>42.761357416529833</v>
      </c>
      <c r="W587" s="168">
        <v>34.209085933223868</v>
      </c>
    </row>
    <row r="588" spans="1:23">
      <c r="A588" s="195" t="s">
        <v>1276</v>
      </c>
      <c r="B588" s="195" t="s">
        <v>1102</v>
      </c>
      <c r="C588" s="237" t="s">
        <v>1103</v>
      </c>
      <c r="D588" s="237" t="s">
        <v>1103</v>
      </c>
      <c r="E588" s="128"/>
      <c r="F588" s="128"/>
      <c r="G588" s="233" t="s">
        <v>3180</v>
      </c>
      <c r="H588" s="238"/>
      <c r="I588" s="195" t="s">
        <v>3232</v>
      </c>
      <c r="J588" s="128"/>
      <c r="K588" s="239" t="s">
        <v>1223</v>
      </c>
      <c r="L588" s="197"/>
      <c r="M588" s="237" t="s">
        <v>2206</v>
      </c>
      <c r="N588" s="128" t="s">
        <v>3237</v>
      </c>
      <c r="O588" s="197"/>
      <c r="P588" s="197">
        <v>9403208000</v>
      </c>
      <c r="Q588" s="240">
        <v>30.78817733990148</v>
      </c>
      <c r="R588" s="277" t="s">
        <v>9</v>
      </c>
      <c r="T588" s="168">
        <v>102.62725779967161</v>
      </c>
      <c r="U588" s="168">
        <v>61.576354679802961</v>
      </c>
      <c r="V588" s="168">
        <v>51.313628899835805</v>
      </c>
      <c r="W588" s="168">
        <v>41.05090311986865</v>
      </c>
    </row>
    <row r="589" spans="1:23">
      <c r="A589" s="195" t="s">
        <v>1276</v>
      </c>
      <c r="B589" s="195" t="s">
        <v>1102</v>
      </c>
      <c r="C589" s="239" t="s">
        <v>2792</v>
      </c>
      <c r="D589" s="237" t="s">
        <v>2793</v>
      </c>
      <c r="E589" s="128"/>
      <c r="F589" s="128"/>
      <c r="G589" s="233" t="s">
        <v>3181</v>
      </c>
      <c r="H589" s="238"/>
      <c r="I589" s="236" t="s">
        <v>3238</v>
      </c>
      <c r="J589" s="128"/>
      <c r="K589" s="239" t="s">
        <v>1223</v>
      </c>
      <c r="L589" s="197"/>
      <c r="M589" s="237" t="s">
        <v>2206</v>
      </c>
      <c r="N589" s="197"/>
      <c r="O589" s="197"/>
      <c r="P589" s="197">
        <v>9403208000</v>
      </c>
      <c r="Q589" s="240">
        <v>25.656814449917899</v>
      </c>
      <c r="R589" s="277" t="s">
        <v>9</v>
      </c>
      <c r="T589" s="168">
        <v>85.522714833059666</v>
      </c>
      <c r="U589" s="168">
        <v>51.313628899835798</v>
      </c>
      <c r="V589" s="168">
        <v>42.761357416529833</v>
      </c>
      <c r="W589" s="168">
        <v>34.209085933223868</v>
      </c>
    </row>
    <row r="590" spans="1:23">
      <c r="A590" s="195" t="s">
        <v>1276</v>
      </c>
      <c r="B590" s="195" t="s">
        <v>1102</v>
      </c>
      <c r="C590" s="239" t="s">
        <v>2792</v>
      </c>
      <c r="D590" s="237" t="s">
        <v>2793</v>
      </c>
      <c r="E590" s="128"/>
      <c r="F590" s="128"/>
      <c r="G590" s="233" t="s">
        <v>3182</v>
      </c>
      <c r="H590" s="238"/>
      <c r="I590" s="236" t="s">
        <v>3250</v>
      </c>
      <c r="J590" s="128"/>
      <c r="K590" s="239" t="s">
        <v>1223</v>
      </c>
      <c r="L590" s="197"/>
      <c r="M590" s="237" t="s">
        <v>2206</v>
      </c>
      <c r="N590" s="197"/>
      <c r="O590" s="197"/>
      <c r="P590" s="197">
        <v>9403208000</v>
      </c>
      <c r="Q590" s="240">
        <v>10.00615763546798</v>
      </c>
      <c r="R590" s="277" t="s">
        <v>9</v>
      </c>
      <c r="T590" s="168">
        <v>33.353858784893269</v>
      </c>
      <c r="U590" s="168">
        <v>20.012315270935961</v>
      </c>
      <c r="V590" s="168">
        <v>16.676929392446635</v>
      </c>
      <c r="W590" s="168">
        <v>13.341543513957308</v>
      </c>
    </row>
    <row r="591" spans="1:23">
      <c r="A591" s="195" t="s">
        <v>1276</v>
      </c>
      <c r="B591" s="195" t="s">
        <v>1102</v>
      </c>
      <c r="C591" s="239" t="s">
        <v>2792</v>
      </c>
      <c r="D591" s="237" t="s">
        <v>2793</v>
      </c>
      <c r="E591" s="128"/>
      <c r="F591" s="128"/>
      <c r="G591" s="233" t="s">
        <v>3183</v>
      </c>
      <c r="H591" s="238"/>
      <c r="I591" s="236" t="s">
        <v>3249</v>
      </c>
      <c r="J591" s="128"/>
      <c r="K591" s="239" t="s">
        <v>1223</v>
      </c>
      <c r="L591" s="197"/>
      <c r="M591" s="237" t="s">
        <v>2206</v>
      </c>
      <c r="N591" s="197"/>
      <c r="O591" s="197"/>
      <c r="P591" s="197">
        <v>9403208000</v>
      </c>
      <c r="Q591" s="240">
        <v>2.7367268746579092</v>
      </c>
      <c r="R591" s="277" t="s">
        <v>9</v>
      </c>
      <c r="T591" s="168">
        <v>9.1224229155263643</v>
      </c>
      <c r="U591" s="168">
        <v>5.4734537493158184</v>
      </c>
      <c r="V591" s="168">
        <v>4.5612114577631822</v>
      </c>
      <c r="W591" s="168">
        <v>3.6489691662105459</v>
      </c>
    </row>
    <row r="592" spans="1:23">
      <c r="A592" s="195" t="s">
        <v>1276</v>
      </c>
      <c r="B592" s="195" t="s">
        <v>1102</v>
      </c>
      <c r="C592" s="239" t="s">
        <v>2792</v>
      </c>
      <c r="D592" s="237" t="s">
        <v>2793</v>
      </c>
      <c r="E592" s="128"/>
      <c r="F592" s="128"/>
      <c r="G592" s="233" t="s">
        <v>3184</v>
      </c>
      <c r="H592" s="238"/>
      <c r="I592" s="236" t="s">
        <v>3248</v>
      </c>
      <c r="J592" s="128"/>
      <c r="K592" s="239" t="s">
        <v>1223</v>
      </c>
      <c r="L592" s="197"/>
      <c r="M592" s="237" t="s">
        <v>2206</v>
      </c>
      <c r="N592" s="197"/>
      <c r="O592" s="197"/>
      <c r="P592" s="197">
        <v>9403208000</v>
      </c>
      <c r="Q592" s="240">
        <v>7.6970443349753701</v>
      </c>
      <c r="R592" s="277" t="s">
        <v>9</v>
      </c>
      <c r="T592" s="168">
        <v>25.656814449917903</v>
      </c>
      <c r="U592" s="168">
        <v>15.39408866995074</v>
      </c>
      <c r="V592" s="168">
        <v>12.828407224958951</v>
      </c>
      <c r="W592" s="168">
        <v>10.262725779967163</v>
      </c>
    </row>
    <row r="593" spans="1:23">
      <c r="A593" s="195" t="s">
        <v>1276</v>
      </c>
      <c r="B593" s="195" t="s">
        <v>1102</v>
      </c>
      <c r="C593" s="237" t="s">
        <v>1103</v>
      </c>
      <c r="D593" s="237" t="s">
        <v>1103</v>
      </c>
      <c r="E593" s="128"/>
      <c r="F593" s="128"/>
      <c r="G593" s="233" t="s">
        <v>3185</v>
      </c>
      <c r="H593" s="238"/>
      <c r="I593" s="236" t="s">
        <v>3233</v>
      </c>
      <c r="J593" s="128"/>
      <c r="K593" s="239" t="s">
        <v>1223</v>
      </c>
      <c r="L593" s="197"/>
      <c r="M593" s="237" t="s">
        <v>2206</v>
      </c>
      <c r="N593" s="128" t="s">
        <v>3237</v>
      </c>
      <c r="O593" s="197"/>
      <c r="P593" s="197">
        <v>9403208000</v>
      </c>
      <c r="Q593" s="240">
        <v>3.4209085933223866</v>
      </c>
      <c r="R593" s="277" t="s">
        <v>9</v>
      </c>
      <c r="T593" s="168">
        <v>11.403028644407955</v>
      </c>
      <c r="U593" s="168">
        <v>6.8418171866447732</v>
      </c>
      <c r="V593" s="168">
        <v>5.7015143222039777</v>
      </c>
      <c r="W593" s="168">
        <v>4.5612114577631822</v>
      </c>
    </row>
    <row r="594" spans="1:23">
      <c r="A594" s="195" t="s">
        <v>1276</v>
      </c>
      <c r="B594" s="195" t="s">
        <v>1102</v>
      </c>
      <c r="C594" s="237" t="s">
        <v>1103</v>
      </c>
      <c r="D594" s="237" t="s">
        <v>1103</v>
      </c>
      <c r="E594" s="128"/>
      <c r="F594" s="128"/>
      <c r="G594" s="233" t="s">
        <v>3186</v>
      </c>
      <c r="H594" s="238"/>
      <c r="I594" s="236" t="s">
        <v>3234</v>
      </c>
      <c r="J594" s="128"/>
      <c r="K594" s="239" t="s">
        <v>1223</v>
      </c>
      <c r="L594" s="197"/>
      <c r="M594" s="237" t="s">
        <v>2206</v>
      </c>
      <c r="N594" s="128" t="s">
        <v>3237</v>
      </c>
      <c r="O594" s="197"/>
      <c r="P594" s="197">
        <v>9403208000</v>
      </c>
      <c r="Q594" s="240">
        <v>4.2761357416529835</v>
      </c>
      <c r="R594" s="277" t="s">
        <v>9</v>
      </c>
      <c r="T594" s="168">
        <v>14.253785805509946</v>
      </c>
      <c r="U594" s="168">
        <v>8.552271483305967</v>
      </c>
      <c r="V594" s="168">
        <v>7.1268929027549728</v>
      </c>
      <c r="W594" s="168">
        <v>5.7015143222039786</v>
      </c>
    </row>
    <row r="595" spans="1:23">
      <c r="A595" s="195" t="s">
        <v>1276</v>
      </c>
      <c r="B595" s="195" t="s">
        <v>1102</v>
      </c>
      <c r="C595" s="237" t="s">
        <v>1103</v>
      </c>
      <c r="D595" s="237" t="s">
        <v>1103</v>
      </c>
      <c r="E595" s="128"/>
      <c r="F595" s="128"/>
      <c r="G595" s="233" t="s">
        <v>3187</v>
      </c>
      <c r="H595" s="238"/>
      <c r="I595" s="236" t="s">
        <v>3235</v>
      </c>
      <c r="J595" s="128"/>
      <c r="K595" s="239" t="s">
        <v>1223</v>
      </c>
      <c r="L595" s="197"/>
      <c r="M595" s="237" t="s">
        <v>2206</v>
      </c>
      <c r="N595" s="128" t="s">
        <v>3237</v>
      </c>
      <c r="O595" s="197"/>
      <c r="P595" s="197">
        <v>9403208000</v>
      </c>
      <c r="Q595" s="240">
        <v>5.1313628899835795</v>
      </c>
      <c r="R595" s="277" t="s">
        <v>9</v>
      </c>
      <c r="T595" s="168">
        <v>17.104542966611934</v>
      </c>
      <c r="U595" s="168">
        <v>10.262725779967161</v>
      </c>
      <c r="V595" s="168">
        <v>8.552271483305967</v>
      </c>
      <c r="W595" s="168">
        <v>6.8418171866447741</v>
      </c>
    </row>
    <row r="596" spans="1:23">
      <c r="A596" s="195" t="s">
        <v>1276</v>
      </c>
      <c r="B596" s="195" t="s">
        <v>1102</v>
      </c>
      <c r="C596" s="237" t="s">
        <v>1103</v>
      </c>
      <c r="D596" s="237" t="s">
        <v>1103</v>
      </c>
      <c r="E596" s="128"/>
      <c r="F596" s="128"/>
      <c r="G596" s="233" t="s">
        <v>3188</v>
      </c>
      <c r="H596" s="238"/>
      <c r="I596" s="236" t="s">
        <v>3236</v>
      </c>
      <c r="J596" s="128"/>
      <c r="K596" s="239" t="s">
        <v>1223</v>
      </c>
      <c r="L596" s="197"/>
      <c r="M596" s="237" t="s">
        <v>2206</v>
      </c>
      <c r="N596" s="128" t="s">
        <v>3237</v>
      </c>
      <c r="O596" s="197"/>
      <c r="P596" s="197">
        <v>9403208000</v>
      </c>
      <c r="Q596" s="240">
        <v>7.0128626163108922</v>
      </c>
      <c r="R596" s="277" t="s">
        <v>9</v>
      </c>
      <c r="T596" s="168">
        <v>23.37620872103631</v>
      </c>
      <c r="U596" s="168">
        <v>14.025725232621786</v>
      </c>
      <c r="V596" s="168">
        <v>11.688104360518155</v>
      </c>
      <c r="W596" s="168">
        <v>9.3504834884145236</v>
      </c>
    </row>
    <row r="597" spans="1:23">
      <c r="A597" s="195" t="s">
        <v>1276</v>
      </c>
      <c r="B597" s="195" t="s">
        <v>1102</v>
      </c>
      <c r="C597" s="239" t="s">
        <v>2792</v>
      </c>
      <c r="D597" s="237" t="s">
        <v>2793</v>
      </c>
      <c r="E597" s="128"/>
      <c r="F597" s="128" t="s">
        <v>3254</v>
      </c>
      <c r="G597" s="233" t="s">
        <v>3189</v>
      </c>
      <c r="H597" s="238"/>
      <c r="I597" s="236" t="s">
        <v>3240</v>
      </c>
      <c r="J597" s="128"/>
      <c r="K597" s="239" t="s">
        <v>1223</v>
      </c>
      <c r="L597" s="197"/>
      <c r="M597" s="237" t="s">
        <v>2206</v>
      </c>
      <c r="N597" s="197"/>
      <c r="O597" s="197"/>
      <c r="P597" s="197">
        <v>9403208000</v>
      </c>
      <c r="Q597" s="240">
        <v>54.734537493158186</v>
      </c>
      <c r="R597" s="277" t="s">
        <v>9</v>
      </c>
      <c r="T597" s="168">
        <v>182.44845831052729</v>
      </c>
      <c r="U597" s="168">
        <v>109.46907498631637</v>
      </c>
      <c r="V597" s="168">
        <v>91.224229155263643</v>
      </c>
      <c r="W597" s="168">
        <v>72.979383324210914</v>
      </c>
    </row>
    <row r="598" spans="1:23">
      <c r="A598" s="195" t="s">
        <v>1276</v>
      </c>
      <c r="B598" s="195" t="s">
        <v>1102</v>
      </c>
      <c r="C598" s="239" t="s">
        <v>2792</v>
      </c>
      <c r="D598" s="237" t="s">
        <v>2793</v>
      </c>
      <c r="E598" s="128"/>
      <c r="F598" s="128" t="s">
        <v>3255</v>
      </c>
      <c r="G598" s="233" t="s">
        <v>3190</v>
      </c>
      <c r="H598" s="238"/>
      <c r="I598" s="236" t="s">
        <v>3242</v>
      </c>
      <c r="J598" s="128"/>
      <c r="K598" s="239" t="s">
        <v>1223</v>
      </c>
      <c r="L598" s="197"/>
      <c r="M598" s="237" t="s">
        <v>2206</v>
      </c>
      <c r="N598" s="197"/>
      <c r="O598" s="197"/>
      <c r="P598" s="197">
        <v>9403208000</v>
      </c>
      <c r="Q598" s="240">
        <v>59.865900383141771</v>
      </c>
      <c r="R598" s="277" t="s">
        <v>9</v>
      </c>
      <c r="T598" s="168">
        <v>199.55300127713923</v>
      </c>
      <c r="U598" s="168">
        <v>119.73180076628353</v>
      </c>
      <c r="V598" s="168">
        <v>99.776500638569615</v>
      </c>
      <c r="W598" s="168">
        <v>79.821200510855704</v>
      </c>
    </row>
    <row r="599" spans="1:23">
      <c r="A599" s="195" t="s">
        <v>1276</v>
      </c>
      <c r="B599" s="195" t="s">
        <v>1102</v>
      </c>
      <c r="C599" s="239" t="s">
        <v>2792</v>
      </c>
      <c r="D599" s="237" t="s">
        <v>2793</v>
      </c>
      <c r="E599" s="128"/>
      <c r="F599" s="128" t="s">
        <v>3257</v>
      </c>
      <c r="G599" s="233" t="s">
        <v>3191</v>
      </c>
      <c r="H599" s="238"/>
      <c r="I599" s="236" t="s">
        <v>3243</v>
      </c>
      <c r="J599" s="128"/>
      <c r="K599" s="239" t="s">
        <v>1223</v>
      </c>
      <c r="L599" s="197"/>
      <c r="M599" s="237" t="s">
        <v>2206</v>
      </c>
      <c r="N599" s="197"/>
      <c r="O599" s="197"/>
      <c r="P599" s="197">
        <v>9403208000</v>
      </c>
      <c r="Q599" s="240">
        <v>59.865900383141771</v>
      </c>
      <c r="R599" s="277" t="s">
        <v>9</v>
      </c>
      <c r="T599" s="168">
        <v>199.55300127713923</v>
      </c>
      <c r="U599" s="168">
        <v>119.73180076628353</v>
      </c>
      <c r="V599" s="168">
        <v>99.776500638569615</v>
      </c>
      <c r="W599" s="168">
        <v>79.821200510855704</v>
      </c>
    </row>
    <row r="600" spans="1:23">
      <c r="A600" s="195" t="s">
        <v>1276</v>
      </c>
      <c r="B600" s="195" t="s">
        <v>1102</v>
      </c>
      <c r="C600" s="239" t="s">
        <v>2792</v>
      </c>
      <c r="D600" s="237" t="s">
        <v>2793</v>
      </c>
      <c r="E600" s="128"/>
      <c r="F600" s="128" t="s">
        <v>3258</v>
      </c>
      <c r="G600" s="233" t="s">
        <v>3192</v>
      </c>
      <c r="H600" s="238"/>
      <c r="I600" s="236" t="s">
        <v>3241</v>
      </c>
      <c r="J600" s="128"/>
      <c r="K600" s="239" t="s">
        <v>1223</v>
      </c>
      <c r="L600" s="197"/>
      <c r="M600" s="237" t="s">
        <v>2206</v>
      </c>
      <c r="N600" s="197"/>
      <c r="O600" s="197"/>
      <c r="P600" s="197">
        <v>9403208000</v>
      </c>
      <c r="Q600" s="240">
        <v>68.418171866447736</v>
      </c>
      <c r="R600" s="277" t="s">
        <v>9</v>
      </c>
      <c r="T600" s="168">
        <v>228.06057288815913</v>
      </c>
      <c r="U600" s="168">
        <v>136.83634373289547</v>
      </c>
      <c r="V600" s="168">
        <v>114.03028644407956</v>
      </c>
      <c r="W600" s="168">
        <v>91.224229155263657</v>
      </c>
    </row>
    <row r="601" spans="1:23">
      <c r="A601" s="195" t="s">
        <v>1276</v>
      </c>
      <c r="B601" s="195" t="s">
        <v>1102</v>
      </c>
      <c r="C601" s="239" t="s">
        <v>2792</v>
      </c>
      <c r="D601" s="237" t="s">
        <v>2793</v>
      </c>
      <c r="E601" s="128"/>
      <c r="F601" s="128" t="s">
        <v>3256</v>
      </c>
      <c r="G601" s="233" t="s">
        <v>3193</v>
      </c>
      <c r="H601" s="238"/>
      <c r="I601" s="236" t="s">
        <v>3244</v>
      </c>
      <c r="J601" s="128"/>
      <c r="K601" s="239" t="s">
        <v>1223</v>
      </c>
      <c r="L601" s="197"/>
      <c r="M601" s="237" t="s">
        <v>2206</v>
      </c>
      <c r="N601" s="197"/>
      <c r="O601" s="197"/>
      <c r="P601" s="197">
        <v>9403208000</v>
      </c>
      <c r="Q601" s="240">
        <v>59.865900383141771</v>
      </c>
      <c r="R601" s="277" t="s">
        <v>9</v>
      </c>
      <c r="T601" s="168">
        <v>199.55300127713923</v>
      </c>
      <c r="U601" s="168">
        <v>119.73180076628353</v>
      </c>
      <c r="V601" s="168">
        <v>99.776500638569615</v>
      </c>
      <c r="W601" s="168">
        <v>79.821200510855704</v>
      </c>
    </row>
    <row r="602" spans="1:23">
      <c r="A602" s="195" t="s">
        <v>1276</v>
      </c>
      <c r="B602" s="195" t="s">
        <v>1102</v>
      </c>
      <c r="C602" s="239" t="s">
        <v>2792</v>
      </c>
      <c r="D602" s="237" t="s">
        <v>2793</v>
      </c>
      <c r="E602" s="128"/>
      <c r="F602" s="128" t="s">
        <v>3259</v>
      </c>
      <c r="G602" s="233" t="s">
        <v>3194</v>
      </c>
      <c r="H602" s="238"/>
      <c r="I602" s="236" t="s">
        <v>3245</v>
      </c>
      <c r="J602" s="128"/>
      <c r="K602" s="239" t="s">
        <v>1223</v>
      </c>
      <c r="L602" s="197"/>
      <c r="M602" s="237" t="s">
        <v>2206</v>
      </c>
      <c r="N602" s="197"/>
      <c r="O602" s="197"/>
      <c r="P602" s="197">
        <v>9403208000</v>
      </c>
      <c r="Q602" s="240">
        <v>76.970443349753708</v>
      </c>
      <c r="R602" s="277" t="s">
        <v>9</v>
      </c>
      <c r="T602" s="168">
        <v>256.56814449917903</v>
      </c>
      <c r="U602" s="168">
        <v>153.94088669950742</v>
      </c>
      <c r="V602" s="168">
        <v>128.28407224958951</v>
      </c>
      <c r="W602" s="168">
        <v>102.62725779967161</v>
      </c>
    </row>
    <row r="603" spans="1:23">
      <c r="A603" s="195" t="s">
        <v>1276</v>
      </c>
      <c r="B603" s="195" t="s">
        <v>1102</v>
      </c>
      <c r="C603" s="239" t="s">
        <v>2792</v>
      </c>
      <c r="D603" s="237" t="s">
        <v>2793</v>
      </c>
      <c r="E603" s="128"/>
      <c r="F603" s="128" t="s">
        <v>3260</v>
      </c>
      <c r="G603" s="233" t="s">
        <v>3195</v>
      </c>
      <c r="H603" s="238"/>
      <c r="I603" s="236" t="s">
        <v>3246</v>
      </c>
      <c r="J603" s="128"/>
      <c r="K603" s="239" t="s">
        <v>1223</v>
      </c>
      <c r="L603" s="197"/>
      <c r="M603" s="237" t="s">
        <v>2206</v>
      </c>
      <c r="N603" s="197"/>
      <c r="O603" s="197"/>
      <c r="P603" s="197">
        <v>9403208000</v>
      </c>
      <c r="Q603" s="240">
        <v>85.522714833059666</v>
      </c>
      <c r="R603" s="277" t="s">
        <v>9</v>
      </c>
      <c r="T603" s="168">
        <v>285.07571611019893</v>
      </c>
      <c r="U603" s="168">
        <v>171.04542966611936</v>
      </c>
      <c r="V603" s="168">
        <v>142.53785805509946</v>
      </c>
      <c r="W603" s="168">
        <v>114.03028644407958</v>
      </c>
    </row>
    <row r="604" spans="1:23">
      <c r="A604" s="195" t="s">
        <v>1276</v>
      </c>
      <c r="B604" s="195" t="s">
        <v>1102</v>
      </c>
      <c r="C604" s="239" t="s">
        <v>2792</v>
      </c>
      <c r="D604" s="237" t="s">
        <v>2793</v>
      </c>
      <c r="E604" s="128"/>
      <c r="F604" s="128"/>
      <c r="G604" s="233" t="s">
        <v>3196</v>
      </c>
      <c r="H604" s="238"/>
      <c r="I604" s="236" t="s">
        <v>3247</v>
      </c>
      <c r="J604" s="128"/>
      <c r="K604" s="239" t="s">
        <v>1223</v>
      </c>
      <c r="L604" s="197"/>
      <c r="M604" s="237" t="s">
        <v>2206</v>
      </c>
      <c r="N604" s="197"/>
      <c r="O604" s="197"/>
      <c r="P604" s="197">
        <v>9403208000</v>
      </c>
      <c r="Q604" s="240">
        <v>31.899972632731256</v>
      </c>
      <c r="R604" s="277" t="s">
        <v>9</v>
      </c>
      <c r="T604" s="168">
        <v>106.33324210910419</v>
      </c>
      <c r="U604" s="168">
        <v>63.799945265462512</v>
      </c>
      <c r="V604" s="168">
        <v>53.166621054552095</v>
      </c>
      <c r="W604" s="168">
        <v>42.533296843641679</v>
      </c>
    </row>
    <row r="605" spans="1:23">
      <c r="A605" s="195" t="s">
        <v>1276</v>
      </c>
      <c r="B605" s="195" t="s">
        <v>1102</v>
      </c>
      <c r="C605" s="239" t="s">
        <v>2792</v>
      </c>
      <c r="D605" s="237" t="s">
        <v>2793</v>
      </c>
      <c r="E605" s="128"/>
      <c r="F605" s="128"/>
      <c r="G605" s="233" t="s">
        <v>3197</v>
      </c>
      <c r="H605" s="238"/>
      <c r="I605" s="236" t="s">
        <v>3239</v>
      </c>
      <c r="J605" s="128"/>
      <c r="K605" s="239" t="s">
        <v>1223</v>
      </c>
      <c r="L605" s="197"/>
      <c r="M605" s="237" t="s">
        <v>2206</v>
      </c>
      <c r="N605" s="197"/>
      <c r="O605" s="197"/>
      <c r="P605" s="197">
        <v>9403208000</v>
      </c>
      <c r="Q605" s="240">
        <v>4.7037493158182819</v>
      </c>
      <c r="R605" s="277" t="s">
        <v>9</v>
      </c>
      <c r="T605" s="168">
        <v>15.67916438606094</v>
      </c>
      <c r="U605" s="168">
        <v>9.4074986316365639</v>
      </c>
      <c r="V605" s="168">
        <v>7.8395821930304699</v>
      </c>
      <c r="W605" s="168">
        <v>6.2716657544243759</v>
      </c>
    </row>
    <row r="606" spans="1:23">
      <c r="K606" s="258"/>
      <c r="L606" s="170"/>
      <c r="M606" s="130"/>
      <c r="N606" s="170"/>
      <c r="O606" s="170"/>
      <c r="P606" s="170"/>
      <c r="Q606" s="265"/>
      <c r="R606" s="271"/>
    </row>
    <row r="607" spans="1:23">
      <c r="K607" s="258"/>
      <c r="L607" s="170"/>
      <c r="M607" s="130"/>
      <c r="N607" s="170"/>
      <c r="O607" s="170"/>
      <c r="P607" s="170"/>
      <c r="Q607" s="265"/>
      <c r="R607" s="271"/>
    </row>
    <row r="608" spans="1:23">
      <c r="K608" s="258"/>
      <c r="L608" s="170"/>
      <c r="M608" s="130"/>
      <c r="N608" s="170"/>
      <c r="O608" s="170"/>
      <c r="P608" s="170"/>
      <c r="Q608" s="265"/>
      <c r="R608" s="271"/>
    </row>
    <row r="609" spans="11:18">
      <c r="K609" s="258"/>
      <c r="L609" s="170"/>
      <c r="M609" s="130"/>
      <c r="N609" s="170"/>
      <c r="O609" s="170"/>
      <c r="P609" s="170"/>
      <c r="Q609" s="265"/>
      <c r="R609" s="271"/>
    </row>
    <row r="610" spans="11:18">
      <c r="K610" s="258"/>
      <c r="L610" s="170"/>
      <c r="M610" s="130"/>
      <c r="N610" s="170"/>
      <c r="O610" s="170"/>
      <c r="P610" s="170"/>
      <c r="Q610" s="265"/>
      <c r="R610" s="271"/>
    </row>
    <row r="611" spans="11:18">
      <c r="K611" s="258"/>
      <c r="L611" s="170"/>
      <c r="M611" s="130"/>
      <c r="N611" s="170"/>
      <c r="O611" s="170"/>
      <c r="P611" s="170"/>
      <c r="Q611" s="265"/>
      <c r="R611" s="271"/>
    </row>
    <row r="612" spans="11:18">
      <c r="K612" s="258"/>
      <c r="L612" s="170"/>
      <c r="M612" s="130"/>
      <c r="N612" s="170"/>
      <c r="O612" s="170"/>
      <c r="P612" s="170"/>
      <c r="Q612" s="265"/>
      <c r="R612" s="271"/>
    </row>
    <row r="613" spans="11:18">
      <c r="K613" s="258"/>
      <c r="L613" s="170"/>
      <c r="M613" s="130"/>
      <c r="N613" s="170"/>
      <c r="O613" s="170"/>
      <c r="P613" s="170"/>
      <c r="Q613" s="265"/>
      <c r="R613" s="271"/>
    </row>
    <row r="614" spans="11:18">
      <c r="K614" s="258"/>
      <c r="L614" s="170"/>
      <c r="M614" s="130"/>
      <c r="N614" s="170"/>
      <c r="O614" s="170"/>
      <c r="P614" s="170"/>
      <c r="Q614" s="265"/>
      <c r="R614" s="271"/>
    </row>
    <row r="615" spans="11:18">
      <c r="K615" s="258"/>
      <c r="L615" s="170"/>
      <c r="M615" s="130"/>
      <c r="N615" s="170"/>
      <c r="O615" s="170"/>
      <c r="P615" s="170"/>
      <c r="Q615" s="265"/>
      <c r="R615" s="271"/>
    </row>
    <row r="616" spans="11:18">
      <c r="K616" s="258"/>
      <c r="L616" s="170"/>
      <c r="M616" s="130"/>
      <c r="N616" s="170"/>
      <c r="O616" s="170"/>
      <c r="P616" s="170"/>
      <c r="Q616" s="265"/>
      <c r="R616" s="271"/>
    </row>
    <row r="617" spans="11:18">
      <c r="K617" s="258"/>
      <c r="L617" s="170"/>
      <c r="M617" s="130"/>
      <c r="N617" s="170"/>
      <c r="O617" s="170"/>
      <c r="P617" s="170"/>
      <c r="Q617" s="265"/>
      <c r="R617" s="271"/>
    </row>
    <row r="618" spans="11:18">
      <c r="K618" s="258"/>
      <c r="L618" s="170"/>
      <c r="M618" s="130"/>
      <c r="N618" s="170"/>
      <c r="O618" s="170"/>
      <c r="P618" s="170"/>
      <c r="Q618" s="265"/>
      <c r="R618" s="271"/>
    </row>
    <row r="619" spans="11:18">
      <c r="K619" s="258"/>
      <c r="L619" s="170"/>
      <c r="M619" s="130"/>
      <c r="N619" s="170"/>
      <c r="O619" s="170"/>
      <c r="P619" s="170"/>
      <c r="Q619" s="265"/>
      <c r="R619" s="271"/>
    </row>
    <row r="620" spans="11:18">
      <c r="K620" s="258"/>
      <c r="L620" s="170"/>
      <c r="M620" s="130"/>
      <c r="N620" s="170"/>
      <c r="O620" s="170"/>
      <c r="P620" s="170"/>
      <c r="Q620" s="265"/>
      <c r="R620" s="271"/>
    </row>
    <row r="621" spans="11:18">
      <c r="K621" s="258"/>
      <c r="L621" s="170"/>
      <c r="M621" s="130"/>
      <c r="N621" s="170"/>
      <c r="O621" s="170"/>
      <c r="P621" s="170"/>
      <c r="Q621" s="265"/>
      <c r="R621" s="271"/>
    </row>
    <row r="622" spans="11:18">
      <c r="K622" s="258"/>
      <c r="L622" s="170"/>
      <c r="M622" s="130"/>
      <c r="N622" s="170"/>
      <c r="O622" s="170"/>
      <c r="P622" s="170"/>
      <c r="Q622" s="265"/>
      <c r="R622" s="271"/>
    </row>
    <row r="623" spans="11:18">
      <c r="K623" s="258"/>
      <c r="L623" s="170"/>
      <c r="M623" s="130"/>
      <c r="N623" s="170"/>
      <c r="O623" s="170"/>
      <c r="P623" s="170"/>
      <c r="Q623" s="265"/>
      <c r="R623" s="271"/>
    </row>
    <row r="624" spans="11:18">
      <c r="K624" s="258"/>
      <c r="L624" s="170"/>
      <c r="M624" s="130"/>
      <c r="N624" s="170"/>
      <c r="O624" s="170"/>
      <c r="P624" s="170"/>
      <c r="Q624" s="265"/>
      <c r="R624" s="271"/>
    </row>
    <row r="625" spans="11:18">
      <c r="K625" s="258"/>
      <c r="L625" s="170"/>
      <c r="M625" s="130"/>
      <c r="N625" s="170"/>
      <c r="O625" s="170"/>
      <c r="P625" s="170"/>
      <c r="Q625" s="265"/>
      <c r="R625" s="271"/>
    </row>
    <row r="626" spans="11:18">
      <c r="K626" s="258"/>
      <c r="L626" s="170"/>
      <c r="M626" s="130"/>
      <c r="N626" s="170"/>
      <c r="O626" s="170"/>
      <c r="P626" s="170"/>
      <c r="Q626" s="265"/>
      <c r="R626" s="271"/>
    </row>
    <row r="627" spans="11:18">
      <c r="K627" s="258"/>
      <c r="L627" s="170"/>
      <c r="M627" s="130"/>
      <c r="N627" s="170"/>
      <c r="O627" s="170"/>
      <c r="P627" s="170"/>
      <c r="Q627" s="265"/>
      <c r="R627" s="271"/>
    </row>
    <row r="628" spans="11:18">
      <c r="K628" s="258"/>
      <c r="L628" s="170"/>
      <c r="M628" s="130"/>
      <c r="N628" s="170"/>
      <c r="O628" s="170"/>
      <c r="P628" s="170"/>
      <c r="Q628" s="265"/>
      <c r="R628" s="271"/>
    </row>
    <row r="629" spans="11:18">
      <c r="K629" s="258"/>
      <c r="L629" s="170"/>
      <c r="M629" s="130"/>
      <c r="N629" s="170"/>
      <c r="O629" s="170"/>
      <c r="P629" s="170"/>
      <c r="Q629" s="265"/>
      <c r="R629" s="271"/>
    </row>
    <row r="630" spans="11:18">
      <c r="K630" s="258"/>
      <c r="L630" s="170"/>
      <c r="M630" s="130"/>
      <c r="N630" s="170"/>
      <c r="O630" s="170"/>
      <c r="P630" s="170"/>
      <c r="Q630" s="265"/>
      <c r="R630" s="271"/>
    </row>
    <row r="631" spans="11:18">
      <c r="K631" s="258"/>
      <c r="L631" s="170"/>
      <c r="M631" s="130"/>
      <c r="N631" s="170"/>
      <c r="O631" s="170"/>
      <c r="P631" s="170"/>
      <c r="Q631" s="265"/>
      <c r="R631" s="271"/>
    </row>
    <row r="632" spans="11:18">
      <c r="K632" s="258"/>
      <c r="L632" s="170"/>
      <c r="M632" s="130"/>
      <c r="N632" s="170"/>
      <c r="O632" s="170"/>
      <c r="P632" s="170"/>
      <c r="Q632" s="265"/>
      <c r="R632" s="271"/>
    </row>
    <row r="633" spans="11:18">
      <c r="K633" s="258"/>
      <c r="L633" s="170"/>
      <c r="M633" s="130"/>
      <c r="N633" s="170"/>
      <c r="O633" s="170"/>
      <c r="P633" s="170"/>
      <c r="Q633" s="265"/>
      <c r="R633" s="271"/>
    </row>
    <row r="634" spans="11:18">
      <c r="K634" s="258"/>
      <c r="L634" s="170"/>
      <c r="M634" s="130"/>
      <c r="N634" s="170"/>
      <c r="O634" s="170"/>
      <c r="P634" s="170"/>
      <c r="Q634" s="265"/>
      <c r="R634" s="271"/>
    </row>
    <row r="635" spans="11:18">
      <c r="K635" s="258"/>
      <c r="L635" s="170"/>
      <c r="M635" s="130"/>
      <c r="N635" s="170"/>
      <c r="O635" s="170"/>
      <c r="P635" s="170"/>
      <c r="Q635" s="265"/>
      <c r="R635" s="271"/>
    </row>
    <row r="636" spans="11:18">
      <c r="K636" s="258"/>
      <c r="L636" s="170"/>
      <c r="M636" s="130"/>
      <c r="N636" s="170"/>
      <c r="O636" s="170"/>
      <c r="P636" s="170"/>
      <c r="Q636" s="265"/>
      <c r="R636" s="271"/>
    </row>
    <row r="637" spans="11:18">
      <c r="K637" s="258"/>
      <c r="L637" s="170"/>
      <c r="M637" s="130"/>
      <c r="N637" s="170"/>
      <c r="O637" s="170"/>
      <c r="P637" s="170"/>
      <c r="Q637" s="265"/>
      <c r="R637" s="271"/>
    </row>
    <row r="638" spans="11:18">
      <c r="K638" s="258"/>
      <c r="L638" s="170"/>
      <c r="M638" s="130"/>
      <c r="N638" s="170"/>
      <c r="O638" s="170"/>
      <c r="P638" s="170"/>
      <c r="Q638" s="265"/>
      <c r="R638" s="271"/>
    </row>
    <row r="639" spans="11:18">
      <c r="K639" s="258"/>
      <c r="L639" s="170"/>
      <c r="M639" s="130"/>
      <c r="N639" s="170"/>
      <c r="O639" s="170"/>
      <c r="P639" s="170"/>
      <c r="Q639" s="265"/>
      <c r="R639" s="271"/>
    </row>
    <row r="640" spans="11:18">
      <c r="K640" s="258"/>
      <c r="L640" s="170"/>
      <c r="M640" s="130"/>
      <c r="N640" s="170"/>
      <c r="O640" s="170"/>
      <c r="P640" s="170"/>
      <c r="Q640" s="265"/>
      <c r="R640" s="271"/>
    </row>
    <row r="641" spans="11:18">
      <c r="K641" s="258"/>
      <c r="L641" s="170"/>
      <c r="M641" s="130"/>
      <c r="N641" s="170"/>
      <c r="O641" s="170"/>
      <c r="P641" s="170"/>
      <c r="Q641" s="265"/>
      <c r="R641" s="271"/>
    </row>
    <row r="642" spans="11:18">
      <c r="K642" s="258"/>
      <c r="L642" s="170"/>
      <c r="M642" s="130"/>
      <c r="N642" s="170"/>
      <c r="O642" s="170"/>
      <c r="P642" s="170"/>
      <c r="Q642" s="265"/>
      <c r="R642" s="271"/>
    </row>
    <row r="643" spans="11:18">
      <c r="K643" s="258"/>
      <c r="L643" s="170"/>
      <c r="M643" s="130"/>
      <c r="N643" s="170"/>
      <c r="O643" s="170"/>
      <c r="P643" s="170"/>
      <c r="Q643" s="265"/>
      <c r="R643" s="271"/>
    </row>
    <row r="644" spans="11:18">
      <c r="K644" s="258"/>
      <c r="L644" s="170"/>
      <c r="M644" s="130"/>
      <c r="N644" s="170"/>
      <c r="O644" s="170"/>
      <c r="P644" s="170"/>
      <c r="Q644" s="265"/>
      <c r="R644" s="271"/>
    </row>
    <row r="645" spans="11:18">
      <c r="K645" s="258"/>
      <c r="L645" s="170"/>
      <c r="M645" s="130"/>
      <c r="N645" s="170"/>
      <c r="O645" s="170"/>
      <c r="P645" s="170"/>
      <c r="Q645" s="265"/>
      <c r="R645" s="271"/>
    </row>
    <row r="646" spans="11:18">
      <c r="K646" s="258"/>
      <c r="L646" s="170"/>
      <c r="M646" s="130"/>
      <c r="N646" s="170"/>
      <c r="O646" s="170"/>
      <c r="P646" s="170"/>
      <c r="Q646" s="265"/>
      <c r="R646" s="271"/>
    </row>
    <row r="647" spans="11:18">
      <c r="K647" s="258"/>
      <c r="L647" s="170"/>
      <c r="M647" s="130"/>
      <c r="N647" s="170"/>
      <c r="O647" s="170"/>
      <c r="P647" s="170"/>
      <c r="Q647" s="265"/>
      <c r="R647" s="271"/>
    </row>
    <row r="648" spans="11:18">
      <c r="K648" s="258"/>
      <c r="L648" s="170"/>
      <c r="M648" s="130"/>
      <c r="N648" s="170"/>
      <c r="O648" s="170"/>
      <c r="P648" s="170"/>
      <c r="Q648" s="265"/>
      <c r="R648" s="271"/>
    </row>
    <row r="649" spans="11:18">
      <c r="K649" s="258"/>
      <c r="L649" s="170"/>
      <c r="M649" s="130"/>
      <c r="N649" s="170"/>
      <c r="O649" s="170"/>
      <c r="P649" s="170"/>
      <c r="Q649" s="265"/>
      <c r="R649" s="271"/>
    </row>
    <row r="650" spans="11:18">
      <c r="K650" s="258"/>
      <c r="L650" s="170"/>
      <c r="M650" s="130"/>
      <c r="N650" s="170"/>
      <c r="O650" s="170"/>
      <c r="P650" s="170"/>
      <c r="Q650" s="265"/>
      <c r="R650" s="271"/>
    </row>
    <row r="651" spans="11:18">
      <c r="K651" s="258"/>
      <c r="L651" s="170"/>
      <c r="M651" s="130"/>
      <c r="N651" s="170"/>
      <c r="O651" s="170"/>
      <c r="P651" s="170"/>
      <c r="Q651" s="265"/>
      <c r="R651" s="271"/>
    </row>
    <row r="652" spans="11:18">
      <c r="K652" s="258"/>
      <c r="L652" s="170"/>
      <c r="M652" s="130"/>
      <c r="N652" s="170"/>
      <c r="O652" s="170"/>
      <c r="P652" s="170"/>
      <c r="Q652" s="265"/>
      <c r="R652" s="271"/>
    </row>
    <row r="653" spans="11:18">
      <c r="K653" s="258"/>
      <c r="L653" s="170"/>
      <c r="M653" s="130"/>
      <c r="N653" s="170"/>
      <c r="O653" s="170"/>
      <c r="P653" s="170"/>
      <c r="Q653" s="265"/>
      <c r="R653" s="271"/>
    </row>
    <row r="654" spans="11:18">
      <c r="K654" s="258"/>
      <c r="L654" s="170"/>
      <c r="M654" s="130"/>
      <c r="N654" s="170"/>
      <c r="O654" s="170"/>
      <c r="P654" s="170"/>
      <c r="Q654" s="265"/>
      <c r="R654" s="271"/>
    </row>
    <row r="655" spans="11:18">
      <c r="K655" s="258"/>
      <c r="L655" s="170"/>
      <c r="M655" s="130"/>
      <c r="N655" s="170"/>
      <c r="O655" s="170"/>
      <c r="P655" s="170"/>
      <c r="Q655" s="265"/>
      <c r="R655" s="271"/>
    </row>
    <row r="656" spans="11:18">
      <c r="K656" s="258"/>
      <c r="L656" s="170"/>
      <c r="M656" s="130"/>
      <c r="N656" s="170"/>
      <c r="O656" s="170"/>
      <c r="P656" s="170"/>
      <c r="Q656" s="265"/>
      <c r="R656" s="271"/>
    </row>
    <row r="657" spans="11:18">
      <c r="K657" s="258"/>
      <c r="L657" s="170"/>
      <c r="M657" s="130"/>
      <c r="N657" s="170"/>
      <c r="O657" s="170"/>
      <c r="P657" s="170"/>
      <c r="Q657" s="265"/>
      <c r="R657" s="271"/>
    </row>
    <row r="658" spans="11:18">
      <c r="K658" s="258"/>
      <c r="L658" s="170"/>
      <c r="M658" s="130"/>
      <c r="N658" s="170"/>
      <c r="O658" s="170"/>
      <c r="P658" s="170"/>
      <c r="Q658" s="265"/>
      <c r="R658" s="271"/>
    </row>
    <row r="659" spans="11:18">
      <c r="K659" s="258"/>
      <c r="L659" s="170"/>
      <c r="M659" s="130"/>
      <c r="N659" s="170"/>
      <c r="O659" s="170"/>
      <c r="P659" s="170"/>
      <c r="Q659" s="265"/>
      <c r="R659" s="271"/>
    </row>
    <row r="660" spans="11:18">
      <c r="K660" s="258"/>
      <c r="L660" s="170"/>
      <c r="M660" s="130"/>
      <c r="N660" s="170"/>
      <c r="O660" s="170"/>
      <c r="P660" s="170"/>
      <c r="Q660" s="265"/>
      <c r="R660" s="271"/>
    </row>
    <row r="661" spans="11:18">
      <c r="K661" s="258"/>
      <c r="L661" s="170"/>
      <c r="M661" s="130"/>
      <c r="N661" s="170"/>
      <c r="O661" s="170"/>
      <c r="P661" s="170"/>
      <c r="Q661" s="265"/>
      <c r="R661" s="271"/>
    </row>
    <row r="662" spans="11:18">
      <c r="K662" s="258"/>
      <c r="L662" s="170"/>
      <c r="M662" s="130"/>
      <c r="N662" s="170"/>
      <c r="O662" s="170"/>
      <c r="P662" s="170"/>
      <c r="Q662" s="265"/>
      <c r="R662" s="271"/>
    </row>
    <row r="663" spans="11:18">
      <c r="K663" s="258"/>
      <c r="L663" s="170"/>
      <c r="M663" s="130"/>
      <c r="N663" s="170"/>
      <c r="O663" s="170"/>
      <c r="P663" s="170"/>
      <c r="Q663" s="265"/>
      <c r="R663" s="271"/>
    </row>
    <row r="664" spans="11:18">
      <c r="K664" s="258"/>
      <c r="L664" s="170"/>
      <c r="M664" s="130"/>
      <c r="N664" s="170"/>
      <c r="O664" s="170"/>
      <c r="P664" s="170"/>
      <c r="Q664" s="265"/>
      <c r="R664" s="271"/>
    </row>
    <row r="665" spans="11:18">
      <c r="K665" s="258"/>
      <c r="L665" s="170"/>
      <c r="M665" s="130"/>
      <c r="N665" s="170"/>
      <c r="O665" s="170"/>
      <c r="P665" s="170"/>
      <c r="Q665" s="265"/>
      <c r="R665" s="271"/>
    </row>
    <row r="666" spans="11:18">
      <c r="K666" s="258"/>
      <c r="L666" s="170"/>
      <c r="M666" s="130"/>
      <c r="N666" s="170"/>
      <c r="O666" s="170"/>
      <c r="P666" s="170"/>
      <c r="Q666" s="265"/>
      <c r="R666" s="271"/>
    </row>
    <row r="667" spans="11:18">
      <c r="K667" s="258"/>
      <c r="L667" s="170"/>
      <c r="M667" s="130"/>
      <c r="N667" s="170"/>
      <c r="O667" s="170"/>
      <c r="P667" s="170"/>
      <c r="Q667" s="265"/>
      <c r="R667" s="271"/>
    </row>
    <row r="668" spans="11:18">
      <c r="K668" s="258"/>
      <c r="L668" s="170"/>
      <c r="M668" s="130"/>
      <c r="N668" s="170"/>
      <c r="O668" s="170"/>
      <c r="P668" s="170"/>
      <c r="Q668" s="265"/>
      <c r="R668" s="271"/>
    </row>
    <row r="669" spans="11:18">
      <c r="K669" s="258"/>
      <c r="L669" s="170"/>
      <c r="M669" s="130"/>
      <c r="N669" s="170"/>
      <c r="O669" s="170"/>
      <c r="P669" s="170"/>
      <c r="Q669" s="265"/>
      <c r="R669" s="271"/>
    </row>
    <row r="670" spans="11:18">
      <c r="K670" s="258"/>
      <c r="L670" s="170"/>
      <c r="M670" s="130"/>
      <c r="N670" s="170"/>
      <c r="O670" s="170"/>
      <c r="P670" s="170"/>
      <c r="Q670" s="265"/>
      <c r="R670" s="271"/>
    </row>
    <row r="671" spans="11:18">
      <c r="K671" s="258"/>
      <c r="L671" s="170"/>
      <c r="M671" s="130"/>
      <c r="N671" s="170"/>
      <c r="O671" s="170"/>
      <c r="P671" s="170"/>
      <c r="Q671" s="265"/>
      <c r="R671" s="271"/>
    </row>
    <row r="672" spans="11:18">
      <c r="K672" s="258"/>
      <c r="L672" s="170"/>
      <c r="M672" s="130"/>
      <c r="N672" s="170"/>
      <c r="O672" s="170"/>
      <c r="P672" s="170"/>
      <c r="Q672" s="265"/>
      <c r="R672" s="271"/>
    </row>
    <row r="673" spans="11:18">
      <c r="K673" s="258"/>
      <c r="L673" s="170"/>
      <c r="M673" s="130"/>
      <c r="N673" s="170"/>
      <c r="O673" s="170"/>
      <c r="P673" s="170"/>
      <c r="Q673" s="265"/>
      <c r="R673" s="271"/>
    </row>
    <row r="674" spans="11:18">
      <c r="K674" s="258"/>
      <c r="L674" s="170"/>
      <c r="M674" s="130"/>
      <c r="N674" s="170"/>
      <c r="O674" s="170"/>
      <c r="P674" s="170"/>
      <c r="Q674" s="265"/>
      <c r="R674" s="271"/>
    </row>
    <row r="675" spans="11:18">
      <c r="K675" s="258"/>
      <c r="L675" s="170"/>
      <c r="M675" s="130"/>
      <c r="N675" s="170"/>
      <c r="O675" s="170"/>
      <c r="P675" s="170"/>
      <c r="Q675" s="265"/>
      <c r="R675" s="271"/>
    </row>
    <row r="676" spans="11:18">
      <c r="K676" s="258"/>
      <c r="L676" s="170"/>
      <c r="M676" s="130"/>
      <c r="N676" s="170"/>
      <c r="O676" s="170"/>
      <c r="P676" s="170"/>
      <c r="Q676" s="265"/>
      <c r="R676" s="271"/>
    </row>
    <row r="677" spans="11:18">
      <c r="K677" s="258"/>
      <c r="L677" s="170"/>
      <c r="M677" s="130"/>
      <c r="N677" s="170"/>
      <c r="O677" s="170"/>
      <c r="P677" s="170"/>
      <c r="Q677" s="265"/>
      <c r="R677" s="271"/>
    </row>
    <row r="678" spans="11:18">
      <c r="K678" s="258"/>
      <c r="L678" s="170"/>
      <c r="M678" s="130"/>
      <c r="N678" s="170"/>
      <c r="O678" s="170"/>
      <c r="P678" s="170"/>
      <c r="Q678" s="265"/>
      <c r="R678" s="271"/>
    </row>
    <row r="679" spans="11:18">
      <c r="K679" s="258"/>
      <c r="L679" s="170"/>
      <c r="M679" s="130"/>
      <c r="N679" s="170"/>
      <c r="O679" s="170"/>
      <c r="P679" s="170"/>
      <c r="Q679" s="265"/>
      <c r="R679" s="271"/>
    </row>
    <row r="680" spans="11:18">
      <c r="K680" s="258"/>
      <c r="L680" s="170"/>
      <c r="M680" s="130"/>
      <c r="N680" s="170"/>
      <c r="O680" s="170"/>
      <c r="P680" s="170"/>
      <c r="Q680" s="265"/>
      <c r="R680" s="271"/>
    </row>
    <row r="681" spans="11:18">
      <c r="K681" s="258"/>
      <c r="L681" s="170"/>
      <c r="M681" s="130"/>
      <c r="N681" s="170"/>
      <c r="O681" s="170"/>
      <c r="P681" s="170"/>
      <c r="Q681" s="265"/>
      <c r="R681" s="271"/>
    </row>
    <row r="682" spans="11:18">
      <c r="K682" s="258"/>
      <c r="L682" s="170"/>
      <c r="M682" s="130"/>
      <c r="N682" s="170"/>
      <c r="O682" s="170"/>
      <c r="P682" s="170"/>
      <c r="Q682" s="265"/>
      <c r="R682" s="271"/>
    </row>
    <row r="683" spans="11:18">
      <c r="K683" s="258"/>
      <c r="L683" s="170"/>
      <c r="M683" s="130"/>
      <c r="N683" s="170"/>
      <c r="O683" s="170"/>
      <c r="P683" s="170"/>
      <c r="Q683" s="265"/>
      <c r="R683" s="271"/>
    </row>
    <row r="684" spans="11:18">
      <c r="K684" s="258"/>
      <c r="L684" s="170"/>
      <c r="M684" s="130"/>
      <c r="N684" s="170"/>
      <c r="O684" s="170"/>
      <c r="P684" s="170"/>
      <c r="Q684" s="265"/>
      <c r="R684" s="271"/>
    </row>
    <row r="685" spans="11:18">
      <c r="K685" s="258"/>
      <c r="L685" s="170"/>
      <c r="M685" s="130"/>
      <c r="N685" s="170"/>
      <c r="O685" s="170"/>
      <c r="P685" s="170"/>
      <c r="Q685" s="265"/>
      <c r="R685" s="271"/>
    </row>
    <row r="686" spans="11:18">
      <c r="K686" s="258"/>
      <c r="L686" s="170"/>
      <c r="M686" s="130"/>
      <c r="N686" s="170"/>
      <c r="O686" s="170"/>
      <c r="P686" s="170"/>
      <c r="Q686" s="265"/>
      <c r="R686" s="271"/>
    </row>
    <row r="687" spans="11:18">
      <c r="K687" s="258"/>
      <c r="L687" s="170"/>
      <c r="M687" s="130"/>
      <c r="N687" s="170"/>
      <c r="O687" s="170"/>
      <c r="P687" s="170"/>
      <c r="Q687" s="265"/>
      <c r="R687" s="271"/>
    </row>
  </sheetData>
  <autoFilter ref="A13:W605" xr:uid="{00000000-0001-0000-0000-000000000000}"/>
  <mergeCells count="2">
    <mergeCell ref="N388:N401"/>
    <mergeCell ref="O388:O401"/>
  </mergeCells>
  <phoneticPr fontId="2" type="noConversion"/>
  <conditionalFormatting sqref="XDD93">
    <cfRule type="containsText" dxfId="3" priority="1" operator="containsText" text="No">
      <formula>NOT(ISERROR(SEARCH("No",XDD93)))</formula>
    </cfRule>
  </conditionalFormatting>
  <conditionalFormatting sqref="XDG317">
    <cfRule type="containsText" dxfId="2" priority="2" operator="containsText" text="No">
      <formula>NOT(ISERROR(SEARCH("No",XDG317)))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A57A-F8C8-4B2A-9FBA-7C25FB495FC8}">
  <sheetPr filterMode="1">
    <pageSetUpPr fitToPage="1"/>
  </sheetPr>
  <dimension ref="A1:BE650"/>
  <sheetViews>
    <sheetView topLeftCell="L1" zoomScale="85" zoomScaleNormal="85" workbookViewId="0">
      <selection activeCell="AE27" sqref="AE27"/>
    </sheetView>
  </sheetViews>
  <sheetFormatPr baseColWidth="10" defaultColWidth="9.140625" defaultRowHeight="14.25" outlineLevelCol="1"/>
  <cols>
    <col min="1" max="1" width="10.140625" style="1" customWidth="1"/>
    <col min="2" max="2" width="27.140625" style="1" customWidth="1"/>
    <col min="3" max="3" width="35.140625" style="1" customWidth="1"/>
    <col min="4" max="4" width="42.85546875" style="4" bestFit="1" customWidth="1"/>
    <col min="5" max="5" width="11.140625" style="6" customWidth="1"/>
    <col min="6" max="6" width="15.85546875" style="6" customWidth="1"/>
    <col min="7" max="7" width="24" style="104" bestFit="1" customWidth="1"/>
    <col min="8" max="8" width="12.140625" style="104" bestFit="1" customWidth="1"/>
    <col min="9" max="9" width="121.85546875" style="4" customWidth="1" outlineLevel="1"/>
    <col min="10" max="10" width="9.140625" style="6" customWidth="1"/>
    <col min="11" max="11" width="9.140625" style="4" customWidth="1"/>
    <col min="12" max="12" width="15.140625" style="6" customWidth="1"/>
    <col min="13" max="13" width="29.85546875" style="1" customWidth="1"/>
    <col min="14" max="14" width="20.140625" style="6" customWidth="1"/>
    <col min="15" max="15" width="15.140625" style="6" customWidth="1"/>
    <col min="16" max="16" width="13.140625" style="7" customWidth="1" outlineLevel="1"/>
    <col min="17" max="17" width="27.140625" style="6" customWidth="1" outlineLevel="1"/>
    <col min="18" max="18" width="19.140625" style="6" customWidth="1" outlineLevel="1"/>
    <col min="19" max="19" width="13.140625" style="1" customWidth="1"/>
    <col min="20" max="20" width="15.140625" style="6" bestFit="1" customWidth="1" outlineLevel="1"/>
    <col min="21" max="23" width="20" style="6" bestFit="1" customWidth="1" outlineLevel="1"/>
    <col min="24" max="16384" width="9.140625" style="1"/>
  </cols>
  <sheetData>
    <row r="1" spans="1:23" ht="15" thickBot="1">
      <c r="C1" s="2" t="s">
        <v>0</v>
      </c>
      <c r="D1" s="114" t="s">
        <v>2555</v>
      </c>
      <c r="E1" s="3"/>
      <c r="F1" s="3"/>
      <c r="I1" s="5"/>
      <c r="J1" s="221"/>
      <c r="K1" s="5"/>
    </row>
    <row r="2" spans="1:23" ht="15" thickBot="1">
      <c r="C2" s="2" t="s">
        <v>2</v>
      </c>
      <c r="D2" s="115">
        <v>80000</v>
      </c>
      <c r="E2" s="12"/>
      <c r="F2" s="12"/>
      <c r="I2" s="5"/>
      <c r="J2" s="221"/>
      <c r="K2" s="5"/>
      <c r="Q2" s="95" t="s">
        <v>3</v>
      </c>
      <c r="R2" s="96"/>
    </row>
    <row r="3" spans="1:23">
      <c r="C3" s="2" t="s">
        <v>4</v>
      </c>
      <c r="D3" s="116">
        <v>9860</v>
      </c>
      <c r="E3" s="13"/>
      <c r="F3" s="13"/>
      <c r="I3" s="5"/>
      <c r="J3" s="221"/>
      <c r="K3" s="5"/>
      <c r="Q3" s="97" t="s">
        <v>5</v>
      </c>
      <c r="R3" s="98">
        <v>0.1</v>
      </c>
    </row>
    <row r="4" spans="1:23">
      <c r="C4" s="2" t="s">
        <v>6</v>
      </c>
      <c r="D4" s="117">
        <v>8500</v>
      </c>
      <c r="E4" s="13"/>
      <c r="F4" s="14"/>
      <c r="I4" s="5"/>
      <c r="J4" s="221"/>
      <c r="K4" s="5"/>
      <c r="Q4" s="97" t="s">
        <v>7</v>
      </c>
      <c r="R4" s="98">
        <v>0.05</v>
      </c>
    </row>
    <row r="5" spans="1:23" ht="15" thickBot="1">
      <c r="C5" s="2" t="s">
        <v>8</v>
      </c>
      <c r="D5" s="284">
        <v>7.06</v>
      </c>
      <c r="E5" s="18"/>
      <c r="F5" s="14"/>
      <c r="I5" s="5"/>
      <c r="J5" s="221"/>
      <c r="K5" s="5"/>
      <c r="Q5" s="99" t="s">
        <v>9</v>
      </c>
      <c r="R5" s="100">
        <v>0</v>
      </c>
    </row>
    <row r="6" spans="1:23">
      <c r="A6" s="17"/>
      <c r="B6" s="17" t="s">
        <v>1304</v>
      </c>
      <c r="C6" s="2" t="s">
        <v>10</v>
      </c>
      <c r="D6" s="117">
        <v>1.1599999999999999</v>
      </c>
      <c r="E6" s="113"/>
      <c r="F6" s="18"/>
    </row>
    <row r="7" spans="1:23">
      <c r="A7" s="17"/>
      <c r="B7" s="17"/>
      <c r="C7" s="2" t="s">
        <v>1332</v>
      </c>
      <c r="D7" s="284">
        <v>8.1895999999999987</v>
      </c>
      <c r="E7" s="113"/>
      <c r="F7" s="18"/>
    </row>
    <row r="8" spans="1:23">
      <c r="A8" s="19"/>
      <c r="B8" s="19" t="s">
        <v>3270</v>
      </c>
      <c r="C8" s="2"/>
      <c r="D8" s="2"/>
      <c r="E8" s="2"/>
      <c r="F8" s="20"/>
      <c r="G8" s="2"/>
      <c r="H8" s="2"/>
      <c r="I8" s="21"/>
    </row>
    <row r="9" spans="1:23" ht="15" thickBot="1"/>
    <row r="10" spans="1:23" ht="35.1" customHeight="1">
      <c r="A10" s="74" t="s">
        <v>1305</v>
      </c>
      <c r="B10" s="74" t="s">
        <v>14</v>
      </c>
      <c r="C10" s="75" t="s">
        <v>15</v>
      </c>
      <c r="D10" s="75" t="s">
        <v>16</v>
      </c>
      <c r="E10" s="76" t="s">
        <v>17</v>
      </c>
      <c r="F10" s="76" t="s">
        <v>3253</v>
      </c>
      <c r="G10" s="75" t="s">
        <v>19</v>
      </c>
      <c r="H10" s="75" t="s">
        <v>2408</v>
      </c>
      <c r="I10" s="75" t="s">
        <v>21</v>
      </c>
      <c r="J10" s="76" t="s">
        <v>22</v>
      </c>
      <c r="K10" s="75" t="s">
        <v>23</v>
      </c>
      <c r="L10" s="77" t="s">
        <v>24</v>
      </c>
      <c r="M10" s="111" t="s">
        <v>25</v>
      </c>
      <c r="N10" s="76" t="s">
        <v>26</v>
      </c>
      <c r="O10" s="77" t="s">
        <v>27</v>
      </c>
      <c r="P10" s="78" t="s">
        <v>29</v>
      </c>
      <c r="Q10" s="80" t="s">
        <v>36</v>
      </c>
      <c r="R10" s="80" t="s">
        <v>40</v>
      </c>
      <c r="T10" s="80" t="s">
        <v>2794</v>
      </c>
      <c r="U10" s="80" t="s">
        <v>2795</v>
      </c>
      <c r="V10" s="80" t="s">
        <v>2796</v>
      </c>
      <c r="W10" s="80" t="s">
        <v>2797</v>
      </c>
    </row>
    <row r="11" spans="1:23" s="129" customFormat="1" hidden="1">
      <c r="A11" s="195" t="s">
        <v>1276</v>
      </c>
      <c r="B11" s="195" t="s">
        <v>55</v>
      </c>
      <c r="C11" s="236" t="s">
        <v>56</v>
      </c>
      <c r="D11" s="237" t="s">
        <v>78</v>
      </c>
      <c r="E11" s="197" t="s">
        <v>70</v>
      </c>
      <c r="F11" s="197">
        <v>23</v>
      </c>
      <c r="G11" s="238" t="s">
        <v>86</v>
      </c>
      <c r="H11" s="238" t="s">
        <v>2826</v>
      </c>
      <c r="I11" s="237" t="s">
        <v>88</v>
      </c>
      <c r="J11" s="197" t="s">
        <v>69</v>
      </c>
      <c r="K11" s="239" t="s">
        <v>60</v>
      </c>
      <c r="L11" s="128">
        <v>17.5</v>
      </c>
      <c r="M11" s="195" t="s">
        <v>61</v>
      </c>
      <c r="N11" s="128" t="s">
        <v>62</v>
      </c>
      <c r="O11" s="128">
        <v>9</v>
      </c>
      <c r="P11" s="197" t="s">
        <v>63</v>
      </c>
      <c r="Q11" s="285">
        <v>353.5697035806931</v>
      </c>
      <c r="R11" s="149" t="s">
        <v>9</v>
      </c>
      <c r="T11" s="134">
        <v>1178.5656786023103</v>
      </c>
      <c r="U11" s="134">
        <v>707.1394071613862</v>
      </c>
      <c r="V11" s="134">
        <v>589.28283930115515</v>
      </c>
      <c r="W11" s="134">
        <v>471.42627144092415</v>
      </c>
    </row>
    <row r="12" spans="1:23" s="129" customFormat="1" hidden="1">
      <c r="A12" s="195" t="s">
        <v>1276</v>
      </c>
      <c r="B12" s="195" t="s">
        <v>55</v>
      </c>
      <c r="C12" s="236" t="s">
        <v>56</v>
      </c>
      <c r="D12" s="237" t="s">
        <v>78</v>
      </c>
      <c r="E12" s="197" t="s">
        <v>70</v>
      </c>
      <c r="F12" s="197">
        <v>23</v>
      </c>
      <c r="G12" s="238" t="s">
        <v>90</v>
      </c>
      <c r="H12" s="238" t="s">
        <v>2827</v>
      </c>
      <c r="I12" s="237" t="s">
        <v>92</v>
      </c>
      <c r="J12" s="197" t="s">
        <v>69</v>
      </c>
      <c r="K12" s="239" t="s">
        <v>60</v>
      </c>
      <c r="L12" s="128">
        <v>35</v>
      </c>
      <c r="M12" s="195" t="s">
        <v>61</v>
      </c>
      <c r="N12" s="128" t="s">
        <v>62</v>
      </c>
      <c r="O12" s="128">
        <v>4</v>
      </c>
      <c r="P12" s="197" t="s">
        <v>63</v>
      </c>
      <c r="Q12" s="285">
        <v>724.4840490257443</v>
      </c>
      <c r="R12" s="149" t="s">
        <v>9</v>
      </c>
      <c r="T12" s="134">
        <v>2414.9468300858143</v>
      </c>
      <c r="U12" s="134">
        <v>1448.9680980514886</v>
      </c>
      <c r="V12" s="134">
        <v>1207.4734150429072</v>
      </c>
      <c r="W12" s="134">
        <v>965.97873203432573</v>
      </c>
    </row>
    <row r="13" spans="1:23" s="129" customFormat="1" hidden="1">
      <c r="A13" s="195" t="s">
        <v>1213</v>
      </c>
      <c r="B13" s="195" t="s">
        <v>55</v>
      </c>
      <c r="C13" s="236" t="s">
        <v>56</v>
      </c>
      <c r="D13" s="237" t="s">
        <v>78</v>
      </c>
      <c r="E13" s="197" t="s">
        <v>70</v>
      </c>
      <c r="F13" s="197">
        <v>24</v>
      </c>
      <c r="G13" s="238" t="s">
        <v>1688</v>
      </c>
      <c r="H13" s="238" t="s">
        <v>2825</v>
      </c>
      <c r="I13" s="237" t="s">
        <v>2567</v>
      </c>
      <c r="J13" s="197" t="s">
        <v>69</v>
      </c>
      <c r="K13" s="239" t="s">
        <v>60</v>
      </c>
      <c r="L13" s="128">
        <v>17.5</v>
      </c>
      <c r="M13" s="195" t="s">
        <v>61</v>
      </c>
      <c r="N13" s="128" t="s">
        <v>62</v>
      </c>
      <c r="O13" s="128">
        <v>9</v>
      </c>
      <c r="P13" s="197" t="s">
        <v>63</v>
      </c>
      <c r="Q13" s="285">
        <v>315.19578580240892</v>
      </c>
      <c r="R13" s="149" t="s">
        <v>9</v>
      </c>
      <c r="T13" s="134">
        <v>1050.6526193413631</v>
      </c>
      <c r="U13" s="134">
        <v>630.39157160481784</v>
      </c>
      <c r="V13" s="134">
        <v>525.32630967068155</v>
      </c>
      <c r="W13" s="134">
        <v>420.26104773654527</v>
      </c>
    </row>
    <row r="14" spans="1:23" s="129" customFormat="1" hidden="1">
      <c r="A14" s="195" t="s">
        <v>1213</v>
      </c>
      <c r="B14" s="195" t="s">
        <v>55</v>
      </c>
      <c r="C14" s="236" t="s">
        <v>56</v>
      </c>
      <c r="D14" s="237" t="s">
        <v>78</v>
      </c>
      <c r="E14" s="197" t="s">
        <v>70</v>
      </c>
      <c r="F14" s="197">
        <v>24</v>
      </c>
      <c r="G14" s="238" t="s">
        <v>1689</v>
      </c>
      <c r="H14" s="238" t="s">
        <v>2825</v>
      </c>
      <c r="I14" s="237" t="s">
        <v>2568</v>
      </c>
      <c r="J14" s="197" t="s">
        <v>69</v>
      </c>
      <c r="K14" s="239" t="s">
        <v>60</v>
      </c>
      <c r="L14" s="128">
        <v>17.5</v>
      </c>
      <c r="M14" s="195" t="s">
        <v>97</v>
      </c>
      <c r="N14" s="128" t="s">
        <v>62</v>
      </c>
      <c r="O14" s="128">
        <v>6.8624999999999998</v>
      </c>
      <c r="P14" s="197" t="s">
        <v>63</v>
      </c>
      <c r="Q14" s="285">
        <v>320.63764646632643</v>
      </c>
      <c r="R14" s="149" t="s">
        <v>9</v>
      </c>
      <c r="T14" s="134">
        <v>1068.7921548877548</v>
      </c>
      <c r="U14" s="134">
        <v>641.27529293265286</v>
      </c>
      <c r="V14" s="134">
        <v>534.3960774438774</v>
      </c>
      <c r="W14" s="134">
        <v>427.51686195510194</v>
      </c>
    </row>
    <row r="15" spans="1:23" s="129" customFormat="1" hidden="1">
      <c r="A15" s="195" t="s">
        <v>1276</v>
      </c>
      <c r="B15" s="195" t="s">
        <v>55</v>
      </c>
      <c r="C15" s="236" t="s">
        <v>56</v>
      </c>
      <c r="D15" s="237" t="s">
        <v>109</v>
      </c>
      <c r="E15" s="197" t="s">
        <v>114</v>
      </c>
      <c r="F15" s="197">
        <v>23</v>
      </c>
      <c r="G15" s="238" t="s">
        <v>115</v>
      </c>
      <c r="H15" s="238" t="s">
        <v>2828</v>
      </c>
      <c r="I15" s="237" t="s">
        <v>117</v>
      </c>
      <c r="J15" s="197" t="s">
        <v>69</v>
      </c>
      <c r="K15" s="239" t="s">
        <v>60</v>
      </c>
      <c r="L15" s="128">
        <v>17.8</v>
      </c>
      <c r="M15" s="195" t="s">
        <v>61</v>
      </c>
      <c r="N15" s="128" t="s">
        <v>62</v>
      </c>
      <c r="O15" s="128">
        <v>9</v>
      </c>
      <c r="P15" s="197" t="s">
        <v>63</v>
      </c>
      <c r="Q15" s="285">
        <v>368.81760537372537</v>
      </c>
      <c r="R15" s="149" t="s">
        <v>9</v>
      </c>
      <c r="T15" s="134">
        <v>1229.3920179124179</v>
      </c>
      <c r="U15" s="134">
        <v>737.63521074745074</v>
      </c>
      <c r="V15" s="134">
        <v>614.69600895620897</v>
      </c>
      <c r="W15" s="134">
        <v>491.7568071649672</v>
      </c>
    </row>
    <row r="16" spans="1:23" s="129" customFormat="1" hidden="1">
      <c r="A16" s="195" t="s">
        <v>1276</v>
      </c>
      <c r="B16" s="195" t="s">
        <v>55</v>
      </c>
      <c r="C16" s="236" t="s">
        <v>56</v>
      </c>
      <c r="D16" s="237" t="s">
        <v>109</v>
      </c>
      <c r="E16" s="197" t="s">
        <v>114</v>
      </c>
      <c r="F16" s="197">
        <v>23</v>
      </c>
      <c r="G16" s="238" t="s">
        <v>119</v>
      </c>
      <c r="H16" s="238" t="s">
        <v>2829</v>
      </c>
      <c r="I16" s="237" t="s">
        <v>121</v>
      </c>
      <c r="J16" s="197" t="s">
        <v>69</v>
      </c>
      <c r="K16" s="239" t="s">
        <v>60</v>
      </c>
      <c r="L16" s="128">
        <v>35.6</v>
      </c>
      <c r="M16" s="195" t="s">
        <v>61</v>
      </c>
      <c r="N16" s="128" t="s">
        <v>62</v>
      </c>
      <c r="O16" s="128">
        <v>4</v>
      </c>
      <c r="P16" s="197" t="s">
        <v>63</v>
      </c>
      <c r="Q16" s="285">
        <v>755.3327900900556</v>
      </c>
      <c r="R16" s="149" t="s">
        <v>9</v>
      </c>
      <c r="T16" s="134">
        <v>2517.7759669668521</v>
      </c>
      <c r="U16" s="134">
        <v>1510.6655801801112</v>
      </c>
      <c r="V16" s="134">
        <v>1258.8879834834261</v>
      </c>
      <c r="W16" s="134">
        <v>1007.1103867867409</v>
      </c>
    </row>
    <row r="17" spans="1:23" s="129" customFormat="1" hidden="1">
      <c r="A17" s="195" t="s">
        <v>1276</v>
      </c>
      <c r="B17" s="195" t="s">
        <v>55</v>
      </c>
      <c r="C17" s="236" t="s">
        <v>56</v>
      </c>
      <c r="D17" s="237" t="s">
        <v>1477</v>
      </c>
      <c r="E17" s="197" t="s">
        <v>70</v>
      </c>
      <c r="F17" s="197">
        <v>23</v>
      </c>
      <c r="G17" s="238" t="s">
        <v>2563</v>
      </c>
      <c r="H17" s="238" t="s">
        <v>2830</v>
      </c>
      <c r="I17" s="237" t="s">
        <v>2216</v>
      </c>
      <c r="J17" s="197" t="s">
        <v>69</v>
      </c>
      <c r="K17" s="239" t="s">
        <v>60</v>
      </c>
      <c r="L17" s="128">
        <v>16.600000000000001</v>
      </c>
      <c r="M17" s="195" t="s">
        <v>61</v>
      </c>
      <c r="N17" s="128" t="s">
        <v>62</v>
      </c>
      <c r="O17" s="128">
        <v>9</v>
      </c>
      <c r="P17" s="197" t="s">
        <v>63</v>
      </c>
      <c r="Q17" s="285">
        <v>350.67825572921049</v>
      </c>
      <c r="R17" s="149" t="s">
        <v>9</v>
      </c>
      <c r="T17" s="151">
        <v>1168.9275190973683</v>
      </c>
      <c r="U17" s="151">
        <v>701.35651145842098</v>
      </c>
      <c r="V17" s="151">
        <v>584.46375954868415</v>
      </c>
      <c r="W17" s="151">
        <v>467.57100763894732</v>
      </c>
    </row>
    <row r="18" spans="1:23" s="129" customFormat="1" hidden="1">
      <c r="A18" s="195" t="s">
        <v>1276</v>
      </c>
      <c r="B18" s="195" t="s">
        <v>55</v>
      </c>
      <c r="C18" s="236" t="s">
        <v>56</v>
      </c>
      <c r="D18" s="237" t="s">
        <v>1477</v>
      </c>
      <c r="E18" s="197" t="s">
        <v>70</v>
      </c>
      <c r="F18" s="197">
        <v>23</v>
      </c>
      <c r="G18" s="238" t="s">
        <v>2213</v>
      </c>
      <c r="H18" s="238" t="s">
        <v>2825</v>
      </c>
      <c r="I18" s="237" t="s">
        <v>2217</v>
      </c>
      <c r="J18" s="197" t="s">
        <v>125</v>
      </c>
      <c r="K18" s="239" t="s">
        <v>60</v>
      </c>
      <c r="L18" s="128">
        <v>16.600000000000001</v>
      </c>
      <c r="M18" s="195" t="s">
        <v>61</v>
      </c>
      <c r="N18" s="128" t="s">
        <v>62</v>
      </c>
      <c r="O18" s="128">
        <v>9</v>
      </c>
      <c r="P18" s="197" t="s">
        <v>63</v>
      </c>
      <c r="Q18" s="285">
        <v>364.36544092595665</v>
      </c>
      <c r="R18" s="149" t="s">
        <v>9</v>
      </c>
      <c r="T18" s="151">
        <v>1214.5514697531889</v>
      </c>
      <c r="U18" s="151">
        <v>728.7308818519133</v>
      </c>
      <c r="V18" s="151">
        <v>607.27573487659447</v>
      </c>
      <c r="W18" s="151">
        <v>485.82058790127559</v>
      </c>
    </row>
    <row r="19" spans="1:23" s="129" customFormat="1">
      <c r="A19" s="195" t="s">
        <v>1276</v>
      </c>
      <c r="B19" s="195" t="s">
        <v>55</v>
      </c>
      <c r="C19" s="236" t="s">
        <v>56</v>
      </c>
      <c r="D19" s="237" t="s">
        <v>109</v>
      </c>
      <c r="E19" s="197" t="s">
        <v>132</v>
      </c>
      <c r="F19" s="197">
        <v>23</v>
      </c>
      <c r="G19" s="238" t="s">
        <v>133</v>
      </c>
      <c r="H19" s="238" t="s">
        <v>2831</v>
      </c>
      <c r="I19" s="237" t="s">
        <v>135</v>
      </c>
      <c r="J19" s="197" t="s">
        <v>69</v>
      </c>
      <c r="K19" s="239" t="s">
        <v>60</v>
      </c>
      <c r="L19" s="128">
        <v>17.8</v>
      </c>
      <c r="M19" s="195" t="s">
        <v>61</v>
      </c>
      <c r="N19" s="128" t="s">
        <v>62</v>
      </c>
      <c r="O19" s="128">
        <v>9</v>
      </c>
      <c r="P19" s="197" t="s">
        <v>63</v>
      </c>
      <c r="Q19" s="285">
        <v>371.61080374912547</v>
      </c>
      <c r="R19" s="149" t="s">
        <v>9</v>
      </c>
      <c r="T19" s="134">
        <v>1238.7026791637516</v>
      </c>
      <c r="U19" s="134">
        <v>743.22160749825093</v>
      </c>
      <c r="V19" s="134">
        <v>619.35133958187578</v>
      </c>
      <c r="W19" s="134">
        <v>495.48107166550062</v>
      </c>
    </row>
    <row r="20" spans="1:23" s="129" customFormat="1">
      <c r="A20" s="195" t="s">
        <v>1276</v>
      </c>
      <c r="B20" s="195" t="s">
        <v>55</v>
      </c>
      <c r="C20" s="236" t="s">
        <v>56</v>
      </c>
      <c r="D20" s="237" t="s">
        <v>109</v>
      </c>
      <c r="E20" s="197" t="s">
        <v>132</v>
      </c>
      <c r="F20" s="197">
        <v>23</v>
      </c>
      <c r="G20" s="238" t="s">
        <v>137</v>
      </c>
      <c r="H20" s="238" t="s">
        <v>2832</v>
      </c>
      <c r="I20" s="237" t="s">
        <v>139</v>
      </c>
      <c r="J20" s="197" t="s">
        <v>69</v>
      </c>
      <c r="K20" s="239" t="s">
        <v>60</v>
      </c>
      <c r="L20" s="128">
        <v>35.6</v>
      </c>
      <c r="M20" s="195" t="s">
        <v>61</v>
      </c>
      <c r="N20" s="128" t="s">
        <v>62</v>
      </c>
      <c r="O20" s="128">
        <v>4</v>
      </c>
      <c r="P20" s="197" t="s">
        <v>63</v>
      </c>
      <c r="Q20" s="285">
        <v>766.05364159736837</v>
      </c>
      <c r="R20" s="149" t="s">
        <v>9</v>
      </c>
      <c r="T20" s="134">
        <v>2553.5121386578949</v>
      </c>
      <c r="U20" s="134">
        <v>1532.107283194737</v>
      </c>
      <c r="V20" s="134">
        <v>1276.7560693289474</v>
      </c>
      <c r="W20" s="134">
        <v>1021.404855463158</v>
      </c>
    </row>
    <row r="21" spans="1:23" s="129" customFormat="1" hidden="1">
      <c r="A21" s="195" t="s">
        <v>1276</v>
      </c>
      <c r="B21" s="195" t="s">
        <v>55</v>
      </c>
      <c r="C21" s="236" t="s">
        <v>56</v>
      </c>
      <c r="D21" s="237" t="s">
        <v>109</v>
      </c>
      <c r="E21" s="197" t="s">
        <v>132</v>
      </c>
      <c r="F21" s="197">
        <v>23</v>
      </c>
      <c r="G21" s="238" t="s">
        <v>1815</v>
      </c>
      <c r="H21" s="238" t="s">
        <v>2833</v>
      </c>
      <c r="I21" s="237" t="s">
        <v>1819</v>
      </c>
      <c r="J21" s="197" t="s">
        <v>69</v>
      </c>
      <c r="K21" s="239" t="s">
        <v>60</v>
      </c>
      <c r="L21" s="128">
        <v>17.8</v>
      </c>
      <c r="M21" s="195" t="s">
        <v>61</v>
      </c>
      <c r="N21" s="128" t="s">
        <v>62</v>
      </c>
      <c r="O21" s="128">
        <v>9</v>
      </c>
      <c r="P21" s="197" t="s">
        <v>63</v>
      </c>
      <c r="Q21" s="285">
        <v>371.61080374912547</v>
      </c>
      <c r="R21" s="149" t="s">
        <v>9</v>
      </c>
      <c r="T21" s="134">
        <v>1238.7026791637516</v>
      </c>
      <c r="U21" s="134">
        <v>743.22160749825093</v>
      </c>
      <c r="V21" s="134">
        <v>619.35133958187578</v>
      </c>
      <c r="W21" s="134">
        <v>495.48107166550062</v>
      </c>
    </row>
    <row r="22" spans="1:23" s="129" customFormat="1" hidden="1">
      <c r="A22" s="195" t="s">
        <v>1276</v>
      </c>
      <c r="B22" s="195" t="s">
        <v>55</v>
      </c>
      <c r="C22" s="236" t="s">
        <v>56</v>
      </c>
      <c r="D22" s="237" t="s">
        <v>109</v>
      </c>
      <c r="E22" s="197" t="s">
        <v>132</v>
      </c>
      <c r="F22" s="197">
        <v>23</v>
      </c>
      <c r="G22" s="238" t="s">
        <v>1816</v>
      </c>
      <c r="H22" s="238" t="s">
        <v>2834</v>
      </c>
      <c r="I22" s="237" t="s">
        <v>1820</v>
      </c>
      <c r="J22" s="197" t="s">
        <v>69</v>
      </c>
      <c r="K22" s="239" t="s">
        <v>60</v>
      </c>
      <c r="L22" s="128">
        <v>35.6</v>
      </c>
      <c r="M22" s="195" t="s">
        <v>61</v>
      </c>
      <c r="N22" s="128" t="s">
        <v>62</v>
      </c>
      <c r="O22" s="128">
        <v>4</v>
      </c>
      <c r="P22" s="197" t="s">
        <v>63</v>
      </c>
      <c r="Q22" s="285">
        <v>766.05364159736837</v>
      </c>
      <c r="R22" s="149" t="s">
        <v>9</v>
      </c>
      <c r="T22" s="134">
        <v>2553.5121386578949</v>
      </c>
      <c r="U22" s="134">
        <v>1532.107283194737</v>
      </c>
      <c r="V22" s="134">
        <v>1276.7560693289474</v>
      </c>
      <c r="W22" s="134">
        <v>1021.404855463158</v>
      </c>
    </row>
    <row r="23" spans="1:23" s="129" customFormat="1" hidden="1">
      <c r="A23" s="195" t="s">
        <v>1276</v>
      </c>
      <c r="B23" s="195" t="s">
        <v>55</v>
      </c>
      <c r="C23" s="236" t="s">
        <v>56</v>
      </c>
      <c r="D23" s="237" t="s">
        <v>109</v>
      </c>
      <c r="E23" s="197" t="s">
        <v>132</v>
      </c>
      <c r="F23" s="197">
        <v>23</v>
      </c>
      <c r="G23" s="238" t="s">
        <v>1410</v>
      </c>
      <c r="H23" s="238" t="s">
        <v>2835</v>
      </c>
      <c r="I23" s="237" t="s">
        <v>135</v>
      </c>
      <c r="J23" s="197" t="s">
        <v>69</v>
      </c>
      <c r="K23" s="239" t="s">
        <v>60</v>
      </c>
      <c r="L23" s="128">
        <v>17.8</v>
      </c>
      <c r="M23" s="195" t="s">
        <v>1411</v>
      </c>
      <c r="N23" s="128" t="s">
        <v>62</v>
      </c>
      <c r="O23" s="128">
        <v>5.49</v>
      </c>
      <c r="P23" s="197" t="s">
        <v>63</v>
      </c>
      <c r="Q23" s="285">
        <v>387.74208970075136</v>
      </c>
      <c r="R23" s="149" t="s">
        <v>9</v>
      </c>
      <c r="T23" s="134">
        <v>1292.4736323358379</v>
      </c>
      <c r="U23" s="134">
        <v>775.48417940150273</v>
      </c>
      <c r="V23" s="134">
        <v>646.23681616791896</v>
      </c>
      <c r="W23" s="134">
        <v>516.98945293433519</v>
      </c>
    </row>
    <row r="24" spans="1:23" s="129" customFormat="1" hidden="1">
      <c r="A24" s="195" t="s">
        <v>1276</v>
      </c>
      <c r="B24" s="195" t="s">
        <v>55</v>
      </c>
      <c r="C24" s="236" t="s">
        <v>56</v>
      </c>
      <c r="D24" s="237" t="s">
        <v>109</v>
      </c>
      <c r="E24" s="197" t="s">
        <v>132</v>
      </c>
      <c r="F24" s="197">
        <v>23</v>
      </c>
      <c r="G24" s="238" t="s">
        <v>141</v>
      </c>
      <c r="H24" s="238" t="s">
        <v>2836</v>
      </c>
      <c r="I24" s="237" t="s">
        <v>143</v>
      </c>
      <c r="J24" s="197" t="s">
        <v>125</v>
      </c>
      <c r="K24" s="239" t="s">
        <v>60</v>
      </c>
      <c r="L24" s="128">
        <v>17.8</v>
      </c>
      <c r="M24" s="195" t="s">
        <v>61</v>
      </c>
      <c r="N24" s="128" t="s">
        <v>62</v>
      </c>
      <c r="O24" s="128">
        <v>9</v>
      </c>
      <c r="P24" s="197" t="s">
        <v>63</v>
      </c>
      <c r="Q24" s="285">
        <v>396.91154435207227</v>
      </c>
      <c r="R24" s="149" t="s">
        <v>9</v>
      </c>
      <c r="T24" s="134">
        <v>1323.0384811735744</v>
      </c>
      <c r="U24" s="134">
        <v>793.82308870414465</v>
      </c>
      <c r="V24" s="134">
        <v>661.51924058678719</v>
      </c>
      <c r="W24" s="134">
        <v>529.21539246942973</v>
      </c>
    </row>
    <row r="25" spans="1:23" s="129" customFormat="1" hidden="1">
      <c r="A25" s="195" t="s">
        <v>1276</v>
      </c>
      <c r="B25" s="195" t="s">
        <v>55</v>
      </c>
      <c r="C25" s="236" t="s">
        <v>56</v>
      </c>
      <c r="D25" s="237" t="s">
        <v>109</v>
      </c>
      <c r="E25" s="197" t="s">
        <v>132</v>
      </c>
      <c r="F25" s="197">
        <v>23</v>
      </c>
      <c r="G25" s="238" t="s">
        <v>2225</v>
      </c>
      <c r="H25" s="238" t="s">
        <v>2837</v>
      </c>
      <c r="I25" s="237" t="s">
        <v>2227</v>
      </c>
      <c r="J25" s="197" t="s">
        <v>125</v>
      </c>
      <c r="K25" s="239" t="s">
        <v>60</v>
      </c>
      <c r="L25" s="128">
        <v>35.6</v>
      </c>
      <c r="M25" s="195" t="s">
        <v>61</v>
      </c>
      <c r="N25" s="128" t="s">
        <v>62</v>
      </c>
      <c r="O25" s="128">
        <v>9</v>
      </c>
      <c r="P25" s="197" t="s">
        <v>63</v>
      </c>
      <c r="Q25" s="285">
        <v>811.71904866997829</v>
      </c>
      <c r="R25" s="149" t="s">
        <v>9</v>
      </c>
      <c r="T25" s="134">
        <v>2705.7301622332611</v>
      </c>
      <c r="U25" s="134">
        <v>1623.4380973399566</v>
      </c>
      <c r="V25" s="134">
        <v>1352.8650811166306</v>
      </c>
      <c r="W25" s="134">
        <v>1082.2920648933045</v>
      </c>
    </row>
    <row r="26" spans="1:23" s="129" customFormat="1">
      <c r="A26" s="195" t="s">
        <v>1276</v>
      </c>
      <c r="B26" s="195" t="s">
        <v>55</v>
      </c>
      <c r="C26" s="236" t="s">
        <v>56</v>
      </c>
      <c r="D26" s="237" t="s">
        <v>109</v>
      </c>
      <c r="E26" s="197" t="s">
        <v>132</v>
      </c>
      <c r="F26" s="197">
        <v>23</v>
      </c>
      <c r="G26" s="238" t="s">
        <v>133</v>
      </c>
      <c r="H26" s="238" t="s">
        <v>2831</v>
      </c>
      <c r="I26" s="237" t="s">
        <v>135</v>
      </c>
      <c r="J26" s="197" t="s">
        <v>69</v>
      </c>
      <c r="K26" s="239" t="s">
        <v>158</v>
      </c>
      <c r="L26" s="128">
        <v>19</v>
      </c>
      <c r="M26" s="195" t="s">
        <v>61</v>
      </c>
      <c r="N26" s="128" t="s">
        <v>62</v>
      </c>
      <c r="O26" s="128">
        <v>9</v>
      </c>
      <c r="P26" s="197" t="s">
        <v>159</v>
      </c>
      <c r="Q26" s="285">
        <v>390.583021742141</v>
      </c>
      <c r="R26" s="149" t="s">
        <v>9</v>
      </c>
      <c r="T26" s="134">
        <v>1301.9434058071367</v>
      </c>
      <c r="U26" s="134">
        <v>781.166043484282</v>
      </c>
      <c r="V26" s="134">
        <v>650.97170290356837</v>
      </c>
      <c r="W26" s="134">
        <v>520.77736232285474</v>
      </c>
    </row>
    <row r="27" spans="1:23" s="129" customFormat="1">
      <c r="A27" s="195" t="s">
        <v>1276</v>
      </c>
      <c r="B27" s="195" t="s">
        <v>55</v>
      </c>
      <c r="C27" s="236" t="s">
        <v>56</v>
      </c>
      <c r="D27" s="237" t="s">
        <v>109</v>
      </c>
      <c r="E27" s="197" t="s">
        <v>132</v>
      </c>
      <c r="F27" s="197">
        <v>23</v>
      </c>
      <c r="G27" s="238" t="s">
        <v>137</v>
      </c>
      <c r="H27" s="238" t="s">
        <v>2832</v>
      </c>
      <c r="I27" s="237" t="s">
        <v>139</v>
      </c>
      <c r="J27" s="197" t="s">
        <v>69</v>
      </c>
      <c r="K27" s="239" t="s">
        <v>158</v>
      </c>
      <c r="L27" s="128">
        <v>37</v>
      </c>
      <c r="M27" s="195" t="s">
        <v>61</v>
      </c>
      <c r="N27" s="128" t="s">
        <v>62</v>
      </c>
      <c r="O27" s="128">
        <v>3</v>
      </c>
      <c r="P27" s="197" t="s">
        <v>159</v>
      </c>
      <c r="Q27" s="285">
        <v>819.82242411728271</v>
      </c>
      <c r="R27" s="149" t="s">
        <v>9</v>
      </c>
      <c r="T27" s="134">
        <v>2732.7414137242758</v>
      </c>
      <c r="U27" s="134">
        <v>1639.6448482345654</v>
      </c>
      <c r="V27" s="134">
        <v>1366.3707068621379</v>
      </c>
      <c r="W27" s="134">
        <v>1093.0965654897104</v>
      </c>
    </row>
    <row r="28" spans="1:23" s="129" customFormat="1" hidden="1">
      <c r="A28" s="195" t="s">
        <v>1276</v>
      </c>
      <c r="B28" s="195" t="s">
        <v>55</v>
      </c>
      <c r="C28" s="236" t="s">
        <v>56</v>
      </c>
      <c r="D28" s="237" t="s">
        <v>109</v>
      </c>
      <c r="E28" s="197" t="s">
        <v>132</v>
      </c>
      <c r="F28" s="197">
        <v>23</v>
      </c>
      <c r="G28" s="238" t="s">
        <v>1815</v>
      </c>
      <c r="H28" s="238" t="s">
        <v>2833</v>
      </c>
      <c r="I28" s="237" t="s">
        <v>1819</v>
      </c>
      <c r="J28" s="197" t="s">
        <v>69</v>
      </c>
      <c r="K28" s="239" t="s">
        <v>158</v>
      </c>
      <c r="L28" s="128">
        <v>19</v>
      </c>
      <c r="M28" s="195" t="s">
        <v>61</v>
      </c>
      <c r="N28" s="128" t="s">
        <v>62</v>
      </c>
      <c r="O28" s="128">
        <v>9</v>
      </c>
      <c r="P28" s="197" t="s">
        <v>159</v>
      </c>
      <c r="Q28" s="285">
        <v>390.583021742141</v>
      </c>
      <c r="R28" s="149" t="s">
        <v>9</v>
      </c>
      <c r="T28" s="134">
        <v>1301.9434058071367</v>
      </c>
      <c r="U28" s="134">
        <v>781.166043484282</v>
      </c>
      <c r="V28" s="134">
        <v>650.97170290356837</v>
      </c>
      <c r="W28" s="134">
        <v>520.77736232285474</v>
      </c>
    </row>
    <row r="29" spans="1:23" s="129" customFormat="1" hidden="1">
      <c r="A29" s="195" t="s">
        <v>1276</v>
      </c>
      <c r="B29" s="195" t="s">
        <v>55</v>
      </c>
      <c r="C29" s="236" t="s">
        <v>56</v>
      </c>
      <c r="D29" s="237" t="s">
        <v>109</v>
      </c>
      <c r="E29" s="197" t="s">
        <v>132</v>
      </c>
      <c r="F29" s="197">
        <v>23</v>
      </c>
      <c r="G29" s="238" t="s">
        <v>2560</v>
      </c>
      <c r="H29" s="238" t="s">
        <v>2834</v>
      </c>
      <c r="I29" s="237" t="s">
        <v>1820</v>
      </c>
      <c r="J29" s="197" t="s">
        <v>69</v>
      </c>
      <c r="K29" s="239" t="s">
        <v>158</v>
      </c>
      <c r="L29" s="128">
        <v>37</v>
      </c>
      <c r="M29" s="195" t="s">
        <v>61</v>
      </c>
      <c r="N29" s="128" t="s">
        <v>62</v>
      </c>
      <c r="O29" s="128">
        <v>3</v>
      </c>
      <c r="P29" s="197" t="s">
        <v>159</v>
      </c>
      <c r="Q29" s="285">
        <v>819.82242411728271</v>
      </c>
      <c r="R29" s="149" t="s">
        <v>9</v>
      </c>
      <c r="T29" s="134">
        <v>2732.7414137242758</v>
      </c>
      <c r="U29" s="134">
        <v>1639.6448482345654</v>
      </c>
      <c r="V29" s="134">
        <v>1366.3707068621379</v>
      </c>
      <c r="W29" s="134">
        <v>1093.0965654897104</v>
      </c>
    </row>
    <row r="30" spans="1:23" s="129" customFormat="1" hidden="1">
      <c r="A30" s="237" t="s">
        <v>1276</v>
      </c>
      <c r="B30" s="237" t="s">
        <v>55</v>
      </c>
      <c r="C30" s="237" t="s">
        <v>56</v>
      </c>
      <c r="D30" s="237" t="s">
        <v>109</v>
      </c>
      <c r="E30" s="197" t="s">
        <v>151</v>
      </c>
      <c r="F30" s="197">
        <v>23</v>
      </c>
      <c r="G30" s="238" t="s">
        <v>1588</v>
      </c>
      <c r="H30" s="238" t="s">
        <v>2838</v>
      </c>
      <c r="I30" s="237" t="s">
        <v>157</v>
      </c>
      <c r="J30" s="197" t="s">
        <v>125</v>
      </c>
      <c r="K30" s="239" t="s">
        <v>60</v>
      </c>
      <c r="L30" s="128">
        <v>21</v>
      </c>
      <c r="M30" s="195" t="s">
        <v>61</v>
      </c>
      <c r="N30" s="128" t="s">
        <v>62</v>
      </c>
      <c r="O30" s="128">
        <v>9</v>
      </c>
      <c r="P30" s="197" t="s">
        <v>63</v>
      </c>
      <c r="Q30" s="285">
        <v>458.79199147249705</v>
      </c>
      <c r="R30" s="149" t="s">
        <v>9</v>
      </c>
      <c r="T30" s="134">
        <v>1529.3066382416569</v>
      </c>
      <c r="U30" s="134">
        <v>917.58398294499409</v>
      </c>
      <c r="V30" s="134">
        <v>764.65331912082843</v>
      </c>
      <c r="W30" s="134">
        <v>611.72265529666277</v>
      </c>
    </row>
    <row r="31" spans="1:23" s="129" customFormat="1" hidden="1">
      <c r="A31" s="237" t="s">
        <v>1276</v>
      </c>
      <c r="B31" s="237" t="s">
        <v>55</v>
      </c>
      <c r="C31" s="237" t="s">
        <v>56</v>
      </c>
      <c r="D31" s="237" t="s">
        <v>109</v>
      </c>
      <c r="E31" s="197" t="s">
        <v>151</v>
      </c>
      <c r="F31" s="197">
        <v>23</v>
      </c>
      <c r="G31" s="238" t="s">
        <v>2221</v>
      </c>
      <c r="H31" s="238" t="s">
        <v>2839</v>
      </c>
      <c r="I31" s="237" t="s">
        <v>2223</v>
      </c>
      <c r="J31" s="197" t="s">
        <v>125</v>
      </c>
      <c r="K31" s="239" t="s">
        <v>60</v>
      </c>
      <c r="L31" s="128">
        <v>42</v>
      </c>
      <c r="M31" s="195" t="s">
        <v>61</v>
      </c>
      <c r="N31" s="128" t="s">
        <v>62</v>
      </c>
      <c r="O31" s="128">
        <v>9</v>
      </c>
      <c r="P31" s="197" t="s">
        <v>63</v>
      </c>
      <c r="Q31" s="285">
        <v>928.3276716057826</v>
      </c>
      <c r="R31" s="149" t="s">
        <v>9</v>
      </c>
      <c r="T31" s="134">
        <v>3094.4255720192755</v>
      </c>
      <c r="U31" s="134">
        <v>1856.6553432115652</v>
      </c>
      <c r="V31" s="134">
        <v>1547.2127860096377</v>
      </c>
      <c r="W31" s="134">
        <v>1237.7702288077103</v>
      </c>
    </row>
    <row r="32" spans="1:23" s="129" customFormat="1" hidden="1">
      <c r="A32" s="237" t="s">
        <v>1276</v>
      </c>
      <c r="B32" s="237" t="s">
        <v>55</v>
      </c>
      <c r="C32" s="237" t="s">
        <v>56</v>
      </c>
      <c r="D32" s="237" t="s">
        <v>109</v>
      </c>
      <c r="E32" s="197" t="s">
        <v>151</v>
      </c>
      <c r="F32" s="197">
        <v>23</v>
      </c>
      <c r="G32" s="238" t="s">
        <v>155</v>
      </c>
      <c r="H32" s="238" t="s">
        <v>2838</v>
      </c>
      <c r="I32" s="237" t="s">
        <v>157</v>
      </c>
      <c r="J32" s="197" t="s">
        <v>125</v>
      </c>
      <c r="K32" s="239" t="s">
        <v>1223</v>
      </c>
      <c r="L32" s="128">
        <v>23</v>
      </c>
      <c r="M32" s="195" t="s">
        <v>61</v>
      </c>
      <c r="N32" s="128" t="s">
        <v>62</v>
      </c>
      <c r="O32" s="128">
        <v>9</v>
      </c>
      <c r="P32" s="197" t="s">
        <v>159</v>
      </c>
      <c r="Q32" s="285">
        <v>482.72988505747128</v>
      </c>
      <c r="R32" s="149" t="s">
        <v>9</v>
      </c>
      <c r="T32" s="134">
        <v>1609.0996168582376</v>
      </c>
      <c r="U32" s="134">
        <v>965.45977011494256</v>
      </c>
      <c r="V32" s="134">
        <v>804.5498084291188</v>
      </c>
      <c r="W32" s="134">
        <v>643.63984674329504</v>
      </c>
    </row>
    <row r="33" spans="1:57" s="129" customFormat="1" hidden="1">
      <c r="A33" s="237" t="s">
        <v>1276</v>
      </c>
      <c r="B33" s="237" t="s">
        <v>55</v>
      </c>
      <c r="C33" s="237" t="s">
        <v>56</v>
      </c>
      <c r="D33" s="237" t="s">
        <v>109</v>
      </c>
      <c r="E33" s="197" t="s">
        <v>151</v>
      </c>
      <c r="F33" s="197">
        <v>23</v>
      </c>
      <c r="G33" s="238" t="s">
        <v>2221</v>
      </c>
      <c r="H33" s="238" t="s">
        <v>2839</v>
      </c>
      <c r="I33" s="237" t="s">
        <v>2223</v>
      </c>
      <c r="J33" s="197" t="s">
        <v>125</v>
      </c>
      <c r="K33" s="239" t="s">
        <v>1223</v>
      </c>
      <c r="L33" s="128">
        <v>46</v>
      </c>
      <c r="M33" s="195" t="s">
        <v>61</v>
      </c>
      <c r="N33" s="128" t="s">
        <v>62</v>
      </c>
      <c r="O33" s="128">
        <v>9</v>
      </c>
      <c r="P33" s="197" t="s">
        <v>159</v>
      </c>
      <c r="Q33" s="285">
        <v>982.62126798236091</v>
      </c>
      <c r="R33" s="149" t="s">
        <v>9</v>
      </c>
      <c r="T33" s="134">
        <v>3275.40422660787</v>
      </c>
      <c r="U33" s="134">
        <v>1965.2425359647218</v>
      </c>
      <c r="V33" s="134">
        <v>1637.702113303935</v>
      </c>
      <c r="W33" s="134">
        <v>1310.1616906431482</v>
      </c>
    </row>
    <row r="34" spans="1:57" s="129" customFormat="1" hidden="1">
      <c r="A34" s="237" t="s">
        <v>1276</v>
      </c>
      <c r="B34" s="237" t="s">
        <v>55</v>
      </c>
      <c r="C34" s="237" t="s">
        <v>56</v>
      </c>
      <c r="D34" s="237" t="s">
        <v>109</v>
      </c>
      <c r="E34" s="197" t="s">
        <v>151</v>
      </c>
      <c r="F34" s="197">
        <v>23</v>
      </c>
      <c r="G34" s="238" t="s">
        <v>1306</v>
      </c>
      <c r="H34" s="238" t="s">
        <v>2825</v>
      </c>
      <c r="I34" s="237" t="s">
        <v>1308</v>
      </c>
      <c r="J34" s="197" t="s">
        <v>125</v>
      </c>
      <c r="K34" s="239" t="s">
        <v>60</v>
      </c>
      <c r="L34" s="128">
        <v>21</v>
      </c>
      <c r="M34" s="195" t="s">
        <v>61</v>
      </c>
      <c r="N34" s="128" t="s">
        <v>62</v>
      </c>
      <c r="O34" s="128">
        <v>9</v>
      </c>
      <c r="P34" s="197" t="s">
        <v>1705</v>
      </c>
      <c r="Q34" s="285">
        <v>497.71657355593095</v>
      </c>
      <c r="R34" s="149" t="s">
        <v>281</v>
      </c>
      <c r="T34" s="134">
        <v>1659.0552451864367</v>
      </c>
      <c r="U34" s="134">
        <v>995.4331471118619</v>
      </c>
      <c r="V34" s="134">
        <v>829.52762259321833</v>
      </c>
      <c r="W34" s="134">
        <v>663.62209807457475</v>
      </c>
    </row>
    <row r="35" spans="1:57" s="129" customFormat="1" hidden="1">
      <c r="A35" s="237" t="s">
        <v>1276</v>
      </c>
      <c r="B35" s="237" t="s">
        <v>55</v>
      </c>
      <c r="C35" s="237" t="s">
        <v>56</v>
      </c>
      <c r="D35" s="237" t="s">
        <v>109</v>
      </c>
      <c r="E35" s="197" t="s">
        <v>151</v>
      </c>
      <c r="F35" s="197">
        <v>23</v>
      </c>
      <c r="G35" s="238" t="s">
        <v>2249</v>
      </c>
      <c r="H35" s="238" t="s">
        <v>2825</v>
      </c>
      <c r="I35" s="237" t="s">
        <v>2251</v>
      </c>
      <c r="J35" s="197" t="s">
        <v>1584</v>
      </c>
      <c r="K35" s="239" t="s">
        <v>60</v>
      </c>
      <c r="L35" s="128">
        <v>35.119999999999997</v>
      </c>
      <c r="M35" s="195" t="s">
        <v>61</v>
      </c>
      <c r="N35" s="128" t="s">
        <v>2248</v>
      </c>
      <c r="O35" s="128">
        <v>6</v>
      </c>
      <c r="P35" s="197" t="s">
        <v>1705</v>
      </c>
      <c r="Q35" s="285">
        <v>1814.392353600618</v>
      </c>
      <c r="R35" s="149" t="s">
        <v>281</v>
      </c>
      <c r="T35" s="134">
        <v>6047.9745120020598</v>
      </c>
      <c r="U35" s="134">
        <v>3628.784707201236</v>
      </c>
      <c r="V35" s="134">
        <v>3023.9872560010299</v>
      </c>
      <c r="W35" s="134">
        <v>2419.1898048008238</v>
      </c>
    </row>
    <row r="36" spans="1:57" s="129" customFormat="1" hidden="1">
      <c r="A36" s="195" t="s">
        <v>1276</v>
      </c>
      <c r="B36" s="195" t="s">
        <v>55</v>
      </c>
      <c r="C36" s="236" t="s">
        <v>56</v>
      </c>
      <c r="D36" s="237" t="s">
        <v>161</v>
      </c>
      <c r="E36" s="197" t="s">
        <v>151</v>
      </c>
      <c r="F36" s="197">
        <v>23</v>
      </c>
      <c r="G36" s="238" t="s">
        <v>169</v>
      </c>
      <c r="H36" s="238" t="s">
        <v>2840</v>
      </c>
      <c r="I36" s="237" t="s">
        <v>171</v>
      </c>
      <c r="J36" s="197" t="s">
        <v>125</v>
      </c>
      <c r="K36" s="239" t="s">
        <v>60</v>
      </c>
      <c r="L36" s="128">
        <v>21</v>
      </c>
      <c r="M36" s="195" t="s">
        <v>61</v>
      </c>
      <c r="N36" s="128" t="s">
        <v>62</v>
      </c>
      <c r="O36" s="128">
        <v>6</v>
      </c>
      <c r="P36" s="197" t="s">
        <v>63</v>
      </c>
      <c r="Q36" s="285">
        <v>462.07656322924475</v>
      </c>
      <c r="R36" s="149" t="s">
        <v>9</v>
      </c>
      <c r="T36" s="134">
        <v>1540.2552107641493</v>
      </c>
      <c r="U36" s="134">
        <v>924.15312645848951</v>
      </c>
      <c r="V36" s="134">
        <v>770.12760538207465</v>
      </c>
      <c r="W36" s="134">
        <v>616.10208430565979</v>
      </c>
    </row>
    <row r="37" spans="1:57" s="129" customFormat="1" hidden="1">
      <c r="A37" s="195" t="s">
        <v>1276</v>
      </c>
      <c r="B37" s="195" t="s">
        <v>55</v>
      </c>
      <c r="C37" s="236" t="s">
        <v>56</v>
      </c>
      <c r="D37" s="237" t="s">
        <v>161</v>
      </c>
      <c r="E37" s="197" t="s">
        <v>151</v>
      </c>
      <c r="F37" s="197">
        <v>23</v>
      </c>
      <c r="G37" s="238" t="s">
        <v>1319</v>
      </c>
      <c r="H37" s="238" t="s">
        <v>2841</v>
      </c>
      <c r="I37" s="237" t="s">
        <v>1321</v>
      </c>
      <c r="J37" s="197" t="s">
        <v>125</v>
      </c>
      <c r="K37" s="239" t="s">
        <v>60</v>
      </c>
      <c r="L37" s="128">
        <v>42</v>
      </c>
      <c r="M37" s="195" t="s">
        <v>61</v>
      </c>
      <c r="N37" s="128" t="s">
        <v>62</v>
      </c>
      <c r="O37" s="128">
        <v>4</v>
      </c>
      <c r="P37" s="197" t="s">
        <v>63</v>
      </c>
      <c r="Q37" s="285">
        <v>948.33150534855577</v>
      </c>
      <c r="R37" s="149" t="s">
        <v>9</v>
      </c>
      <c r="T37" s="134">
        <v>3161.1050178285195</v>
      </c>
      <c r="U37" s="134">
        <v>1896.6630106971115</v>
      </c>
      <c r="V37" s="134">
        <v>1580.5525089142598</v>
      </c>
      <c r="W37" s="134">
        <v>1264.442007131408</v>
      </c>
    </row>
    <row r="38" spans="1:57" s="129" customFormat="1" hidden="1">
      <c r="A38" s="195" t="s">
        <v>1276</v>
      </c>
      <c r="B38" s="195" t="s">
        <v>55</v>
      </c>
      <c r="C38" s="236" t="s">
        <v>56</v>
      </c>
      <c r="D38" s="237" t="s">
        <v>161</v>
      </c>
      <c r="E38" s="197" t="s">
        <v>151</v>
      </c>
      <c r="F38" s="197">
        <v>23</v>
      </c>
      <c r="G38" s="238" t="s">
        <v>1280</v>
      </c>
      <c r="H38" s="238" t="s">
        <v>2840</v>
      </c>
      <c r="I38" s="237" t="s">
        <v>1284</v>
      </c>
      <c r="J38" s="197" t="s">
        <v>125</v>
      </c>
      <c r="K38" s="239" t="s">
        <v>158</v>
      </c>
      <c r="L38" s="128">
        <v>23</v>
      </c>
      <c r="M38" s="195" t="s">
        <v>61</v>
      </c>
      <c r="N38" s="128" t="s">
        <v>62</v>
      </c>
      <c r="O38" s="128">
        <v>8</v>
      </c>
      <c r="P38" s="197" t="s">
        <v>159</v>
      </c>
      <c r="Q38" s="285">
        <v>480.62583967756382</v>
      </c>
      <c r="R38" s="149" t="s">
        <v>9</v>
      </c>
      <c r="T38" s="134">
        <v>1602.0861322585461</v>
      </c>
      <c r="U38" s="134">
        <v>961.25167935512764</v>
      </c>
      <c r="V38" s="134">
        <v>801.04306612927303</v>
      </c>
      <c r="W38" s="134">
        <v>640.83445290341842</v>
      </c>
    </row>
    <row r="39" spans="1:57" s="129" customFormat="1" hidden="1">
      <c r="A39" s="195" t="s">
        <v>1276</v>
      </c>
      <c r="B39" s="195" t="s">
        <v>55</v>
      </c>
      <c r="C39" s="236" t="s">
        <v>56</v>
      </c>
      <c r="D39" s="237" t="s">
        <v>161</v>
      </c>
      <c r="E39" s="197" t="s">
        <v>151</v>
      </c>
      <c r="F39" s="197">
        <v>26</v>
      </c>
      <c r="G39" s="238" t="s">
        <v>1492</v>
      </c>
      <c r="H39" s="238" t="s">
        <v>2825</v>
      </c>
      <c r="I39" s="237" t="s">
        <v>2801</v>
      </c>
      <c r="J39" s="197" t="s">
        <v>1493</v>
      </c>
      <c r="K39" s="239" t="s">
        <v>60</v>
      </c>
      <c r="L39" s="128">
        <v>9.9</v>
      </c>
      <c r="M39" s="195" t="s">
        <v>61</v>
      </c>
      <c r="N39" s="128" t="s">
        <v>62</v>
      </c>
      <c r="O39" s="128">
        <v>4</v>
      </c>
      <c r="P39" s="197" t="s">
        <v>63</v>
      </c>
      <c r="Q39" s="285">
        <v>383.54219288575064</v>
      </c>
      <c r="R39" s="149" t="s">
        <v>9</v>
      </c>
      <c r="T39" s="134">
        <v>1278.4739762858355</v>
      </c>
      <c r="U39" s="134">
        <v>767.08438577150127</v>
      </c>
      <c r="V39" s="134">
        <v>639.23698814291777</v>
      </c>
      <c r="W39" s="134">
        <v>511.38959051433426</v>
      </c>
    </row>
    <row r="40" spans="1:57" s="129" customFormat="1" hidden="1">
      <c r="A40" s="195" t="s">
        <v>1276</v>
      </c>
      <c r="B40" s="195" t="s">
        <v>55</v>
      </c>
      <c r="C40" s="236" t="s">
        <v>56</v>
      </c>
      <c r="D40" s="237" t="s">
        <v>183</v>
      </c>
      <c r="E40" s="197" t="s">
        <v>151</v>
      </c>
      <c r="F40" s="197">
        <v>23</v>
      </c>
      <c r="G40" s="238" t="s">
        <v>1309</v>
      </c>
      <c r="H40" s="238" t="s">
        <v>2825</v>
      </c>
      <c r="I40" s="237" t="s">
        <v>1311</v>
      </c>
      <c r="J40" s="197" t="s">
        <v>130</v>
      </c>
      <c r="K40" s="239" t="s">
        <v>1295</v>
      </c>
      <c r="L40" s="128">
        <v>26</v>
      </c>
      <c r="M40" s="195" t="s">
        <v>61</v>
      </c>
      <c r="N40" s="128" t="s">
        <v>1587</v>
      </c>
      <c r="O40" s="128">
        <v>9</v>
      </c>
      <c r="P40" s="197" t="s">
        <v>63</v>
      </c>
      <c r="Q40" s="285">
        <v>606.37872103511461</v>
      </c>
      <c r="R40" s="149" t="s">
        <v>281</v>
      </c>
      <c r="T40" s="134">
        <v>2021.2624034503822</v>
      </c>
      <c r="U40" s="134">
        <v>1212.7574420702292</v>
      </c>
      <c r="V40" s="134">
        <v>1010.6312017251911</v>
      </c>
      <c r="W40" s="134">
        <v>808.50496138015296</v>
      </c>
    </row>
    <row r="41" spans="1:57" s="129" customFormat="1" hidden="1">
      <c r="A41" s="195" t="s">
        <v>1276</v>
      </c>
      <c r="B41" s="195" t="s">
        <v>55</v>
      </c>
      <c r="C41" s="236" t="s">
        <v>56</v>
      </c>
      <c r="D41" s="237" t="s">
        <v>183</v>
      </c>
      <c r="E41" s="197" t="s">
        <v>151</v>
      </c>
      <c r="F41" s="197">
        <v>23</v>
      </c>
      <c r="G41" s="238" t="s">
        <v>1309</v>
      </c>
      <c r="H41" s="238" t="s">
        <v>2825</v>
      </c>
      <c r="I41" s="237" t="s">
        <v>1311</v>
      </c>
      <c r="J41" s="197" t="s">
        <v>130</v>
      </c>
      <c r="K41" s="239" t="s">
        <v>158</v>
      </c>
      <c r="L41" s="128">
        <v>25</v>
      </c>
      <c r="M41" s="195" t="s">
        <v>61</v>
      </c>
      <c r="N41" s="128" t="s">
        <v>1587</v>
      </c>
      <c r="O41" s="128">
        <v>9</v>
      </c>
      <c r="P41" s="197" t="s">
        <v>159</v>
      </c>
      <c r="Q41" s="285">
        <v>568.66303690260133</v>
      </c>
      <c r="R41" s="149" t="s">
        <v>281</v>
      </c>
      <c r="T41" s="134">
        <v>1895.5434563420044</v>
      </c>
      <c r="U41" s="134">
        <v>1137.3260738052027</v>
      </c>
      <c r="V41" s="134">
        <v>947.77172817100222</v>
      </c>
      <c r="W41" s="134">
        <v>758.21738253680178</v>
      </c>
    </row>
    <row r="42" spans="1:57" s="129" customFormat="1" hidden="1">
      <c r="A42" s="195" t="s">
        <v>1276</v>
      </c>
      <c r="B42" s="195" t="s">
        <v>55</v>
      </c>
      <c r="C42" s="236" t="s">
        <v>56</v>
      </c>
      <c r="D42" s="237" t="s">
        <v>183</v>
      </c>
      <c r="E42" s="197" t="s">
        <v>151</v>
      </c>
      <c r="F42" s="197">
        <v>22</v>
      </c>
      <c r="G42" s="238" t="s">
        <v>1659</v>
      </c>
      <c r="H42" s="238" t="s">
        <v>2825</v>
      </c>
      <c r="I42" s="237" t="s">
        <v>2575</v>
      </c>
      <c r="J42" s="197" t="s">
        <v>130</v>
      </c>
      <c r="K42" s="239" t="s">
        <v>1295</v>
      </c>
      <c r="L42" s="128">
        <v>27.6</v>
      </c>
      <c r="M42" s="195" t="s">
        <v>61</v>
      </c>
      <c r="N42" s="128" t="s">
        <v>1587</v>
      </c>
      <c r="O42" s="128">
        <v>9</v>
      </c>
      <c r="P42" s="197" t="s">
        <v>159</v>
      </c>
      <c r="Q42" s="285">
        <v>661.14911395254126</v>
      </c>
      <c r="R42" s="149" t="s">
        <v>281</v>
      </c>
      <c r="T42" s="134">
        <v>2203.8303798418042</v>
      </c>
      <c r="U42" s="134">
        <v>1322.2982279050825</v>
      </c>
      <c r="V42" s="134">
        <v>1101.9151899209021</v>
      </c>
      <c r="W42" s="134">
        <v>881.53215193672168</v>
      </c>
    </row>
    <row r="43" spans="1:57" s="129" customFormat="1" hidden="1">
      <c r="A43" s="195" t="s">
        <v>1276</v>
      </c>
      <c r="B43" s="195" t="s">
        <v>55</v>
      </c>
      <c r="C43" s="236" t="s">
        <v>56</v>
      </c>
      <c r="D43" s="237" t="s">
        <v>191</v>
      </c>
      <c r="E43" s="197" t="s">
        <v>151</v>
      </c>
      <c r="F43" s="197">
        <v>22</v>
      </c>
      <c r="G43" s="238" t="s">
        <v>2561</v>
      </c>
      <c r="H43" s="238" t="s">
        <v>2842</v>
      </c>
      <c r="I43" s="237" t="s">
        <v>1801</v>
      </c>
      <c r="J43" s="197" t="s">
        <v>1584</v>
      </c>
      <c r="K43" s="239" t="s">
        <v>60</v>
      </c>
      <c r="L43" s="128">
        <v>27.6</v>
      </c>
      <c r="M43" s="195" t="s">
        <v>61</v>
      </c>
      <c r="N43" s="128" t="s">
        <v>62</v>
      </c>
      <c r="O43" s="128">
        <v>6</v>
      </c>
      <c r="P43" s="197" t="s">
        <v>63</v>
      </c>
      <c r="Q43" s="285">
        <v>790.1466304147267</v>
      </c>
      <c r="R43" s="149" t="s">
        <v>9</v>
      </c>
      <c r="T43" s="134">
        <v>2633.8221013824223</v>
      </c>
      <c r="U43" s="134">
        <v>1580.2932608294534</v>
      </c>
      <c r="V43" s="134">
        <v>1316.9110506912111</v>
      </c>
      <c r="W43" s="134">
        <v>1053.5288405529689</v>
      </c>
    </row>
    <row r="44" spans="1:57" s="129" customFormat="1" hidden="1">
      <c r="A44" s="195" t="s">
        <v>1276</v>
      </c>
      <c r="B44" s="195" t="s">
        <v>55</v>
      </c>
      <c r="C44" s="236" t="s">
        <v>56</v>
      </c>
      <c r="D44" s="237" t="s">
        <v>191</v>
      </c>
      <c r="E44" s="197" t="s">
        <v>151</v>
      </c>
      <c r="F44" s="197">
        <v>22</v>
      </c>
      <c r="G44" s="238" t="s">
        <v>1739</v>
      </c>
      <c r="H44" s="238" t="s">
        <v>2825</v>
      </c>
      <c r="I44" s="237" t="s">
        <v>2576</v>
      </c>
      <c r="J44" s="197" t="s">
        <v>125</v>
      </c>
      <c r="K44" s="239" t="s">
        <v>60</v>
      </c>
      <c r="L44" s="128">
        <v>27.6</v>
      </c>
      <c r="M44" s="195" t="s">
        <v>61</v>
      </c>
      <c r="N44" s="128" t="s">
        <v>62</v>
      </c>
      <c r="O44" s="128">
        <v>6</v>
      </c>
      <c r="P44" s="197" t="s">
        <v>63</v>
      </c>
      <c r="Q44" s="285">
        <v>767.80360999858897</v>
      </c>
      <c r="R44" s="149" t="s">
        <v>9</v>
      </c>
      <c r="T44" s="134">
        <v>2559.3453666619635</v>
      </c>
      <c r="U44" s="134">
        <v>1535.6072199971779</v>
      </c>
      <c r="V44" s="134">
        <v>1279.6726833309817</v>
      </c>
      <c r="W44" s="134">
        <v>1023.7381466647854</v>
      </c>
    </row>
    <row r="45" spans="1:57" s="129" customFormat="1" hidden="1">
      <c r="A45" s="195" t="s">
        <v>1213</v>
      </c>
      <c r="B45" s="195" t="s">
        <v>55</v>
      </c>
      <c r="C45" s="236" t="s">
        <v>56</v>
      </c>
      <c r="D45" s="237" t="s">
        <v>192</v>
      </c>
      <c r="E45" s="197" t="s">
        <v>132</v>
      </c>
      <c r="F45" s="197" t="s">
        <v>193</v>
      </c>
      <c r="G45" s="238" t="s">
        <v>1777</v>
      </c>
      <c r="H45" s="238" t="s">
        <v>2843</v>
      </c>
      <c r="I45" s="237" t="s">
        <v>2577</v>
      </c>
      <c r="J45" s="197" t="s">
        <v>69</v>
      </c>
      <c r="K45" s="239" t="s">
        <v>60</v>
      </c>
      <c r="L45" s="128">
        <v>17.8</v>
      </c>
      <c r="M45" s="195" t="s">
        <v>61</v>
      </c>
      <c r="N45" s="128" t="s">
        <v>194</v>
      </c>
      <c r="O45" s="128">
        <v>8</v>
      </c>
      <c r="P45" s="197" t="s">
        <v>63</v>
      </c>
      <c r="Q45" s="285">
        <v>487.51465273029203</v>
      </c>
      <c r="R45" s="149" t="s">
        <v>9</v>
      </c>
      <c r="T45" s="134">
        <v>1625.0488424343068</v>
      </c>
      <c r="U45" s="134">
        <v>975.02930546058406</v>
      </c>
      <c r="V45" s="134">
        <v>812.52442121715342</v>
      </c>
      <c r="W45" s="134">
        <v>650.01953697372278</v>
      </c>
    </row>
    <row r="46" spans="1:57" s="129" customFormat="1" hidden="1">
      <c r="A46" s="195" t="s">
        <v>1213</v>
      </c>
      <c r="B46" s="195" t="s">
        <v>55</v>
      </c>
      <c r="C46" s="236" t="s">
        <v>56</v>
      </c>
      <c r="D46" s="237" t="s">
        <v>192</v>
      </c>
      <c r="E46" s="197" t="s">
        <v>132</v>
      </c>
      <c r="F46" s="197" t="s">
        <v>193</v>
      </c>
      <c r="G46" s="238" t="s">
        <v>1217</v>
      </c>
      <c r="H46" s="238" t="s">
        <v>2844</v>
      </c>
      <c r="I46" s="237" t="s">
        <v>2578</v>
      </c>
      <c r="J46" s="197" t="s">
        <v>69</v>
      </c>
      <c r="K46" s="239" t="s">
        <v>60</v>
      </c>
      <c r="L46" s="128">
        <v>17.8</v>
      </c>
      <c r="M46" s="195" t="s">
        <v>197</v>
      </c>
      <c r="N46" s="128" t="s">
        <v>194</v>
      </c>
      <c r="O46" s="128">
        <v>8</v>
      </c>
      <c r="P46" s="197" t="s">
        <v>63</v>
      </c>
      <c r="Q46" s="285">
        <v>487.51465273029203</v>
      </c>
      <c r="R46" s="149" t="s">
        <v>9</v>
      </c>
      <c r="T46" s="134">
        <v>1625.0488424343068</v>
      </c>
      <c r="U46" s="134">
        <v>975.02930546058406</v>
      </c>
      <c r="V46" s="134">
        <v>812.52442121715342</v>
      </c>
      <c r="W46" s="134">
        <v>650.01953697372278</v>
      </c>
    </row>
    <row r="47" spans="1:57" s="160" customFormat="1" hidden="1">
      <c r="A47" s="195" t="s">
        <v>1213</v>
      </c>
      <c r="B47" s="195" t="s">
        <v>55</v>
      </c>
      <c r="C47" s="236" t="s">
        <v>56</v>
      </c>
      <c r="D47" s="237" t="s">
        <v>192</v>
      </c>
      <c r="E47" s="197" t="s">
        <v>132</v>
      </c>
      <c r="F47" s="197" t="s">
        <v>193</v>
      </c>
      <c r="G47" s="238" t="s">
        <v>1218</v>
      </c>
      <c r="H47" s="238" t="s">
        <v>2825</v>
      </c>
      <c r="I47" s="237" t="s">
        <v>2578</v>
      </c>
      <c r="J47" s="197" t="s">
        <v>125</v>
      </c>
      <c r="K47" s="239" t="s">
        <v>60</v>
      </c>
      <c r="L47" s="128">
        <v>17.8</v>
      </c>
      <c r="M47" s="195" t="s">
        <v>61</v>
      </c>
      <c r="N47" s="128" t="s">
        <v>194</v>
      </c>
      <c r="O47" s="128">
        <v>8</v>
      </c>
      <c r="P47" s="197" t="s">
        <v>63</v>
      </c>
      <c r="Q47" s="285">
        <v>510.63696639640523</v>
      </c>
      <c r="R47" s="149" t="s">
        <v>9</v>
      </c>
      <c r="S47" s="129"/>
      <c r="T47" s="134">
        <v>1702.1232213213509</v>
      </c>
      <c r="U47" s="134">
        <v>1021.2739327928105</v>
      </c>
      <c r="V47" s="134">
        <v>851.06161066067546</v>
      </c>
      <c r="W47" s="134">
        <v>680.84928852854046</v>
      </c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</row>
    <row r="48" spans="1:57" s="129" customFormat="1" hidden="1">
      <c r="A48" s="195" t="s">
        <v>1213</v>
      </c>
      <c r="B48" s="195" t="s">
        <v>55</v>
      </c>
      <c r="C48" s="236" t="s">
        <v>56</v>
      </c>
      <c r="D48" s="237" t="s">
        <v>192</v>
      </c>
      <c r="E48" s="197" t="s">
        <v>132</v>
      </c>
      <c r="F48" s="197" t="s">
        <v>193</v>
      </c>
      <c r="G48" s="238" t="s">
        <v>1219</v>
      </c>
      <c r="H48" s="238" t="s">
        <v>2825</v>
      </c>
      <c r="I48" s="237" t="s">
        <v>2582</v>
      </c>
      <c r="J48" s="197" t="s">
        <v>125</v>
      </c>
      <c r="K48" s="239" t="s">
        <v>60</v>
      </c>
      <c r="L48" s="128">
        <v>17.8</v>
      </c>
      <c r="M48" s="195" t="s">
        <v>197</v>
      </c>
      <c r="N48" s="128" t="s">
        <v>194</v>
      </c>
      <c r="O48" s="128">
        <v>8</v>
      </c>
      <c r="P48" s="197" t="s">
        <v>63</v>
      </c>
      <c r="Q48" s="285">
        <v>510.63696639640523</v>
      </c>
      <c r="R48" s="149" t="s">
        <v>9</v>
      </c>
      <c r="T48" s="134">
        <v>1702.1232213213509</v>
      </c>
      <c r="U48" s="134">
        <v>1021.2739327928105</v>
      </c>
      <c r="V48" s="134">
        <v>851.06161066067546</v>
      </c>
      <c r="W48" s="134">
        <v>680.84928852854046</v>
      </c>
    </row>
    <row r="49" spans="1:23" s="129" customFormat="1" hidden="1">
      <c r="A49" s="195" t="s">
        <v>1276</v>
      </c>
      <c r="B49" s="195" t="s">
        <v>55</v>
      </c>
      <c r="C49" s="236" t="s">
        <v>201</v>
      </c>
      <c r="D49" s="236" t="s">
        <v>202</v>
      </c>
      <c r="E49" s="128"/>
      <c r="F49" s="128"/>
      <c r="G49" s="234" t="s">
        <v>2554</v>
      </c>
      <c r="H49" s="234" t="s">
        <v>2845</v>
      </c>
      <c r="I49" s="236" t="s">
        <v>205</v>
      </c>
      <c r="J49" s="128"/>
      <c r="K49" s="236" t="s">
        <v>60</v>
      </c>
      <c r="L49" s="227"/>
      <c r="M49" s="195" t="s">
        <v>206</v>
      </c>
      <c r="N49" s="128" t="s">
        <v>207</v>
      </c>
      <c r="O49" s="128">
        <v>8640</v>
      </c>
      <c r="P49" s="128" t="s">
        <v>209</v>
      </c>
      <c r="Q49" s="126">
        <v>0.43916724920681166</v>
      </c>
      <c r="R49" s="149" t="s">
        <v>5</v>
      </c>
      <c r="T49" s="168">
        <v>1.4638908306893723</v>
      </c>
      <c r="U49" s="168">
        <v>0.87833449841362332</v>
      </c>
      <c r="V49" s="168">
        <v>0.73194541534468616</v>
      </c>
      <c r="W49" s="168">
        <v>0.58555633227574899</v>
      </c>
    </row>
    <row r="50" spans="1:23" s="129" customFormat="1" hidden="1">
      <c r="A50" s="195" t="s">
        <v>1276</v>
      </c>
      <c r="B50" s="195" t="s">
        <v>55</v>
      </c>
      <c r="C50" s="236" t="s">
        <v>201</v>
      </c>
      <c r="D50" s="236" t="s">
        <v>202</v>
      </c>
      <c r="E50" s="128"/>
      <c r="F50" s="128"/>
      <c r="G50" s="234" t="s">
        <v>212</v>
      </c>
      <c r="H50" s="234" t="s">
        <v>2846</v>
      </c>
      <c r="I50" s="236" t="s">
        <v>214</v>
      </c>
      <c r="J50" s="128"/>
      <c r="K50" s="236" t="s">
        <v>60</v>
      </c>
      <c r="L50" s="227"/>
      <c r="M50" s="195" t="s">
        <v>215</v>
      </c>
      <c r="N50" s="128" t="s">
        <v>207</v>
      </c>
      <c r="O50" s="128">
        <v>8640</v>
      </c>
      <c r="P50" s="128" t="s">
        <v>209</v>
      </c>
      <c r="Q50" s="126">
        <v>0.47304937789210533</v>
      </c>
      <c r="R50" s="149" t="s">
        <v>5</v>
      </c>
      <c r="T50" s="168">
        <v>1.5768312596403511</v>
      </c>
      <c r="U50" s="168">
        <v>0.94609875578421065</v>
      </c>
      <c r="V50" s="168">
        <v>0.78841562982017555</v>
      </c>
      <c r="W50" s="168">
        <v>0.63073250385614044</v>
      </c>
    </row>
    <row r="51" spans="1:23" s="129" customFormat="1" hidden="1">
      <c r="A51" s="195" t="s">
        <v>1276</v>
      </c>
      <c r="B51" s="195" t="s">
        <v>55</v>
      </c>
      <c r="C51" s="236" t="s">
        <v>201</v>
      </c>
      <c r="D51" s="236" t="s">
        <v>202</v>
      </c>
      <c r="E51" s="128"/>
      <c r="F51" s="128"/>
      <c r="G51" s="234" t="s">
        <v>217</v>
      </c>
      <c r="H51" s="234" t="s">
        <v>2847</v>
      </c>
      <c r="I51" s="236" t="s">
        <v>219</v>
      </c>
      <c r="J51" s="128"/>
      <c r="K51" s="236" t="s">
        <v>60</v>
      </c>
      <c r="L51" s="227"/>
      <c r="M51" s="195" t="s">
        <v>206</v>
      </c>
      <c r="N51" s="128" t="s">
        <v>207</v>
      </c>
      <c r="O51" s="128">
        <v>11520</v>
      </c>
      <c r="P51" s="128" t="s">
        <v>209</v>
      </c>
      <c r="Q51" s="126">
        <v>0.39485205388755307</v>
      </c>
      <c r="R51" s="149" t="s">
        <v>5</v>
      </c>
      <c r="T51" s="168">
        <v>1.3161735129585104</v>
      </c>
      <c r="U51" s="168">
        <v>0.78970410777510625</v>
      </c>
      <c r="V51" s="168">
        <v>0.65808675647925519</v>
      </c>
      <c r="W51" s="168">
        <v>0.52646940518340413</v>
      </c>
    </row>
    <row r="52" spans="1:23" s="129" customFormat="1" hidden="1">
      <c r="A52" s="195" t="s">
        <v>1276</v>
      </c>
      <c r="B52" s="195" t="s">
        <v>55</v>
      </c>
      <c r="C52" s="236" t="s">
        <v>201</v>
      </c>
      <c r="D52" s="236" t="s">
        <v>202</v>
      </c>
      <c r="E52" s="128"/>
      <c r="F52" s="128"/>
      <c r="G52" s="234" t="s">
        <v>221</v>
      </c>
      <c r="H52" s="234" t="s">
        <v>2848</v>
      </c>
      <c r="I52" s="236" t="s">
        <v>223</v>
      </c>
      <c r="J52" s="128"/>
      <c r="K52" s="236" t="s">
        <v>60</v>
      </c>
      <c r="L52" s="227"/>
      <c r="M52" s="195" t="s">
        <v>215</v>
      </c>
      <c r="N52" s="128" t="s">
        <v>207</v>
      </c>
      <c r="O52" s="128">
        <v>11520</v>
      </c>
      <c r="P52" s="128" t="s">
        <v>209</v>
      </c>
      <c r="Q52" s="126">
        <v>0.41774202802596194</v>
      </c>
      <c r="R52" s="149" t="s">
        <v>5</v>
      </c>
      <c r="T52" s="168">
        <v>1.3924734267532066</v>
      </c>
      <c r="U52" s="168">
        <v>0.835484056051924</v>
      </c>
      <c r="V52" s="168">
        <v>0.69623671337660331</v>
      </c>
      <c r="W52" s="168">
        <v>0.55698937070128263</v>
      </c>
    </row>
    <row r="53" spans="1:23" s="129" customFormat="1" hidden="1">
      <c r="A53" s="195" t="s">
        <v>1276</v>
      </c>
      <c r="B53" s="195" t="s">
        <v>55</v>
      </c>
      <c r="C53" s="195" t="s">
        <v>201</v>
      </c>
      <c r="D53" s="236" t="s">
        <v>202</v>
      </c>
      <c r="E53" s="128"/>
      <c r="F53" s="128"/>
      <c r="G53" s="234" t="s">
        <v>225</v>
      </c>
      <c r="H53" s="234" t="s">
        <v>2849</v>
      </c>
      <c r="I53" s="236" t="s">
        <v>227</v>
      </c>
      <c r="J53" s="128"/>
      <c r="K53" s="236" t="s">
        <v>60</v>
      </c>
      <c r="L53" s="227"/>
      <c r="M53" s="195" t="s">
        <v>215</v>
      </c>
      <c r="N53" s="128" t="s">
        <v>207</v>
      </c>
      <c r="O53" s="128">
        <v>11520</v>
      </c>
      <c r="P53" s="128" t="s">
        <v>209</v>
      </c>
      <c r="Q53" s="126">
        <v>0.54019788718108797</v>
      </c>
      <c r="R53" s="149" t="s">
        <v>5</v>
      </c>
      <c r="T53" s="168">
        <v>1.8006596239369599</v>
      </c>
      <c r="U53" s="168">
        <v>1.0803957743621759</v>
      </c>
      <c r="V53" s="168">
        <v>0.90032981196847994</v>
      </c>
      <c r="W53" s="168">
        <v>0.72026384957478395</v>
      </c>
    </row>
    <row r="54" spans="1:23" s="129" customFormat="1" hidden="1">
      <c r="A54" s="195" t="s">
        <v>1276</v>
      </c>
      <c r="B54" s="195" t="s">
        <v>55</v>
      </c>
      <c r="C54" s="195" t="s">
        <v>201</v>
      </c>
      <c r="D54" s="236" t="s">
        <v>202</v>
      </c>
      <c r="E54" s="128"/>
      <c r="F54" s="128"/>
      <c r="G54" s="234" t="s">
        <v>229</v>
      </c>
      <c r="H54" s="234" t="s">
        <v>2850</v>
      </c>
      <c r="I54" s="236" t="s">
        <v>231</v>
      </c>
      <c r="J54" s="128"/>
      <c r="K54" s="236" t="s">
        <v>60</v>
      </c>
      <c r="L54" s="227"/>
      <c r="M54" s="195" t="s">
        <v>215</v>
      </c>
      <c r="N54" s="128" t="s">
        <v>207</v>
      </c>
      <c r="O54" s="128">
        <v>11520</v>
      </c>
      <c r="P54" s="128" t="s">
        <v>209</v>
      </c>
      <c r="Q54" s="126">
        <v>0.56966322648187462</v>
      </c>
      <c r="R54" s="149" t="s">
        <v>5</v>
      </c>
      <c r="T54" s="168">
        <v>1.8988774216062487</v>
      </c>
      <c r="U54" s="168">
        <v>1.1393264529637492</v>
      </c>
      <c r="V54" s="168">
        <v>0.94943871080312436</v>
      </c>
      <c r="W54" s="168">
        <v>0.75955096864249949</v>
      </c>
    </row>
    <row r="55" spans="1:23" s="129" customFormat="1" hidden="1">
      <c r="A55" s="237" t="s">
        <v>1276</v>
      </c>
      <c r="B55" s="237" t="s">
        <v>55</v>
      </c>
      <c r="C55" s="237" t="s">
        <v>251</v>
      </c>
      <c r="D55" s="237" t="s">
        <v>252</v>
      </c>
      <c r="E55" s="197" t="s">
        <v>253</v>
      </c>
      <c r="F55" s="128"/>
      <c r="G55" s="241" t="s">
        <v>1758</v>
      </c>
      <c r="H55" s="241" t="s">
        <v>2825</v>
      </c>
      <c r="I55" s="237" t="s">
        <v>2596</v>
      </c>
      <c r="J55" s="128"/>
      <c r="K55" s="236" t="s">
        <v>60</v>
      </c>
      <c r="L55" s="128"/>
      <c r="M55" s="195" t="s">
        <v>1766</v>
      </c>
      <c r="N55" s="128" t="s">
        <v>256</v>
      </c>
      <c r="O55" s="128">
        <v>8064</v>
      </c>
      <c r="P55" s="128" t="s">
        <v>257</v>
      </c>
      <c r="Q55" s="126">
        <v>1.4580774503966545</v>
      </c>
      <c r="R55" s="149" t="s">
        <v>9</v>
      </c>
      <c r="T55" s="168">
        <v>4.8602581679888486</v>
      </c>
      <c r="U55" s="168">
        <v>2.916154900793309</v>
      </c>
      <c r="V55" s="168">
        <v>2.4301290839944243</v>
      </c>
      <c r="W55" s="168">
        <v>1.9441032671955396</v>
      </c>
    </row>
    <row r="56" spans="1:23" s="129" customFormat="1" hidden="1">
      <c r="A56" s="237" t="s">
        <v>1276</v>
      </c>
      <c r="B56" s="237" t="s">
        <v>55</v>
      </c>
      <c r="C56" s="237" t="s">
        <v>251</v>
      </c>
      <c r="D56" s="237" t="s">
        <v>252</v>
      </c>
      <c r="E56" s="197" t="s">
        <v>266</v>
      </c>
      <c r="F56" s="128"/>
      <c r="G56" s="241" t="s">
        <v>1759</v>
      </c>
      <c r="H56" s="241" t="s">
        <v>2825</v>
      </c>
      <c r="I56" s="237" t="s">
        <v>2595</v>
      </c>
      <c r="J56" s="128"/>
      <c r="K56" s="236" t="s">
        <v>60</v>
      </c>
      <c r="L56" s="128"/>
      <c r="M56" s="195" t="s">
        <v>1766</v>
      </c>
      <c r="N56" s="128" t="s">
        <v>256</v>
      </c>
      <c r="O56" s="128">
        <v>8064</v>
      </c>
      <c r="P56" s="128" t="s">
        <v>257</v>
      </c>
      <c r="Q56" s="126">
        <v>0.76094411373353998</v>
      </c>
      <c r="R56" s="149" t="s">
        <v>9</v>
      </c>
      <c r="T56" s="168">
        <v>2.5364803791118002</v>
      </c>
      <c r="U56" s="168">
        <v>1.5218882274670802</v>
      </c>
      <c r="V56" s="168">
        <v>1.2682401895559001</v>
      </c>
      <c r="W56" s="168">
        <v>1.0145921516447201</v>
      </c>
    </row>
    <row r="57" spans="1:23" s="129" customFormat="1" ht="15.75" hidden="1" customHeight="1">
      <c r="A57" s="237" t="s">
        <v>1276</v>
      </c>
      <c r="B57" s="237" t="s">
        <v>55</v>
      </c>
      <c r="C57" s="237" t="s">
        <v>251</v>
      </c>
      <c r="D57" s="237" t="s">
        <v>252</v>
      </c>
      <c r="E57" s="197" t="s">
        <v>253</v>
      </c>
      <c r="F57" s="128"/>
      <c r="G57" s="241" t="s">
        <v>1760</v>
      </c>
      <c r="H57" s="241" t="s">
        <v>2825</v>
      </c>
      <c r="I57" s="237" t="s">
        <v>1771</v>
      </c>
      <c r="J57" s="128"/>
      <c r="K57" s="236" t="s">
        <v>60</v>
      </c>
      <c r="L57" s="128"/>
      <c r="M57" s="195" t="s">
        <v>1766</v>
      </c>
      <c r="N57" s="128" t="s">
        <v>256</v>
      </c>
      <c r="O57" s="128">
        <v>8064</v>
      </c>
      <c r="P57" s="128" t="s">
        <v>257</v>
      </c>
      <c r="Q57" s="126">
        <v>1.5022292325130069</v>
      </c>
      <c r="R57" s="149" t="s">
        <v>9</v>
      </c>
      <c r="T57" s="168">
        <v>5.0074307750433569</v>
      </c>
      <c r="U57" s="168">
        <v>3.0044584650260142</v>
      </c>
      <c r="V57" s="168">
        <v>2.5037153875216784</v>
      </c>
      <c r="W57" s="168">
        <v>2.0029723100173427</v>
      </c>
    </row>
    <row r="58" spans="1:23" s="129" customFormat="1" hidden="1">
      <c r="A58" s="237" t="s">
        <v>1276</v>
      </c>
      <c r="B58" s="237" t="s">
        <v>55</v>
      </c>
      <c r="C58" s="237" t="s">
        <v>251</v>
      </c>
      <c r="D58" s="237" t="s">
        <v>252</v>
      </c>
      <c r="E58" s="197" t="s">
        <v>253</v>
      </c>
      <c r="F58" s="128"/>
      <c r="G58" s="241" t="s">
        <v>2802</v>
      </c>
      <c r="H58" s="241" t="s">
        <v>2825</v>
      </c>
      <c r="I58" s="237" t="s">
        <v>1772</v>
      </c>
      <c r="J58" s="128"/>
      <c r="K58" s="236" t="s">
        <v>60</v>
      </c>
      <c r="L58" s="128"/>
      <c r="M58" s="195" t="s">
        <v>1766</v>
      </c>
      <c r="N58" s="128" t="s">
        <v>256</v>
      </c>
      <c r="O58" s="128">
        <v>8064</v>
      </c>
      <c r="P58" s="128" t="s">
        <v>257</v>
      </c>
      <c r="Q58" s="126">
        <v>1.3402205310454798</v>
      </c>
      <c r="R58" s="149" t="s">
        <v>9</v>
      </c>
      <c r="T58" s="168">
        <v>4.4674017701515991</v>
      </c>
      <c r="U58" s="168">
        <v>2.6804410620909596</v>
      </c>
      <c r="V58" s="168">
        <v>2.2337008850757996</v>
      </c>
      <c r="W58" s="168">
        <v>1.7869607080606398</v>
      </c>
    </row>
    <row r="59" spans="1:23" s="129" customFormat="1" hidden="1">
      <c r="A59" s="237" t="s">
        <v>1276</v>
      </c>
      <c r="B59" s="237" t="s">
        <v>55</v>
      </c>
      <c r="C59" s="237" t="s">
        <v>251</v>
      </c>
      <c r="D59" s="237" t="s">
        <v>1591</v>
      </c>
      <c r="E59" s="197" t="s">
        <v>253</v>
      </c>
      <c r="F59" s="128"/>
      <c r="G59" s="241" t="s">
        <v>1737</v>
      </c>
      <c r="H59" s="241" t="s">
        <v>2825</v>
      </c>
      <c r="I59" s="237" t="s">
        <v>1774</v>
      </c>
      <c r="J59" s="128"/>
      <c r="K59" s="236" t="s">
        <v>60</v>
      </c>
      <c r="L59" s="128"/>
      <c r="M59" s="195" t="s">
        <v>1766</v>
      </c>
      <c r="N59" s="128" t="s">
        <v>1776</v>
      </c>
      <c r="O59" s="128">
        <v>8064</v>
      </c>
      <c r="P59" s="128"/>
      <c r="Q59" s="126">
        <v>2.9049180976983071</v>
      </c>
      <c r="R59" s="149" t="s">
        <v>9</v>
      </c>
      <c r="T59" s="168">
        <v>9.6830603256610246</v>
      </c>
      <c r="U59" s="168">
        <v>5.8098361953966142</v>
      </c>
      <c r="V59" s="168">
        <v>4.8415301628305123</v>
      </c>
      <c r="W59" s="168">
        <v>3.8732241302644099</v>
      </c>
    </row>
    <row r="60" spans="1:23" s="129" customFormat="1" hidden="1">
      <c r="A60" s="195" t="s">
        <v>1276</v>
      </c>
      <c r="B60" s="195" t="s">
        <v>55</v>
      </c>
      <c r="C60" s="236" t="s">
        <v>251</v>
      </c>
      <c r="D60" s="237" t="s">
        <v>283</v>
      </c>
      <c r="E60" s="197" t="s">
        <v>253</v>
      </c>
      <c r="F60" s="128"/>
      <c r="G60" s="241" t="s">
        <v>300</v>
      </c>
      <c r="H60" s="241" t="s">
        <v>2851</v>
      </c>
      <c r="I60" s="237" t="s">
        <v>302</v>
      </c>
      <c r="J60" s="128"/>
      <c r="K60" s="236" t="s">
        <v>60</v>
      </c>
      <c r="L60" s="128"/>
      <c r="M60" s="195" t="s">
        <v>303</v>
      </c>
      <c r="N60" s="128" t="s">
        <v>256</v>
      </c>
      <c r="O60" s="128">
        <v>6912</v>
      </c>
      <c r="P60" s="128" t="s">
        <v>257</v>
      </c>
      <c r="Q60" s="126">
        <v>1.3550591392937987</v>
      </c>
      <c r="R60" s="149" t="s">
        <v>5</v>
      </c>
      <c r="T60" s="168">
        <v>4.5168637976459962</v>
      </c>
      <c r="U60" s="168">
        <v>2.7101182785875975</v>
      </c>
      <c r="V60" s="168">
        <v>2.2584318988229981</v>
      </c>
      <c r="W60" s="168">
        <v>1.8067455190583985</v>
      </c>
    </row>
    <row r="61" spans="1:23" s="129" customFormat="1" hidden="1">
      <c r="A61" s="195" t="s">
        <v>1276</v>
      </c>
      <c r="B61" s="195" t="s">
        <v>55</v>
      </c>
      <c r="C61" s="236" t="s">
        <v>251</v>
      </c>
      <c r="D61" s="237" t="s">
        <v>283</v>
      </c>
      <c r="E61" s="197" t="s">
        <v>253</v>
      </c>
      <c r="F61" s="128"/>
      <c r="G61" s="241" t="s">
        <v>309</v>
      </c>
      <c r="H61" s="241" t="s">
        <v>2852</v>
      </c>
      <c r="I61" s="237" t="s">
        <v>311</v>
      </c>
      <c r="J61" s="128"/>
      <c r="K61" s="236" t="s">
        <v>60</v>
      </c>
      <c r="L61" s="128"/>
      <c r="M61" s="195" t="s">
        <v>276</v>
      </c>
      <c r="N61" s="128" t="s">
        <v>256</v>
      </c>
      <c r="O61" s="128">
        <v>10368</v>
      </c>
      <c r="P61" s="128" t="s">
        <v>257</v>
      </c>
      <c r="Q61" s="126">
        <v>1.3094124250127934</v>
      </c>
      <c r="R61" s="149" t="s">
        <v>5</v>
      </c>
      <c r="T61" s="168">
        <v>4.3647080833759784</v>
      </c>
      <c r="U61" s="168">
        <v>2.6188248500255868</v>
      </c>
      <c r="V61" s="168">
        <v>2.1823540416879892</v>
      </c>
      <c r="W61" s="168">
        <v>1.7458832333503915</v>
      </c>
    </row>
    <row r="62" spans="1:23" s="129" customFormat="1" hidden="1">
      <c r="A62" s="195" t="s">
        <v>1276</v>
      </c>
      <c r="B62" s="195" t="s">
        <v>55</v>
      </c>
      <c r="C62" s="236" t="s">
        <v>251</v>
      </c>
      <c r="D62" s="237" t="s">
        <v>321</v>
      </c>
      <c r="E62" s="197" t="s">
        <v>253</v>
      </c>
      <c r="F62" s="128"/>
      <c r="G62" s="241" t="s">
        <v>330</v>
      </c>
      <c r="H62" s="241" t="s">
        <v>2853</v>
      </c>
      <c r="I62" s="237" t="s">
        <v>331</v>
      </c>
      <c r="J62" s="128"/>
      <c r="K62" s="236" t="s">
        <v>60</v>
      </c>
      <c r="L62" s="128"/>
      <c r="M62" s="195" t="s">
        <v>303</v>
      </c>
      <c r="N62" s="128" t="s">
        <v>256</v>
      </c>
      <c r="O62" s="128">
        <v>6912</v>
      </c>
      <c r="P62" s="128" t="s">
        <v>257</v>
      </c>
      <c r="Q62" s="126">
        <v>1.4503090017154605</v>
      </c>
      <c r="R62" s="149" t="s">
        <v>5</v>
      </c>
      <c r="T62" s="168">
        <v>4.834363339051535</v>
      </c>
      <c r="U62" s="168">
        <v>2.900618003430921</v>
      </c>
      <c r="V62" s="168">
        <v>2.4171816695257675</v>
      </c>
      <c r="W62" s="168">
        <v>1.933745335620614</v>
      </c>
    </row>
    <row r="63" spans="1:23" s="129" customFormat="1" hidden="1">
      <c r="A63" s="195" t="s">
        <v>1276</v>
      </c>
      <c r="B63" s="195" t="s">
        <v>55</v>
      </c>
      <c r="C63" s="236" t="s">
        <v>251</v>
      </c>
      <c r="D63" s="237" t="s">
        <v>321</v>
      </c>
      <c r="E63" s="197" t="s">
        <v>253</v>
      </c>
      <c r="F63" s="128"/>
      <c r="G63" s="241" t="s">
        <v>337</v>
      </c>
      <c r="H63" s="241" t="s">
        <v>2854</v>
      </c>
      <c r="I63" s="237" t="s">
        <v>339</v>
      </c>
      <c r="J63" s="128"/>
      <c r="K63" s="236" t="s">
        <v>60</v>
      </c>
      <c r="L63" s="128"/>
      <c r="M63" s="195" t="s">
        <v>270</v>
      </c>
      <c r="N63" s="128" t="s">
        <v>256</v>
      </c>
      <c r="O63" s="128">
        <v>10368</v>
      </c>
      <c r="P63" s="128" t="s">
        <v>257</v>
      </c>
      <c r="Q63" s="126">
        <v>1.4088119887327286</v>
      </c>
      <c r="R63" s="149" t="s">
        <v>5</v>
      </c>
      <c r="T63" s="168">
        <v>4.6960399624424287</v>
      </c>
      <c r="U63" s="168">
        <v>2.8176239774654572</v>
      </c>
      <c r="V63" s="168">
        <v>2.3480199812212144</v>
      </c>
      <c r="W63" s="168">
        <v>1.8784159849769715</v>
      </c>
    </row>
    <row r="64" spans="1:23" s="129" customFormat="1" hidden="1">
      <c r="A64" s="195" t="s">
        <v>1276</v>
      </c>
      <c r="B64" s="195" t="s">
        <v>55</v>
      </c>
      <c r="C64" s="236" t="s">
        <v>251</v>
      </c>
      <c r="D64" s="237" t="s">
        <v>321</v>
      </c>
      <c r="E64" s="197" t="s">
        <v>253</v>
      </c>
      <c r="F64" s="128"/>
      <c r="G64" s="241" t="s">
        <v>349</v>
      </c>
      <c r="H64" s="241" t="s">
        <v>2855</v>
      </c>
      <c r="I64" s="237" t="s">
        <v>351</v>
      </c>
      <c r="J64" s="128" t="s">
        <v>328</v>
      </c>
      <c r="K64" s="236" t="s">
        <v>60</v>
      </c>
      <c r="L64" s="128"/>
      <c r="M64" s="195" t="s">
        <v>276</v>
      </c>
      <c r="N64" s="128" t="s">
        <v>256</v>
      </c>
      <c r="O64" s="128">
        <v>10368</v>
      </c>
      <c r="P64" s="128" t="s">
        <v>257</v>
      </c>
      <c r="Q64" s="126">
        <v>1.6628370305715123</v>
      </c>
      <c r="R64" s="149" t="s">
        <v>5</v>
      </c>
      <c r="T64" s="168">
        <v>5.542790101905041</v>
      </c>
      <c r="U64" s="168">
        <v>3.3256740611430247</v>
      </c>
      <c r="V64" s="168">
        <v>2.7713950509525205</v>
      </c>
      <c r="W64" s="168">
        <v>2.2171160407620163</v>
      </c>
    </row>
    <row r="65" spans="1:23" s="129" customFormat="1" hidden="1">
      <c r="A65" s="195" t="s">
        <v>1276</v>
      </c>
      <c r="B65" s="195" t="s">
        <v>55</v>
      </c>
      <c r="C65" s="236" t="s">
        <v>251</v>
      </c>
      <c r="D65" s="237" t="s">
        <v>372</v>
      </c>
      <c r="E65" s="197" t="s">
        <v>253</v>
      </c>
      <c r="F65" s="128"/>
      <c r="G65" s="241" t="s">
        <v>2562</v>
      </c>
      <c r="H65" s="241" t="s">
        <v>2856</v>
      </c>
      <c r="I65" s="237" t="s">
        <v>374</v>
      </c>
      <c r="J65" s="128"/>
      <c r="K65" s="236" t="s">
        <v>60</v>
      </c>
      <c r="L65" s="128"/>
      <c r="M65" s="195" t="s">
        <v>276</v>
      </c>
      <c r="N65" s="128" t="s">
        <v>1776</v>
      </c>
      <c r="O65" s="128">
        <v>10368</v>
      </c>
      <c r="P65" s="128" t="s">
        <v>257</v>
      </c>
      <c r="Q65" s="126">
        <v>3.0200628434535757</v>
      </c>
      <c r="R65" s="149" t="s">
        <v>9</v>
      </c>
      <c r="T65" s="168">
        <v>10.066876144845253</v>
      </c>
      <c r="U65" s="168">
        <v>6.0401256869071513</v>
      </c>
      <c r="V65" s="168">
        <v>5.0334380724226264</v>
      </c>
      <c r="W65" s="168">
        <v>4.0267504579381015</v>
      </c>
    </row>
    <row r="66" spans="1:23" s="129" customFormat="1" hidden="1">
      <c r="A66" s="237" t="s">
        <v>1276</v>
      </c>
      <c r="B66" s="237" t="s">
        <v>55</v>
      </c>
      <c r="C66" s="237" t="s">
        <v>251</v>
      </c>
      <c r="D66" s="237" t="s">
        <v>376</v>
      </c>
      <c r="E66" s="197"/>
      <c r="F66" s="128"/>
      <c r="G66" s="241" t="s">
        <v>353</v>
      </c>
      <c r="H66" s="241" t="s">
        <v>2857</v>
      </c>
      <c r="I66" s="237" t="s">
        <v>1770</v>
      </c>
      <c r="J66" s="128"/>
      <c r="K66" s="236" t="s">
        <v>60</v>
      </c>
      <c r="L66" s="128"/>
      <c r="M66" s="195" t="s">
        <v>356</v>
      </c>
      <c r="N66" s="128" t="s">
        <v>357</v>
      </c>
      <c r="O66" s="128">
        <v>86400</v>
      </c>
      <c r="P66" s="128" t="s">
        <v>257</v>
      </c>
      <c r="Q66" s="126">
        <v>4.5645983403220229E-2</v>
      </c>
      <c r="R66" s="149" t="s">
        <v>9</v>
      </c>
      <c r="T66" s="168">
        <v>0.15215327801073411</v>
      </c>
      <c r="U66" s="168">
        <v>9.1291966806440458E-2</v>
      </c>
      <c r="V66" s="168">
        <v>7.6076639005367055E-2</v>
      </c>
      <c r="W66" s="168">
        <v>6.0861311204293646E-2</v>
      </c>
    </row>
    <row r="67" spans="1:23" s="129" customFormat="1" hidden="1">
      <c r="A67" s="237" t="s">
        <v>1276</v>
      </c>
      <c r="B67" s="237" t="s">
        <v>55</v>
      </c>
      <c r="C67" s="237" t="s">
        <v>251</v>
      </c>
      <c r="D67" s="237" t="s">
        <v>376</v>
      </c>
      <c r="E67" s="197"/>
      <c r="F67" s="128"/>
      <c r="G67" s="241" t="s">
        <v>360</v>
      </c>
      <c r="H67" s="241" t="s">
        <v>2858</v>
      </c>
      <c r="I67" s="237" t="s">
        <v>362</v>
      </c>
      <c r="J67" s="128"/>
      <c r="K67" s="236" t="s">
        <v>60</v>
      </c>
      <c r="L67" s="128"/>
      <c r="M67" s="195" t="s">
        <v>356</v>
      </c>
      <c r="N67" s="128" t="s">
        <v>357</v>
      </c>
      <c r="O67" s="128">
        <v>86400</v>
      </c>
      <c r="P67" s="128" t="s">
        <v>257</v>
      </c>
      <c r="Q67" s="126">
        <v>4.5645983403220229E-2</v>
      </c>
      <c r="R67" s="149" t="s">
        <v>9</v>
      </c>
      <c r="T67" s="168">
        <v>0.15215327801073411</v>
      </c>
      <c r="U67" s="168">
        <v>9.1291966806440458E-2</v>
      </c>
      <c r="V67" s="168">
        <v>7.6076639005367055E-2</v>
      </c>
      <c r="W67" s="168">
        <v>6.0861311204293646E-2</v>
      </c>
    </row>
    <row r="68" spans="1:23" s="129" customFormat="1" hidden="1">
      <c r="A68" s="237" t="s">
        <v>1276</v>
      </c>
      <c r="B68" s="237" t="s">
        <v>55</v>
      </c>
      <c r="C68" s="237" t="s">
        <v>251</v>
      </c>
      <c r="D68" s="237" t="s">
        <v>376</v>
      </c>
      <c r="E68" s="197"/>
      <c r="F68" s="128"/>
      <c r="G68" s="241" t="s">
        <v>364</v>
      </c>
      <c r="H68" s="241" t="s">
        <v>2859</v>
      </c>
      <c r="I68" s="237" t="s">
        <v>366</v>
      </c>
      <c r="J68" s="128"/>
      <c r="K68" s="236" t="s">
        <v>60</v>
      </c>
      <c r="L68" s="128"/>
      <c r="M68" s="195" t="s">
        <v>356</v>
      </c>
      <c r="N68" s="128" t="s">
        <v>357</v>
      </c>
      <c r="O68" s="128">
        <v>86400</v>
      </c>
      <c r="P68" s="128" t="s">
        <v>257</v>
      </c>
      <c r="Q68" s="126">
        <v>4.5645983403220229E-2</v>
      </c>
      <c r="R68" s="149" t="s">
        <v>9</v>
      </c>
      <c r="T68" s="168">
        <v>0.15215327801073411</v>
      </c>
      <c r="U68" s="168">
        <v>9.1291966806440458E-2</v>
      </c>
      <c r="V68" s="168">
        <v>7.6076639005367055E-2</v>
      </c>
      <c r="W68" s="168">
        <v>6.0861311204293646E-2</v>
      </c>
    </row>
    <row r="69" spans="1:23" s="129" customFormat="1" hidden="1">
      <c r="A69" s="237" t="s">
        <v>1276</v>
      </c>
      <c r="B69" s="237" t="s">
        <v>55</v>
      </c>
      <c r="C69" s="237" t="s">
        <v>251</v>
      </c>
      <c r="D69" s="237" t="s">
        <v>376</v>
      </c>
      <c r="E69" s="197"/>
      <c r="F69" s="128"/>
      <c r="G69" s="241" t="s">
        <v>368</v>
      </c>
      <c r="H69" s="241" t="s">
        <v>2860</v>
      </c>
      <c r="I69" s="237" t="s">
        <v>370</v>
      </c>
      <c r="J69" s="128"/>
      <c r="K69" s="236" t="s">
        <v>60</v>
      </c>
      <c r="L69" s="128"/>
      <c r="M69" s="195" t="s">
        <v>356</v>
      </c>
      <c r="N69" s="128" t="s">
        <v>357</v>
      </c>
      <c r="O69" s="128">
        <v>86400</v>
      </c>
      <c r="P69" s="128" t="s">
        <v>257</v>
      </c>
      <c r="Q69" s="126">
        <v>4.5645983403220229E-2</v>
      </c>
      <c r="R69" s="149" t="s">
        <v>9</v>
      </c>
      <c r="T69" s="168">
        <v>0.15215327801073411</v>
      </c>
      <c r="U69" s="168">
        <v>9.1291966806440458E-2</v>
      </c>
      <c r="V69" s="168">
        <v>7.6076639005367055E-2</v>
      </c>
      <c r="W69" s="168">
        <v>6.0861311204293646E-2</v>
      </c>
    </row>
    <row r="70" spans="1:23" s="129" customFormat="1" hidden="1">
      <c r="A70" s="195" t="s">
        <v>1276</v>
      </c>
      <c r="B70" s="195" t="s">
        <v>55</v>
      </c>
      <c r="C70" s="236" t="s">
        <v>395</v>
      </c>
      <c r="D70" s="237" t="s">
        <v>447</v>
      </c>
      <c r="E70" s="197" t="s">
        <v>253</v>
      </c>
      <c r="F70" s="128">
        <v>26</v>
      </c>
      <c r="G70" s="241" t="s">
        <v>448</v>
      </c>
      <c r="H70" s="241" t="s">
        <v>2861</v>
      </c>
      <c r="I70" s="237" t="s">
        <v>450</v>
      </c>
      <c r="J70" s="128"/>
      <c r="K70" s="236" t="s">
        <v>60</v>
      </c>
      <c r="L70" s="128"/>
      <c r="M70" s="195" t="s">
        <v>1446</v>
      </c>
      <c r="N70" s="128" t="s">
        <v>402</v>
      </c>
      <c r="O70" s="128">
        <v>4800</v>
      </c>
      <c r="P70" s="197" t="s">
        <v>403</v>
      </c>
      <c r="Q70" s="286">
        <v>0.48592371218781549</v>
      </c>
      <c r="R70" s="149" t="s">
        <v>9</v>
      </c>
      <c r="T70" s="176">
        <v>1.6197457072927184</v>
      </c>
      <c r="U70" s="176">
        <v>0.97184742437563099</v>
      </c>
      <c r="V70" s="176">
        <v>0.80987285364635919</v>
      </c>
      <c r="W70" s="176">
        <v>0.6478982829170874</v>
      </c>
    </row>
    <row r="71" spans="1:23" s="129" customFormat="1" hidden="1">
      <c r="A71" s="195" t="s">
        <v>1276</v>
      </c>
      <c r="B71" s="195" t="s">
        <v>55</v>
      </c>
      <c r="C71" s="236" t="s">
        <v>395</v>
      </c>
      <c r="D71" s="237" t="s">
        <v>447</v>
      </c>
      <c r="E71" s="197" t="s">
        <v>253</v>
      </c>
      <c r="F71" s="128">
        <v>26</v>
      </c>
      <c r="G71" s="241" t="s">
        <v>453</v>
      </c>
      <c r="H71" s="241" t="s">
        <v>2862</v>
      </c>
      <c r="I71" s="237" t="s">
        <v>455</v>
      </c>
      <c r="J71" s="128"/>
      <c r="K71" s="236" t="s">
        <v>60</v>
      </c>
      <c r="L71" s="128"/>
      <c r="M71" s="195" t="s">
        <v>1446</v>
      </c>
      <c r="N71" s="128" t="s">
        <v>402</v>
      </c>
      <c r="O71" s="128">
        <v>4800</v>
      </c>
      <c r="P71" s="197" t="s">
        <v>403</v>
      </c>
      <c r="Q71" s="286">
        <v>0.53812406385334244</v>
      </c>
      <c r="R71" s="149" t="s">
        <v>9</v>
      </c>
      <c r="T71" s="176">
        <v>1.7937468795111415</v>
      </c>
      <c r="U71" s="176">
        <v>1.0762481277066849</v>
      </c>
      <c r="V71" s="176">
        <v>0.89687343975557077</v>
      </c>
      <c r="W71" s="176">
        <v>0.71749875180445666</v>
      </c>
    </row>
    <row r="72" spans="1:23" s="129" customFormat="1" hidden="1">
      <c r="A72" s="195" t="s">
        <v>1276</v>
      </c>
      <c r="B72" s="195" t="s">
        <v>55</v>
      </c>
      <c r="C72" s="236" t="s">
        <v>395</v>
      </c>
      <c r="D72" s="237" t="s">
        <v>447</v>
      </c>
      <c r="E72" s="197" t="s">
        <v>253</v>
      </c>
      <c r="F72" s="128">
        <v>26</v>
      </c>
      <c r="G72" s="241" t="s">
        <v>457</v>
      </c>
      <c r="H72" s="241" t="s">
        <v>2863</v>
      </c>
      <c r="I72" s="237" t="s">
        <v>459</v>
      </c>
      <c r="J72" s="128"/>
      <c r="K72" s="236" t="s">
        <v>60</v>
      </c>
      <c r="L72" s="128"/>
      <c r="M72" s="195" t="s">
        <v>1446</v>
      </c>
      <c r="N72" s="128" t="s">
        <v>402</v>
      </c>
      <c r="O72" s="128">
        <v>3200</v>
      </c>
      <c r="P72" s="197" t="s">
        <v>403</v>
      </c>
      <c r="Q72" s="286">
        <v>0.6895826719253686</v>
      </c>
      <c r="R72" s="149" t="s">
        <v>9</v>
      </c>
      <c r="T72" s="176">
        <v>2.2986089064178956</v>
      </c>
      <c r="U72" s="176">
        <v>1.3791653438507374</v>
      </c>
      <c r="V72" s="176">
        <v>1.1493044532089478</v>
      </c>
      <c r="W72" s="176">
        <v>0.91944356256715831</v>
      </c>
    </row>
    <row r="73" spans="1:23" s="129" customFormat="1" hidden="1">
      <c r="A73" s="195" t="s">
        <v>1276</v>
      </c>
      <c r="B73" s="195" t="s">
        <v>55</v>
      </c>
      <c r="C73" s="236" t="s">
        <v>395</v>
      </c>
      <c r="D73" s="237" t="s">
        <v>447</v>
      </c>
      <c r="E73" s="197" t="s">
        <v>253</v>
      </c>
      <c r="F73" s="128">
        <v>26</v>
      </c>
      <c r="G73" s="241" t="s">
        <v>461</v>
      </c>
      <c r="H73" s="241" t="s">
        <v>2864</v>
      </c>
      <c r="I73" s="237" t="s">
        <v>463</v>
      </c>
      <c r="J73" s="128"/>
      <c r="K73" s="236" t="s">
        <v>60</v>
      </c>
      <c r="L73" s="128"/>
      <c r="M73" s="195" t="s">
        <v>1446</v>
      </c>
      <c r="N73" s="128" t="s">
        <v>402</v>
      </c>
      <c r="O73" s="128">
        <v>2240</v>
      </c>
      <c r="P73" s="197" t="s">
        <v>403</v>
      </c>
      <c r="Q73" s="286">
        <v>0.97480449943482328</v>
      </c>
      <c r="R73" s="149" t="s">
        <v>9</v>
      </c>
      <c r="T73" s="176">
        <v>3.2493483314494109</v>
      </c>
      <c r="U73" s="176">
        <v>1.9496089988696466</v>
      </c>
      <c r="V73" s="176">
        <v>1.6246741657247055</v>
      </c>
      <c r="W73" s="176">
        <v>1.2997393325797644</v>
      </c>
    </row>
    <row r="74" spans="1:23" s="129" customFormat="1" hidden="1">
      <c r="A74" s="195" t="s">
        <v>1276</v>
      </c>
      <c r="B74" s="195" t="s">
        <v>55</v>
      </c>
      <c r="C74" s="236" t="s">
        <v>395</v>
      </c>
      <c r="D74" s="237" t="s">
        <v>447</v>
      </c>
      <c r="E74" s="197" t="s">
        <v>253</v>
      </c>
      <c r="F74" s="128">
        <v>26</v>
      </c>
      <c r="G74" s="241" t="s">
        <v>465</v>
      </c>
      <c r="H74" s="241" t="s">
        <v>2865</v>
      </c>
      <c r="I74" s="237" t="s">
        <v>467</v>
      </c>
      <c r="J74" s="128"/>
      <c r="K74" s="236" t="s">
        <v>60</v>
      </c>
      <c r="L74" s="227"/>
      <c r="M74" s="195" t="s">
        <v>1446</v>
      </c>
      <c r="N74" s="128" t="s">
        <v>402</v>
      </c>
      <c r="O74" s="128">
        <v>1600</v>
      </c>
      <c r="P74" s="197" t="s">
        <v>403</v>
      </c>
      <c r="Q74" s="286">
        <v>1.2715593557682918</v>
      </c>
      <c r="R74" s="149" t="s">
        <v>9</v>
      </c>
      <c r="T74" s="176">
        <v>4.2385311858943062</v>
      </c>
      <c r="U74" s="176">
        <v>2.5431187115365836</v>
      </c>
      <c r="V74" s="176">
        <v>2.1192655929471531</v>
      </c>
      <c r="W74" s="176">
        <v>1.6954124743577226</v>
      </c>
    </row>
    <row r="75" spans="1:23" s="172" customFormat="1" hidden="1">
      <c r="A75" s="195" t="s">
        <v>1276</v>
      </c>
      <c r="B75" s="195" t="s">
        <v>55</v>
      </c>
      <c r="C75" s="236" t="s">
        <v>395</v>
      </c>
      <c r="D75" s="237" t="s">
        <v>447</v>
      </c>
      <c r="E75" s="197" t="s">
        <v>253</v>
      </c>
      <c r="F75" s="128">
        <v>26</v>
      </c>
      <c r="G75" s="241" t="s">
        <v>469</v>
      </c>
      <c r="H75" s="241" t="s">
        <v>2866</v>
      </c>
      <c r="I75" s="237" t="s">
        <v>471</v>
      </c>
      <c r="J75" s="128"/>
      <c r="K75" s="236" t="s">
        <v>60</v>
      </c>
      <c r="L75" s="227"/>
      <c r="M75" s="195" t="s">
        <v>1446</v>
      </c>
      <c r="N75" s="128" t="s">
        <v>402</v>
      </c>
      <c r="O75" s="128">
        <v>960</v>
      </c>
      <c r="P75" s="197" t="s">
        <v>403</v>
      </c>
      <c r="Q75" s="286">
        <v>1.8860938466673183</v>
      </c>
      <c r="R75" s="149" t="s">
        <v>9</v>
      </c>
      <c r="T75" s="176">
        <v>6.2869794888910615</v>
      </c>
      <c r="U75" s="176">
        <v>3.7721876933346365</v>
      </c>
      <c r="V75" s="176">
        <v>3.1434897444455308</v>
      </c>
      <c r="W75" s="176">
        <v>2.514791795556425</v>
      </c>
    </row>
    <row r="76" spans="1:23" s="172" customFormat="1" hidden="1">
      <c r="A76" s="195" t="s">
        <v>1276</v>
      </c>
      <c r="B76" s="195" t="s">
        <v>55</v>
      </c>
      <c r="C76" s="236" t="s">
        <v>395</v>
      </c>
      <c r="D76" s="237" t="s">
        <v>447</v>
      </c>
      <c r="E76" s="197" t="s">
        <v>253</v>
      </c>
      <c r="F76" s="128">
        <v>26</v>
      </c>
      <c r="G76" s="241" t="s">
        <v>473</v>
      </c>
      <c r="H76" s="241" t="s">
        <v>2867</v>
      </c>
      <c r="I76" s="237" t="s">
        <v>475</v>
      </c>
      <c r="J76" s="128"/>
      <c r="K76" s="236" t="s">
        <v>60</v>
      </c>
      <c r="L76" s="227"/>
      <c r="M76" s="195" t="s">
        <v>1446</v>
      </c>
      <c r="N76" s="128" t="s">
        <v>402</v>
      </c>
      <c r="O76" s="128">
        <v>640</v>
      </c>
      <c r="P76" s="197" t="s">
        <v>403</v>
      </c>
      <c r="Q76" s="286">
        <v>3.27223322872912</v>
      </c>
      <c r="R76" s="149" t="s">
        <v>9</v>
      </c>
      <c r="T76" s="176">
        <v>10.907444095763735</v>
      </c>
      <c r="U76" s="176">
        <v>6.544466457458241</v>
      </c>
      <c r="V76" s="176">
        <v>5.4537220478818673</v>
      </c>
      <c r="W76" s="176">
        <v>4.3629776383054937</v>
      </c>
    </row>
    <row r="77" spans="1:23" s="172" customFormat="1" hidden="1">
      <c r="A77" s="195" t="s">
        <v>1276</v>
      </c>
      <c r="B77" s="195" t="s">
        <v>55</v>
      </c>
      <c r="C77" s="236" t="s">
        <v>395</v>
      </c>
      <c r="D77" s="237" t="s">
        <v>447</v>
      </c>
      <c r="E77" s="197" t="s">
        <v>253</v>
      </c>
      <c r="F77" s="128">
        <v>26</v>
      </c>
      <c r="G77" s="241" t="s">
        <v>477</v>
      </c>
      <c r="H77" s="241" t="s">
        <v>2868</v>
      </c>
      <c r="I77" s="237" t="s">
        <v>479</v>
      </c>
      <c r="J77" s="128"/>
      <c r="K77" s="236" t="s">
        <v>60</v>
      </c>
      <c r="L77" s="128"/>
      <c r="M77" s="195" t="s">
        <v>1446</v>
      </c>
      <c r="N77" s="128" t="s">
        <v>402</v>
      </c>
      <c r="O77" s="128">
        <v>4800</v>
      </c>
      <c r="P77" s="197" t="s">
        <v>403</v>
      </c>
      <c r="Q77" s="286">
        <v>0.5005749422448651</v>
      </c>
      <c r="R77" s="149" t="s">
        <v>9</v>
      </c>
      <c r="T77" s="176">
        <v>1.6685831408162171</v>
      </c>
      <c r="U77" s="176">
        <v>1.0011498844897302</v>
      </c>
      <c r="V77" s="176">
        <v>0.83429157040810853</v>
      </c>
      <c r="W77" s="176">
        <v>0.66743325632648687</v>
      </c>
    </row>
    <row r="78" spans="1:23" s="172" customFormat="1" hidden="1">
      <c r="A78" s="195" t="s">
        <v>1276</v>
      </c>
      <c r="B78" s="195" t="s">
        <v>55</v>
      </c>
      <c r="C78" s="236" t="s">
        <v>395</v>
      </c>
      <c r="D78" s="237" t="s">
        <v>447</v>
      </c>
      <c r="E78" s="197" t="s">
        <v>253</v>
      </c>
      <c r="F78" s="128">
        <v>26</v>
      </c>
      <c r="G78" s="241" t="s">
        <v>480</v>
      </c>
      <c r="H78" s="241" t="s">
        <v>2869</v>
      </c>
      <c r="I78" s="237" t="s">
        <v>482</v>
      </c>
      <c r="J78" s="128"/>
      <c r="K78" s="236" t="s">
        <v>60</v>
      </c>
      <c r="L78" s="128"/>
      <c r="M78" s="195" t="s">
        <v>1446</v>
      </c>
      <c r="N78" s="128" t="s">
        <v>402</v>
      </c>
      <c r="O78" s="128">
        <v>4800</v>
      </c>
      <c r="P78" s="197" t="s">
        <v>403</v>
      </c>
      <c r="Q78" s="286">
        <v>0.55552268084015666</v>
      </c>
      <c r="R78" s="149" t="s">
        <v>9</v>
      </c>
      <c r="T78" s="176">
        <v>1.851742269467189</v>
      </c>
      <c r="U78" s="176">
        <v>1.1110453616803133</v>
      </c>
      <c r="V78" s="176">
        <v>0.9258711347335945</v>
      </c>
      <c r="W78" s="176">
        <v>0.74069690778687569</v>
      </c>
    </row>
    <row r="79" spans="1:23" s="129" customFormat="1" hidden="1">
      <c r="A79" s="195" t="s">
        <v>1276</v>
      </c>
      <c r="B79" s="195" t="s">
        <v>55</v>
      </c>
      <c r="C79" s="236" t="s">
        <v>395</v>
      </c>
      <c r="D79" s="237" t="s">
        <v>447</v>
      </c>
      <c r="E79" s="197" t="s">
        <v>253</v>
      </c>
      <c r="F79" s="128">
        <v>26</v>
      </c>
      <c r="G79" s="241" t="s">
        <v>483</v>
      </c>
      <c r="H79" s="241" t="s">
        <v>2870</v>
      </c>
      <c r="I79" s="237" t="s">
        <v>485</v>
      </c>
      <c r="J79" s="128"/>
      <c r="K79" s="236" t="s">
        <v>60</v>
      </c>
      <c r="L79" s="128"/>
      <c r="M79" s="195" t="s">
        <v>1446</v>
      </c>
      <c r="N79" s="128" t="s">
        <v>402</v>
      </c>
      <c r="O79" s="128">
        <v>3200</v>
      </c>
      <c r="P79" s="197" t="s">
        <v>403</v>
      </c>
      <c r="Q79" s="286">
        <v>0.71430886076900535</v>
      </c>
      <c r="R79" s="149" t="s">
        <v>9</v>
      </c>
      <c r="T79" s="176">
        <v>2.3810295358966846</v>
      </c>
      <c r="U79" s="176">
        <v>1.4286177215380107</v>
      </c>
      <c r="V79" s="176">
        <v>1.1905147679483423</v>
      </c>
      <c r="W79" s="176">
        <v>0.95241181435867395</v>
      </c>
    </row>
    <row r="80" spans="1:23" s="129" customFormat="1" hidden="1">
      <c r="A80" s="195" t="s">
        <v>1276</v>
      </c>
      <c r="B80" s="195" t="s">
        <v>55</v>
      </c>
      <c r="C80" s="236" t="s">
        <v>395</v>
      </c>
      <c r="D80" s="237" t="s">
        <v>447</v>
      </c>
      <c r="E80" s="197" t="s">
        <v>253</v>
      </c>
      <c r="F80" s="128">
        <v>26</v>
      </c>
      <c r="G80" s="241" t="s">
        <v>486</v>
      </c>
      <c r="H80" s="241" t="s">
        <v>2871</v>
      </c>
      <c r="I80" s="237" t="s">
        <v>488</v>
      </c>
      <c r="J80" s="128"/>
      <c r="K80" s="236" t="s">
        <v>60</v>
      </c>
      <c r="L80" s="128"/>
      <c r="M80" s="195" t="s">
        <v>1446</v>
      </c>
      <c r="N80" s="128" t="s">
        <v>402</v>
      </c>
      <c r="O80" s="128">
        <v>2240</v>
      </c>
      <c r="P80" s="197" t="s">
        <v>403</v>
      </c>
      <c r="Q80" s="286">
        <v>1.0137321040783969</v>
      </c>
      <c r="R80" s="149" t="s">
        <v>9</v>
      </c>
      <c r="T80" s="176">
        <v>3.3791070135946564</v>
      </c>
      <c r="U80" s="176">
        <v>2.0274642081567937</v>
      </c>
      <c r="V80" s="176">
        <v>1.6895535067973282</v>
      </c>
      <c r="W80" s="176">
        <v>1.3516428054378626</v>
      </c>
    </row>
    <row r="81" spans="1:23" s="129" customFormat="1" hidden="1">
      <c r="A81" s="195" t="s">
        <v>1276</v>
      </c>
      <c r="B81" s="195" t="s">
        <v>55</v>
      </c>
      <c r="C81" s="236" t="s">
        <v>395</v>
      </c>
      <c r="D81" s="237" t="s">
        <v>447</v>
      </c>
      <c r="E81" s="197" t="s">
        <v>253</v>
      </c>
      <c r="F81" s="128">
        <v>26</v>
      </c>
      <c r="G81" s="241" t="s">
        <v>489</v>
      </c>
      <c r="H81" s="241" t="s">
        <v>2872</v>
      </c>
      <c r="I81" s="237" t="s">
        <v>491</v>
      </c>
      <c r="J81" s="128"/>
      <c r="K81" s="236" t="s">
        <v>60</v>
      </c>
      <c r="L81" s="227"/>
      <c r="M81" s="195" t="s">
        <v>1446</v>
      </c>
      <c r="N81" s="128" t="s">
        <v>402</v>
      </c>
      <c r="O81" s="128">
        <v>1600</v>
      </c>
      <c r="P81" s="197" t="s">
        <v>403</v>
      </c>
      <c r="Q81" s="286">
        <v>1.3251406411634019</v>
      </c>
      <c r="R81" s="149" t="s">
        <v>9</v>
      </c>
      <c r="T81" s="176">
        <v>4.4171354705446735</v>
      </c>
      <c r="U81" s="176">
        <v>2.6502812823268038</v>
      </c>
      <c r="V81" s="176">
        <v>2.2085677352723367</v>
      </c>
      <c r="W81" s="176">
        <v>1.7668541882178694</v>
      </c>
    </row>
    <row r="82" spans="1:23" s="129" customFormat="1" hidden="1">
      <c r="A82" s="195" t="s">
        <v>1276</v>
      </c>
      <c r="B82" s="195" t="s">
        <v>55</v>
      </c>
      <c r="C82" s="236" t="s">
        <v>395</v>
      </c>
      <c r="D82" s="237" t="s">
        <v>447</v>
      </c>
      <c r="E82" s="197" t="s">
        <v>253</v>
      </c>
      <c r="F82" s="128">
        <v>26</v>
      </c>
      <c r="G82" s="241" t="s">
        <v>492</v>
      </c>
      <c r="H82" s="241" t="s">
        <v>2873</v>
      </c>
      <c r="I82" s="237" t="s">
        <v>494</v>
      </c>
      <c r="J82" s="128"/>
      <c r="K82" s="236" t="s">
        <v>60</v>
      </c>
      <c r="L82" s="227"/>
      <c r="M82" s="195" t="s">
        <v>1446</v>
      </c>
      <c r="N82" s="128" t="s">
        <v>402</v>
      </c>
      <c r="O82" s="128">
        <v>960</v>
      </c>
      <c r="P82" s="197" t="s">
        <v>403</v>
      </c>
      <c r="Q82" s="286">
        <v>1.9695215904432475</v>
      </c>
      <c r="R82" s="149" t="s">
        <v>9</v>
      </c>
      <c r="T82" s="176">
        <v>6.5650719681441583</v>
      </c>
      <c r="U82" s="176">
        <v>3.939043180886495</v>
      </c>
      <c r="V82" s="176">
        <v>3.2825359840720791</v>
      </c>
      <c r="W82" s="176">
        <v>2.6260287872576633</v>
      </c>
    </row>
    <row r="83" spans="1:23" s="129" customFormat="1" hidden="1">
      <c r="A83" s="195" t="s">
        <v>1276</v>
      </c>
      <c r="B83" s="195" t="s">
        <v>55</v>
      </c>
      <c r="C83" s="236" t="s">
        <v>395</v>
      </c>
      <c r="D83" s="237" t="s">
        <v>447</v>
      </c>
      <c r="E83" s="197" t="s">
        <v>253</v>
      </c>
      <c r="F83" s="128">
        <v>26</v>
      </c>
      <c r="G83" s="241" t="s">
        <v>495</v>
      </c>
      <c r="H83" s="241" t="s">
        <v>2874</v>
      </c>
      <c r="I83" s="237" t="s">
        <v>497</v>
      </c>
      <c r="J83" s="128"/>
      <c r="K83" s="236" t="s">
        <v>60</v>
      </c>
      <c r="L83" s="227"/>
      <c r="M83" s="195" t="s">
        <v>1446</v>
      </c>
      <c r="N83" s="128" t="s">
        <v>402</v>
      </c>
      <c r="O83" s="128">
        <v>640</v>
      </c>
      <c r="P83" s="197" t="s">
        <v>403</v>
      </c>
      <c r="Q83" s="286">
        <v>3.425956278507075</v>
      </c>
      <c r="R83" s="149" t="s">
        <v>9</v>
      </c>
      <c r="T83" s="176">
        <v>11.419854261690251</v>
      </c>
      <c r="U83" s="176">
        <v>6.8519125570141499</v>
      </c>
      <c r="V83" s="176">
        <v>5.7099271308451254</v>
      </c>
      <c r="W83" s="176">
        <v>4.5679417046761008</v>
      </c>
    </row>
    <row r="84" spans="1:23" s="129" customFormat="1" hidden="1">
      <c r="A84" s="195" t="s">
        <v>1276</v>
      </c>
      <c r="B84" s="195" t="s">
        <v>55</v>
      </c>
      <c r="C84" s="236" t="s">
        <v>395</v>
      </c>
      <c r="D84" s="237" t="s">
        <v>536</v>
      </c>
      <c r="E84" s="197" t="s">
        <v>253</v>
      </c>
      <c r="F84" s="128">
        <v>26</v>
      </c>
      <c r="G84" s="241" t="s">
        <v>1692</v>
      </c>
      <c r="H84" s="241" t="s">
        <v>2875</v>
      </c>
      <c r="I84" s="237" t="s">
        <v>539</v>
      </c>
      <c r="J84" s="128"/>
      <c r="K84" s="236" t="s">
        <v>60</v>
      </c>
      <c r="L84" s="227"/>
      <c r="M84" s="195" t="s">
        <v>1446</v>
      </c>
      <c r="N84" s="128" t="s">
        <v>402</v>
      </c>
      <c r="O84" s="128">
        <v>3200</v>
      </c>
      <c r="P84" s="197" t="s">
        <v>403</v>
      </c>
      <c r="Q84" s="286">
        <v>0.51554630941139445</v>
      </c>
      <c r="R84" s="149" t="s">
        <v>9</v>
      </c>
      <c r="T84" s="176">
        <v>1.7184876980379815</v>
      </c>
      <c r="U84" s="176">
        <v>1.0310926188227889</v>
      </c>
      <c r="V84" s="176">
        <v>0.85924384901899076</v>
      </c>
      <c r="W84" s="176">
        <v>0.68739507921519261</v>
      </c>
    </row>
    <row r="85" spans="1:23" s="129" customFormat="1" hidden="1">
      <c r="A85" s="195" t="s">
        <v>1276</v>
      </c>
      <c r="B85" s="195" t="s">
        <v>55</v>
      </c>
      <c r="C85" s="236" t="s">
        <v>395</v>
      </c>
      <c r="D85" s="237" t="s">
        <v>536</v>
      </c>
      <c r="E85" s="197" t="s">
        <v>253</v>
      </c>
      <c r="F85" s="128">
        <v>26</v>
      </c>
      <c r="G85" s="241" t="s">
        <v>542</v>
      </c>
      <c r="H85" s="241" t="s">
        <v>2876</v>
      </c>
      <c r="I85" s="237" t="s">
        <v>544</v>
      </c>
      <c r="J85" s="128"/>
      <c r="K85" s="236" t="s">
        <v>60</v>
      </c>
      <c r="L85" s="227"/>
      <c r="M85" s="195" t="s">
        <v>1446</v>
      </c>
      <c r="N85" s="128" t="s">
        <v>402</v>
      </c>
      <c r="O85" s="128">
        <v>2560</v>
      </c>
      <c r="P85" s="197" t="s">
        <v>403</v>
      </c>
      <c r="Q85" s="286">
        <v>0.59236820852734651</v>
      </c>
      <c r="R85" s="149" t="s">
        <v>9</v>
      </c>
      <c r="T85" s="176">
        <v>1.9745606950911552</v>
      </c>
      <c r="U85" s="176">
        <v>1.184736417054693</v>
      </c>
      <c r="V85" s="176">
        <v>0.98728034754557759</v>
      </c>
      <c r="W85" s="176">
        <v>0.78982427803646216</v>
      </c>
    </row>
    <row r="86" spans="1:23" s="129" customFormat="1" hidden="1">
      <c r="A86" s="195" t="s">
        <v>1276</v>
      </c>
      <c r="B86" s="195" t="s">
        <v>55</v>
      </c>
      <c r="C86" s="236" t="s">
        <v>395</v>
      </c>
      <c r="D86" s="237" t="s">
        <v>536</v>
      </c>
      <c r="E86" s="197" t="s">
        <v>253</v>
      </c>
      <c r="F86" s="128">
        <v>26</v>
      </c>
      <c r="G86" s="241" t="s">
        <v>546</v>
      </c>
      <c r="H86" s="241" t="s">
        <v>2877</v>
      </c>
      <c r="I86" s="237" t="s">
        <v>548</v>
      </c>
      <c r="J86" s="128"/>
      <c r="K86" s="236" t="s">
        <v>60</v>
      </c>
      <c r="L86" s="227"/>
      <c r="M86" s="195" t="s">
        <v>1449</v>
      </c>
      <c r="N86" s="128" t="s">
        <v>402</v>
      </c>
      <c r="O86" s="128">
        <v>1600</v>
      </c>
      <c r="P86" s="197" t="s">
        <v>403</v>
      </c>
      <c r="Q86" s="286">
        <v>0.74616018177414478</v>
      </c>
      <c r="R86" s="149" t="s">
        <v>9</v>
      </c>
      <c r="T86" s="176">
        <v>2.4872006059138161</v>
      </c>
      <c r="U86" s="176">
        <v>1.4923203635482896</v>
      </c>
      <c r="V86" s="176">
        <v>1.243600302956908</v>
      </c>
      <c r="W86" s="176">
        <v>0.99488024236552652</v>
      </c>
    </row>
    <row r="87" spans="1:23" s="129" customFormat="1" hidden="1">
      <c r="A87" s="195" t="s">
        <v>1276</v>
      </c>
      <c r="B87" s="195" t="s">
        <v>55</v>
      </c>
      <c r="C87" s="236" t="s">
        <v>395</v>
      </c>
      <c r="D87" s="237" t="s">
        <v>536</v>
      </c>
      <c r="E87" s="197" t="s">
        <v>253</v>
      </c>
      <c r="F87" s="128">
        <v>26</v>
      </c>
      <c r="G87" s="241" t="s">
        <v>550</v>
      </c>
      <c r="H87" s="241" t="s">
        <v>2878</v>
      </c>
      <c r="I87" s="237" t="s">
        <v>552</v>
      </c>
      <c r="J87" s="128"/>
      <c r="K87" s="236" t="s">
        <v>60</v>
      </c>
      <c r="L87" s="227"/>
      <c r="M87" s="195" t="s">
        <v>1446</v>
      </c>
      <c r="N87" s="128" t="s">
        <v>402</v>
      </c>
      <c r="O87" s="128">
        <v>1280</v>
      </c>
      <c r="P87" s="197" t="s">
        <v>403</v>
      </c>
      <c r="Q87" s="286">
        <v>1.0464010653003275</v>
      </c>
      <c r="R87" s="149" t="s">
        <v>9</v>
      </c>
      <c r="T87" s="176">
        <v>3.4880035510010918</v>
      </c>
      <c r="U87" s="176">
        <v>2.092802130600655</v>
      </c>
      <c r="V87" s="176">
        <v>1.7440017755005459</v>
      </c>
      <c r="W87" s="176">
        <v>1.3952014204004368</v>
      </c>
    </row>
    <row r="88" spans="1:23" s="129" customFormat="1" hidden="1">
      <c r="A88" s="195" t="s">
        <v>1276</v>
      </c>
      <c r="B88" s="195" t="s">
        <v>55</v>
      </c>
      <c r="C88" s="236" t="s">
        <v>395</v>
      </c>
      <c r="D88" s="237" t="s">
        <v>536</v>
      </c>
      <c r="E88" s="197" t="s">
        <v>253</v>
      </c>
      <c r="F88" s="128">
        <v>26</v>
      </c>
      <c r="G88" s="241" t="s">
        <v>554</v>
      </c>
      <c r="H88" s="241" t="s">
        <v>2879</v>
      </c>
      <c r="I88" s="237" t="s">
        <v>556</v>
      </c>
      <c r="J88" s="128"/>
      <c r="K88" s="236" t="s">
        <v>60</v>
      </c>
      <c r="L88" s="227"/>
      <c r="M88" s="195" t="s">
        <v>1446</v>
      </c>
      <c r="N88" s="128" t="s">
        <v>402</v>
      </c>
      <c r="O88" s="128">
        <v>960</v>
      </c>
      <c r="P88" s="197" t="s">
        <v>403</v>
      </c>
      <c r="Q88" s="286">
        <v>1.3600750121660037</v>
      </c>
      <c r="R88" s="149" t="s">
        <v>9</v>
      </c>
      <c r="T88" s="176">
        <v>4.5335833738866791</v>
      </c>
      <c r="U88" s="176">
        <v>2.7201500243320074</v>
      </c>
      <c r="V88" s="176">
        <v>2.2667916869433395</v>
      </c>
      <c r="W88" s="176">
        <v>1.8134333495546717</v>
      </c>
    </row>
    <row r="89" spans="1:23" s="129" customFormat="1" hidden="1">
      <c r="A89" s="195" t="s">
        <v>1276</v>
      </c>
      <c r="B89" s="195" t="s">
        <v>55</v>
      </c>
      <c r="C89" s="236" t="s">
        <v>395</v>
      </c>
      <c r="D89" s="237" t="s">
        <v>536</v>
      </c>
      <c r="E89" s="197" t="s">
        <v>253</v>
      </c>
      <c r="F89" s="128">
        <v>26</v>
      </c>
      <c r="G89" s="241" t="s">
        <v>558</v>
      </c>
      <c r="H89" s="241" t="s">
        <v>2880</v>
      </c>
      <c r="I89" s="237" t="s">
        <v>560</v>
      </c>
      <c r="J89" s="128"/>
      <c r="K89" s="236" t="s">
        <v>60</v>
      </c>
      <c r="L89" s="227"/>
      <c r="M89" s="195" t="s">
        <v>1446</v>
      </c>
      <c r="N89" s="128" t="s">
        <v>402</v>
      </c>
      <c r="O89" s="128">
        <v>640</v>
      </c>
      <c r="P89" s="197" t="s">
        <v>403</v>
      </c>
      <c r="Q89" s="286">
        <v>2.0417852043554072</v>
      </c>
      <c r="R89" s="149" t="s">
        <v>9</v>
      </c>
      <c r="T89" s="176">
        <v>6.805950681184691</v>
      </c>
      <c r="U89" s="176">
        <v>4.0835704087108144</v>
      </c>
      <c r="V89" s="176">
        <v>3.4029753405923455</v>
      </c>
      <c r="W89" s="176">
        <v>2.7223802724738766</v>
      </c>
    </row>
    <row r="90" spans="1:23" s="129" customFormat="1" hidden="1">
      <c r="A90" s="195" t="s">
        <v>1276</v>
      </c>
      <c r="B90" s="195" t="s">
        <v>55</v>
      </c>
      <c r="C90" s="236" t="s">
        <v>395</v>
      </c>
      <c r="D90" s="237" t="s">
        <v>536</v>
      </c>
      <c r="E90" s="197" t="s">
        <v>253</v>
      </c>
      <c r="F90" s="128">
        <v>26</v>
      </c>
      <c r="G90" s="241" t="s">
        <v>562</v>
      </c>
      <c r="H90" s="241" t="s">
        <v>2881</v>
      </c>
      <c r="I90" s="236" t="s">
        <v>564</v>
      </c>
      <c r="J90" s="227"/>
      <c r="K90" s="195" t="s">
        <v>60</v>
      </c>
      <c r="L90" s="128"/>
      <c r="M90" s="195" t="s">
        <v>1446</v>
      </c>
      <c r="N90" s="128" t="s">
        <v>402</v>
      </c>
      <c r="O90" s="128">
        <v>220</v>
      </c>
      <c r="P90" s="197" t="s">
        <v>403</v>
      </c>
      <c r="Q90" s="286">
        <v>3.9344894752371369</v>
      </c>
      <c r="R90" s="149" t="s">
        <v>9</v>
      </c>
      <c r="T90" s="176">
        <v>13.114964917457124</v>
      </c>
      <c r="U90" s="176">
        <v>7.8689789504742738</v>
      </c>
      <c r="V90" s="176">
        <v>6.5574824587285621</v>
      </c>
      <c r="W90" s="176">
        <v>5.2459859669828504</v>
      </c>
    </row>
    <row r="91" spans="1:23" s="129" customFormat="1" hidden="1">
      <c r="A91" s="195" t="s">
        <v>1276</v>
      </c>
      <c r="B91" s="195" t="s">
        <v>55</v>
      </c>
      <c r="C91" s="236" t="s">
        <v>395</v>
      </c>
      <c r="D91" s="237" t="s">
        <v>536</v>
      </c>
      <c r="E91" s="197" t="s">
        <v>253</v>
      </c>
      <c r="F91" s="128">
        <v>26</v>
      </c>
      <c r="G91" s="241" t="s">
        <v>1431</v>
      </c>
      <c r="H91" s="241" t="s">
        <v>2882</v>
      </c>
      <c r="I91" s="237" t="s">
        <v>1439</v>
      </c>
      <c r="J91" s="128"/>
      <c r="K91" s="236" t="s">
        <v>60</v>
      </c>
      <c r="L91" s="227"/>
      <c r="M91" s="195" t="s">
        <v>1447</v>
      </c>
      <c r="N91" s="128" t="s">
        <v>402</v>
      </c>
      <c r="O91" s="128">
        <v>256</v>
      </c>
      <c r="P91" s="197" t="s">
        <v>403</v>
      </c>
      <c r="Q91" s="286">
        <v>5.5765612896879189</v>
      </c>
      <c r="R91" s="149" t="s">
        <v>9</v>
      </c>
      <c r="T91" s="176">
        <v>18.588537632293065</v>
      </c>
      <c r="U91" s="176">
        <v>11.153122579375838</v>
      </c>
      <c r="V91" s="176">
        <v>9.2942688161465323</v>
      </c>
      <c r="W91" s="176">
        <v>7.435415052917226</v>
      </c>
    </row>
    <row r="92" spans="1:23" s="129" customFormat="1" hidden="1">
      <c r="A92" s="195" t="s">
        <v>1276</v>
      </c>
      <c r="B92" s="195" t="s">
        <v>55</v>
      </c>
      <c r="C92" s="236" t="s">
        <v>395</v>
      </c>
      <c r="D92" s="237" t="s">
        <v>536</v>
      </c>
      <c r="E92" s="197" t="s">
        <v>253</v>
      </c>
      <c r="F92" s="128">
        <v>26</v>
      </c>
      <c r="G92" s="241" t="s">
        <v>1432</v>
      </c>
      <c r="H92" s="241" t="s">
        <v>2883</v>
      </c>
      <c r="I92" s="237" t="s">
        <v>1440</v>
      </c>
      <c r="J92" s="128"/>
      <c r="K92" s="236" t="s">
        <v>60</v>
      </c>
      <c r="L92" s="227"/>
      <c r="M92" s="195" t="s">
        <v>1447</v>
      </c>
      <c r="N92" s="128" t="s">
        <v>402</v>
      </c>
      <c r="O92" s="128">
        <v>256</v>
      </c>
      <c r="P92" s="197" t="s">
        <v>403</v>
      </c>
      <c r="Q92" s="286">
        <v>7.2349683108910394</v>
      </c>
      <c r="R92" s="149" t="s">
        <v>9</v>
      </c>
      <c r="T92" s="176">
        <v>24.116561036303466</v>
      </c>
      <c r="U92" s="176">
        <v>14.469936621782079</v>
      </c>
      <c r="V92" s="176">
        <v>12.058280518151733</v>
      </c>
      <c r="W92" s="176">
        <v>9.6466244145213871</v>
      </c>
    </row>
    <row r="93" spans="1:23" s="129" customFormat="1" hidden="1">
      <c r="A93" s="195" t="s">
        <v>1276</v>
      </c>
      <c r="B93" s="195" t="s">
        <v>55</v>
      </c>
      <c r="C93" s="236" t="s">
        <v>395</v>
      </c>
      <c r="D93" s="237" t="s">
        <v>536</v>
      </c>
      <c r="E93" s="197" t="s">
        <v>253</v>
      </c>
      <c r="F93" s="128">
        <v>26</v>
      </c>
      <c r="G93" s="241" t="s">
        <v>2425</v>
      </c>
      <c r="H93" s="241" t="s">
        <v>2825</v>
      </c>
      <c r="I93" s="237" t="s">
        <v>1441</v>
      </c>
      <c r="J93" s="128"/>
      <c r="K93" s="236" t="s">
        <v>60</v>
      </c>
      <c r="L93" s="227"/>
      <c r="M93" s="195" t="s">
        <v>1447</v>
      </c>
      <c r="N93" s="128" t="s">
        <v>402</v>
      </c>
      <c r="O93" s="183">
        <v>192</v>
      </c>
      <c r="P93" s="197" t="s">
        <v>403</v>
      </c>
      <c r="Q93" s="286">
        <v>9.0360939856848113</v>
      </c>
      <c r="R93" s="149" t="s">
        <v>9</v>
      </c>
      <c r="T93" s="176">
        <v>30.120313285616039</v>
      </c>
      <c r="U93" s="176">
        <v>18.072187971369623</v>
      </c>
      <c r="V93" s="176">
        <v>15.060156642808019</v>
      </c>
      <c r="W93" s="176">
        <v>12.048125314246416</v>
      </c>
    </row>
    <row r="94" spans="1:23" s="129" customFormat="1" hidden="1">
      <c r="A94" s="195" t="s">
        <v>1276</v>
      </c>
      <c r="B94" s="195" t="s">
        <v>55</v>
      </c>
      <c r="C94" s="236" t="s">
        <v>395</v>
      </c>
      <c r="D94" s="237" t="s">
        <v>536</v>
      </c>
      <c r="E94" s="197" t="s">
        <v>253</v>
      </c>
      <c r="F94" s="128">
        <v>26</v>
      </c>
      <c r="G94" s="241" t="s">
        <v>1434</v>
      </c>
      <c r="H94" s="241" t="s">
        <v>2825</v>
      </c>
      <c r="I94" s="237" t="s">
        <v>1442</v>
      </c>
      <c r="J94" s="128"/>
      <c r="K94" s="236" t="s">
        <v>60</v>
      </c>
      <c r="L94" s="227"/>
      <c r="M94" s="195" t="s">
        <v>1447</v>
      </c>
      <c r="N94" s="128" t="s">
        <v>402</v>
      </c>
      <c r="O94" s="183">
        <v>192</v>
      </c>
      <c r="P94" s="197" t="s">
        <v>403</v>
      </c>
      <c r="Q94" s="286">
        <v>10.651161945460659</v>
      </c>
      <c r="R94" s="149" t="s">
        <v>9</v>
      </c>
      <c r="T94" s="176">
        <v>35.503873151535529</v>
      </c>
      <c r="U94" s="176">
        <v>21.302323890921318</v>
      </c>
      <c r="V94" s="176">
        <v>17.751936575767765</v>
      </c>
      <c r="W94" s="176">
        <v>14.201549260614213</v>
      </c>
    </row>
    <row r="95" spans="1:23" s="129" customFormat="1" hidden="1">
      <c r="A95" s="195" t="s">
        <v>1276</v>
      </c>
      <c r="B95" s="195" t="s">
        <v>55</v>
      </c>
      <c r="C95" s="236" t="s">
        <v>395</v>
      </c>
      <c r="D95" s="237" t="s">
        <v>536</v>
      </c>
      <c r="E95" s="197" t="s">
        <v>253</v>
      </c>
      <c r="F95" s="128">
        <v>26</v>
      </c>
      <c r="G95" s="241" t="s">
        <v>2430</v>
      </c>
      <c r="H95" s="241" t="s">
        <v>2825</v>
      </c>
      <c r="I95" s="237" t="s">
        <v>2432</v>
      </c>
      <c r="J95" s="128"/>
      <c r="K95" s="236" t="s">
        <v>60</v>
      </c>
      <c r="L95" s="227"/>
      <c r="M95" s="195" t="s">
        <v>1447</v>
      </c>
      <c r="N95" s="128" t="s">
        <v>402</v>
      </c>
      <c r="O95" s="183">
        <v>128</v>
      </c>
      <c r="P95" s="197" t="s">
        <v>403</v>
      </c>
      <c r="Q95" s="286">
        <v>17.424731916948602</v>
      </c>
      <c r="R95" s="149" t="s">
        <v>9</v>
      </c>
      <c r="T95" s="176">
        <v>58.082439723162011</v>
      </c>
      <c r="U95" s="176">
        <v>34.849463833897204</v>
      </c>
      <c r="V95" s="176">
        <v>29.041219861581006</v>
      </c>
      <c r="W95" s="176">
        <v>23.232975889264807</v>
      </c>
    </row>
    <row r="96" spans="1:23" s="129" customFormat="1" hidden="1">
      <c r="A96" s="195" t="s">
        <v>1276</v>
      </c>
      <c r="B96" s="195" t="s">
        <v>55</v>
      </c>
      <c r="C96" s="236" t="s">
        <v>395</v>
      </c>
      <c r="D96" s="237" t="s">
        <v>536</v>
      </c>
      <c r="E96" s="197" t="s">
        <v>253</v>
      </c>
      <c r="F96" s="128">
        <v>26</v>
      </c>
      <c r="G96" s="241" t="s">
        <v>2267</v>
      </c>
      <c r="H96" s="241" t="s">
        <v>2825</v>
      </c>
      <c r="I96" s="237" t="s">
        <v>2270</v>
      </c>
      <c r="J96" s="128"/>
      <c r="K96" s="236" t="s">
        <v>60</v>
      </c>
      <c r="L96" s="227"/>
      <c r="M96" s="195" t="s">
        <v>1447</v>
      </c>
      <c r="N96" s="128" t="s">
        <v>402</v>
      </c>
      <c r="O96" s="183">
        <v>128</v>
      </c>
      <c r="P96" s="197" t="s">
        <v>403</v>
      </c>
      <c r="Q96" s="286">
        <v>24.908996570022861</v>
      </c>
      <c r="R96" s="149" t="s">
        <v>9</v>
      </c>
      <c r="T96" s="176">
        <v>83.029988566742873</v>
      </c>
      <c r="U96" s="176">
        <v>49.817993140045722</v>
      </c>
      <c r="V96" s="176">
        <v>41.514994283371436</v>
      </c>
      <c r="W96" s="176">
        <v>33.21199542669715</v>
      </c>
    </row>
    <row r="97" spans="1:23" s="129" customFormat="1" hidden="1">
      <c r="A97" s="195" t="s">
        <v>1276</v>
      </c>
      <c r="B97" s="195" t="s">
        <v>55</v>
      </c>
      <c r="C97" s="236" t="s">
        <v>395</v>
      </c>
      <c r="D97" s="237" t="s">
        <v>536</v>
      </c>
      <c r="E97" s="197" t="s">
        <v>253</v>
      </c>
      <c r="F97" s="128">
        <v>26</v>
      </c>
      <c r="G97" s="241" t="s">
        <v>2268</v>
      </c>
      <c r="H97" s="241" t="s">
        <v>2825</v>
      </c>
      <c r="I97" s="237" t="s">
        <v>2271</v>
      </c>
      <c r="J97" s="128"/>
      <c r="K97" s="236" t="s">
        <v>60</v>
      </c>
      <c r="L97" s="227"/>
      <c r="M97" s="195" t="s">
        <v>1447</v>
      </c>
      <c r="N97" s="128" t="s">
        <v>402</v>
      </c>
      <c r="O97" s="183">
        <v>64</v>
      </c>
      <c r="P97" s="197" t="s">
        <v>403</v>
      </c>
      <c r="Q97" s="286">
        <v>24.908996570022861</v>
      </c>
      <c r="R97" s="149" t="s">
        <v>9</v>
      </c>
      <c r="T97" s="176">
        <v>83.029988566742873</v>
      </c>
      <c r="U97" s="176">
        <v>49.817993140045722</v>
      </c>
      <c r="V97" s="176">
        <v>41.514994283371436</v>
      </c>
      <c r="W97" s="176">
        <v>33.21199542669715</v>
      </c>
    </row>
    <row r="98" spans="1:23" s="129" customFormat="1" hidden="1">
      <c r="A98" s="195" t="s">
        <v>1276</v>
      </c>
      <c r="B98" s="195" t="s">
        <v>55</v>
      </c>
      <c r="C98" s="236" t="s">
        <v>395</v>
      </c>
      <c r="D98" s="237" t="s">
        <v>614</v>
      </c>
      <c r="E98" s="197" t="s">
        <v>253</v>
      </c>
      <c r="F98" s="128">
        <v>26</v>
      </c>
      <c r="G98" s="241" t="s">
        <v>615</v>
      </c>
      <c r="H98" s="241" t="s">
        <v>2884</v>
      </c>
      <c r="I98" s="237" t="s">
        <v>1808</v>
      </c>
      <c r="J98" s="128"/>
      <c r="K98" s="236" t="s">
        <v>60</v>
      </c>
      <c r="L98" s="227"/>
      <c r="M98" s="195" t="s">
        <v>1446</v>
      </c>
      <c r="N98" s="128" t="s">
        <v>402</v>
      </c>
      <c r="O98" s="128">
        <v>4800</v>
      </c>
      <c r="P98" s="128" t="s">
        <v>403</v>
      </c>
      <c r="Q98" s="286">
        <v>0</v>
      </c>
      <c r="R98" s="149" t="s">
        <v>9</v>
      </c>
      <c r="T98" s="176">
        <v>0</v>
      </c>
      <c r="U98" s="176">
        <v>0</v>
      </c>
      <c r="V98" s="176">
        <v>0</v>
      </c>
      <c r="W98" s="176">
        <v>0</v>
      </c>
    </row>
    <row r="99" spans="1:23" s="129" customFormat="1" hidden="1">
      <c r="A99" s="195" t="s">
        <v>1276</v>
      </c>
      <c r="B99" s="195" t="s">
        <v>55</v>
      </c>
      <c r="C99" s="236" t="s">
        <v>395</v>
      </c>
      <c r="D99" s="237" t="s">
        <v>614</v>
      </c>
      <c r="E99" s="197" t="s">
        <v>253</v>
      </c>
      <c r="F99" s="128">
        <v>26</v>
      </c>
      <c r="G99" s="241" t="s">
        <v>616</v>
      </c>
      <c r="H99" s="241" t="s">
        <v>2885</v>
      </c>
      <c r="I99" s="237" t="s">
        <v>1809</v>
      </c>
      <c r="J99" s="128"/>
      <c r="K99" s="236" t="s">
        <v>60</v>
      </c>
      <c r="L99" s="227"/>
      <c r="M99" s="195" t="s">
        <v>1446</v>
      </c>
      <c r="N99" s="128" t="s">
        <v>402</v>
      </c>
      <c r="O99" s="128">
        <v>4800</v>
      </c>
      <c r="P99" s="128" t="s">
        <v>403</v>
      </c>
      <c r="Q99" s="286">
        <v>3.8697821129960688</v>
      </c>
      <c r="R99" s="149" t="s">
        <v>9</v>
      </c>
      <c r="T99" s="176">
        <v>12.899273709986897</v>
      </c>
      <c r="U99" s="176">
        <v>7.7395642259921376</v>
      </c>
      <c r="V99" s="176">
        <v>6.4496368549934484</v>
      </c>
      <c r="W99" s="176">
        <v>5.1597094839947593</v>
      </c>
    </row>
    <row r="100" spans="1:23" s="129" customFormat="1" hidden="1">
      <c r="A100" s="195" t="s">
        <v>1276</v>
      </c>
      <c r="B100" s="195" t="s">
        <v>55</v>
      </c>
      <c r="C100" s="236" t="s">
        <v>395</v>
      </c>
      <c r="D100" s="237" t="s">
        <v>614</v>
      </c>
      <c r="E100" s="197" t="s">
        <v>253</v>
      </c>
      <c r="F100" s="128">
        <v>26</v>
      </c>
      <c r="G100" s="241" t="s">
        <v>617</v>
      </c>
      <c r="H100" s="241" t="s">
        <v>2886</v>
      </c>
      <c r="I100" s="237" t="s">
        <v>1810</v>
      </c>
      <c r="J100" s="128"/>
      <c r="K100" s="236" t="s">
        <v>60</v>
      </c>
      <c r="L100" s="227"/>
      <c r="M100" s="195" t="s">
        <v>1446</v>
      </c>
      <c r="N100" s="128" t="s">
        <v>402</v>
      </c>
      <c r="O100" s="128">
        <v>3200</v>
      </c>
      <c r="P100" s="128" t="s">
        <v>403</v>
      </c>
      <c r="Q100" s="286">
        <v>4.3958742049537092</v>
      </c>
      <c r="R100" s="149" t="s">
        <v>9</v>
      </c>
      <c r="T100" s="176">
        <v>14.652914016512364</v>
      </c>
      <c r="U100" s="176">
        <v>8.7917484099074183</v>
      </c>
      <c r="V100" s="176">
        <v>7.326457008256182</v>
      </c>
      <c r="W100" s="176">
        <v>5.8611656066049456</v>
      </c>
    </row>
    <row r="101" spans="1:23" s="129" customFormat="1" hidden="1">
      <c r="A101" s="195" t="s">
        <v>1276</v>
      </c>
      <c r="B101" s="195" t="s">
        <v>55</v>
      </c>
      <c r="C101" s="236" t="s">
        <v>395</v>
      </c>
      <c r="D101" s="237" t="s">
        <v>614</v>
      </c>
      <c r="E101" s="197" t="s">
        <v>253</v>
      </c>
      <c r="F101" s="128">
        <v>26</v>
      </c>
      <c r="G101" s="241" t="s">
        <v>618</v>
      </c>
      <c r="H101" s="241" t="s">
        <v>2887</v>
      </c>
      <c r="I101" s="237" t="s">
        <v>1811</v>
      </c>
      <c r="J101" s="128"/>
      <c r="K101" s="236" t="s">
        <v>60</v>
      </c>
      <c r="L101" s="227"/>
      <c r="M101" s="195" t="s">
        <v>1446</v>
      </c>
      <c r="N101" s="128" t="s">
        <v>402</v>
      </c>
      <c r="O101" s="128">
        <v>2240</v>
      </c>
      <c r="P101" s="128" t="s">
        <v>403</v>
      </c>
      <c r="Q101" s="286">
        <v>5.4377243941599982</v>
      </c>
      <c r="R101" s="149" t="s">
        <v>9</v>
      </c>
      <c r="T101" s="176">
        <v>18.12574798053333</v>
      </c>
      <c r="U101" s="176">
        <v>10.875448788319998</v>
      </c>
      <c r="V101" s="176">
        <v>9.0628739902666648</v>
      </c>
      <c r="W101" s="176">
        <v>7.2502991922133324</v>
      </c>
    </row>
    <row r="102" spans="1:23" s="129" customFormat="1" hidden="1">
      <c r="A102" s="195" t="s">
        <v>1276</v>
      </c>
      <c r="B102" s="195" t="s">
        <v>55</v>
      </c>
      <c r="C102" s="236" t="s">
        <v>395</v>
      </c>
      <c r="D102" s="237" t="s">
        <v>614</v>
      </c>
      <c r="E102" s="197" t="s">
        <v>253</v>
      </c>
      <c r="F102" s="128">
        <v>26</v>
      </c>
      <c r="G102" s="241" t="s">
        <v>619</v>
      </c>
      <c r="H102" s="241" t="s">
        <v>2888</v>
      </c>
      <c r="I102" s="237" t="s">
        <v>1812</v>
      </c>
      <c r="J102" s="128"/>
      <c r="K102" s="236" t="s">
        <v>60</v>
      </c>
      <c r="L102" s="227"/>
      <c r="M102" s="195" t="s">
        <v>1446</v>
      </c>
      <c r="N102" s="128" t="s">
        <v>402</v>
      </c>
      <c r="O102" s="128">
        <v>1600</v>
      </c>
      <c r="P102" s="128" t="s">
        <v>403</v>
      </c>
      <c r="Q102" s="286">
        <v>6.5242383972083857</v>
      </c>
      <c r="R102" s="149" t="s">
        <v>9</v>
      </c>
      <c r="T102" s="176">
        <v>21.747461324027952</v>
      </c>
      <c r="U102" s="176">
        <v>13.048476794416771</v>
      </c>
      <c r="V102" s="176">
        <v>10.873730662013976</v>
      </c>
      <c r="W102" s="176">
        <v>8.698984529611181</v>
      </c>
    </row>
    <row r="103" spans="1:23" s="129" customFormat="1" hidden="1">
      <c r="A103" s="195" t="s">
        <v>1276</v>
      </c>
      <c r="B103" s="195" t="s">
        <v>55</v>
      </c>
      <c r="C103" s="236" t="s">
        <v>395</v>
      </c>
      <c r="D103" s="237" t="s">
        <v>614</v>
      </c>
      <c r="E103" s="197" t="s">
        <v>253</v>
      </c>
      <c r="F103" s="128">
        <v>26</v>
      </c>
      <c r="G103" s="241" t="s">
        <v>620</v>
      </c>
      <c r="H103" s="241" t="s">
        <v>2889</v>
      </c>
      <c r="I103" s="237" t="s">
        <v>1813</v>
      </c>
      <c r="J103" s="128"/>
      <c r="K103" s="236" t="s">
        <v>60</v>
      </c>
      <c r="L103" s="227"/>
      <c r="M103" s="195" t="s">
        <v>1446</v>
      </c>
      <c r="N103" s="128" t="s">
        <v>402</v>
      </c>
      <c r="O103" s="128">
        <v>960</v>
      </c>
      <c r="P103" s="128" t="s">
        <v>403</v>
      </c>
      <c r="Q103" s="286">
        <v>8.3215595931967936</v>
      </c>
      <c r="R103" s="149" t="s">
        <v>9</v>
      </c>
      <c r="T103" s="176">
        <v>27.738531977322648</v>
      </c>
      <c r="U103" s="176">
        <v>16.643119186393587</v>
      </c>
      <c r="V103" s="176">
        <v>13.869265988661324</v>
      </c>
      <c r="W103" s="176">
        <v>11.095412790929061</v>
      </c>
    </row>
    <row r="104" spans="1:23" s="129" customFormat="1" ht="12.75" hidden="1" customHeight="1">
      <c r="A104" s="195" t="s">
        <v>1276</v>
      </c>
      <c r="B104" s="195" t="s">
        <v>55</v>
      </c>
      <c r="C104" s="195" t="s">
        <v>621</v>
      </c>
      <c r="D104" s="236" t="s">
        <v>621</v>
      </c>
      <c r="E104" s="197" t="s">
        <v>622</v>
      </c>
      <c r="F104" s="128"/>
      <c r="G104" s="241" t="s">
        <v>1738</v>
      </c>
      <c r="H104" s="241" t="s">
        <v>2890</v>
      </c>
      <c r="I104" s="278" t="s">
        <v>1589</v>
      </c>
      <c r="J104" s="128"/>
      <c r="K104" s="236" t="s">
        <v>60</v>
      </c>
      <c r="L104" s="128"/>
      <c r="M104" s="195" t="s">
        <v>241</v>
      </c>
      <c r="N104" s="128" t="s">
        <v>635</v>
      </c>
      <c r="O104" s="128">
        <v>240</v>
      </c>
      <c r="P104" s="128" t="s">
        <v>630</v>
      </c>
      <c r="Q104" s="126">
        <v>5.895977709243315</v>
      </c>
      <c r="R104" s="149" t="s">
        <v>9</v>
      </c>
      <c r="T104" s="168">
        <v>19.65325903081105</v>
      </c>
      <c r="U104" s="168">
        <v>11.79195541848663</v>
      </c>
      <c r="V104" s="168">
        <v>9.826629515405525</v>
      </c>
      <c r="W104" s="168">
        <v>7.86130361232442</v>
      </c>
    </row>
    <row r="105" spans="1:23" s="129" customFormat="1" hidden="1">
      <c r="A105" s="195" t="s">
        <v>1276</v>
      </c>
      <c r="B105" s="195" t="s">
        <v>55</v>
      </c>
      <c r="C105" s="195" t="s">
        <v>621</v>
      </c>
      <c r="D105" s="236" t="s">
        <v>621</v>
      </c>
      <c r="E105" s="197" t="s">
        <v>622</v>
      </c>
      <c r="F105" s="128"/>
      <c r="G105" s="241" t="s">
        <v>2211</v>
      </c>
      <c r="H105" s="241" t="s">
        <v>2891</v>
      </c>
      <c r="I105" s="237" t="s">
        <v>1590</v>
      </c>
      <c r="J105" s="128"/>
      <c r="K105" s="236" t="s">
        <v>60</v>
      </c>
      <c r="L105" s="128"/>
      <c r="M105" s="195" t="s">
        <v>241</v>
      </c>
      <c r="N105" s="128" t="s">
        <v>635</v>
      </c>
      <c r="O105" s="128">
        <v>320</v>
      </c>
      <c r="P105" s="128" t="s">
        <v>630</v>
      </c>
      <c r="Q105" s="126">
        <v>11.94825705113143</v>
      </c>
      <c r="R105" s="149" t="s">
        <v>9</v>
      </c>
      <c r="T105" s="168">
        <v>39.827523503771431</v>
      </c>
      <c r="U105" s="168">
        <v>23.896514102262859</v>
      </c>
      <c r="V105" s="168">
        <v>19.913761751885716</v>
      </c>
      <c r="W105" s="168">
        <v>15.931009401508573</v>
      </c>
    </row>
    <row r="106" spans="1:23" s="129" customFormat="1" hidden="1">
      <c r="A106" s="195" t="s">
        <v>1276</v>
      </c>
      <c r="B106" s="195" t="s">
        <v>55</v>
      </c>
      <c r="C106" s="195" t="s">
        <v>621</v>
      </c>
      <c r="D106" s="236" t="s">
        <v>621</v>
      </c>
      <c r="E106" s="197" t="s">
        <v>622</v>
      </c>
      <c r="F106" s="128"/>
      <c r="G106" s="241" t="s">
        <v>1215</v>
      </c>
      <c r="H106" s="241" t="s">
        <v>2892</v>
      </c>
      <c r="I106" s="237" t="s">
        <v>628</v>
      </c>
      <c r="J106" s="128"/>
      <c r="K106" s="236" t="s">
        <v>60</v>
      </c>
      <c r="L106" s="128"/>
      <c r="M106" s="195" t="s">
        <v>241</v>
      </c>
      <c r="N106" s="128" t="s">
        <v>635</v>
      </c>
      <c r="O106" s="128">
        <v>240</v>
      </c>
      <c r="P106" s="128" t="s">
        <v>630</v>
      </c>
      <c r="Q106" s="126">
        <v>6.0002515611489198</v>
      </c>
      <c r="R106" s="149" t="s">
        <v>9</v>
      </c>
      <c r="T106" s="168">
        <v>20.000838537163066</v>
      </c>
      <c r="U106" s="168">
        <v>12.00050312229784</v>
      </c>
      <c r="V106" s="168">
        <v>10.000419268581533</v>
      </c>
      <c r="W106" s="168">
        <v>8.0003354148652264</v>
      </c>
    </row>
    <row r="107" spans="1:23" s="129" customFormat="1" hidden="1">
      <c r="A107" s="195" t="s">
        <v>1276</v>
      </c>
      <c r="B107" s="195" t="s">
        <v>55</v>
      </c>
      <c r="C107" s="195" t="s">
        <v>621</v>
      </c>
      <c r="D107" s="236" t="s">
        <v>621</v>
      </c>
      <c r="E107" s="197" t="s">
        <v>622</v>
      </c>
      <c r="F107" s="128"/>
      <c r="G107" s="241" t="s">
        <v>646</v>
      </c>
      <c r="H107" s="241" t="s">
        <v>2893</v>
      </c>
      <c r="I107" s="237" t="s">
        <v>648</v>
      </c>
      <c r="J107" s="128"/>
      <c r="K107" s="236" t="s">
        <v>60</v>
      </c>
      <c r="L107" s="128"/>
      <c r="M107" s="195" t="s">
        <v>241</v>
      </c>
      <c r="N107" s="128" t="s">
        <v>635</v>
      </c>
      <c r="O107" s="128">
        <v>240</v>
      </c>
      <c r="P107" s="128" t="s">
        <v>630</v>
      </c>
      <c r="Q107" s="126">
        <v>8.637527632154967</v>
      </c>
      <c r="R107" s="149" t="s">
        <v>9</v>
      </c>
      <c r="T107" s="168">
        <v>28.791758773849892</v>
      </c>
      <c r="U107" s="168">
        <v>17.275055264309934</v>
      </c>
      <c r="V107" s="168">
        <v>14.395879386924946</v>
      </c>
      <c r="W107" s="168">
        <v>11.516703509539958</v>
      </c>
    </row>
    <row r="108" spans="1:23" s="129" customFormat="1" hidden="1">
      <c r="A108" s="237" t="s">
        <v>1276</v>
      </c>
      <c r="B108" s="237" t="s">
        <v>55</v>
      </c>
      <c r="C108" s="237" t="s">
        <v>621</v>
      </c>
      <c r="D108" s="237" t="s">
        <v>621</v>
      </c>
      <c r="E108" s="197" t="s">
        <v>266</v>
      </c>
      <c r="F108" s="128"/>
      <c r="G108" s="241" t="s">
        <v>654</v>
      </c>
      <c r="H108" s="241" t="s">
        <v>2894</v>
      </c>
      <c r="I108" s="237" t="s">
        <v>1316</v>
      </c>
      <c r="J108" s="128"/>
      <c r="K108" s="236" t="s">
        <v>60</v>
      </c>
      <c r="L108" s="128"/>
      <c r="M108" s="195" t="s">
        <v>241</v>
      </c>
      <c r="N108" s="128" t="s">
        <v>635</v>
      </c>
      <c r="O108" s="128">
        <v>120</v>
      </c>
      <c r="P108" s="128" t="s">
        <v>630</v>
      </c>
      <c r="Q108" s="126">
        <v>24.194349820368384</v>
      </c>
      <c r="R108" s="149" t="s">
        <v>281</v>
      </c>
      <c r="T108" s="168">
        <v>80.647832734561277</v>
      </c>
      <c r="U108" s="168">
        <v>48.388699640736768</v>
      </c>
      <c r="V108" s="168">
        <v>40.323916367280638</v>
      </c>
      <c r="W108" s="168">
        <v>32.259133093824509</v>
      </c>
    </row>
    <row r="109" spans="1:23" s="129" customFormat="1" hidden="1">
      <c r="A109" s="237" t="s">
        <v>1276</v>
      </c>
      <c r="B109" s="237" t="s">
        <v>55</v>
      </c>
      <c r="C109" s="237" t="s">
        <v>1570</v>
      </c>
      <c r="D109" s="237" t="s">
        <v>1571</v>
      </c>
      <c r="E109" s="197"/>
      <c r="F109" s="128">
        <v>24</v>
      </c>
      <c r="G109" s="241" t="s">
        <v>1572</v>
      </c>
      <c r="H109" s="241" t="s">
        <v>2825</v>
      </c>
      <c r="I109" s="237" t="s">
        <v>2612</v>
      </c>
      <c r="J109" s="128" t="s">
        <v>1584</v>
      </c>
      <c r="K109" s="236" t="s">
        <v>158</v>
      </c>
      <c r="L109" s="190">
        <v>22.3</v>
      </c>
      <c r="M109" s="195" t="s">
        <v>61</v>
      </c>
      <c r="N109" s="128"/>
      <c r="O109" s="190">
        <v>3</v>
      </c>
      <c r="P109" s="128"/>
      <c r="Q109" s="285">
        <v>1114.1937119675458</v>
      </c>
      <c r="R109" s="149" t="s">
        <v>2812</v>
      </c>
      <c r="T109" s="134">
        <v>3713.9790398918194</v>
      </c>
      <c r="U109" s="134">
        <v>2228.3874239350916</v>
      </c>
      <c r="V109" s="134">
        <v>1856.9895199459097</v>
      </c>
      <c r="W109" s="134">
        <v>1485.5916159567278</v>
      </c>
    </row>
    <row r="110" spans="1:23" s="129" customFormat="1" hidden="1">
      <c r="A110" s="237" t="s">
        <v>1276</v>
      </c>
      <c r="B110" s="237" t="s">
        <v>55</v>
      </c>
      <c r="C110" s="237" t="s">
        <v>1570</v>
      </c>
      <c r="D110" s="237" t="s">
        <v>1571</v>
      </c>
      <c r="E110" s="197"/>
      <c r="F110" s="128">
        <v>24</v>
      </c>
      <c r="G110" s="241" t="s">
        <v>1573</v>
      </c>
      <c r="H110" s="241" t="s">
        <v>2825</v>
      </c>
      <c r="I110" s="237" t="s">
        <v>2613</v>
      </c>
      <c r="J110" s="128" t="s">
        <v>1584</v>
      </c>
      <c r="K110" s="236" t="s">
        <v>158</v>
      </c>
      <c r="L110" s="190">
        <v>43.5</v>
      </c>
      <c r="M110" s="195" t="s">
        <v>61</v>
      </c>
      <c r="N110" s="128"/>
      <c r="O110" s="190">
        <v>2</v>
      </c>
      <c r="P110" s="128"/>
      <c r="Q110" s="285">
        <v>1771.3844570252188</v>
      </c>
      <c r="R110" s="149" t="s">
        <v>2812</v>
      </c>
      <c r="T110" s="134">
        <v>5904.6148567507298</v>
      </c>
      <c r="U110" s="134">
        <v>3542.7689140504376</v>
      </c>
      <c r="V110" s="134">
        <v>2952.3074283753649</v>
      </c>
      <c r="W110" s="134">
        <v>2361.8459427002922</v>
      </c>
    </row>
    <row r="111" spans="1:23" s="129" customFormat="1" hidden="1">
      <c r="A111" s="237" t="s">
        <v>1276</v>
      </c>
      <c r="B111" s="237" t="s">
        <v>55</v>
      </c>
      <c r="C111" s="237" t="s">
        <v>1570</v>
      </c>
      <c r="D111" s="237" t="s">
        <v>1571</v>
      </c>
      <c r="E111" s="197"/>
      <c r="F111" s="128">
        <v>24</v>
      </c>
      <c r="G111" s="241" t="s">
        <v>1574</v>
      </c>
      <c r="H111" s="241" t="s">
        <v>2825</v>
      </c>
      <c r="I111" s="237" t="s">
        <v>2614</v>
      </c>
      <c r="J111" s="128" t="s">
        <v>1584</v>
      </c>
      <c r="K111" s="236" t="s">
        <v>158</v>
      </c>
      <c r="L111" s="190">
        <v>64.900000000000006</v>
      </c>
      <c r="M111" s="195" t="s">
        <v>61</v>
      </c>
      <c r="N111" s="128"/>
      <c r="O111" s="190">
        <v>2</v>
      </c>
      <c r="P111" s="128"/>
      <c r="Q111" s="285">
        <v>2330.787442099846</v>
      </c>
      <c r="R111" s="149" t="s">
        <v>2812</v>
      </c>
      <c r="T111" s="134">
        <v>7769.2914736661533</v>
      </c>
      <c r="U111" s="134">
        <v>4661.574884199692</v>
      </c>
      <c r="V111" s="134">
        <v>3884.6457368330766</v>
      </c>
      <c r="W111" s="134">
        <v>3107.7165894664613</v>
      </c>
    </row>
    <row r="112" spans="1:23" s="129" customFormat="1" hidden="1">
      <c r="A112" s="237" t="s">
        <v>1276</v>
      </c>
      <c r="B112" s="237" t="s">
        <v>55</v>
      </c>
      <c r="C112" s="237" t="s">
        <v>1570</v>
      </c>
      <c r="D112" s="237" t="s">
        <v>1571</v>
      </c>
      <c r="E112" s="197"/>
      <c r="F112" s="128">
        <v>24</v>
      </c>
      <c r="G112" s="241" t="s">
        <v>1575</v>
      </c>
      <c r="H112" s="241" t="s">
        <v>2825</v>
      </c>
      <c r="I112" s="237" t="s">
        <v>2615</v>
      </c>
      <c r="J112" s="128" t="s">
        <v>1584</v>
      </c>
      <c r="K112" s="236" t="s">
        <v>158</v>
      </c>
      <c r="L112" s="190">
        <v>248.3</v>
      </c>
      <c r="M112" s="195" t="s">
        <v>61</v>
      </c>
      <c r="N112" s="128"/>
      <c r="O112" s="190">
        <v>1</v>
      </c>
      <c r="P112" s="128"/>
      <c r="Q112" s="285">
        <v>6675.7539886773047</v>
      </c>
      <c r="R112" s="149" t="s">
        <v>2812</v>
      </c>
      <c r="T112" s="134">
        <v>22252.513295591016</v>
      </c>
      <c r="U112" s="134">
        <v>13351.507977354609</v>
      </c>
      <c r="V112" s="134">
        <v>11126.256647795508</v>
      </c>
      <c r="W112" s="134">
        <v>8901.0053182364063</v>
      </c>
    </row>
    <row r="113" spans="1:23" s="129" customFormat="1" hidden="1">
      <c r="A113" s="237" t="s">
        <v>1276</v>
      </c>
      <c r="B113" s="237" t="s">
        <v>55</v>
      </c>
      <c r="C113" s="237" t="s">
        <v>1570</v>
      </c>
      <c r="D113" s="237" t="s">
        <v>1571</v>
      </c>
      <c r="E113" s="197"/>
      <c r="F113" s="128">
        <v>24</v>
      </c>
      <c r="G113" s="241" t="s">
        <v>1576</v>
      </c>
      <c r="H113" s="241" t="s">
        <v>2825</v>
      </c>
      <c r="I113" s="237" t="s">
        <v>2616</v>
      </c>
      <c r="J113" s="128" t="s">
        <v>1584</v>
      </c>
      <c r="K113" s="236" t="s">
        <v>158</v>
      </c>
      <c r="L113" s="190">
        <v>496.4</v>
      </c>
      <c r="M113" s="195" t="s">
        <v>61</v>
      </c>
      <c r="N113" s="128"/>
      <c r="O113" s="190">
        <v>1</v>
      </c>
      <c r="P113" s="128"/>
      <c r="Q113" s="285">
        <v>12081.276376737005</v>
      </c>
      <c r="R113" s="149" t="s">
        <v>2812</v>
      </c>
      <c r="T113" s="134">
        <v>40270.921255790017</v>
      </c>
      <c r="U113" s="134">
        <v>24162.55275347401</v>
      </c>
      <c r="V113" s="134">
        <v>20135.460627895009</v>
      </c>
      <c r="W113" s="134">
        <v>16108.368502316007</v>
      </c>
    </row>
    <row r="114" spans="1:23" s="129" customFormat="1" hidden="1">
      <c r="A114" s="237" t="s">
        <v>1276</v>
      </c>
      <c r="B114" s="237" t="s">
        <v>55</v>
      </c>
      <c r="C114" s="237" t="s">
        <v>1570</v>
      </c>
      <c r="D114" s="237" t="s">
        <v>1571</v>
      </c>
      <c r="E114" s="197"/>
      <c r="F114" s="128">
        <v>20</v>
      </c>
      <c r="G114" s="241" t="s">
        <v>1577</v>
      </c>
      <c r="H114" s="241" t="s">
        <v>2825</v>
      </c>
      <c r="I114" s="237" t="s">
        <v>2617</v>
      </c>
      <c r="J114" s="128" t="s">
        <v>1584</v>
      </c>
      <c r="K114" s="236" t="s">
        <v>158</v>
      </c>
      <c r="L114" s="190">
        <v>55.1</v>
      </c>
      <c r="M114" s="195" t="s">
        <v>61</v>
      </c>
      <c r="N114" s="128"/>
      <c r="O114" s="190">
        <v>2</v>
      </c>
      <c r="P114" s="128"/>
      <c r="Q114" s="285">
        <v>1818.6108374384237</v>
      </c>
      <c r="R114" s="149" t="s">
        <v>2812</v>
      </c>
      <c r="T114" s="134">
        <v>6062.0361247947458</v>
      </c>
      <c r="U114" s="134">
        <v>3637.2216748768474</v>
      </c>
      <c r="V114" s="134">
        <v>3031.0180623973729</v>
      </c>
      <c r="W114" s="134">
        <v>2424.8144499178984</v>
      </c>
    </row>
    <row r="115" spans="1:23" s="129" customFormat="1" hidden="1">
      <c r="A115" s="237" t="s">
        <v>1276</v>
      </c>
      <c r="B115" s="237" t="s">
        <v>55</v>
      </c>
      <c r="C115" s="237" t="s">
        <v>1570</v>
      </c>
      <c r="D115" s="237" t="s">
        <v>1571</v>
      </c>
      <c r="E115" s="197"/>
      <c r="F115" s="128">
        <v>20</v>
      </c>
      <c r="G115" s="241" t="s">
        <v>1578</v>
      </c>
      <c r="H115" s="241" t="s">
        <v>2825</v>
      </c>
      <c r="I115" s="237" t="s">
        <v>2618</v>
      </c>
      <c r="J115" s="128" t="s">
        <v>1584</v>
      </c>
      <c r="K115" s="236" t="s">
        <v>158</v>
      </c>
      <c r="L115" s="190">
        <v>109.3</v>
      </c>
      <c r="M115" s="195" t="s">
        <v>61</v>
      </c>
      <c r="N115" s="128"/>
      <c r="O115" s="190">
        <v>1</v>
      </c>
      <c r="P115" s="128"/>
      <c r="Q115" s="285">
        <v>3046.7931034482758</v>
      </c>
      <c r="R115" s="149" t="s">
        <v>2812</v>
      </c>
      <c r="T115" s="134">
        <v>10155.977011494253</v>
      </c>
      <c r="U115" s="134">
        <v>6093.5862068965516</v>
      </c>
      <c r="V115" s="134">
        <v>5077.9885057471265</v>
      </c>
      <c r="W115" s="134">
        <v>4062.3908045977014</v>
      </c>
    </row>
    <row r="116" spans="1:23" s="129" customFormat="1" hidden="1">
      <c r="A116" s="237" t="s">
        <v>1276</v>
      </c>
      <c r="B116" s="237" t="s">
        <v>55</v>
      </c>
      <c r="C116" s="237" t="s">
        <v>1570</v>
      </c>
      <c r="D116" s="237" t="s">
        <v>1571</v>
      </c>
      <c r="E116" s="197"/>
      <c r="F116" s="128">
        <v>20</v>
      </c>
      <c r="G116" s="241" t="s">
        <v>1579</v>
      </c>
      <c r="H116" s="241" t="s">
        <v>2825</v>
      </c>
      <c r="I116" s="237" t="s">
        <v>2619</v>
      </c>
      <c r="J116" s="128" t="s">
        <v>1584</v>
      </c>
      <c r="K116" s="236" t="s">
        <v>158</v>
      </c>
      <c r="L116" s="190">
        <v>164.1</v>
      </c>
      <c r="M116" s="195" t="s">
        <v>61</v>
      </c>
      <c r="N116" s="128"/>
      <c r="O116" s="190">
        <v>1</v>
      </c>
      <c r="P116" s="128"/>
      <c r="Q116" s="285">
        <v>4097.6502463054185</v>
      </c>
      <c r="R116" s="149" t="s">
        <v>2812</v>
      </c>
      <c r="T116" s="134">
        <v>13658.834154351396</v>
      </c>
      <c r="U116" s="134">
        <v>8195.300492610837</v>
      </c>
      <c r="V116" s="134">
        <v>6829.4170771756981</v>
      </c>
      <c r="W116" s="134">
        <v>5463.5336617405592</v>
      </c>
    </row>
    <row r="117" spans="1:23" s="129" customFormat="1" hidden="1">
      <c r="A117" s="237" t="s">
        <v>1276</v>
      </c>
      <c r="B117" s="237" t="s">
        <v>55</v>
      </c>
      <c r="C117" s="237" t="s">
        <v>1570</v>
      </c>
      <c r="D117" s="237" t="s">
        <v>1571</v>
      </c>
      <c r="E117" s="197"/>
      <c r="F117" s="128">
        <v>20</v>
      </c>
      <c r="G117" s="241" t="s">
        <v>1580</v>
      </c>
      <c r="H117" s="241" t="s">
        <v>2825</v>
      </c>
      <c r="I117" s="237" t="s">
        <v>2620</v>
      </c>
      <c r="J117" s="128" t="s">
        <v>1584</v>
      </c>
      <c r="K117" s="236" t="s">
        <v>158</v>
      </c>
      <c r="L117" s="190">
        <v>633.29999999999995</v>
      </c>
      <c r="M117" s="195" t="s">
        <v>61</v>
      </c>
      <c r="N117" s="128"/>
      <c r="O117" s="190">
        <v>1</v>
      </c>
      <c r="P117" s="128"/>
      <c r="Q117" s="285">
        <v>13375.364532019703</v>
      </c>
      <c r="R117" s="149" t="s">
        <v>2812</v>
      </c>
      <c r="T117" s="134">
        <v>44584.548440065679</v>
      </c>
      <c r="U117" s="134">
        <v>26750.729064039406</v>
      </c>
      <c r="V117" s="134">
        <v>22292.274220032839</v>
      </c>
      <c r="W117" s="134">
        <v>17833.819376026273</v>
      </c>
    </row>
    <row r="118" spans="1:23" s="129" customFormat="1" hidden="1">
      <c r="A118" s="237" t="s">
        <v>1276</v>
      </c>
      <c r="B118" s="237" t="s">
        <v>55</v>
      </c>
      <c r="C118" s="237" t="s">
        <v>1570</v>
      </c>
      <c r="D118" s="237" t="s">
        <v>1571</v>
      </c>
      <c r="E118" s="197"/>
      <c r="F118" s="128">
        <v>20</v>
      </c>
      <c r="G118" s="241" t="s">
        <v>1581</v>
      </c>
      <c r="H118" s="241" t="s">
        <v>2825</v>
      </c>
      <c r="I118" s="237" t="s">
        <v>2621</v>
      </c>
      <c r="J118" s="128" t="s">
        <v>1584</v>
      </c>
      <c r="K118" s="236" t="s">
        <v>158</v>
      </c>
      <c r="L118" s="190">
        <v>1265.9000000000001</v>
      </c>
      <c r="M118" s="195" t="s">
        <v>61</v>
      </c>
      <c r="N118" s="128"/>
      <c r="O118" s="190">
        <v>1</v>
      </c>
      <c r="P118" s="128"/>
      <c r="Q118" s="285">
        <v>25542.793103448283</v>
      </c>
      <c r="R118" s="149" t="s">
        <v>2812</v>
      </c>
      <c r="T118" s="134">
        <v>85142.643678160952</v>
      </c>
      <c r="U118" s="134">
        <v>51085.586206896573</v>
      </c>
      <c r="V118" s="134">
        <v>42571.321839080476</v>
      </c>
      <c r="W118" s="134">
        <v>34057.057471264379</v>
      </c>
    </row>
    <row r="119" spans="1:23" s="129" customFormat="1" hidden="1">
      <c r="A119" s="195" t="s">
        <v>1276</v>
      </c>
      <c r="B119" s="195" t="s">
        <v>656</v>
      </c>
      <c r="C119" s="195" t="s">
        <v>657</v>
      </c>
      <c r="D119" s="236" t="s">
        <v>657</v>
      </c>
      <c r="E119" s="128" t="s">
        <v>658</v>
      </c>
      <c r="F119" s="128"/>
      <c r="G119" s="241" t="s">
        <v>659</v>
      </c>
      <c r="H119" s="241" t="s">
        <v>2895</v>
      </c>
      <c r="I119" s="195" t="s">
        <v>2628</v>
      </c>
      <c r="J119" s="128"/>
      <c r="K119" s="236" t="s">
        <v>60</v>
      </c>
      <c r="L119" s="227"/>
      <c r="M119" s="236" t="s">
        <v>661</v>
      </c>
      <c r="N119" s="128" t="s">
        <v>242</v>
      </c>
      <c r="O119" s="128">
        <v>51840</v>
      </c>
      <c r="P119" s="128" t="s">
        <v>663</v>
      </c>
      <c r="Q119" s="126">
        <v>0.36197232923574757</v>
      </c>
      <c r="R119" s="149" t="s">
        <v>9</v>
      </c>
      <c r="T119" s="168">
        <v>1.2065744307858253</v>
      </c>
      <c r="U119" s="168">
        <v>0.72394465847149514</v>
      </c>
      <c r="V119" s="168">
        <v>0.60328721539291263</v>
      </c>
      <c r="W119" s="168">
        <v>0.48262977231433013</v>
      </c>
    </row>
    <row r="120" spans="1:23" s="129" customFormat="1" hidden="1">
      <c r="A120" s="195" t="s">
        <v>1276</v>
      </c>
      <c r="B120" s="195" t="s">
        <v>656</v>
      </c>
      <c r="C120" s="195" t="s">
        <v>657</v>
      </c>
      <c r="D120" s="236" t="s">
        <v>657</v>
      </c>
      <c r="E120" s="128" t="s">
        <v>658</v>
      </c>
      <c r="F120" s="128"/>
      <c r="G120" s="241" t="s">
        <v>665</v>
      </c>
      <c r="H120" s="241" t="s">
        <v>2896</v>
      </c>
      <c r="I120" s="195" t="s">
        <v>2629</v>
      </c>
      <c r="J120" s="128"/>
      <c r="K120" s="236" t="s">
        <v>60</v>
      </c>
      <c r="L120" s="227"/>
      <c r="M120" s="236" t="s">
        <v>661</v>
      </c>
      <c r="N120" s="128" t="s">
        <v>242</v>
      </c>
      <c r="O120" s="128">
        <v>51840</v>
      </c>
      <c r="P120" s="128" t="s">
        <v>663</v>
      </c>
      <c r="Q120" s="126">
        <v>0.36197232923574757</v>
      </c>
      <c r="R120" s="149" t="s">
        <v>9</v>
      </c>
      <c r="T120" s="168">
        <v>1.2065744307858253</v>
      </c>
      <c r="U120" s="168">
        <v>0.72394465847149514</v>
      </c>
      <c r="V120" s="168">
        <v>0.60328721539291263</v>
      </c>
      <c r="W120" s="168">
        <v>0.48262977231433013</v>
      </c>
    </row>
    <row r="121" spans="1:23" s="129" customFormat="1" hidden="1">
      <c r="A121" s="195" t="s">
        <v>1276</v>
      </c>
      <c r="B121" s="195" t="s">
        <v>656</v>
      </c>
      <c r="C121" s="195" t="s">
        <v>657</v>
      </c>
      <c r="D121" s="236" t="s">
        <v>657</v>
      </c>
      <c r="E121" s="128" t="s">
        <v>1779</v>
      </c>
      <c r="F121" s="128"/>
      <c r="G121" s="241" t="s">
        <v>2426</v>
      </c>
      <c r="H121" s="241" t="s">
        <v>2825</v>
      </c>
      <c r="I121" s="195" t="s">
        <v>2630</v>
      </c>
      <c r="J121" s="128"/>
      <c r="K121" s="236" t="s">
        <v>60</v>
      </c>
      <c r="L121" s="227"/>
      <c r="M121" s="236" t="s">
        <v>661</v>
      </c>
      <c r="N121" s="128" t="s">
        <v>242</v>
      </c>
      <c r="O121" s="128">
        <v>51840</v>
      </c>
      <c r="P121" s="128" t="s">
        <v>663</v>
      </c>
      <c r="Q121" s="126">
        <v>0.36197232923574757</v>
      </c>
      <c r="R121" s="149" t="s">
        <v>9</v>
      </c>
      <c r="T121" s="168">
        <v>1.2065744307858253</v>
      </c>
      <c r="U121" s="168">
        <v>0.72394465847149514</v>
      </c>
      <c r="V121" s="168">
        <v>0.60328721539291263</v>
      </c>
      <c r="W121" s="168">
        <v>0.48262977231433013</v>
      </c>
    </row>
    <row r="122" spans="1:23" s="129" customFormat="1" hidden="1">
      <c r="A122" s="195" t="s">
        <v>1276</v>
      </c>
      <c r="B122" s="195" t="s">
        <v>656</v>
      </c>
      <c r="C122" s="195" t="s">
        <v>657</v>
      </c>
      <c r="D122" s="236" t="s">
        <v>657</v>
      </c>
      <c r="E122" s="128" t="s">
        <v>1779</v>
      </c>
      <c r="F122" s="128"/>
      <c r="G122" s="241" t="s">
        <v>1780</v>
      </c>
      <c r="H122" s="241" t="s">
        <v>2825</v>
      </c>
      <c r="I122" s="195" t="s">
        <v>2631</v>
      </c>
      <c r="J122" s="128"/>
      <c r="K122" s="236" t="s">
        <v>1295</v>
      </c>
      <c r="L122" s="227"/>
      <c r="M122" s="236" t="s">
        <v>671</v>
      </c>
      <c r="N122" s="128" t="s">
        <v>242</v>
      </c>
      <c r="O122" s="128">
        <v>25920</v>
      </c>
      <c r="P122" s="128" t="s">
        <v>663</v>
      </c>
      <c r="Q122" s="126">
        <v>0.72394465847149514</v>
      </c>
      <c r="R122" s="149" t="s">
        <v>9</v>
      </c>
      <c r="T122" s="168">
        <v>2.4131488615716505</v>
      </c>
      <c r="U122" s="168">
        <v>1.4478893169429903</v>
      </c>
      <c r="V122" s="168">
        <v>1.2065744307858253</v>
      </c>
      <c r="W122" s="168">
        <v>0.96525954462866026</v>
      </c>
    </row>
    <row r="123" spans="1:23" s="129" customFormat="1" hidden="1">
      <c r="A123" s="195" t="s">
        <v>1276</v>
      </c>
      <c r="B123" s="195" t="s">
        <v>656</v>
      </c>
      <c r="C123" s="195" t="s">
        <v>657</v>
      </c>
      <c r="D123" s="236" t="s">
        <v>657</v>
      </c>
      <c r="E123" s="128" t="s">
        <v>668</v>
      </c>
      <c r="F123" s="128"/>
      <c r="G123" s="241" t="s">
        <v>669</v>
      </c>
      <c r="H123" s="241" t="s">
        <v>2897</v>
      </c>
      <c r="I123" s="195" t="s">
        <v>2407</v>
      </c>
      <c r="J123" s="128"/>
      <c r="K123" s="236" t="s">
        <v>60</v>
      </c>
      <c r="L123" s="227"/>
      <c r="M123" s="236" t="s">
        <v>671</v>
      </c>
      <c r="N123" s="128" t="s">
        <v>242</v>
      </c>
      <c r="O123" s="128">
        <v>25920</v>
      </c>
      <c r="P123" s="128" t="s">
        <v>663</v>
      </c>
      <c r="Q123" s="126">
        <v>0.27502522550342651</v>
      </c>
      <c r="R123" s="149" t="s">
        <v>9</v>
      </c>
      <c r="T123" s="168">
        <v>0.91675075167808839</v>
      </c>
      <c r="U123" s="168">
        <v>0.55005045100685301</v>
      </c>
      <c r="V123" s="168">
        <v>0.4583753758390442</v>
      </c>
      <c r="W123" s="168">
        <v>0.36670030067123538</v>
      </c>
    </row>
    <row r="124" spans="1:23" s="129" customFormat="1" hidden="1">
      <c r="A124" s="195" t="s">
        <v>1276</v>
      </c>
      <c r="B124" s="195" t="s">
        <v>656</v>
      </c>
      <c r="C124" s="195" t="s">
        <v>657</v>
      </c>
      <c r="D124" s="236" t="s">
        <v>657</v>
      </c>
      <c r="E124" s="128" t="s">
        <v>668</v>
      </c>
      <c r="F124" s="128"/>
      <c r="G124" s="241" t="s">
        <v>673</v>
      </c>
      <c r="H124" s="241" t="s">
        <v>2898</v>
      </c>
      <c r="I124" s="195" t="s">
        <v>674</v>
      </c>
      <c r="J124" s="128"/>
      <c r="K124" s="236" t="s">
        <v>60</v>
      </c>
      <c r="L124" s="227"/>
      <c r="M124" s="236" t="s">
        <v>671</v>
      </c>
      <c r="N124" s="128" t="s">
        <v>242</v>
      </c>
      <c r="O124" s="128">
        <v>25920</v>
      </c>
      <c r="P124" s="128" t="s">
        <v>663</v>
      </c>
      <c r="Q124" s="126">
        <v>0.27502522550342651</v>
      </c>
      <c r="R124" s="149" t="s">
        <v>9</v>
      </c>
      <c r="T124" s="168">
        <v>0.91675075167808839</v>
      </c>
      <c r="U124" s="168">
        <v>0.55005045100685301</v>
      </c>
      <c r="V124" s="168">
        <v>0.4583753758390442</v>
      </c>
      <c r="W124" s="168">
        <v>0.36670030067123538</v>
      </c>
    </row>
    <row r="125" spans="1:23" s="129" customFormat="1" hidden="1">
      <c r="A125" s="195" t="s">
        <v>1276</v>
      </c>
      <c r="B125" s="195" t="s">
        <v>656</v>
      </c>
      <c r="C125" s="195" t="s">
        <v>657</v>
      </c>
      <c r="D125" s="236" t="s">
        <v>657</v>
      </c>
      <c r="E125" s="128" t="s">
        <v>1782</v>
      </c>
      <c r="F125" s="128"/>
      <c r="G125" s="241" t="s">
        <v>1783</v>
      </c>
      <c r="H125" s="241" t="s">
        <v>2825</v>
      </c>
      <c r="I125" s="195" t="s">
        <v>2627</v>
      </c>
      <c r="J125" s="128"/>
      <c r="K125" s="236" t="s">
        <v>60</v>
      </c>
      <c r="L125" s="227"/>
      <c r="M125" s="236" t="s">
        <v>671</v>
      </c>
      <c r="N125" s="128" t="s">
        <v>242</v>
      </c>
      <c r="O125" s="128">
        <v>25920</v>
      </c>
      <c r="P125" s="128" t="s">
        <v>663</v>
      </c>
      <c r="Q125" s="126">
        <v>0.27502522550342651</v>
      </c>
      <c r="R125" s="149" t="s">
        <v>9</v>
      </c>
      <c r="T125" s="168">
        <v>0.91675075167808839</v>
      </c>
      <c r="U125" s="168">
        <v>0.55005045100685301</v>
      </c>
      <c r="V125" s="168">
        <v>0.4583753758390442</v>
      </c>
      <c r="W125" s="168">
        <v>0.36670030067123538</v>
      </c>
    </row>
    <row r="126" spans="1:23" s="129" customFormat="1" hidden="1">
      <c r="A126" s="195" t="s">
        <v>1276</v>
      </c>
      <c r="B126" s="195" t="s">
        <v>656</v>
      </c>
      <c r="C126" s="195" t="s">
        <v>657</v>
      </c>
      <c r="D126" s="236" t="s">
        <v>657</v>
      </c>
      <c r="E126" s="128" t="s">
        <v>668</v>
      </c>
      <c r="F126" s="128"/>
      <c r="G126" s="241" t="s">
        <v>1452</v>
      </c>
      <c r="H126" s="241" t="s">
        <v>2825</v>
      </c>
      <c r="I126" s="195" t="s">
        <v>2626</v>
      </c>
      <c r="J126" s="128"/>
      <c r="K126" s="236" t="s">
        <v>60</v>
      </c>
      <c r="L126" s="128"/>
      <c r="M126" s="236" t="s">
        <v>671</v>
      </c>
      <c r="N126" s="128" t="s">
        <v>1723</v>
      </c>
      <c r="O126" s="128">
        <v>25920</v>
      </c>
      <c r="P126" s="128" t="s">
        <v>663</v>
      </c>
      <c r="Q126" s="126">
        <v>0.26</v>
      </c>
      <c r="R126" s="149" t="s">
        <v>9</v>
      </c>
      <c r="T126" s="168">
        <v>0.8666666666666667</v>
      </c>
      <c r="U126" s="168">
        <v>0.52</v>
      </c>
      <c r="V126" s="168">
        <v>0.43333333333333335</v>
      </c>
      <c r="W126" s="168">
        <v>0.34666666666666668</v>
      </c>
    </row>
    <row r="127" spans="1:23" s="129" customFormat="1" hidden="1">
      <c r="A127" s="195" t="s">
        <v>1276</v>
      </c>
      <c r="B127" s="195" t="s">
        <v>656</v>
      </c>
      <c r="C127" s="195" t="s">
        <v>657</v>
      </c>
      <c r="D127" s="236" t="s">
        <v>657</v>
      </c>
      <c r="E127" s="128" t="s">
        <v>668</v>
      </c>
      <c r="F127" s="128"/>
      <c r="G127" s="241" t="s">
        <v>2805</v>
      </c>
      <c r="H127" s="241" t="s">
        <v>2825</v>
      </c>
      <c r="I127" s="195" t="s">
        <v>2626</v>
      </c>
      <c r="J127" s="128"/>
      <c r="K127" s="236" t="s">
        <v>60</v>
      </c>
      <c r="L127" s="128"/>
      <c r="M127" s="236" t="s">
        <v>671</v>
      </c>
      <c r="N127" s="128" t="s">
        <v>1723</v>
      </c>
      <c r="O127" s="128">
        <v>25920</v>
      </c>
      <c r="P127" s="128" t="s">
        <v>663</v>
      </c>
      <c r="Q127" s="126">
        <v>0.26</v>
      </c>
      <c r="R127" s="149" t="s">
        <v>9</v>
      </c>
      <c r="T127" s="168">
        <v>0.8666666666666667</v>
      </c>
      <c r="U127" s="168">
        <v>0.52</v>
      </c>
      <c r="V127" s="168">
        <v>0.43333333333333335</v>
      </c>
      <c r="W127" s="168">
        <v>0.34666666666666668</v>
      </c>
    </row>
    <row r="128" spans="1:23" s="129" customFormat="1" hidden="1">
      <c r="A128" s="195" t="s">
        <v>1276</v>
      </c>
      <c r="B128" s="195" t="s">
        <v>656</v>
      </c>
      <c r="C128" s="195" t="s">
        <v>676</v>
      </c>
      <c r="D128" s="236" t="s">
        <v>677</v>
      </c>
      <c r="E128" s="128"/>
      <c r="F128" s="128"/>
      <c r="G128" s="238" t="s">
        <v>1456</v>
      </c>
      <c r="H128" s="238" t="s">
        <v>2899</v>
      </c>
      <c r="I128" s="195" t="s">
        <v>680</v>
      </c>
      <c r="J128" s="128"/>
      <c r="K128" s="236" t="s">
        <v>60</v>
      </c>
      <c r="L128" s="227"/>
      <c r="M128" s="236" t="s">
        <v>241</v>
      </c>
      <c r="N128" s="128" t="s">
        <v>635</v>
      </c>
      <c r="O128" s="128">
        <v>1800</v>
      </c>
      <c r="P128" s="128" t="s">
        <v>630</v>
      </c>
      <c r="Q128" s="126">
        <v>1.0241142194937254</v>
      </c>
      <c r="R128" s="149" t="s">
        <v>9</v>
      </c>
      <c r="T128" s="168">
        <v>3.4137140649790849</v>
      </c>
      <c r="U128" s="168">
        <v>2.0482284389874508</v>
      </c>
      <c r="V128" s="168">
        <v>1.7068570324895425</v>
      </c>
      <c r="W128" s="168">
        <v>1.3654856259916341</v>
      </c>
    </row>
    <row r="129" spans="1:23" s="129" customFormat="1" hidden="1">
      <c r="A129" s="195" t="s">
        <v>1276</v>
      </c>
      <c r="B129" s="195" t="s">
        <v>656</v>
      </c>
      <c r="C129" s="195" t="s">
        <v>676</v>
      </c>
      <c r="D129" s="236" t="s">
        <v>677</v>
      </c>
      <c r="E129" s="128"/>
      <c r="F129" s="128"/>
      <c r="G129" s="238" t="s">
        <v>681</v>
      </c>
      <c r="H129" s="238" t="s">
        <v>2900</v>
      </c>
      <c r="I129" s="195" t="s">
        <v>683</v>
      </c>
      <c r="J129" s="128"/>
      <c r="K129" s="236" t="s">
        <v>60</v>
      </c>
      <c r="L129" s="227"/>
      <c r="M129" s="236" t="s">
        <v>241</v>
      </c>
      <c r="N129" s="128" t="s">
        <v>635</v>
      </c>
      <c r="O129" s="128">
        <v>90000</v>
      </c>
      <c r="P129" s="128" t="s">
        <v>630</v>
      </c>
      <c r="Q129" s="126">
        <v>2.6754655407581068E-2</v>
      </c>
      <c r="R129" s="149" t="s">
        <v>9</v>
      </c>
      <c r="T129" s="168">
        <v>8.9182184691936894E-2</v>
      </c>
      <c r="U129" s="168">
        <v>5.3509310815162137E-2</v>
      </c>
      <c r="V129" s="168">
        <v>4.4591092345968447E-2</v>
      </c>
      <c r="W129" s="168">
        <v>3.5672873876774758E-2</v>
      </c>
    </row>
    <row r="130" spans="1:23" s="129" customFormat="1" hidden="1">
      <c r="A130" s="195" t="s">
        <v>1276</v>
      </c>
      <c r="B130" s="195" t="s">
        <v>656</v>
      </c>
      <c r="C130" s="195" t="s">
        <v>907</v>
      </c>
      <c r="D130" s="236" t="s">
        <v>908</v>
      </c>
      <c r="E130" s="128" t="s">
        <v>685</v>
      </c>
      <c r="F130" s="128"/>
      <c r="G130" s="241" t="s">
        <v>909</v>
      </c>
      <c r="H130" s="241" t="s">
        <v>2901</v>
      </c>
      <c r="I130" s="195" t="s">
        <v>911</v>
      </c>
      <c r="J130" s="128"/>
      <c r="K130" s="236" t="s">
        <v>60</v>
      </c>
      <c r="L130" s="227"/>
      <c r="M130" s="236" t="s">
        <v>912</v>
      </c>
      <c r="N130" s="128" t="s">
        <v>913</v>
      </c>
      <c r="O130" s="128">
        <v>2160</v>
      </c>
      <c r="P130" s="128">
        <v>8544700000</v>
      </c>
      <c r="Q130" s="126">
        <v>1.8027074776596412</v>
      </c>
      <c r="R130" s="149" t="s">
        <v>9</v>
      </c>
      <c r="T130" s="168">
        <v>6.0090249255321373</v>
      </c>
      <c r="U130" s="168">
        <v>3.605414955319282</v>
      </c>
      <c r="V130" s="168">
        <v>3.0045124627660686</v>
      </c>
      <c r="W130" s="168">
        <v>2.4036099702128553</v>
      </c>
    </row>
    <row r="131" spans="1:23" s="129" customFormat="1" hidden="1">
      <c r="A131" s="195" t="s">
        <v>1276</v>
      </c>
      <c r="B131" s="195" t="s">
        <v>656</v>
      </c>
      <c r="C131" s="195" t="s">
        <v>907</v>
      </c>
      <c r="D131" s="236" t="s">
        <v>908</v>
      </c>
      <c r="E131" s="128" t="s">
        <v>685</v>
      </c>
      <c r="F131" s="128"/>
      <c r="G131" s="241" t="s">
        <v>914</v>
      </c>
      <c r="H131" s="241" t="s">
        <v>2902</v>
      </c>
      <c r="I131" s="195" t="s">
        <v>916</v>
      </c>
      <c r="J131" s="128"/>
      <c r="K131" s="236" t="s">
        <v>60</v>
      </c>
      <c r="L131" s="227"/>
      <c r="M131" s="236" t="s">
        <v>912</v>
      </c>
      <c r="N131" s="128" t="s">
        <v>913</v>
      </c>
      <c r="O131" s="128">
        <v>1920</v>
      </c>
      <c r="P131" s="128">
        <v>8544700000</v>
      </c>
      <c r="Q131" s="126">
        <v>1.9853985662351299</v>
      </c>
      <c r="R131" s="149" t="s">
        <v>9</v>
      </c>
      <c r="T131" s="168">
        <v>6.6179952207837669</v>
      </c>
      <c r="U131" s="168">
        <v>3.9707971324702598</v>
      </c>
      <c r="V131" s="168">
        <v>3.3089976103918834</v>
      </c>
      <c r="W131" s="168">
        <v>2.6471980883135071</v>
      </c>
    </row>
    <row r="132" spans="1:23" s="129" customFormat="1" hidden="1">
      <c r="A132" s="195" t="s">
        <v>1276</v>
      </c>
      <c r="B132" s="195" t="s">
        <v>656</v>
      </c>
      <c r="C132" s="195" t="s">
        <v>907</v>
      </c>
      <c r="D132" s="236" t="s">
        <v>908</v>
      </c>
      <c r="E132" s="128" t="s">
        <v>685</v>
      </c>
      <c r="F132" s="128"/>
      <c r="G132" s="241" t="s">
        <v>917</v>
      </c>
      <c r="H132" s="241" t="s">
        <v>2903</v>
      </c>
      <c r="I132" s="195" t="s">
        <v>919</v>
      </c>
      <c r="J132" s="128"/>
      <c r="K132" s="236" t="s">
        <v>60</v>
      </c>
      <c r="L132" s="227"/>
      <c r="M132" s="236" t="s">
        <v>912</v>
      </c>
      <c r="N132" s="128" t="s">
        <v>913</v>
      </c>
      <c r="O132" s="128">
        <v>1920</v>
      </c>
      <c r="P132" s="128">
        <v>8544700000</v>
      </c>
      <c r="Q132" s="126">
        <v>2.1577836284948684</v>
      </c>
      <c r="R132" s="149" t="s">
        <v>9</v>
      </c>
      <c r="T132" s="168">
        <v>7.1926120949828949</v>
      </c>
      <c r="U132" s="168">
        <v>4.3155672569897368</v>
      </c>
      <c r="V132" s="168">
        <v>3.5963060474914474</v>
      </c>
      <c r="W132" s="168">
        <v>2.8770448379931581</v>
      </c>
    </row>
    <row r="133" spans="1:23" s="129" customFormat="1" hidden="1">
      <c r="A133" s="195" t="s">
        <v>1276</v>
      </c>
      <c r="B133" s="195" t="s">
        <v>656</v>
      </c>
      <c r="C133" s="195" t="s">
        <v>907</v>
      </c>
      <c r="D133" s="236" t="s">
        <v>908</v>
      </c>
      <c r="E133" s="128" t="s">
        <v>685</v>
      </c>
      <c r="F133" s="128"/>
      <c r="G133" s="241" t="s">
        <v>920</v>
      </c>
      <c r="H133" s="241" t="s">
        <v>2904</v>
      </c>
      <c r="I133" s="195" t="s">
        <v>922</v>
      </c>
      <c r="J133" s="128"/>
      <c r="K133" s="236" t="s">
        <v>60</v>
      </c>
      <c r="L133" s="227"/>
      <c r="M133" s="236" t="s">
        <v>912</v>
      </c>
      <c r="N133" s="128" t="s">
        <v>913</v>
      </c>
      <c r="O133" s="128">
        <v>1440</v>
      </c>
      <c r="P133" s="128">
        <v>8544700000</v>
      </c>
      <c r="Q133" s="126">
        <v>2.5191064101066174</v>
      </c>
      <c r="R133" s="149" t="s">
        <v>9</v>
      </c>
      <c r="T133" s="168">
        <v>8.3970213670220577</v>
      </c>
      <c r="U133" s="168">
        <v>5.0382128202132348</v>
      </c>
      <c r="V133" s="168">
        <v>4.1985106835110289</v>
      </c>
      <c r="W133" s="168">
        <v>3.3588085468088233</v>
      </c>
    </row>
    <row r="134" spans="1:23" s="129" customFormat="1" hidden="1">
      <c r="A134" s="195" t="s">
        <v>1276</v>
      </c>
      <c r="B134" s="195" t="s">
        <v>656</v>
      </c>
      <c r="C134" s="195" t="s">
        <v>907</v>
      </c>
      <c r="D134" s="236" t="s">
        <v>908</v>
      </c>
      <c r="E134" s="128" t="s">
        <v>685</v>
      </c>
      <c r="F134" s="128"/>
      <c r="G134" s="241" t="s">
        <v>2427</v>
      </c>
      <c r="H134" s="241" t="s">
        <v>2825</v>
      </c>
      <c r="I134" s="195" t="s">
        <v>1598</v>
      </c>
      <c r="J134" s="128"/>
      <c r="K134" s="236" t="s">
        <v>60</v>
      </c>
      <c r="L134" s="227"/>
      <c r="M134" s="236" t="s">
        <v>912</v>
      </c>
      <c r="N134" s="128" t="s">
        <v>913</v>
      </c>
      <c r="O134" s="128">
        <v>720</v>
      </c>
      <c r="P134" s="128">
        <v>8544700000</v>
      </c>
      <c r="Q134" s="126">
        <v>3.7381421423377077</v>
      </c>
      <c r="R134" s="149" t="s">
        <v>9</v>
      </c>
      <c r="T134" s="168">
        <v>12.46047380779236</v>
      </c>
      <c r="U134" s="168">
        <v>7.4762842846754154</v>
      </c>
      <c r="V134" s="168">
        <v>6.2302369038961798</v>
      </c>
      <c r="W134" s="168">
        <v>4.9841895231169442</v>
      </c>
    </row>
    <row r="135" spans="1:23" s="129" customFormat="1" hidden="1">
      <c r="A135" s="195" t="s">
        <v>1276</v>
      </c>
      <c r="B135" s="195" t="s">
        <v>656</v>
      </c>
      <c r="C135" s="195" t="s">
        <v>907</v>
      </c>
      <c r="D135" s="236" t="s">
        <v>908</v>
      </c>
      <c r="E135" s="128" t="s">
        <v>685</v>
      </c>
      <c r="F135" s="128"/>
      <c r="G135" s="241" t="s">
        <v>1595</v>
      </c>
      <c r="H135" s="241" t="s">
        <v>2825</v>
      </c>
      <c r="I135" s="195" t="s">
        <v>1599</v>
      </c>
      <c r="J135" s="128"/>
      <c r="K135" s="236" t="s">
        <v>60</v>
      </c>
      <c r="L135" s="227"/>
      <c r="M135" s="236" t="s">
        <v>912</v>
      </c>
      <c r="N135" s="128" t="s">
        <v>913</v>
      </c>
      <c r="O135" s="128">
        <v>480</v>
      </c>
      <c r="P135" s="128">
        <v>8544700000</v>
      </c>
      <c r="Q135" s="126">
        <v>4.8458458551927182</v>
      </c>
      <c r="R135" s="149" t="s">
        <v>9</v>
      </c>
      <c r="T135" s="168">
        <v>16.152819517309062</v>
      </c>
      <c r="U135" s="168">
        <v>9.6916917103854363</v>
      </c>
      <c r="V135" s="168">
        <v>8.0764097586545311</v>
      </c>
      <c r="W135" s="168">
        <v>6.4611278069236251</v>
      </c>
    </row>
    <row r="136" spans="1:23" s="129" customFormat="1" hidden="1">
      <c r="A136" s="195" t="s">
        <v>1276</v>
      </c>
      <c r="B136" s="195" t="s">
        <v>656</v>
      </c>
      <c r="C136" s="195" t="s">
        <v>907</v>
      </c>
      <c r="D136" s="236" t="s">
        <v>923</v>
      </c>
      <c r="E136" s="128" t="s">
        <v>685</v>
      </c>
      <c r="F136" s="128"/>
      <c r="G136" s="241" t="s">
        <v>924</v>
      </c>
      <c r="H136" s="241" t="s">
        <v>2905</v>
      </c>
      <c r="I136" s="195" t="s">
        <v>926</v>
      </c>
      <c r="J136" s="128"/>
      <c r="K136" s="236" t="s">
        <v>60</v>
      </c>
      <c r="L136" s="227"/>
      <c r="M136" s="236" t="s">
        <v>912</v>
      </c>
      <c r="N136" s="128" t="s">
        <v>913</v>
      </c>
      <c r="O136" s="128">
        <v>2160</v>
      </c>
      <c r="P136" s="128">
        <v>8544700000</v>
      </c>
      <c r="Q136" s="126">
        <v>1.8027074776596412</v>
      </c>
      <c r="R136" s="149" t="s">
        <v>9</v>
      </c>
      <c r="T136" s="168">
        <v>6.0090249255321373</v>
      </c>
      <c r="U136" s="168">
        <v>3.605414955319282</v>
      </c>
      <c r="V136" s="168">
        <v>3.0045124627660686</v>
      </c>
      <c r="W136" s="168">
        <v>2.4036099702128553</v>
      </c>
    </row>
    <row r="137" spans="1:23" s="129" customFormat="1" hidden="1">
      <c r="A137" s="195" t="s">
        <v>1276</v>
      </c>
      <c r="B137" s="195" t="s">
        <v>656</v>
      </c>
      <c r="C137" s="195" t="s">
        <v>907</v>
      </c>
      <c r="D137" s="236" t="s">
        <v>923</v>
      </c>
      <c r="E137" s="128" t="s">
        <v>685</v>
      </c>
      <c r="F137" s="128"/>
      <c r="G137" s="241" t="s">
        <v>927</v>
      </c>
      <c r="H137" s="241" t="s">
        <v>2906</v>
      </c>
      <c r="I137" s="195" t="s">
        <v>929</v>
      </c>
      <c r="J137" s="128"/>
      <c r="K137" s="236" t="s">
        <v>60</v>
      </c>
      <c r="L137" s="227"/>
      <c r="M137" s="236" t="s">
        <v>912</v>
      </c>
      <c r="N137" s="128" t="s">
        <v>913</v>
      </c>
      <c r="O137" s="128">
        <v>1920</v>
      </c>
      <c r="P137" s="128">
        <v>8544700000</v>
      </c>
      <c r="Q137" s="126">
        <v>1.9853985662351299</v>
      </c>
      <c r="R137" s="149" t="s">
        <v>9</v>
      </c>
      <c r="T137" s="168">
        <v>6.6179952207837669</v>
      </c>
      <c r="U137" s="168">
        <v>3.9707971324702598</v>
      </c>
      <c r="V137" s="168">
        <v>3.3089976103918834</v>
      </c>
      <c r="W137" s="168">
        <v>2.6471980883135071</v>
      </c>
    </row>
    <row r="138" spans="1:23" s="129" customFormat="1" hidden="1">
      <c r="A138" s="195" t="s">
        <v>1276</v>
      </c>
      <c r="B138" s="195" t="s">
        <v>656</v>
      </c>
      <c r="C138" s="195" t="s">
        <v>907</v>
      </c>
      <c r="D138" s="236" t="s">
        <v>923</v>
      </c>
      <c r="E138" s="128" t="s">
        <v>685</v>
      </c>
      <c r="F138" s="128"/>
      <c r="G138" s="241" t="s">
        <v>930</v>
      </c>
      <c r="H138" s="241" t="s">
        <v>2907</v>
      </c>
      <c r="I138" s="195" t="s">
        <v>932</v>
      </c>
      <c r="J138" s="128"/>
      <c r="K138" s="236" t="s">
        <v>60</v>
      </c>
      <c r="L138" s="227"/>
      <c r="M138" s="236" t="s">
        <v>912</v>
      </c>
      <c r="N138" s="128" t="s">
        <v>913</v>
      </c>
      <c r="O138" s="128">
        <v>1920</v>
      </c>
      <c r="P138" s="128">
        <v>8544700000</v>
      </c>
      <c r="Q138" s="126">
        <v>2.1577836284948684</v>
      </c>
      <c r="R138" s="149" t="s">
        <v>9</v>
      </c>
      <c r="T138" s="168">
        <v>7.1926120949828949</v>
      </c>
      <c r="U138" s="168">
        <v>4.3155672569897368</v>
      </c>
      <c r="V138" s="168">
        <v>3.5963060474914474</v>
      </c>
      <c r="W138" s="168">
        <v>2.8770448379931581</v>
      </c>
    </row>
    <row r="139" spans="1:23" s="129" customFormat="1" hidden="1">
      <c r="A139" s="195" t="s">
        <v>1276</v>
      </c>
      <c r="B139" s="195" t="s">
        <v>656</v>
      </c>
      <c r="C139" s="195" t="s">
        <v>907</v>
      </c>
      <c r="D139" s="236" t="s">
        <v>923</v>
      </c>
      <c r="E139" s="128" t="s">
        <v>685</v>
      </c>
      <c r="F139" s="128"/>
      <c r="G139" s="241" t="s">
        <v>933</v>
      </c>
      <c r="H139" s="241" t="s">
        <v>2908</v>
      </c>
      <c r="I139" s="195" t="s">
        <v>935</v>
      </c>
      <c r="J139" s="128"/>
      <c r="K139" s="236" t="s">
        <v>60</v>
      </c>
      <c r="L139" s="227"/>
      <c r="M139" s="236" t="s">
        <v>912</v>
      </c>
      <c r="N139" s="128" t="s">
        <v>913</v>
      </c>
      <c r="O139" s="128">
        <v>1440</v>
      </c>
      <c r="P139" s="128">
        <v>8544700000</v>
      </c>
      <c r="Q139" s="126">
        <v>2.5191064101066174</v>
      </c>
      <c r="R139" s="149" t="s">
        <v>9</v>
      </c>
      <c r="T139" s="168">
        <v>8.3970213670220577</v>
      </c>
      <c r="U139" s="168">
        <v>5.0382128202132348</v>
      </c>
      <c r="V139" s="168">
        <v>4.1985106835110289</v>
      </c>
      <c r="W139" s="168">
        <v>3.3588085468088233</v>
      </c>
    </row>
    <row r="140" spans="1:23" s="129" customFormat="1" hidden="1">
      <c r="A140" s="195" t="s">
        <v>1276</v>
      </c>
      <c r="B140" s="195" t="s">
        <v>656</v>
      </c>
      <c r="C140" s="195" t="s">
        <v>907</v>
      </c>
      <c r="D140" s="236" t="s">
        <v>923</v>
      </c>
      <c r="E140" s="128" t="s">
        <v>685</v>
      </c>
      <c r="F140" s="128"/>
      <c r="G140" s="241" t="s">
        <v>2428</v>
      </c>
      <c r="H140" s="241" t="s">
        <v>2825</v>
      </c>
      <c r="I140" s="195" t="s">
        <v>1603</v>
      </c>
      <c r="J140" s="128"/>
      <c r="K140" s="236" t="s">
        <v>60</v>
      </c>
      <c r="L140" s="227"/>
      <c r="M140" s="236" t="s">
        <v>912</v>
      </c>
      <c r="N140" s="128" t="s">
        <v>913</v>
      </c>
      <c r="O140" s="128">
        <v>720</v>
      </c>
      <c r="P140" s="128">
        <v>8544700000</v>
      </c>
      <c r="Q140" s="126">
        <v>3.7381421423377077</v>
      </c>
      <c r="R140" s="149" t="s">
        <v>9</v>
      </c>
      <c r="T140" s="168">
        <v>12.46047380779236</v>
      </c>
      <c r="U140" s="168">
        <v>7.4762842846754154</v>
      </c>
      <c r="V140" s="168">
        <v>6.2302369038961798</v>
      </c>
      <c r="W140" s="168">
        <v>4.9841895231169442</v>
      </c>
    </row>
    <row r="141" spans="1:23" s="129" customFormat="1" hidden="1">
      <c r="A141" s="195" t="s">
        <v>1276</v>
      </c>
      <c r="B141" s="195" t="s">
        <v>656</v>
      </c>
      <c r="C141" s="195" t="s">
        <v>907</v>
      </c>
      <c r="D141" s="236" t="s">
        <v>923</v>
      </c>
      <c r="E141" s="128" t="s">
        <v>685</v>
      </c>
      <c r="F141" s="128"/>
      <c r="G141" s="241" t="s">
        <v>1600</v>
      </c>
      <c r="H141" s="241" t="s">
        <v>2825</v>
      </c>
      <c r="I141" s="195" t="s">
        <v>1604</v>
      </c>
      <c r="J141" s="128"/>
      <c r="K141" s="236" t="s">
        <v>60</v>
      </c>
      <c r="L141" s="227"/>
      <c r="M141" s="236" t="s">
        <v>912</v>
      </c>
      <c r="N141" s="128" t="s">
        <v>913</v>
      </c>
      <c r="O141" s="128">
        <v>480</v>
      </c>
      <c r="P141" s="128">
        <v>8544700000</v>
      </c>
      <c r="Q141" s="126">
        <v>4.8458458551927182</v>
      </c>
      <c r="R141" s="149" t="s">
        <v>9</v>
      </c>
      <c r="T141" s="168">
        <v>16.152819517309062</v>
      </c>
      <c r="U141" s="168">
        <v>9.6916917103854363</v>
      </c>
      <c r="V141" s="168">
        <v>8.0764097586545311</v>
      </c>
      <c r="W141" s="168">
        <v>6.4611278069236251</v>
      </c>
    </row>
    <row r="142" spans="1:23" s="129" customFormat="1" hidden="1">
      <c r="A142" s="195" t="s">
        <v>1276</v>
      </c>
      <c r="B142" s="195" t="s">
        <v>656</v>
      </c>
      <c r="C142" s="195" t="s">
        <v>907</v>
      </c>
      <c r="D142" s="236" t="s">
        <v>936</v>
      </c>
      <c r="E142" s="128" t="s">
        <v>685</v>
      </c>
      <c r="F142" s="128"/>
      <c r="G142" s="241" t="s">
        <v>937</v>
      </c>
      <c r="H142" s="241" t="s">
        <v>2909</v>
      </c>
      <c r="I142" s="195" t="s">
        <v>939</v>
      </c>
      <c r="J142" s="128"/>
      <c r="K142" s="236" t="s">
        <v>60</v>
      </c>
      <c r="L142" s="227"/>
      <c r="M142" s="236" t="s">
        <v>912</v>
      </c>
      <c r="N142" s="128" t="s">
        <v>913</v>
      </c>
      <c r="O142" s="128">
        <v>2160</v>
      </c>
      <c r="P142" s="128">
        <v>8544700000</v>
      </c>
      <c r="Q142" s="126">
        <v>1.8027074776596412</v>
      </c>
      <c r="R142" s="149" t="s">
        <v>9</v>
      </c>
      <c r="T142" s="168">
        <v>6.0090249255321373</v>
      </c>
      <c r="U142" s="168">
        <v>3.605414955319282</v>
      </c>
      <c r="V142" s="168">
        <v>3.0045124627660686</v>
      </c>
      <c r="W142" s="168">
        <v>2.4036099702128553</v>
      </c>
    </row>
    <row r="143" spans="1:23" s="129" customFormat="1" hidden="1">
      <c r="A143" s="195" t="s">
        <v>1276</v>
      </c>
      <c r="B143" s="195" t="s">
        <v>656</v>
      </c>
      <c r="C143" s="195" t="s">
        <v>907</v>
      </c>
      <c r="D143" s="236" t="s">
        <v>936</v>
      </c>
      <c r="E143" s="128" t="s">
        <v>685</v>
      </c>
      <c r="F143" s="128"/>
      <c r="G143" s="241" t="s">
        <v>940</v>
      </c>
      <c r="H143" s="241" t="s">
        <v>2910</v>
      </c>
      <c r="I143" s="195" t="s">
        <v>942</v>
      </c>
      <c r="J143" s="128"/>
      <c r="K143" s="236" t="s">
        <v>60</v>
      </c>
      <c r="L143" s="227"/>
      <c r="M143" s="236" t="s">
        <v>912</v>
      </c>
      <c r="N143" s="128" t="s">
        <v>913</v>
      </c>
      <c r="O143" s="128">
        <v>1920</v>
      </c>
      <c r="P143" s="128">
        <v>8544700000</v>
      </c>
      <c r="Q143" s="126">
        <v>1.9853985662351299</v>
      </c>
      <c r="R143" s="149" t="s">
        <v>9</v>
      </c>
      <c r="T143" s="168">
        <v>6.6179952207837669</v>
      </c>
      <c r="U143" s="168">
        <v>3.9707971324702598</v>
      </c>
      <c r="V143" s="168">
        <v>3.3089976103918834</v>
      </c>
      <c r="W143" s="168">
        <v>2.6471980883135071</v>
      </c>
    </row>
    <row r="144" spans="1:23" s="129" customFormat="1" hidden="1">
      <c r="A144" s="195" t="s">
        <v>1276</v>
      </c>
      <c r="B144" s="195" t="s">
        <v>656</v>
      </c>
      <c r="C144" s="195" t="s">
        <v>907</v>
      </c>
      <c r="D144" s="236" t="s">
        <v>936</v>
      </c>
      <c r="E144" s="128" t="s">
        <v>685</v>
      </c>
      <c r="F144" s="128"/>
      <c r="G144" s="241" t="s">
        <v>943</v>
      </c>
      <c r="H144" s="241" t="s">
        <v>2911</v>
      </c>
      <c r="I144" s="195" t="s">
        <v>945</v>
      </c>
      <c r="J144" s="128"/>
      <c r="K144" s="236" t="s">
        <v>60</v>
      </c>
      <c r="L144" s="227"/>
      <c r="M144" s="236" t="s">
        <v>912</v>
      </c>
      <c r="N144" s="128" t="s">
        <v>913</v>
      </c>
      <c r="O144" s="128">
        <v>1920</v>
      </c>
      <c r="P144" s="128">
        <v>8544700000</v>
      </c>
      <c r="Q144" s="126">
        <v>2.1577836284948684</v>
      </c>
      <c r="R144" s="149" t="s">
        <v>9</v>
      </c>
      <c r="T144" s="168">
        <v>7.1926120949828949</v>
      </c>
      <c r="U144" s="168">
        <v>4.3155672569897368</v>
      </c>
      <c r="V144" s="168">
        <v>3.5963060474914474</v>
      </c>
      <c r="W144" s="168">
        <v>2.8770448379931581</v>
      </c>
    </row>
    <row r="145" spans="1:23" s="129" customFormat="1" hidden="1">
      <c r="A145" s="195" t="s">
        <v>1276</v>
      </c>
      <c r="B145" s="195" t="s">
        <v>656</v>
      </c>
      <c r="C145" s="195" t="s">
        <v>907</v>
      </c>
      <c r="D145" s="236" t="s">
        <v>936</v>
      </c>
      <c r="E145" s="128" t="s">
        <v>685</v>
      </c>
      <c r="F145" s="128"/>
      <c r="G145" s="241" t="s">
        <v>946</v>
      </c>
      <c r="H145" s="241" t="s">
        <v>2912</v>
      </c>
      <c r="I145" s="195" t="s">
        <v>948</v>
      </c>
      <c r="J145" s="128"/>
      <c r="K145" s="236" t="s">
        <v>60</v>
      </c>
      <c r="L145" s="227"/>
      <c r="M145" s="236" t="s">
        <v>912</v>
      </c>
      <c r="N145" s="128" t="s">
        <v>913</v>
      </c>
      <c r="O145" s="128">
        <v>1440</v>
      </c>
      <c r="P145" s="128">
        <v>8544700000</v>
      </c>
      <c r="Q145" s="126">
        <v>2.5191064101066174</v>
      </c>
      <c r="R145" s="149" t="s">
        <v>9</v>
      </c>
      <c r="T145" s="168">
        <v>8.3970213670220577</v>
      </c>
      <c r="U145" s="168">
        <v>5.0382128202132348</v>
      </c>
      <c r="V145" s="168">
        <v>4.1985106835110289</v>
      </c>
      <c r="W145" s="168">
        <v>3.3588085468088233</v>
      </c>
    </row>
    <row r="146" spans="1:23" s="129" customFormat="1" hidden="1">
      <c r="A146" s="195" t="s">
        <v>1276</v>
      </c>
      <c r="B146" s="195" t="s">
        <v>656</v>
      </c>
      <c r="C146" s="195" t="s">
        <v>907</v>
      </c>
      <c r="D146" s="236" t="s">
        <v>936</v>
      </c>
      <c r="E146" s="128" t="s">
        <v>685</v>
      </c>
      <c r="F146" s="128"/>
      <c r="G146" s="241" t="s">
        <v>1605</v>
      </c>
      <c r="H146" s="241" t="s">
        <v>2825</v>
      </c>
      <c r="I146" s="195" t="s">
        <v>1609</v>
      </c>
      <c r="J146" s="128"/>
      <c r="K146" s="236" t="s">
        <v>60</v>
      </c>
      <c r="L146" s="227"/>
      <c r="M146" s="236" t="s">
        <v>912</v>
      </c>
      <c r="N146" s="128" t="s">
        <v>913</v>
      </c>
      <c r="O146" s="128">
        <v>720</v>
      </c>
      <c r="P146" s="128">
        <v>8544700000</v>
      </c>
      <c r="Q146" s="126">
        <v>3.7381421423377077</v>
      </c>
      <c r="R146" s="149" t="s">
        <v>9</v>
      </c>
      <c r="T146" s="168">
        <v>12.46047380779236</v>
      </c>
      <c r="U146" s="168">
        <v>7.4762842846754154</v>
      </c>
      <c r="V146" s="168">
        <v>6.2302369038961798</v>
      </c>
      <c r="W146" s="168">
        <v>4.9841895231169442</v>
      </c>
    </row>
    <row r="147" spans="1:23" s="129" customFormat="1" hidden="1">
      <c r="A147" s="195" t="s">
        <v>1276</v>
      </c>
      <c r="B147" s="195" t="s">
        <v>656</v>
      </c>
      <c r="C147" s="195" t="s">
        <v>907</v>
      </c>
      <c r="D147" s="236" t="s">
        <v>936</v>
      </c>
      <c r="E147" s="128" t="s">
        <v>685</v>
      </c>
      <c r="F147" s="128"/>
      <c r="G147" s="241" t="s">
        <v>1606</v>
      </c>
      <c r="H147" s="241" t="s">
        <v>2825</v>
      </c>
      <c r="I147" s="195" t="s">
        <v>1610</v>
      </c>
      <c r="J147" s="128"/>
      <c r="K147" s="236" t="s">
        <v>60</v>
      </c>
      <c r="L147" s="227"/>
      <c r="M147" s="236" t="s">
        <v>912</v>
      </c>
      <c r="N147" s="128" t="s">
        <v>913</v>
      </c>
      <c r="O147" s="128">
        <v>480</v>
      </c>
      <c r="P147" s="128">
        <v>8544700000</v>
      </c>
      <c r="Q147" s="126">
        <v>4.8458458551927182</v>
      </c>
      <c r="R147" s="149" t="s">
        <v>9</v>
      </c>
      <c r="T147" s="168">
        <v>16.152819517309062</v>
      </c>
      <c r="U147" s="168">
        <v>9.6916917103854363</v>
      </c>
      <c r="V147" s="168">
        <v>8.0764097586545311</v>
      </c>
      <c r="W147" s="168">
        <v>6.4611278069236251</v>
      </c>
    </row>
    <row r="148" spans="1:23" s="129" customFormat="1" hidden="1">
      <c r="A148" s="195" t="s">
        <v>1276</v>
      </c>
      <c r="B148" s="195" t="s">
        <v>656</v>
      </c>
      <c r="C148" s="195" t="s">
        <v>907</v>
      </c>
      <c r="D148" s="236" t="s">
        <v>908</v>
      </c>
      <c r="E148" s="128" t="s">
        <v>765</v>
      </c>
      <c r="F148" s="128"/>
      <c r="G148" s="241" t="s">
        <v>949</v>
      </c>
      <c r="H148" s="241" t="s">
        <v>2913</v>
      </c>
      <c r="I148" s="195" t="s">
        <v>951</v>
      </c>
      <c r="J148" s="128"/>
      <c r="K148" s="236" t="s">
        <v>60</v>
      </c>
      <c r="L148" s="227"/>
      <c r="M148" s="236" t="s">
        <v>912</v>
      </c>
      <c r="N148" s="128" t="s">
        <v>913</v>
      </c>
      <c r="O148" s="128">
        <v>2160</v>
      </c>
      <c r="P148" s="128">
        <v>8544700000</v>
      </c>
      <c r="Q148" s="126">
        <v>1.926609241158828</v>
      </c>
      <c r="R148" s="149" t="s">
        <v>9</v>
      </c>
      <c r="T148" s="168">
        <v>6.4220308038627607</v>
      </c>
      <c r="U148" s="168">
        <v>3.8532184823176561</v>
      </c>
      <c r="V148" s="168">
        <v>3.2110154019313804</v>
      </c>
      <c r="W148" s="168">
        <v>2.5688123215451046</v>
      </c>
    </row>
    <row r="149" spans="1:23" s="129" customFormat="1" hidden="1">
      <c r="A149" s="195" t="s">
        <v>1276</v>
      </c>
      <c r="B149" s="195" t="s">
        <v>656</v>
      </c>
      <c r="C149" s="195" t="s">
        <v>907</v>
      </c>
      <c r="D149" s="236" t="s">
        <v>908</v>
      </c>
      <c r="E149" s="128" t="s">
        <v>765</v>
      </c>
      <c r="F149" s="128"/>
      <c r="G149" s="241" t="s">
        <v>952</v>
      </c>
      <c r="H149" s="241" t="s">
        <v>2914</v>
      </c>
      <c r="I149" s="195" t="s">
        <v>954</v>
      </c>
      <c r="J149" s="128"/>
      <c r="K149" s="236" t="s">
        <v>60</v>
      </c>
      <c r="L149" s="227"/>
      <c r="M149" s="236" t="s">
        <v>912</v>
      </c>
      <c r="N149" s="128" t="s">
        <v>913</v>
      </c>
      <c r="O149" s="128">
        <v>1920</v>
      </c>
      <c r="P149" s="128">
        <v>8544700000</v>
      </c>
      <c r="Q149" s="126">
        <v>2.2206323491103976</v>
      </c>
      <c r="R149" s="149" t="s">
        <v>9</v>
      </c>
      <c r="T149" s="168">
        <v>7.4021078303679921</v>
      </c>
      <c r="U149" s="168">
        <v>4.4412646982207953</v>
      </c>
      <c r="V149" s="168">
        <v>3.7010539151839961</v>
      </c>
      <c r="W149" s="168">
        <v>2.9608431321471969</v>
      </c>
    </row>
    <row r="150" spans="1:23" s="129" customFormat="1" hidden="1">
      <c r="A150" s="195" t="s">
        <v>1276</v>
      </c>
      <c r="B150" s="195" t="s">
        <v>656</v>
      </c>
      <c r="C150" s="195" t="s">
        <v>907</v>
      </c>
      <c r="D150" s="236" t="s">
        <v>908</v>
      </c>
      <c r="E150" s="128" t="s">
        <v>765</v>
      </c>
      <c r="F150" s="128"/>
      <c r="G150" s="241" t="s">
        <v>955</v>
      </c>
      <c r="H150" s="241" t="s">
        <v>2915</v>
      </c>
      <c r="I150" s="195" t="s">
        <v>957</v>
      </c>
      <c r="J150" s="128"/>
      <c r="K150" s="236" t="s">
        <v>60</v>
      </c>
      <c r="L150" s="227"/>
      <c r="M150" s="236" t="s">
        <v>912</v>
      </c>
      <c r="N150" s="128" t="s">
        <v>913</v>
      </c>
      <c r="O150" s="128">
        <v>1920</v>
      </c>
      <c r="P150" s="128">
        <v>8544700000</v>
      </c>
      <c r="Q150" s="126">
        <v>2.5169191748693232</v>
      </c>
      <c r="R150" s="149" t="s">
        <v>9</v>
      </c>
      <c r="T150" s="168">
        <v>8.3897305828977444</v>
      </c>
      <c r="U150" s="168">
        <v>5.0338383497386463</v>
      </c>
      <c r="V150" s="168">
        <v>4.1948652914488722</v>
      </c>
      <c r="W150" s="168">
        <v>3.3558922331590981</v>
      </c>
    </row>
    <row r="151" spans="1:23" s="129" customFormat="1" hidden="1">
      <c r="A151" s="195" t="s">
        <v>1276</v>
      </c>
      <c r="B151" s="195" t="s">
        <v>656</v>
      </c>
      <c r="C151" s="195" t="s">
        <v>907</v>
      </c>
      <c r="D151" s="236" t="s">
        <v>908</v>
      </c>
      <c r="E151" s="128" t="s">
        <v>765</v>
      </c>
      <c r="F151" s="128"/>
      <c r="G151" s="241" t="s">
        <v>958</v>
      </c>
      <c r="H151" s="241" t="s">
        <v>2916</v>
      </c>
      <c r="I151" s="195" t="s">
        <v>960</v>
      </c>
      <c r="J151" s="128"/>
      <c r="K151" s="236" t="s">
        <v>60</v>
      </c>
      <c r="L151" s="227"/>
      <c r="M151" s="236" t="s">
        <v>912</v>
      </c>
      <c r="N151" s="128" t="s">
        <v>913</v>
      </c>
      <c r="O151" s="128">
        <v>1440</v>
      </c>
      <c r="P151" s="128">
        <v>8544700000</v>
      </c>
      <c r="Q151" s="126">
        <v>3.1260454834794467</v>
      </c>
      <c r="R151" s="149" t="s">
        <v>9</v>
      </c>
      <c r="T151" s="168">
        <v>10.420151611598156</v>
      </c>
      <c r="U151" s="168">
        <v>6.2520909669588933</v>
      </c>
      <c r="V151" s="168">
        <v>5.2100758057990779</v>
      </c>
      <c r="W151" s="168">
        <v>4.1680606446392625</v>
      </c>
    </row>
    <row r="152" spans="1:23" s="129" customFormat="1" hidden="1">
      <c r="A152" s="195" t="s">
        <v>1276</v>
      </c>
      <c r="B152" s="195" t="s">
        <v>656</v>
      </c>
      <c r="C152" s="195" t="s">
        <v>907</v>
      </c>
      <c r="D152" s="236" t="s">
        <v>908</v>
      </c>
      <c r="E152" s="128" t="s">
        <v>765</v>
      </c>
      <c r="F152" s="128"/>
      <c r="G152" s="241" t="s">
        <v>1611</v>
      </c>
      <c r="H152" s="241" t="s">
        <v>2825</v>
      </c>
      <c r="I152" s="195" t="s">
        <v>1615</v>
      </c>
      <c r="J152" s="128"/>
      <c r="K152" s="236" t="s">
        <v>60</v>
      </c>
      <c r="L152" s="227"/>
      <c r="M152" s="236" t="s">
        <v>912</v>
      </c>
      <c r="N152" s="128" t="s">
        <v>913</v>
      </c>
      <c r="O152" s="128">
        <v>720</v>
      </c>
      <c r="P152" s="128">
        <v>8544700000</v>
      </c>
      <c r="Q152" s="126">
        <v>4.7796352268236273</v>
      </c>
      <c r="R152" s="149" t="s">
        <v>9</v>
      </c>
      <c r="T152" s="168">
        <v>15.932117422745424</v>
      </c>
      <c r="U152" s="168">
        <v>9.5592704536472546</v>
      </c>
      <c r="V152" s="168">
        <v>7.9660587113727122</v>
      </c>
      <c r="W152" s="168">
        <v>6.3728469690981697</v>
      </c>
    </row>
    <row r="153" spans="1:23" s="129" customFormat="1" hidden="1">
      <c r="A153" s="195" t="s">
        <v>1276</v>
      </c>
      <c r="B153" s="195" t="s">
        <v>656</v>
      </c>
      <c r="C153" s="195" t="s">
        <v>907</v>
      </c>
      <c r="D153" s="236" t="s">
        <v>908</v>
      </c>
      <c r="E153" s="128" t="s">
        <v>765</v>
      </c>
      <c r="F153" s="128"/>
      <c r="G153" s="241" t="s">
        <v>1612</v>
      </c>
      <c r="H153" s="241" t="s">
        <v>2825</v>
      </c>
      <c r="I153" s="195" t="s">
        <v>1616</v>
      </c>
      <c r="J153" s="128"/>
      <c r="K153" s="236" t="s">
        <v>60</v>
      </c>
      <c r="L153" s="227"/>
      <c r="M153" s="236" t="s">
        <v>912</v>
      </c>
      <c r="N153" s="128" t="s">
        <v>913</v>
      </c>
      <c r="O153" s="128">
        <v>480</v>
      </c>
      <c r="P153" s="128">
        <v>8544700000</v>
      </c>
      <c r="Q153" s="126">
        <v>6.4080854819215958</v>
      </c>
      <c r="R153" s="149" t="s">
        <v>9</v>
      </c>
      <c r="T153" s="168">
        <v>21.360284939738655</v>
      </c>
      <c r="U153" s="168">
        <v>12.816170963843193</v>
      </c>
      <c r="V153" s="168">
        <v>10.680142469869327</v>
      </c>
      <c r="W153" s="168">
        <v>8.5441139758954616</v>
      </c>
    </row>
    <row r="154" spans="1:23" s="129" customFormat="1" hidden="1">
      <c r="A154" s="195" t="s">
        <v>1276</v>
      </c>
      <c r="B154" s="195" t="s">
        <v>656</v>
      </c>
      <c r="C154" s="195" t="s">
        <v>907</v>
      </c>
      <c r="D154" s="236" t="s">
        <v>923</v>
      </c>
      <c r="E154" s="128" t="s">
        <v>765</v>
      </c>
      <c r="F154" s="128"/>
      <c r="G154" s="241" t="s">
        <v>961</v>
      </c>
      <c r="H154" s="241" t="s">
        <v>2917</v>
      </c>
      <c r="I154" s="195" t="s">
        <v>963</v>
      </c>
      <c r="J154" s="128"/>
      <c r="K154" s="236" t="s">
        <v>60</v>
      </c>
      <c r="L154" s="227"/>
      <c r="M154" s="236" t="s">
        <v>912</v>
      </c>
      <c r="N154" s="128" t="s">
        <v>913</v>
      </c>
      <c r="O154" s="128">
        <v>2160</v>
      </c>
      <c r="P154" s="128">
        <v>8544700000</v>
      </c>
      <c r="Q154" s="126">
        <v>1.926609241158828</v>
      </c>
      <c r="R154" s="149" t="s">
        <v>9</v>
      </c>
      <c r="T154" s="168">
        <v>6.4220308038627607</v>
      </c>
      <c r="U154" s="168">
        <v>3.8532184823176561</v>
      </c>
      <c r="V154" s="168">
        <v>3.2110154019313804</v>
      </c>
      <c r="W154" s="168">
        <v>2.5688123215451046</v>
      </c>
    </row>
    <row r="155" spans="1:23" s="129" customFormat="1" hidden="1">
      <c r="A155" s="195" t="s">
        <v>1276</v>
      </c>
      <c r="B155" s="195" t="s">
        <v>656</v>
      </c>
      <c r="C155" s="195" t="s">
        <v>907</v>
      </c>
      <c r="D155" s="236" t="s">
        <v>923</v>
      </c>
      <c r="E155" s="128" t="s">
        <v>765</v>
      </c>
      <c r="F155" s="128"/>
      <c r="G155" s="241" t="s">
        <v>964</v>
      </c>
      <c r="H155" s="241" t="s">
        <v>2918</v>
      </c>
      <c r="I155" s="195" t="s">
        <v>966</v>
      </c>
      <c r="J155" s="128"/>
      <c r="K155" s="236" t="s">
        <v>60</v>
      </c>
      <c r="L155" s="227"/>
      <c r="M155" s="236" t="s">
        <v>912</v>
      </c>
      <c r="N155" s="128" t="s">
        <v>913</v>
      </c>
      <c r="O155" s="128">
        <v>1920</v>
      </c>
      <c r="P155" s="128">
        <v>8544700000</v>
      </c>
      <c r="Q155" s="126">
        <v>2.2206323491103976</v>
      </c>
      <c r="R155" s="149" t="s">
        <v>9</v>
      </c>
      <c r="T155" s="168">
        <v>7.4021078303679921</v>
      </c>
      <c r="U155" s="168">
        <v>4.4412646982207953</v>
      </c>
      <c r="V155" s="168">
        <v>3.7010539151839961</v>
      </c>
      <c r="W155" s="168">
        <v>2.9608431321471969</v>
      </c>
    </row>
    <row r="156" spans="1:23" s="129" customFormat="1" hidden="1">
      <c r="A156" s="195" t="s">
        <v>1276</v>
      </c>
      <c r="B156" s="195" t="s">
        <v>656</v>
      </c>
      <c r="C156" s="195" t="s">
        <v>907</v>
      </c>
      <c r="D156" s="236" t="s">
        <v>923</v>
      </c>
      <c r="E156" s="128" t="s">
        <v>765</v>
      </c>
      <c r="F156" s="128"/>
      <c r="G156" s="241" t="s">
        <v>967</v>
      </c>
      <c r="H156" s="241" t="s">
        <v>2919</v>
      </c>
      <c r="I156" s="195" t="s">
        <v>969</v>
      </c>
      <c r="J156" s="128"/>
      <c r="K156" s="236" t="s">
        <v>60</v>
      </c>
      <c r="L156" s="227"/>
      <c r="M156" s="236" t="s">
        <v>912</v>
      </c>
      <c r="N156" s="128" t="s">
        <v>913</v>
      </c>
      <c r="O156" s="128">
        <v>1920</v>
      </c>
      <c r="P156" s="128">
        <v>8544700000</v>
      </c>
      <c r="Q156" s="126">
        <v>2.5169191748693232</v>
      </c>
      <c r="R156" s="149" t="s">
        <v>9</v>
      </c>
      <c r="T156" s="168">
        <v>8.3897305828977444</v>
      </c>
      <c r="U156" s="168">
        <v>5.0338383497386463</v>
      </c>
      <c r="V156" s="168">
        <v>4.1948652914488722</v>
      </c>
      <c r="W156" s="168">
        <v>3.3558922331590981</v>
      </c>
    </row>
    <row r="157" spans="1:23" s="129" customFormat="1" hidden="1">
      <c r="A157" s="195" t="s">
        <v>1276</v>
      </c>
      <c r="B157" s="195" t="s">
        <v>656</v>
      </c>
      <c r="C157" s="195" t="s">
        <v>907</v>
      </c>
      <c r="D157" s="236" t="s">
        <v>923</v>
      </c>
      <c r="E157" s="128" t="s">
        <v>765</v>
      </c>
      <c r="F157" s="128"/>
      <c r="G157" s="241" t="s">
        <v>970</v>
      </c>
      <c r="H157" s="241" t="s">
        <v>2920</v>
      </c>
      <c r="I157" s="195" t="s">
        <v>972</v>
      </c>
      <c r="J157" s="128"/>
      <c r="K157" s="236" t="s">
        <v>60</v>
      </c>
      <c r="L157" s="227"/>
      <c r="M157" s="236" t="s">
        <v>912</v>
      </c>
      <c r="N157" s="128" t="s">
        <v>913</v>
      </c>
      <c r="O157" s="128">
        <v>1440</v>
      </c>
      <c r="P157" s="128">
        <v>8544700000</v>
      </c>
      <c r="Q157" s="126">
        <v>3.1260454834794467</v>
      </c>
      <c r="R157" s="149" t="s">
        <v>9</v>
      </c>
      <c r="T157" s="168">
        <v>10.420151611598156</v>
      </c>
      <c r="U157" s="168">
        <v>6.2520909669588933</v>
      </c>
      <c r="V157" s="168">
        <v>5.2100758057990779</v>
      </c>
      <c r="W157" s="168">
        <v>4.1680606446392625</v>
      </c>
    </row>
    <row r="158" spans="1:23" s="129" customFormat="1" hidden="1">
      <c r="A158" s="195" t="s">
        <v>1276</v>
      </c>
      <c r="B158" s="195" t="s">
        <v>656</v>
      </c>
      <c r="C158" s="195" t="s">
        <v>907</v>
      </c>
      <c r="D158" s="236" t="s">
        <v>923</v>
      </c>
      <c r="E158" s="128" t="s">
        <v>765</v>
      </c>
      <c r="F158" s="128"/>
      <c r="G158" s="241" t="s">
        <v>1617</v>
      </c>
      <c r="H158" s="241" t="s">
        <v>2825</v>
      </c>
      <c r="I158" s="195" t="s">
        <v>1621</v>
      </c>
      <c r="J158" s="128"/>
      <c r="K158" s="236" t="s">
        <v>60</v>
      </c>
      <c r="L158" s="227"/>
      <c r="M158" s="236" t="s">
        <v>912</v>
      </c>
      <c r="N158" s="128" t="s">
        <v>913</v>
      </c>
      <c r="O158" s="128">
        <v>720</v>
      </c>
      <c r="P158" s="128">
        <v>8544700000</v>
      </c>
      <c r="Q158" s="126">
        <v>4.7796352268236273</v>
      </c>
      <c r="R158" s="149" t="s">
        <v>9</v>
      </c>
      <c r="T158" s="168">
        <v>15.932117422745424</v>
      </c>
      <c r="U158" s="168">
        <v>9.5592704536472546</v>
      </c>
      <c r="V158" s="168">
        <v>7.9660587113727122</v>
      </c>
      <c r="W158" s="168">
        <v>6.3728469690981697</v>
      </c>
    </row>
    <row r="159" spans="1:23" s="129" customFormat="1" hidden="1">
      <c r="A159" s="195" t="s">
        <v>1276</v>
      </c>
      <c r="B159" s="195" t="s">
        <v>656</v>
      </c>
      <c r="C159" s="195" t="s">
        <v>907</v>
      </c>
      <c r="D159" s="236" t="s">
        <v>923</v>
      </c>
      <c r="E159" s="128" t="s">
        <v>765</v>
      </c>
      <c r="F159" s="128"/>
      <c r="G159" s="241" t="s">
        <v>1618</v>
      </c>
      <c r="H159" s="241" t="s">
        <v>2825</v>
      </c>
      <c r="I159" s="195" t="s">
        <v>1622</v>
      </c>
      <c r="J159" s="128"/>
      <c r="K159" s="236" t="s">
        <v>60</v>
      </c>
      <c r="L159" s="227"/>
      <c r="M159" s="236" t="s">
        <v>912</v>
      </c>
      <c r="N159" s="128" t="s">
        <v>913</v>
      </c>
      <c r="O159" s="128">
        <v>480</v>
      </c>
      <c r="P159" s="128">
        <v>8544700000</v>
      </c>
      <c r="Q159" s="126">
        <v>6.4080854819215958</v>
      </c>
      <c r="R159" s="149" t="s">
        <v>9</v>
      </c>
      <c r="T159" s="168">
        <v>21.360284939738655</v>
      </c>
      <c r="U159" s="168">
        <v>12.816170963843193</v>
      </c>
      <c r="V159" s="168">
        <v>10.680142469869327</v>
      </c>
      <c r="W159" s="168">
        <v>8.5441139758954616</v>
      </c>
    </row>
    <row r="160" spans="1:23" s="129" customFormat="1" hidden="1">
      <c r="A160" s="195" t="s">
        <v>1276</v>
      </c>
      <c r="B160" s="195" t="s">
        <v>656</v>
      </c>
      <c r="C160" s="195" t="s">
        <v>907</v>
      </c>
      <c r="D160" s="236" t="s">
        <v>936</v>
      </c>
      <c r="E160" s="128" t="s">
        <v>765</v>
      </c>
      <c r="F160" s="128"/>
      <c r="G160" s="241" t="s">
        <v>973</v>
      </c>
      <c r="H160" s="241" t="s">
        <v>2921</v>
      </c>
      <c r="I160" s="195" t="s">
        <v>974</v>
      </c>
      <c r="J160" s="128"/>
      <c r="K160" s="236" t="s">
        <v>60</v>
      </c>
      <c r="L160" s="227"/>
      <c r="M160" s="236" t="s">
        <v>912</v>
      </c>
      <c r="N160" s="128" t="s">
        <v>913</v>
      </c>
      <c r="O160" s="128">
        <v>2160</v>
      </c>
      <c r="P160" s="128">
        <v>8544700000</v>
      </c>
      <c r="Q160" s="126">
        <v>1.926609241158828</v>
      </c>
      <c r="R160" s="149" t="s">
        <v>9</v>
      </c>
      <c r="T160" s="168">
        <v>6.4220308038627607</v>
      </c>
      <c r="U160" s="168">
        <v>3.8532184823176561</v>
      </c>
      <c r="V160" s="168">
        <v>3.2110154019313804</v>
      </c>
      <c r="W160" s="168">
        <v>2.5688123215451046</v>
      </c>
    </row>
    <row r="161" spans="1:23" s="129" customFormat="1" hidden="1">
      <c r="A161" s="195" t="s">
        <v>1276</v>
      </c>
      <c r="B161" s="195" t="s">
        <v>656</v>
      </c>
      <c r="C161" s="195" t="s">
        <v>907</v>
      </c>
      <c r="D161" s="236" t="s">
        <v>936</v>
      </c>
      <c r="E161" s="128" t="s">
        <v>765</v>
      </c>
      <c r="F161" s="128"/>
      <c r="G161" s="241" t="s">
        <v>975</v>
      </c>
      <c r="H161" s="241" t="s">
        <v>2922</v>
      </c>
      <c r="I161" s="195" t="s">
        <v>977</v>
      </c>
      <c r="J161" s="128"/>
      <c r="K161" s="236" t="s">
        <v>60</v>
      </c>
      <c r="L161" s="227"/>
      <c r="M161" s="236" t="s">
        <v>912</v>
      </c>
      <c r="N161" s="128" t="s">
        <v>913</v>
      </c>
      <c r="O161" s="128">
        <v>1920</v>
      </c>
      <c r="P161" s="128">
        <v>8544700000</v>
      </c>
      <c r="Q161" s="126">
        <v>2.2206323491103976</v>
      </c>
      <c r="R161" s="149" t="s">
        <v>9</v>
      </c>
      <c r="T161" s="168">
        <v>7.4021078303679921</v>
      </c>
      <c r="U161" s="168">
        <v>4.4412646982207953</v>
      </c>
      <c r="V161" s="168">
        <v>3.7010539151839961</v>
      </c>
      <c r="W161" s="168">
        <v>2.9608431321471969</v>
      </c>
    </row>
    <row r="162" spans="1:23" s="129" customFormat="1" hidden="1">
      <c r="A162" s="195" t="s">
        <v>1276</v>
      </c>
      <c r="B162" s="195" t="s">
        <v>656</v>
      </c>
      <c r="C162" s="195" t="s">
        <v>907</v>
      </c>
      <c r="D162" s="236" t="s">
        <v>936</v>
      </c>
      <c r="E162" s="128" t="s">
        <v>765</v>
      </c>
      <c r="F162" s="128"/>
      <c r="G162" s="241" t="s">
        <v>978</v>
      </c>
      <c r="H162" s="241" t="s">
        <v>2923</v>
      </c>
      <c r="I162" s="195" t="s">
        <v>980</v>
      </c>
      <c r="J162" s="128"/>
      <c r="K162" s="236" t="s">
        <v>60</v>
      </c>
      <c r="L162" s="227"/>
      <c r="M162" s="236" t="s">
        <v>912</v>
      </c>
      <c r="N162" s="128" t="s">
        <v>913</v>
      </c>
      <c r="O162" s="128">
        <v>1920</v>
      </c>
      <c r="P162" s="128">
        <v>8544700000</v>
      </c>
      <c r="Q162" s="126">
        <v>2.5169191748693232</v>
      </c>
      <c r="R162" s="149" t="s">
        <v>9</v>
      </c>
      <c r="T162" s="168">
        <v>8.3897305828977444</v>
      </c>
      <c r="U162" s="168">
        <v>5.0338383497386463</v>
      </c>
      <c r="V162" s="168">
        <v>4.1948652914488722</v>
      </c>
      <c r="W162" s="168">
        <v>3.3558922331590981</v>
      </c>
    </row>
    <row r="163" spans="1:23" s="129" customFormat="1" hidden="1">
      <c r="A163" s="195" t="s">
        <v>1276</v>
      </c>
      <c r="B163" s="195" t="s">
        <v>656</v>
      </c>
      <c r="C163" s="195" t="s">
        <v>907</v>
      </c>
      <c r="D163" s="236" t="s">
        <v>936</v>
      </c>
      <c r="E163" s="128" t="s">
        <v>765</v>
      </c>
      <c r="F163" s="128"/>
      <c r="G163" s="241" t="s">
        <v>981</v>
      </c>
      <c r="H163" s="241" t="s">
        <v>2924</v>
      </c>
      <c r="I163" s="195" t="s">
        <v>983</v>
      </c>
      <c r="J163" s="128"/>
      <c r="K163" s="236" t="s">
        <v>60</v>
      </c>
      <c r="L163" s="227"/>
      <c r="M163" s="236" t="s">
        <v>912</v>
      </c>
      <c r="N163" s="128" t="s">
        <v>913</v>
      </c>
      <c r="O163" s="128">
        <v>1440</v>
      </c>
      <c r="P163" s="128">
        <v>8544700000</v>
      </c>
      <c r="Q163" s="126">
        <v>3.1260454834794467</v>
      </c>
      <c r="R163" s="149" t="s">
        <v>9</v>
      </c>
      <c r="T163" s="168">
        <v>10.420151611598156</v>
      </c>
      <c r="U163" s="168">
        <v>6.2520909669588933</v>
      </c>
      <c r="V163" s="168">
        <v>5.2100758057990779</v>
      </c>
      <c r="W163" s="168">
        <v>4.1680606446392625</v>
      </c>
    </row>
    <row r="164" spans="1:23" s="129" customFormat="1" hidden="1">
      <c r="A164" s="195" t="s">
        <v>1276</v>
      </c>
      <c r="B164" s="195" t="s">
        <v>656</v>
      </c>
      <c r="C164" s="195" t="s">
        <v>907</v>
      </c>
      <c r="D164" s="236" t="s">
        <v>936</v>
      </c>
      <c r="E164" s="128" t="s">
        <v>765</v>
      </c>
      <c r="F164" s="128"/>
      <c r="G164" s="241" t="s">
        <v>1474</v>
      </c>
      <c r="H164" s="241" t="s">
        <v>2825</v>
      </c>
      <c r="I164" s="195" t="s">
        <v>1476</v>
      </c>
      <c r="J164" s="128"/>
      <c r="K164" s="236" t="s">
        <v>60</v>
      </c>
      <c r="L164" s="227"/>
      <c r="M164" s="236" t="s">
        <v>912</v>
      </c>
      <c r="N164" s="128" t="s">
        <v>913</v>
      </c>
      <c r="O164" s="128">
        <v>720</v>
      </c>
      <c r="P164" s="128">
        <v>8544700000</v>
      </c>
      <c r="Q164" s="126">
        <v>4.7796352268236273</v>
      </c>
      <c r="R164" s="149" t="s">
        <v>9</v>
      </c>
      <c r="T164" s="168">
        <v>15.932117422745424</v>
      </c>
      <c r="U164" s="168">
        <v>9.5592704536472546</v>
      </c>
      <c r="V164" s="168">
        <v>7.9660587113727122</v>
      </c>
      <c r="W164" s="168">
        <v>6.3728469690981697</v>
      </c>
    </row>
    <row r="165" spans="1:23" s="129" customFormat="1" hidden="1">
      <c r="A165" s="195" t="s">
        <v>1276</v>
      </c>
      <c r="B165" s="195" t="s">
        <v>656</v>
      </c>
      <c r="C165" s="195" t="s">
        <v>907</v>
      </c>
      <c r="D165" s="236" t="s">
        <v>936</v>
      </c>
      <c r="E165" s="128" t="s">
        <v>765</v>
      </c>
      <c r="F165" s="128"/>
      <c r="G165" s="241" t="s">
        <v>1623</v>
      </c>
      <c r="H165" s="241" t="s">
        <v>2825</v>
      </c>
      <c r="I165" s="195" t="s">
        <v>1625</v>
      </c>
      <c r="J165" s="128"/>
      <c r="K165" s="236" t="s">
        <v>60</v>
      </c>
      <c r="L165" s="227"/>
      <c r="M165" s="236" t="s">
        <v>912</v>
      </c>
      <c r="N165" s="128" t="s">
        <v>913</v>
      </c>
      <c r="O165" s="128">
        <v>480</v>
      </c>
      <c r="P165" s="128">
        <v>8544700000</v>
      </c>
      <c r="Q165" s="126">
        <v>6.4080854819215958</v>
      </c>
      <c r="R165" s="149" t="s">
        <v>9</v>
      </c>
      <c r="T165" s="168">
        <v>21.360284939738655</v>
      </c>
      <c r="U165" s="168">
        <v>12.816170963843193</v>
      </c>
      <c r="V165" s="168">
        <v>10.680142469869327</v>
      </c>
      <c r="W165" s="168">
        <v>8.5441139758954616</v>
      </c>
    </row>
    <row r="166" spans="1:23" s="129" customFormat="1" hidden="1">
      <c r="A166" s="195" t="s">
        <v>1276</v>
      </c>
      <c r="B166" s="195" t="s">
        <v>656</v>
      </c>
      <c r="C166" s="195" t="s">
        <v>907</v>
      </c>
      <c r="D166" s="236" t="s">
        <v>908</v>
      </c>
      <c r="E166" s="128" t="s">
        <v>820</v>
      </c>
      <c r="F166" s="128"/>
      <c r="G166" s="241" t="s">
        <v>984</v>
      </c>
      <c r="H166" s="241" t="s">
        <v>2925</v>
      </c>
      <c r="I166" s="195" t="s">
        <v>986</v>
      </c>
      <c r="J166" s="128"/>
      <c r="K166" s="236" t="s">
        <v>60</v>
      </c>
      <c r="L166" s="227"/>
      <c r="M166" s="236" t="s">
        <v>912</v>
      </c>
      <c r="N166" s="128" t="s">
        <v>913</v>
      </c>
      <c r="O166" s="128">
        <v>2160</v>
      </c>
      <c r="P166" s="128">
        <v>8544700000</v>
      </c>
      <c r="Q166" s="126">
        <v>1.9643184735281463</v>
      </c>
      <c r="R166" s="149" t="s">
        <v>9</v>
      </c>
      <c r="T166" s="168">
        <v>6.547728245093821</v>
      </c>
      <c r="U166" s="168">
        <v>3.9286369470562925</v>
      </c>
      <c r="V166" s="168">
        <v>3.2738641225469105</v>
      </c>
      <c r="W166" s="168">
        <v>2.6190912980375285</v>
      </c>
    </row>
    <row r="167" spans="1:23" s="129" customFormat="1" hidden="1">
      <c r="A167" s="195" t="s">
        <v>1276</v>
      </c>
      <c r="B167" s="195" t="s">
        <v>656</v>
      </c>
      <c r="C167" s="195" t="s">
        <v>907</v>
      </c>
      <c r="D167" s="236" t="s">
        <v>908</v>
      </c>
      <c r="E167" s="128" t="s">
        <v>820</v>
      </c>
      <c r="F167" s="128"/>
      <c r="G167" s="241" t="s">
        <v>987</v>
      </c>
      <c r="H167" s="241" t="s">
        <v>2926</v>
      </c>
      <c r="I167" s="195" t="s">
        <v>989</v>
      </c>
      <c r="J167" s="128"/>
      <c r="K167" s="236" t="s">
        <v>60</v>
      </c>
      <c r="L167" s="227"/>
      <c r="M167" s="236" t="s">
        <v>912</v>
      </c>
      <c r="N167" s="128" t="s">
        <v>913</v>
      </c>
      <c r="O167" s="128">
        <v>1920</v>
      </c>
      <c r="P167" s="128">
        <v>8544700000</v>
      </c>
      <c r="Q167" s="126">
        <v>2.4810056202318775</v>
      </c>
      <c r="R167" s="149" t="s">
        <v>9</v>
      </c>
      <c r="T167" s="168">
        <v>8.2700187341062588</v>
      </c>
      <c r="U167" s="168">
        <v>4.9620112404637551</v>
      </c>
      <c r="V167" s="168">
        <v>4.1350093670531294</v>
      </c>
      <c r="W167" s="168">
        <v>3.3080074936425037</v>
      </c>
    </row>
    <row r="168" spans="1:23" s="129" customFormat="1" hidden="1">
      <c r="A168" s="195" t="s">
        <v>1276</v>
      </c>
      <c r="B168" s="195" t="s">
        <v>656</v>
      </c>
      <c r="C168" s="195" t="s">
        <v>907</v>
      </c>
      <c r="D168" s="236" t="s">
        <v>908</v>
      </c>
      <c r="E168" s="128" t="s">
        <v>820</v>
      </c>
      <c r="F168" s="128"/>
      <c r="G168" s="241" t="s">
        <v>990</v>
      </c>
      <c r="H168" s="241" t="s">
        <v>2927</v>
      </c>
      <c r="I168" s="195" t="s">
        <v>992</v>
      </c>
      <c r="J168" s="128"/>
      <c r="K168" s="236" t="s">
        <v>60</v>
      </c>
      <c r="L168" s="227"/>
      <c r="M168" s="236" t="s">
        <v>912</v>
      </c>
      <c r="N168" s="128" t="s">
        <v>913</v>
      </c>
      <c r="O168" s="128">
        <v>1920</v>
      </c>
      <c r="P168" s="128">
        <v>8544700000</v>
      </c>
      <c r="Q168" s="126">
        <v>2.9891824183517315</v>
      </c>
      <c r="R168" s="149" t="s">
        <v>9</v>
      </c>
      <c r="T168" s="168">
        <v>9.9639413945057722</v>
      </c>
      <c r="U168" s="168">
        <v>5.978364836703463</v>
      </c>
      <c r="V168" s="168">
        <v>4.9819706972528861</v>
      </c>
      <c r="W168" s="168">
        <v>3.9855765578023092</v>
      </c>
    </row>
    <row r="169" spans="1:23" s="129" customFormat="1" hidden="1">
      <c r="A169" s="195" t="s">
        <v>1276</v>
      </c>
      <c r="B169" s="195" t="s">
        <v>656</v>
      </c>
      <c r="C169" s="195" t="s">
        <v>907</v>
      </c>
      <c r="D169" s="236" t="s">
        <v>908</v>
      </c>
      <c r="E169" s="128" t="s">
        <v>820</v>
      </c>
      <c r="F169" s="128"/>
      <c r="G169" s="241" t="s">
        <v>993</v>
      </c>
      <c r="H169" s="241" t="s">
        <v>2928</v>
      </c>
      <c r="I169" s="195" t="s">
        <v>995</v>
      </c>
      <c r="J169" s="128"/>
      <c r="K169" s="236" t="s">
        <v>60</v>
      </c>
      <c r="L169" s="227"/>
      <c r="M169" s="236" t="s">
        <v>912</v>
      </c>
      <c r="N169" s="128" t="s">
        <v>913</v>
      </c>
      <c r="O169" s="128">
        <v>1440</v>
      </c>
      <c r="P169" s="128">
        <v>8544700000</v>
      </c>
      <c r="Q169" s="126">
        <v>4.029271382611201</v>
      </c>
      <c r="R169" s="149" t="s">
        <v>9</v>
      </c>
      <c r="T169" s="168">
        <v>13.430904608704004</v>
      </c>
      <c r="U169" s="168">
        <v>8.058542765222402</v>
      </c>
      <c r="V169" s="168">
        <v>6.7154523043520022</v>
      </c>
      <c r="W169" s="168">
        <v>5.3723618434816025</v>
      </c>
    </row>
    <row r="170" spans="1:23" s="129" customFormat="1" hidden="1">
      <c r="A170" s="195" t="s">
        <v>1276</v>
      </c>
      <c r="B170" s="195" t="s">
        <v>656</v>
      </c>
      <c r="C170" s="195" t="s">
        <v>907</v>
      </c>
      <c r="D170" s="236" t="s">
        <v>908</v>
      </c>
      <c r="E170" s="128" t="s">
        <v>820</v>
      </c>
      <c r="F170" s="128"/>
      <c r="G170" s="241" t="s">
        <v>1626</v>
      </c>
      <c r="H170" s="241" t="s">
        <v>2825</v>
      </c>
      <c r="I170" s="195" t="s">
        <v>1630</v>
      </c>
      <c r="J170" s="128"/>
      <c r="K170" s="236" t="s">
        <v>60</v>
      </c>
      <c r="L170" s="227"/>
      <c r="M170" s="236" t="s">
        <v>912</v>
      </c>
      <c r="N170" s="128" t="s">
        <v>913</v>
      </c>
      <c r="O170" s="128">
        <v>720</v>
      </c>
      <c r="P170" s="128">
        <v>8544700000</v>
      </c>
      <c r="Q170" s="126">
        <v>6.9524052823890798</v>
      </c>
      <c r="R170" s="149" t="s">
        <v>9</v>
      </c>
      <c r="T170" s="168">
        <v>23.174684274630266</v>
      </c>
      <c r="U170" s="168">
        <v>13.90481056477816</v>
      </c>
      <c r="V170" s="168">
        <v>11.587342137315133</v>
      </c>
      <c r="W170" s="168">
        <v>9.2698737098521065</v>
      </c>
    </row>
    <row r="171" spans="1:23" s="129" customFormat="1" hidden="1">
      <c r="A171" s="195" t="s">
        <v>1276</v>
      </c>
      <c r="B171" s="195" t="s">
        <v>656</v>
      </c>
      <c r="C171" s="195" t="s">
        <v>907</v>
      </c>
      <c r="D171" s="236" t="s">
        <v>908</v>
      </c>
      <c r="E171" s="128" t="s">
        <v>820</v>
      </c>
      <c r="F171" s="128"/>
      <c r="G171" s="241" t="s">
        <v>1627</v>
      </c>
      <c r="H171" s="241" t="s">
        <v>2825</v>
      </c>
      <c r="I171" s="195" t="s">
        <v>1631</v>
      </c>
      <c r="J171" s="128"/>
      <c r="K171" s="236" t="s">
        <v>60</v>
      </c>
      <c r="L171" s="227"/>
      <c r="M171" s="236" t="s">
        <v>912</v>
      </c>
      <c r="N171" s="128" t="s">
        <v>913</v>
      </c>
      <c r="O171" s="128">
        <v>480</v>
      </c>
      <c r="P171" s="128">
        <v>8544700000</v>
      </c>
      <c r="Q171" s="126">
        <v>9.6672405652697737</v>
      </c>
      <c r="R171" s="149" t="s">
        <v>9</v>
      </c>
      <c r="T171" s="168">
        <v>32.224135217565916</v>
      </c>
      <c r="U171" s="168">
        <v>19.334481130539547</v>
      </c>
      <c r="V171" s="168">
        <v>16.112067608782958</v>
      </c>
      <c r="W171" s="168">
        <v>12.889654087026367</v>
      </c>
    </row>
    <row r="172" spans="1:23" s="129" customFormat="1" hidden="1">
      <c r="A172" s="195" t="s">
        <v>1276</v>
      </c>
      <c r="B172" s="195" t="s">
        <v>656</v>
      </c>
      <c r="C172" s="195" t="s">
        <v>907</v>
      </c>
      <c r="D172" s="236" t="s">
        <v>923</v>
      </c>
      <c r="E172" s="128" t="s">
        <v>820</v>
      </c>
      <c r="F172" s="128"/>
      <c r="G172" s="241" t="s">
        <v>996</v>
      </c>
      <c r="H172" s="241" t="s">
        <v>2929</v>
      </c>
      <c r="I172" s="195" t="s">
        <v>998</v>
      </c>
      <c r="J172" s="128"/>
      <c r="K172" s="236" t="s">
        <v>60</v>
      </c>
      <c r="L172" s="227"/>
      <c r="M172" s="236" t="s">
        <v>912</v>
      </c>
      <c r="N172" s="128" t="s">
        <v>913</v>
      </c>
      <c r="O172" s="128">
        <v>2160</v>
      </c>
      <c r="P172" s="128">
        <v>8544700000</v>
      </c>
      <c r="Q172" s="126">
        <v>1.9643184735281463</v>
      </c>
      <c r="R172" s="149" t="s">
        <v>9</v>
      </c>
      <c r="T172" s="168">
        <v>6.547728245093821</v>
      </c>
      <c r="U172" s="168">
        <v>3.9286369470562925</v>
      </c>
      <c r="V172" s="168">
        <v>3.2738641225469105</v>
      </c>
      <c r="W172" s="168">
        <v>2.6190912980375285</v>
      </c>
    </row>
    <row r="173" spans="1:23" s="129" customFormat="1" hidden="1">
      <c r="A173" s="195" t="s">
        <v>1276</v>
      </c>
      <c r="B173" s="195" t="s">
        <v>656</v>
      </c>
      <c r="C173" s="195" t="s">
        <v>907</v>
      </c>
      <c r="D173" s="236" t="s">
        <v>923</v>
      </c>
      <c r="E173" s="128" t="s">
        <v>820</v>
      </c>
      <c r="F173" s="128"/>
      <c r="G173" s="241" t="s">
        <v>999</v>
      </c>
      <c r="H173" s="241" t="s">
        <v>2930</v>
      </c>
      <c r="I173" s="195" t="s">
        <v>1001</v>
      </c>
      <c r="J173" s="128"/>
      <c r="K173" s="236" t="s">
        <v>60</v>
      </c>
      <c r="L173" s="227"/>
      <c r="M173" s="236" t="s">
        <v>912</v>
      </c>
      <c r="N173" s="128" t="s">
        <v>913</v>
      </c>
      <c r="O173" s="128">
        <v>1920</v>
      </c>
      <c r="P173" s="128">
        <v>8544700000</v>
      </c>
      <c r="Q173" s="126">
        <v>2.4810056202318775</v>
      </c>
      <c r="R173" s="149" t="s">
        <v>9</v>
      </c>
      <c r="T173" s="168">
        <v>8.2700187341062588</v>
      </c>
      <c r="U173" s="168">
        <v>4.9620112404637551</v>
      </c>
      <c r="V173" s="168">
        <v>4.1350093670531294</v>
      </c>
      <c r="W173" s="168">
        <v>3.3080074936425037</v>
      </c>
    </row>
    <row r="174" spans="1:23" s="129" customFormat="1" hidden="1">
      <c r="A174" s="195" t="s">
        <v>1276</v>
      </c>
      <c r="B174" s="195" t="s">
        <v>656</v>
      </c>
      <c r="C174" s="195" t="s">
        <v>907</v>
      </c>
      <c r="D174" s="236" t="s">
        <v>923</v>
      </c>
      <c r="E174" s="128" t="s">
        <v>820</v>
      </c>
      <c r="F174" s="128"/>
      <c r="G174" s="241" t="s">
        <v>1002</v>
      </c>
      <c r="H174" s="241" t="s">
        <v>2931</v>
      </c>
      <c r="I174" s="195" t="s">
        <v>1004</v>
      </c>
      <c r="J174" s="128"/>
      <c r="K174" s="236" t="s">
        <v>60</v>
      </c>
      <c r="L174" s="227"/>
      <c r="M174" s="236" t="s">
        <v>912</v>
      </c>
      <c r="N174" s="128" t="s">
        <v>913</v>
      </c>
      <c r="O174" s="128">
        <v>1920</v>
      </c>
      <c r="P174" s="128">
        <v>8544700000</v>
      </c>
      <c r="Q174" s="126">
        <v>2.9891824183517315</v>
      </c>
      <c r="R174" s="149" t="s">
        <v>9</v>
      </c>
      <c r="T174" s="168">
        <v>9.9639413945057722</v>
      </c>
      <c r="U174" s="168">
        <v>5.978364836703463</v>
      </c>
      <c r="V174" s="168">
        <v>4.9819706972528861</v>
      </c>
      <c r="W174" s="168">
        <v>3.9855765578023092</v>
      </c>
    </row>
    <row r="175" spans="1:23" s="129" customFormat="1" hidden="1">
      <c r="A175" s="195" t="s">
        <v>1276</v>
      </c>
      <c r="B175" s="195" t="s">
        <v>656</v>
      </c>
      <c r="C175" s="195" t="s">
        <v>907</v>
      </c>
      <c r="D175" s="236" t="s">
        <v>923</v>
      </c>
      <c r="E175" s="128" t="s">
        <v>820</v>
      </c>
      <c r="F175" s="128"/>
      <c r="G175" s="241" t="s">
        <v>1005</v>
      </c>
      <c r="H175" s="241" t="s">
        <v>2932</v>
      </c>
      <c r="I175" s="195" t="s">
        <v>1007</v>
      </c>
      <c r="J175" s="128"/>
      <c r="K175" s="236" t="s">
        <v>60</v>
      </c>
      <c r="L175" s="227"/>
      <c r="M175" s="236" t="s">
        <v>912</v>
      </c>
      <c r="N175" s="128" t="s">
        <v>913</v>
      </c>
      <c r="O175" s="128">
        <v>1440</v>
      </c>
      <c r="P175" s="128">
        <v>8544700000</v>
      </c>
      <c r="Q175" s="126">
        <v>4.029271382611201</v>
      </c>
      <c r="R175" s="149" t="s">
        <v>9</v>
      </c>
      <c r="T175" s="168">
        <v>13.430904608704004</v>
      </c>
      <c r="U175" s="168">
        <v>8.058542765222402</v>
      </c>
      <c r="V175" s="168">
        <v>6.7154523043520022</v>
      </c>
      <c r="W175" s="168">
        <v>5.3723618434816025</v>
      </c>
    </row>
    <row r="176" spans="1:23" s="129" customFormat="1" hidden="1">
      <c r="A176" s="195" t="s">
        <v>1276</v>
      </c>
      <c r="B176" s="195" t="s">
        <v>656</v>
      </c>
      <c r="C176" s="195" t="s">
        <v>907</v>
      </c>
      <c r="D176" s="236" t="s">
        <v>923</v>
      </c>
      <c r="E176" s="128" t="s">
        <v>820</v>
      </c>
      <c r="F176" s="128"/>
      <c r="G176" s="241" t="s">
        <v>1632</v>
      </c>
      <c r="H176" s="241" t="s">
        <v>2825</v>
      </c>
      <c r="I176" s="195" t="s">
        <v>1636</v>
      </c>
      <c r="J176" s="128"/>
      <c r="K176" s="236" t="s">
        <v>60</v>
      </c>
      <c r="L176" s="227"/>
      <c r="M176" s="236" t="s">
        <v>912</v>
      </c>
      <c r="N176" s="128" t="s">
        <v>913</v>
      </c>
      <c r="O176" s="128">
        <v>720</v>
      </c>
      <c r="P176" s="128">
        <v>8544700000</v>
      </c>
      <c r="Q176" s="126">
        <v>6.9524052823890798</v>
      </c>
      <c r="R176" s="149" t="s">
        <v>9</v>
      </c>
      <c r="T176" s="168">
        <v>23.174684274630266</v>
      </c>
      <c r="U176" s="168">
        <v>13.90481056477816</v>
      </c>
      <c r="V176" s="168">
        <v>11.587342137315133</v>
      </c>
      <c r="W176" s="168">
        <v>9.2698737098521065</v>
      </c>
    </row>
    <row r="177" spans="1:23" s="129" customFormat="1" hidden="1">
      <c r="A177" s="195" t="s">
        <v>1276</v>
      </c>
      <c r="B177" s="195" t="s">
        <v>656</v>
      </c>
      <c r="C177" s="195" t="s">
        <v>907</v>
      </c>
      <c r="D177" s="236" t="s">
        <v>923</v>
      </c>
      <c r="E177" s="128" t="s">
        <v>820</v>
      </c>
      <c r="F177" s="128"/>
      <c r="G177" s="241" t="s">
        <v>1633</v>
      </c>
      <c r="H177" s="241" t="s">
        <v>2825</v>
      </c>
      <c r="I177" s="195" t="s">
        <v>1637</v>
      </c>
      <c r="J177" s="128"/>
      <c r="K177" s="236" t="s">
        <v>60</v>
      </c>
      <c r="L177" s="227"/>
      <c r="M177" s="236" t="s">
        <v>912</v>
      </c>
      <c r="N177" s="128" t="s">
        <v>913</v>
      </c>
      <c r="O177" s="128">
        <v>480</v>
      </c>
      <c r="P177" s="128">
        <v>8544700000</v>
      </c>
      <c r="Q177" s="126">
        <v>9.6672405652697737</v>
      </c>
      <c r="R177" s="149" t="s">
        <v>9</v>
      </c>
      <c r="T177" s="168">
        <v>32.224135217565916</v>
      </c>
      <c r="U177" s="168">
        <v>19.334481130539547</v>
      </c>
      <c r="V177" s="168">
        <v>16.112067608782958</v>
      </c>
      <c r="W177" s="168">
        <v>12.889654087026367</v>
      </c>
    </row>
    <row r="178" spans="1:23" s="129" customFormat="1" hidden="1">
      <c r="A178" s="195" t="s">
        <v>1276</v>
      </c>
      <c r="B178" s="195" t="s">
        <v>656</v>
      </c>
      <c r="C178" s="195" t="s">
        <v>907</v>
      </c>
      <c r="D178" s="236" t="s">
        <v>936</v>
      </c>
      <c r="E178" s="128" t="s">
        <v>820</v>
      </c>
      <c r="F178" s="128"/>
      <c r="G178" s="241" t="s">
        <v>1008</v>
      </c>
      <c r="H178" s="241" t="s">
        <v>2933</v>
      </c>
      <c r="I178" s="195" t="s">
        <v>1010</v>
      </c>
      <c r="J178" s="128"/>
      <c r="K178" s="236" t="s">
        <v>60</v>
      </c>
      <c r="L178" s="227"/>
      <c r="M178" s="236" t="s">
        <v>912</v>
      </c>
      <c r="N178" s="128" t="s">
        <v>913</v>
      </c>
      <c r="O178" s="128">
        <v>2160</v>
      </c>
      <c r="P178" s="128">
        <v>8544700000</v>
      </c>
      <c r="Q178" s="126">
        <v>1.9643184735281463</v>
      </c>
      <c r="R178" s="149" t="s">
        <v>9</v>
      </c>
      <c r="T178" s="168">
        <v>6.547728245093821</v>
      </c>
      <c r="U178" s="168">
        <v>3.9286369470562925</v>
      </c>
      <c r="V178" s="168">
        <v>3.2738641225469105</v>
      </c>
      <c r="W178" s="168">
        <v>2.6190912980375285</v>
      </c>
    </row>
    <row r="179" spans="1:23" s="129" customFormat="1" hidden="1">
      <c r="A179" s="195" t="s">
        <v>1276</v>
      </c>
      <c r="B179" s="195" t="s">
        <v>656</v>
      </c>
      <c r="C179" s="195" t="s">
        <v>907</v>
      </c>
      <c r="D179" s="236" t="s">
        <v>936</v>
      </c>
      <c r="E179" s="128" t="s">
        <v>820</v>
      </c>
      <c r="F179" s="128"/>
      <c r="G179" s="241" t="s">
        <v>1011</v>
      </c>
      <c r="H179" s="241" t="s">
        <v>2934</v>
      </c>
      <c r="I179" s="195" t="s">
        <v>1013</v>
      </c>
      <c r="J179" s="128"/>
      <c r="K179" s="236" t="s">
        <v>60</v>
      </c>
      <c r="L179" s="227"/>
      <c r="M179" s="236" t="s">
        <v>912</v>
      </c>
      <c r="N179" s="128" t="s">
        <v>913</v>
      </c>
      <c r="O179" s="128">
        <v>1920</v>
      </c>
      <c r="P179" s="128">
        <v>8544700000</v>
      </c>
      <c r="Q179" s="126">
        <v>2.4810056202318775</v>
      </c>
      <c r="R179" s="149" t="s">
        <v>9</v>
      </c>
      <c r="T179" s="168">
        <v>8.2700187341062588</v>
      </c>
      <c r="U179" s="168">
        <v>4.9620112404637551</v>
      </c>
      <c r="V179" s="168">
        <v>4.1350093670531294</v>
      </c>
      <c r="W179" s="168">
        <v>3.3080074936425037</v>
      </c>
    </row>
    <row r="180" spans="1:23" s="129" customFormat="1" hidden="1">
      <c r="A180" s="195" t="s">
        <v>1276</v>
      </c>
      <c r="B180" s="195" t="s">
        <v>656</v>
      </c>
      <c r="C180" s="195" t="s">
        <v>907</v>
      </c>
      <c r="D180" s="236" t="s">
        <v>936</v>
      </c>
      <c r="E180" s="128" t="s">
        <v>820</v>
      </c>
      <c r="F180" s="128"/>
      <c r="G180" s="241" t="s">
        <v>1014</v>
      </c>
      <c r="H180" s="241" t="s">
        <v>2935</v>
      </c>
      <c r="I180" s="195" t="s">
        <v>1016</v>
      </c>
      <c r="J180" s="128"/>
      <c r="K180" s="236" t="s">
        <v>60</v>
      </c>
      <c r="L180" s="227"/>
      <c r="M180" s="236" t="s">
        <v>912</v>
      </c>
      <c r="N180" s="128" t="s">
        <v>913</v>
      </c>
      <c r="O180" s="128">
        <v>1920</v>
      </c>
      <c r="P180" s="128">
        <v>8544700000</v>
      </c>
      <c r="Q180" s="126">
        <v>2.9891824183517315</v>
      </c>
      <c r="R180" s="149" t="s">
        <v>9</v>
      </c>
      <c r="T180" s="168">
        <v>9.9639413945057722</v>
      </c>
      <c r="U180" s="168">
        <v>5.978364836703463</v>
      </c>
      <c r="V180" s="168">
        <v>4.9819706972528861</v>
      </c>
      <c r="W180" s="168">
        <v>3.9855765578023092</v>
      </c>
    </row>
    <row r="181" spans="1:23" s="129" customFormat="1" hidden="1">
      <c r="A181" s="195" t="s">
        <v>1276</v>
      </c>
      <c r="B181" s="195" t="s">
        <v>656</v>
      </c>
      <c r="C181" s="195" t="s">
        <v>907</v>
      </c>
      <c r="D181" s="236" t="s">
        <v>936</v>
      </c>
      <c r="E181" s="128" t="s">
        <v>820</v>
      </c>
      <c r="F181" s="128"/>
      <c r="G181" s="241" t="s">
        <v>1017</v>
      </c>
      <c r="H181" s="241" t="s">
        <v>2936</v>
      </c>
      <c r="I181" s="195" t="s">
        <v>1019</v>
      </c>
      <c r="J181" s="128"/>
      <c r="K181" s="236" t="s">
        <v>60</v>
      </c>
      <c r="L181" s="227"/>
      <c r="M181" s="236" t="s">
        <v>912</v>
      </c>
      <c r="N181" s="128" t="s">
        <v>913</v>
      </c>
      <c r="O181" s="128">
        <v>1440</v>
      </c>
      <c r="P181" s="128">
        <v>8544700000</v>
      </c>
      <c r="Q181" s="126">
        <v>4.029271382611201</v>
      </c>
      <c r="R181" s="149" t="s">
        <v>9</v>
      </c>
      <c r="T181" s="168">
        <v>13.430904608704004</v>
      </c>
      <c r="U181" s="168">
        <v>8.058542765222402</v>
      </c>
      <c r="V181" s="168">
        <v>6.7154523043520022</v>
      </c>
      <c r="W181" s="168">
        <v>5.3723618434816025</v>
      </c>
    </row>
    <row r="182" spans="1:23" s="129" customFormat="1" hidden="1">
      <c r="A182" s="195" t="s">
        <v>1276</v>
      </c>
      <c r="B182" s="195" t="s">
        <v>656</v>
      </c>
      <c r="C182" s="195" t="s">
        <v>907</v>
      </c>
      <c r="D182" s="236" t="s">
        <v>936</v>
      </c>
      <c r="E182" s="128" t="s">
        <v>820</v>
      </c>
      <c r="F182" s="128"/>
      <c r="G182" s="241" t="s">
        <v>1638</v>
      </c>
      <c r="H182" s="241" t="s">
        <v>2825</v>
      </c>
      <c r="I182" s="195" t="s">
        <v>1642</v>
      </c>
      <c r="J182" s="128"/>
      <c r="K182" s="236" t="s">
        <v>60</v>
      </c>
      <c r="L182" s="227"/>
      <c r="M182" s="236" t="s">
        <v>912</v>
      </c>
      <c r="N182" s="128" t="s">
        <v>913</v>
      </c>
      <c r="O182" s="128">
        <v>720</v>
      </c>
      <c r="P182" s="128">
        <v>8544700000</v>
      </c>
      <c r="Q182" s="126">
        <v>6.9524052823890798</v>
      </c>
      <c r="R182" s="149" t="s">
        <v>9</v>
      </c>
      <c r="T182" s="168">
        <v>23.174684274630266</v>
      </c>
      <c r="U182" s="168">
        <v>13.90481056477816</v>
      </c>
      <c r="V182" s="168">
        <v>11.587342137315133</v>
      </c>
      <c r="W182" s="168">
        <v>9.2698737098521065</v>
      </c>
    </row>
    <row r="183" spans="1:23" s="129" customFormat="1" hidden="1">
      <c r="A183" s="195" t="s">
        <v>1276</v>
      </c>
      <c r="B183" s="195" t="s">
        <v>656</v>
      </c>
      <c r="C183" s="195" t="s">
        <v>907</v>
      </c>
      <c r="D183" s="236" t="s">
        <v>936</v>
      </c>
      <c r="E183" s="128" t="s">
        <v>820</v>
      </c>
      <c r="F183" s="128"/>
      <c r="G183" s="241" t="s">
        <v>1639</v>
      </c>
      <c r="H183" s="241" t="s">
        <v>2825</v>
      </c>
      <c r="I183" s="195" t="s">
        <v>1643</v>
      </c>
      <c r="J183" s="128"/>
      <c r="K183" s="236" t="s">
        <v>60</v>
      </c>
      <c r="L183" s="227"/>
      <c r="M183" s="236" t="s">
        <v>912</v>
      </c>
      <c r="N183" s="128" t="s">
        <v>913</v>
      </c>
      <c r="O183" s="128">
        <v>480</v>
      </c>
      <c r="P183" s="128">
        <v>8544700000</v>
      </c>
      <c r="Q183" s="126">
        <v>9.6672405652697737</v>
      </c>
      <c r="R183" s="149" t="s">
        <v>9</v>
      </c>
      <c r="T183" s="168">
        <v>32.224135217565916</v>
      </c>
      <c r="U183" s="168">
        <v>19.334481130539547</v>
      </c>
      <c r="V183" s="168">
        <v>16.112067608782958</v>
      </c>
      <c r="W183" s="168">
        <v>12.889654087026367</v>
      </c>
    </row>
    <row r="184" spans="1:23" s="129" customFormat="1" hidden="1">
      <c r="A184" s="195" t="s">
        <v>1276</v>
      </c>
      <c r="B184" s="195" t="s">
        <v>656</v>
      </c>
      <c r="C184" s="195" t="s">
        <v>907</v>
      </c>
      <c r="D184" s="236" t="s">
        <v>908</v>
      </c>
      <c r="E184" s="128" t="s">
        <v>2632</v>
      </c>
      <c r="F184" s="128"/>
      <c r="G184" s="241" t="s">
        <v>1020</v>
      </c>
      <c r="H184" s="241" t="s">
        <v>2937</v>
      </c>
      <c r="I184" s="195" t="s">
        <v>1022</v>
      </c>
      <c r="J184" s="128"/>
      <c r="K184" s="236" t="s">
        <v>60</v>
      </c>
      <c r="L184" s="227"/>
      <c r="M184" s="236" t="s">
        <v>912</v>
      </c>
      <c r="N184" s="128" t="s">
        <v>913</v>
      </c>
      <c r="O184" s="128">
        <v>2160</v>
      </c>
      <c r="P184" s="128">
        <v>8544700000</v>
      </c>
      <c r="Q184" s="126">
        <v>2.7328685427694794</v>
      </c>
      <c r="R184" s="149" t="s">
        <v>9</v>
      </c>
      <c r="T184" s="168">
        <v>9.1095618092315984</v>
      </c>
      <c r="U184" s="168">
        <v>5.4657370855389589</v>
      </c>
      <c r="V184" s="168">
        <v>4.5547809046157992</v>
      </c>
      <c r="W184" s="168">
        <v>3.6438247236926395</v>
      </c>
    </row>
    <row r="185" spans="1:23" s="129" customFormat="1" hidden="1">
      <c r="A185" s="195" t="s">
        <v>1276</v>
      </c>
      <c r="B185" s="195" t="s">
        <v>656</v>
      </c>
      <c r="C185" s="195" t="s">
        <v>907</v>
      </c>
      <c r="D185" s="236" t="s">
        <v>908</v>
      </c>
      <c r="E185" s="128" t="s">
        <v>2632</v>
      </c>
      <c r="F185" s="128"/>
      <c r="G185" s="241" t="s">
        <v>1023</v>
      </c>
      <c r="H185" s="241" t="s">
        <v>2938</v>
      </c>
      <c r="I185" s="195" t="s">
        <v>1025</v>
      </c>
      <c r="J185" s="128"/>
      <c r="K185" s="236" t="s">
        <v>60</v>
      </c>
      <c r="L185" s="227"/>
      <c r="M185" s="236" t="s">
        <v>912</v>
      </c>
      <c r="N185" s="128" t="s">
        <v>913</v>
      </c>
      <c r="O185" s="128">
        <v>1920</v>
      </c>
      <c r="P185" s="128">
        <v>8544700000</v>
      </c>
      <c r="Q185" s="126">
        <v>2.8401411666063323</v>
      </c>
      <c r="R185" s="149" t="s">
        <v>9</v>
      </c>
      <c r="T185" s="168">
        <v>9.4671372220211083</v>
      </c>
      <c r="U185" s="168">
        <v>5.6802823332126646</v>
      </c>
      <c r="V185" s="168">
        <v>4.7335686110105542</v>
      </c>
      <c r="W185" s="168">
        <v>3.7868548888084437</v>
      </c>
    </row>
    <row r="186" spans="1:23" s="129" customFormat="1" hidden="1">
      <c r="A186" s="195" t="s">
        <v>1276</v>
      </c>
      <c r="B186" s="195" t="s">
        <v>656</v>
      </c>
      <c r="C186" s="195" t="s">
        <v>907</v>
      </c>
      <c r="D186" s="236" t="s">
        <v>908</v>
      </c>
      <c r="E186" s="128" t="s">
        <v>2632</v>
      </c>
      <c r="F186" s="128"/>
      <c r="G186" s="241" t="s">
        <v>1026</v>
      </c>
      <c r="H186" s="241" t="s">
        <v>2939</v>
      </c>
      <c r="I186" s="195" t="s">
        <v>1028</v>
      </c>
      <c r="J186" s="128"/>
      <c r="K186" s="236" t="s">
        <v>60</v>
      </c>
      <c r="L186" s="227"/>
      <c r="M186" s="236" t="s">
        <v>912</v>
      </c>
      <c r="N186" s="128" t="s">
        <v>913</v>
      </c>
      <c r="O186" s="128">
        <v>1920</v>
      </c>
      <c r="P186" s="128">
        <v>8544700000</v>
      </c>
      <c r="Q186" s="126">
        <v>2.9389034418593076</v>
      </c>
      <c r="R186" s="149" t="s">
        <v>9</v>
      </c>
      <c r="T186" s="168">
        <v>9.796344806197693</v>
      </c>
      <c r="U186" s="168">
        <v>5.8778068837186153</v>
      </c>
      <c r="V186" s="168">
        <v>4.8981724030988465</v>
      </c>
      <c r="W186" s="168">
        <v>3.9185379224790773</v>
      </c>
    </row>
    <row r="187" spans="1:23" s="129" customFormat="1" hidden="1">
      <c r="A187" s="195" t="s">
        <v>1276</v>
      </c>
      <c r="B187" s="195" t="s">
        <v>656</v>
      </c>
      <c r="C187" s="195" t="s">
        <v>907</v>
      </c>
      <c r="D187" s="236" t="s">
        <v>908</v>
      </c>
      <c r="E187" s="128" t="s">
        <v>2632</v>
      </c>
      <c r="F187" s="128"/>
      <c r="G187" s="241" t="s">
        <v>1029</v>
      </c>
      <c r="H187" s="241" t="s">
        <v>2940</v>
      </c>
      <c r="I187" s="195" t="s">
        <v>1031</v>
      </c>
      <c r="J187" s="128"/>
      <c r="K187" s="236" t="s">
        <v>60</v>
      </c>
      <c r="L187" s="227"/>
      <c r="M187" s="236" t="s">
        <v>912</v>
      </c>
      <c r="N187" s="128" t="s">
        <v>913</v>
      </c>
      <c r="O187" s="128">
        <v>1440</v>
      </c>
      <c r="P187" s="128">
        <v>8544700000</v>
      </c>
      <c r="Q187" s="126">
        <v>3.1511849717256588</v>
      </c>
      <c r="R187" s="149" t="s">
        <v>9</v>
      </c>
      <c r="T187" s="168">
        <v>10.503949905752197</v>
      </c>
      <c r="U187" s="168">
        <v>6.3023699434513185</v>
      </c>
      <c r="V187" s="168">
        <v>5.2519749528760986</v>
      </c>
      <c r="W187" s="168">
        <v>4.2015799623008787</v>
      </c>
    </row>
    <row r="188" spans="1:23" s="129" customFormat="1" hidden="1">
      <c r="A188" s="195" t="s">
        <v>1276</v>
      </c>
      <c r="B188" s="195" t="s">
        <v>656</v>
      </c>
      <c r="C188" s="195" t="s">
        <v>907</v>
      </c>
      <c r="D188" s="236" t="s">
        <v>908</v>
      </c>
      <c r="E188" s="128" t="s">
        <v>2632</v>
      </c>
      <c r="F188" s="128"/>
      <c r="G188" s="241" t="s">
        <v>2429</v>
      </c>
      <c r="H188" s="241" t="s">
        <v>2825</v>
      </c>
      <c r="I188" s="195" t="s">
        <v>1648</v>
      </c>
      <c r="J188" s="128"/>
      <c r="K188" s="236" t="s">
        <v>60</v>
      </c>
      <c r="L188" s="227"/>
      <c r="M188" s="236" t="s">
        <v>912</v>
      </c>
      <c r="N188" s="128" t="s">
        <v>913</v>
      </c>
      <c r="O188" s="128">
        <v>720</v>
      </c>
      <c r="P188" s="128">
        <v>8544700000</v>
      </c>
      <c r="Q188" s="126">
        <v>3.6555409666715839</v>
      </c>
      <c r="R188" s="149" t="s">
        <v>9</v>
      </c>
      <c r="T188" s="168">
        <v>12.185136555571948</v>
      </c>
      <c r="U188" s="168">
        <v>7.3110819333431678</v>
      </c>
      <c r="V188" s="168">
        <v>6.0925682777859738</v>
      </c>
      <c r="W188" s="168">
        <v>4.8740546222287797</v>
      </c>
    </row>
    <row r="189" spans="1:23" s="129" customFormat="1" hidden="1">
      <c r="A189" s="195" t="s">
        <v>1276</v>
      </c>
      <c r="B189" s="195" t="s">
        <v>656</v>
      </c>
      <c r="C189" s="195" t="s">
        <v>907</v>
      </c>
      <c r="D189" s="236" t="s">
        <v>908</v>
      </c>
      <c r="E189" s="128" t="s">
        <v>2632</v>
      </c>
      <c r="F189" s="128"/>
      <c r="G189" s="241" t="s">
        <v>1645</v>
      </c>
      <c r="H189" s="241" t="s">
        <v>2825</v>
      </c>
      <c r="I189" s="195" t="s">
        <v>1649</v>
      </c>
      <c r="J189" s="128"/>
      <c r="K189" s="236" t="s">
        <v>60</v>
      </c>
      <c r="L189" s="227"/>
      <c r="M189" s="236" t="s">
        <v>912</v>
      </c>
      <c r="N189" s="128" t="s">
        <v>913</v>
      </c>
      <c r="O189" s="128">
        <v>480</v>
      </c>
      <c r="P189" s="128">
        <v>8544700000</v>
      </c>
      <c r="Q189" s="126">
        <v>4.2694333032617173</v>
      </c>
      <c r="R189" s="149" t="s">
        <v>9</v>
      </c>
      <c r="T189" s="168">
        <v>14.231444344205725</v>
      </c>
      <c r="U189" s="168">
        <v>8.5388666065234347</v>
      </c>
      <c r="V189" s="168">
        <v>7.1157221721028625</v>
      </c>
      <c r="W189" s="168">
        <v>5.6925777376822904</v>
      </c>
    </row>
    <row r="190" spans="1:23" s="129" customFormat="1" hidden="1">
      <c r="A190" s="195" t="s">
        <v>1276</v>
      </c>
      <c r="B190" s="195" t="s">
        <v>656</v>
      </c>
      <c r="C190" s="195" t="s">
        <v>907</v>
      </c>
      <c r="D190" s="236" t="s">
        <v>923</v>
      </c>
      <c r="E190" s="128" t="s">
        <v>2632</v>
      </c>
      <c r="F190" s="128"/>
      <c r="G190" s="241" t="s">
        <v>1032</v>
      </c>
      <c r="H190" s="241" t="s">
        <v>2941</v>
      </c>
      <c r="I190" s="195" t="s">
        <v>1034</v>
      </c>
      <c r="J190" s="128"/>
      <c r="K190" s="236" t="s">
        <v>60</v>
      </c>
      <c r="L190" s="227"/>
      <c r="M190" s="236" t="s">
        <v>912</v>
      </c>
      <c r="N190" s="128" t="s">
        <v>913</v>
      </c>
      <c r="O190" s="128">
        <v>2160</v>
      </c>
      <c r="P190" s="128">
        <v>8544700000</v>
      </c>
      <c r="Q190" s="126">
        <v>2.7328685427694794</v>
      </c>
      <c r="R190" s="149" t="s">
        <v>9</v>
      </c>
      <c r="T190" s="168">
        <v>9.1095618092315984</v>
      </c>
      <c r="U190" s="168">
        <v>5.4657370855389589</v>
      </c>
      <c r="V190" s="168">
        <v>4.5547809046157992</v>
      </c>
      <c r="W190" s="168">
        <v>3.6438247236926395</v>
      </c>
    </row>
    <row r="191" spans="1:23" s="129" customFormat="1" hidden="1">
      <c r="A191" s="195" t="s">
        <v>1276</v>
      </c>
      <c r="B191" s="195" t="s">
        <v>656</v>
      </c>
      <c r="C191" s="195" t="s">
        <v>907</v>
      </c>
      <c r="D191" s="236" t="s">
        <v>923</v>
      </c>
      <c r="E191" s="128" t="s">
        <v>2632</v>
      </c>
      <c r="F191" s="128"/>
      <c r="G191" s="241" t="s">
        <v>1035</v>
      </c>
      <c r="H191" s="241" t="s">
        <v>2942</v>
      </c>
      <c r="I191" s="195" t="s">
        <v>1037</v>
      </c>
      <c r="J191" s="128"/>
      <c r="K191" s="236" t="s">
        <v>60</v>
      </c>
      <c r="L191" s="227"/>
      <c r="M191" s="236" t="s">
        <v>912</v>
      </c>
      <c r="N191" s="128" t="s">
        <v>913</v>
      </c>
      <c r="O191" s="128">
        <v>1920</v>
      </c>
      <c r="P191" s="128">
        <v>8544700000</v>
      </c>
      <c r="Q191" s="126">
        <v>2.8401411666063323</v>
      </c>
      <c r="R191" s="149" t="s">
        <v>9</v>
      </c>
      <c r="T191" s="168">
        <v>9.4671372220211083</v>
      </c>
      <c r="U191" s="168">
        <v>5.6802823332126646</v>
      </c>
      <c r="V191" s="168">
        <v>4.7335686110105542</v>
      </c>
      <c r="W191" s="168">
        <v>3.7868548888084437</v>
      </c>
    </row>
    <row r="192" spans="1:23" s="129" customFormat="1" hidden="1">
      <c r="A192" s="195" t="s">
        <v>1276</v>
      </c>
      <c r="B192" s="195" t="s">
        <v>656</v>
      </c>
      <c r="C192" s="195" t="s">
        <v>907</v>
      </c>
      <c r="D192" s="236" t="s">
        <v>923</v>
      </c>
      <c r="E192" s="128" t="s">
        <v>2632</v>
      </c>
      <c r="F192" s="128"/>
      <c r="G192" s="241" t="s">
        <v>1038</v>
      </c>
      <c r="H192" s="241" t="s">
        <v>2943</v>
      </c>
      <c r="I192" s="195" t="s">
        <v>1040</v>
      </c>
      <c r="J192" s="128"/>
      <c r="K192" s="236" t="s">
        <v>60</v>
      </c>
      <c r="L192" s="227"/>
      <c r="M192" s="236" t="s">
        <v>912</v>
      </c>
      <c r="N192" s="128" t="s">
        <v>913</v>
      </c>
      <c r="O192" s="128">
        <v>1920</v>
      </c>
      <c r="P192" s="128">
        <v>8544700000</v>
      </c>
      <c r="Q192" s="126">
        <v>2.9389034418593076</v>
      </c>
      <c r="R192" s="149" t="s">
        <v>9</v>
      </c>
      <c r="T192" s="168">
        <v>9.796344806197693</v>
      </c>
      <c r="U192" s="168">
        <v>5.8778068837186153</v>
      </c>
      <c r="V192" s="168">
        <v>4.8981724030988465</v>
      </c>
      <c r="W192" s="168">
        <v>3.9185379224790773</v>
      </c>
    </row>
    <row r="193" spans="1:23" s="129" customFormat="1" hidden="1">
      <c r="A193" s="195" t="s">
        <v>1276</v>
      </c>
      <c r="B193" s="195" t="s">
        <v>656</v>
      </c>
      <c r="C193" s="195" t="s">
        <v>907</v>
      </c>
      <c r="D193" s="236" t="s">
        <v>923</v>
      </c>
      <c r="E193" s="128" t="s">
        <v>2632</v>
      </c>
      <c r="F193" s="128"/>
      <c r="G193" s="241" t="s">
        <v>1041</v>
      </c>
      <c r="H193" s="241" t="s">
        <v>2944</v>
      </c>
      <c r="I193" s="195" t="s">
        <v>1043</v>
      </c>
      <c r="J193" s="128"/>
      <c r="K193" s="236" t="s">
        <v>60</v>
      </c>
      <c r="L193" s="227"/>
      <c r="M193" s="236" t="s">
        <v>912</v>
      </c>
      <c r="N193" s="128" t="s">
        <v>913</v>
      </c>
      <c r="O193" s="128">
        <v>1440</v>
      </c>
      <c r="P193" s="128">
        <v>8544700000</v>
      </c>
      <c r="Q193" s="126">
        <v>3.1511849717256588</v>
      </c>
      <c r="R193" s="149" t="s">
        <v>9</v>
      </c>
      <c r="T193" s="168">
        <v>10.503949905752197</v>
      </c>
      <c r="U193" s="168">
        <v>6.3023699434513185</v>
      </c>
      <c r="V193" s="168">
        <v>5.2519749528760986</v>
      </c>
      <c r="W193" s="168">
        <v>4.2015799623008787</v>
      </c>
    </row>
    <row r="194" spans="1:23" s="129" customFormat="1" hidden="1">
      <c r="A194" s="195" t="s">
        <v>1276</v>
      </c>
      <c r="B194" s="195" t="s">
        <v>656</v>
      </c>
      <c r="C194" s="195" t="s">
        <v>907</v>
      </c>
      <c r="D194" s="236" t="s">
        <v>923</v>
      </c>
      <c r="E194" s="128" t="s">
        <v>2632</v>
      </c>
      <c r="F194" s="128"/>
      <c r="G194" s="241" t="s">
        <v>1471</v>
      </c>
      <c r="H194" s="241" t="s">
        <v>2825</v>
      </c>
      <c r="I194" s="195" t="s">
        <v>1473</v>
      </c>
      <c r="J194" s="128"/>
      <c r="K194" s="236" t="s">
        <v>60</v>
      </c>
      <c r="L194" s="227"/>
      <c r="M194" s="236" t="s">
        <v>912</v>
      </c>
      <c r="N194" s="128" t="s">
        <v>913</v>
      </c>
      <c r="O194" s="128">
        <v>720</v>
      </c>
      <c r="P194" s="128">
        <v>8544700000</v>
      </c>
      <c r="Q194" s="126">
        <v>3.6555409666715839</v>
      </c>
      <c r="R194" s="149" t="s">
        <v>9</v>
      </c>
      <c r="T194" s="168">
        <v>12.185136555571948</v>
      </c>
      <c r="U194" s="168">
        <v>7.3110819333431678</v>
      </c>
      <c r="V194" s="168">
        <v>6.0925682777859738</v>
      </c>
      <c r="W194" s="168">
        <v>4.8740546222287797</v>
      </c>
    </row>
    <row r="195" spans="1:23" s="129" customFormat="1" hidden="1">
      <c r="A195" s="195" t="s">
        <v>1276</v>
      </c>
      <c r="B195" s="195" t="s">
        <v>656</v>
      </c>
      <c r="C195" s="195" t="s">
        <v>907</v>
      </c>
      <c r="D195" s="236" t="s">
        <v>923</v>
      </c>
      <c r="E195" s="128" t="s">
        <v>2632</v>
      </c>
      <c r="F195" s="128"/>
      <c r="G195" s="241" t="s">
        <v>1650</v>
      </c>
      <c r="H195" s="241" t="s">
        <v>2825</v>
      </c>
      <c r="I195" s="195" t="s">
        <v>1652</v>
      </c>
      <c r="J195" s="128"/>
      <c r="K195" s="236" t="s">
        <v>60</v>
      </c>
      <c r="L195" s="227"/>
      <c r="M195" s="236" t="s">
        <v>912</v>
      </c>
      <c r="N195" s="128" t="s">
        <v>913</v>
      </c>
      <c r="O195" s="128">
        <v>480</v>
      </c>
      <c r="P195" s="128">
        <v>8544700000</v>
      </c>
      <c r="Q195" s="126">
        <v>4.2694333032617173</v>
      </c>
      <c r="R195" s="149" t="s">
        <v>9</v>
      </c>
      <c r="T195" s="168">
        <v>14.231444344205725</v>
      </c>
      <c r="U195" s="168">
        <v>8.5388666065234347</v>
      </c>
      <c r="V195" s="168">
        <v>7.1157221721028625</v>
      </c>
      <c r="W195" s="168">
        <v>5.6925777376822904</v>
      </c>
    </row>
    <row r="196" spans="1:23" s="129" customFormat="1" hidden="1">
      <c r="A196" s="195" t="s">
        <v>1276</v>
      </c>
      <c r="B196" s="195" t="s">
        <v>656</v>
      </c>
      <c r="C196" s="195" t="s">
        <v>907</v>
      </c>
      <c r="D196" s="236" t="s">
        <v>936</v>
      </c>
      <c r="E196" s="128" t="s">
        <v>2632</v>
      </c>
      <c r="F196" s="128"/>
      <c r="G196" s="241" t="s">
        <v>1044</v>
      </c>
      <c r="H196" s="241" t="s">
        <v>2945</v>
      </c>
      <c r="I196" s="195" t="s">
        <v>1046</v>
      </c>
      <c r="J196" s="128"/>
      <c r="K196" s="236" t="s">
        <v>60</v>
      </c>
      <c r="L196" s="227"/>
      <c r="M196" s="236" t="s">
        <v>912</v>
      </c>
      <c r="N196" s="128" t="s">
        <v>913</v>
      </c>
      <c r="O196" s="128">
        <v>2160</v>
      </c>
      <c r="P196" s="128">
        <v>8544700000</v>
      </c>
      <c r="Q196" s="126">
        <v>2.7328685427694794</v>
      </c>
      <c r="R196" s="149" t="s">
        <v>9</v>
      </c>
      <c r="T196" s="168">
        <v>9.1095618092315984</v>
      </c>
      <c r="U196" s="168">
        <v>5.4657370855389589</v>
      </c>
      <c r="V196" s="168">
        <v>4.5547809046157992</v>
      </c>
      <c r="W196" s="168">
        <v>3.6438247236926395</v>
      </c>
    </row>
    <row r="197" spans="1:23" s="129" customFormat="1" hidden="1">
      <c r="A197" s="195" t="s">
        <v>1276</v>
      </c>
      <c r="B197" s="195" t="s">
        <v>656</v>
      </c>
      <c r="C197" s="195" t="s">
        <v>907</v>
      </c>
      <c r="D197" s="236" t="s">
        <v>936</v>
      </c>
      <c r="E197" s="128" t="s">
        <v>2632</v>
      </c>
      <c r="F197" s="128"/>
      <c r="G197" s="241" t="s">
        <v>1047</v>
      </c>
      <c r="H197" s="241" t="s">
        <v>2946</v>
      </c>
      <c r="I197" s="195" t="s">
        <v>1049</v>
      </c>
      <c r="J197" s="128"/>
      <c r="K197" s="236" t="s">
        <v>60</v>
      </c>
      <c r="L197" s="227"/>
      <c r="M197" s="236" t="s">
        <v>912</v>
      </c>
      <c r="N197" s="128" t="s">
        <v>913</v>
      </c>
      <c r="O197" s="128">
        <v>1920</v>
      </c>
      <c r="P197" s="128">
        <v>8544700000</v>
      </c>
      <c r="Q197" s="126">
        <v>2.8401411666063323</v>
      </c>
      <c r="R197" s="149" t="s">
        <v>9</v>
      </c>
      <c r="T197" s="168">
        <v>9.4671372220211083</v>
      </c>
      <c r="U197" s="168">
        <v>5.6802823332126646</v>
      </c>
      <c r="V197" s="168">
        <v>4.7335686110105542</v>
      </c>
      <c r="W197" s="168">
        <v>3.7868548888084437</v>
      </c>
    </row>
    <row r="198" spans="1:23" s="129" customFormat="1" hidden="1">
      <c r="A198" s="195" t="s">
        <v>1276</v>
      </c>
      <c r="B198" s="195" t="s">
        <v>656</v>
      </c>
      <c r="C198" s="195" t="s">
        <v>907</v>
      </c>
      <c r="D198" s="236" t="s">
        <v>936</v>
      </c>
      <c r="E198" s="128" t="s">
        <v>2632</v>
      </c>
      <c r="F198" s="128"/>
      <c r="G198" s="241" t="s">
        <v>1050</v>
      </c>
      <c r="H198" s="241" t="s">
        <v>2947</v>
      </c>
      <c r="I198" s="195" t="s">
        <v>1052</v>
      </c>
      <c r="J198" s="128"/>
      <c r="K198" s="236" t="s">
        <v>60</v>
      </c>
      <c r="L198" s="227"/>
      <c r="M198" s="236" t="s">
        <v>912</v>
      </c>
      <c r="N198" s="128" t="s">
        <v>913</v>
      </c>
      <c r="O198" s="128">
        <v>1920</v>
      </c>
      <c r="P198" s="128">
        <v>8544700000</v>
      </c>
      <c r="Q198" s="126">
        <v>2.9389034418593076</v>
      </c>
      <c r="R198" s="149" t="s">
        <v>9</v>
      </c>
      <c r="T198" s="168">
        <v>9.796344806197693</v>
      </c>
      <c r="U198" s="168">
        <v>5.8778068837186153</v>
      </c>
      <c r="V198" s="168">
        <v>4.8981724030988465</v>
      </c>
      <c r="W198" s="168">
        <v>3.9185379224790773</v>
      </c>
    </row>
    <row r="199" spans="1:23" s="129" customFormat="1" hidden="1">
      <c r="A199" s="195" t="s">
        <v>1276</v>
      </c>
      <c r="B199" s="195" t="s">
        <v>656</v>
      </c>
      <c r="C199" s="195" t="s">
        <v>907</v>
      </c>
      <c r="D199" s="236" t="s">
        <v>936</v>
      </c>
      <c r="E199" s="128" t="s">
        <v>2632</v>
      </c>
      <c r="F199" s="128"/>
      <c r="G199" s="241" t="s">
        <v>1053</v>
      </c>
      <c r="H199" s="241" t="s">
        <v>2948</v>
      </c>
      <c r="I199" s="195" t="s">
        <v>1055</v>
      </c>
      <c r="J199" s="128"/>
      <c r="K199" s="236" t="s">
        <v>60</v>
      </c>
      <c r="L199" s="227"/>
      <c r="M199" s="236" t="s">
        <v>912</v>
      </c>
      <c r="N199" s="128" t="s">
        <v>913</v>
      </c>
      <c r="O199" s="128">
        <v>1440</v>
      </c>
      <c r="P199" s="128">
        <v>8544700000</v>
      </c>
      <c r="Q199" s="126">
        <v>3.1511849717256588</v>
      </c>
      <c r="R199" s="149" t="s">
        <v>9</v>
      </c>
      <c r="T199" s="168">
        <v>10.503949905752197</v>
      </c>
      <c r="U199" s="168">
        <v>6.3023699434513185</v>
      </c>
      <c r="V199" s="168">
        <v>5.2519749528760986</v>
      </c>
      <c r="W199" s="168">
        <v>4.2015799623008787</v>
      </c>
    </row>
    <row r="200" spans="1:23" s="129" customFormat="1" hidden="1">
      <c r="A200" s="195" t="s">
        <v>1276</v>
      </c>
      <c r="B200" s="195" t="s">
        <v>656</v>
      </c>
      <c r="C200" s="195" t="s">
        <v>907</v>
      </c>
      <c r="D200" s="236" t="s">
        <v>936</v>
      </c>
      <c r="E200" s="128" t="s">
        <v>2632</v>
      </c>
      <c r="F200" s="128"/>
      <c r="G200" s="241" t="s">
        <v>1653</v>
      </c>
      <c r="H200" s="241" t="s">
        <v>2825</v>
      </c>
      <c r="I200" s="195" t="s">
        <v>1657</v>
      </c>
      <c r="J200" s="128"/>
      <c r="K200" s="236" t="s">
        <v>60</v>
      </c>
      <c r="L200" s="227"/>
      <c r="M200" s="236" t="s">
        <v>912</v>
      </c>
      <c r="N200" s="128" t="s">
        <v>913</v>
      </c>
      <c r="O200" s="128">
        <v>720</v>
      </c>
      <c r="P200" s="128">
        <v>8544700000</v>
      </c>
      <c r="Q200" s="126">
        <v>3.6555409666715839</v>
      </c>
      <c r="R200" s="149" t="s">
        <v>9</v>
      </c>
      <c r="T200" s="168">
        <v>12.185136555571948</v>
      </c>
      <c r="U200" s="168">
        <v>7.3110819333431678</v>
      </c>
      <c r="V200" s="168">
        <v>6.0925682777859738</v>
      </c>
      <c r="W200" s="168">
        <v>4.8740546222287797</v>
      </c>
    </row>
    <row r="201" spans="1:23" s="129" customFormat="1" hidden="1">
      <c r="A201" s="195" t="s">
        <v>1276</v>
      </c>
      <c r="B201" s="195" t="s">
        <v>656</v>
      </c>
      <c r="C201" s="195" t="s">
        <v>907</v>
      </c>
      <c r="D201" s="236" t="s">
        <v>936</v>
      </c>
      <c r="E201" s="128" t="s">
        <v>2632</v>
      </c>
      <c r="F201" s="128"/>
      <c r="G201" s="241" t="s">
        <v>1654</v>
      </c>
      <c r="H201" s="241" t="s">
        <v>2825</v>
      </c>
      <c r="I201" s="195" t="s">
        <v>1658</v>
      </c>
      <c r="J201" s="128"/>
      <c r="K201" s="236" t="s">
        <v>60</v>
      </c>
      <c r="L201" s="227"/>
      <c r="M201" s="236" t="s">
        <v>912</v>
      </c>
      <c r="N201" s="128" t="s">
        <v>913</v>
      </c>
      <c r="O201" s="128">
        <v>480</v>
      </c>
      <c r="P201" s="128">
        <v>8544700000</v>
      </c>
      <c r="Q201" s="126">
        <v>4.2694333032617173</v>
      </c>
      <c r="R201" s="149" t="s">
        <v>9</v>
      </c>
      <c r="T201" s="168">
        <v>14.231444344205725</v>
      </c>
      <c r="U201" s="168">
        <v>8.5388666065234347</v>
      </c>
      <c r="V201" s="168">
        <v>7.1157221721028625</v>
      </c>
      <c r="W201" s="168">
        <v>5.6925777376822904</v>
      </c>
    </row>
    <row r="202" spans="1:23" s="129" customFormat="1" hidden="1">
      <c r="A202" s="195" t="s">
        <v>1276</v>
      </c>
      <c r="B202" s="195" t="s">
        <v>656</v>
      </c>
      <c r="C202" s="195" t="s">
        <v>907</v>
      </c>
      <c r="D202" s="236" t="s">
        <v>936</v>
      </c>
      <c r="E202" s="128" t="s">
        <v>2632</v>
      </c>
      <c r="F202" s="128"/>
      <c r="G202" s="241" t="s">
        <v>1044</v>
      </c>
      <c r="H202" s="241" t="s">
        <v>2945</v>
      </c>
      <c r="I202" s="195" t="s">
        <v>1046</v>
      </c>
      <c r="J202" s="128"/>
      <c r="K202" s="236" t="s">
        <v>60</v>
      </c>
      <c r="L202" s="227"/>
      <c r="M202" s="236" t="s">
        <v>912</v>
      </c>
      <c r="N202" s="128" t="s">
        <v>913</v>
      </c>
      <c r="O202" s="128">
        <v>2160</v>
      </c>
      <c r="P202" s="128">
        <v>8544700000</v>
      </c>
      <c r="Q202" s="126">
        <v>2.7328685427694794</v>
      </c>
      <c r="R202" s="149" t="s">
        <v>9</v>
      </c>
      <c r="T202" s="168">
        <v>9.1095618092315984</v>
      </c>
      <c r="U202" s="168">
        <v>5.4657370855389589</v>
      </c>
      <c r="V202" s="168">
        <v>4.5547809046157992</v>
      </c>
      <c r="W202" s="168">
        <v>3.6438247236926395</v>
      </c>
    </row>
    <row r="203" spans="1:23" s="129" customFormat="1" hidden="1">
      <c r="A203" s="195" t="s">
        <v>1276</v>
      </c>
      <c r="B203" s="195" t="s">
        <v>656</v>
      </c>
      <c r="C203" s="195" t="s">
        <v>907</v>
      </c>
      <c r="D203" s="236" t="s">
        <v>936</v>
      </c>
      <c r="E203" s="128" t="s">
        <v>2632</v>
      </c>
      <c r="F203" s="128"/>
      <c r="G203" s="241" t="s">
        <v>1047</v>
      </c>
      <c r="H203" s="241" t="s">
        <v>2946</v>
      </c>
      <c r="I203" s="195" t="s">
        <v>1049</v>
      </c>
      <c r="J203" s="128"/>
      <c r="K203" s="236" t="s">
        <v>60</v>
      </c>
      <c r="L203" s="227"/>
      <c r="M203" s="236" t="s">
        <v>912</v>
      </c>
      <c r="N203" s="128" t="s">
        <v>913</v>
      </c>
      <c r="O203" s="128">
        <v>1920</v>
      </c>
      <c r="P203" s="128">
        <v>8544700000</v>
      </c>
      <c r="Q203" s="126">
        <v>2.8401411666063323</v>
      </c>
      <c r="R203" s="149" t="s">
        <v>9</v>
      </c>
      <c r="T203" s="168">
        <v>9.4671372220211083</v>
      </c>
      <c r="U203" s="168">
        <v>5.6802823332126646</v>
      </c>
      <c r="V203" s="168">
        <v>4.7335686110105542</v>
      </c>
      <c r="W203" s="168">
        <v>3.7868548888084437</v>
      </c>
    </row>
    <row r="204" spans="1:23" s="129" customFormat="1" hidden="1">
      <c r="A204" s="195" t="s">
        <v>1276</v>
      </c>
      <c r="B204" s="195" t="s">
        <v>656</v>
      </c>
      <c r="C204" s="195" t="s">
        <v>907</v>
      </c>
      <c r="D204" s="236" t="s">
        <v>936</v>
      </c>
      <c r="E204" s="128" t="s">
        <v>2632</v>
      </c>
      <c r="F204" s="128"/>
      <c r="G204" s="241" t="s">
        <v>1050</v>
      </c>
      <c r="H204" s="241" t="s">
        <v>2947</v>
      </c>
      <c r="I204" s="195" t="s">
        <v>1052</v>
      </c>
      <c r="J204" s="128"/>
      <c r="K204" s="236" t="s">
        <v>60</v>
      </c>
      <c r="L204" s="227"/>
      <c r="M204" s="236" t="s">
        <v>912</v>
      </c>
      <c r="N204" s="128" t="s">
        <v>913</v>
      </c>
      <c r="O204" s="128">
        <v>1920</v>
      </c>
      <c r="P204" s="128">
        <v>8544700000</v>
      </c>
      <c r="Q204" s="126">
        <v>2.9389034418593076</v>
      </c>
      <c r="R204" s="149" t="s">
        <v>9</v>
      </c>
      <c r="T204" s="168">
        <v>9.796344806197693</v>
      </c>
      <c r="U204" s="168">
        <v>5.8778068837186153</v>
      </c>
      <c r="V204" s="168">
        <v>4.8981724030988465</v>
      </c>
      <c r="W204" s="168">
        <v>3.9185379224790773</v>
      </c>
    </row>
    <row r="205" spans="1:23" s="129" customFormat="1" hidden="1">
      <c r="A205" s="195" t="s">
        <v>1276</v>
      </c>
      <c r="B205" s="195" t="s">
        <v>656</v>
      </c>
      <c r="C205" s="195" t="s">
        <v>907</v>
      </c>
      <c r="D205" s="236" t="s">
        <v>936</v>
      </c>
      <c r="E205" s="128" t="s">
        <v>2632</v>
      </c>
      <c r="F205" s="128"/>
      <c r="G205" s="241" t="s">
        <v>1053</v>
      </c>
      <c r="H205" s="241" t="s">
        <v>2948</v>
      </c>
      <c r="I205" s="195" t="s">
        <v>1055</v>
      </c>
      <c r="J205" s="128"/>
      <c r="K205" s="236" t="s">
        <v>60</v>
      </c>
      <c r="L205" s="227"/>
      <c r="M205" s="236" t="s">
        <v>912</v>
      </c>
      <c r="N205" s="128" t="s">
        <v>913</v>
      </c>
      <c r="O205" s="128">
        <v>1440</v>
      </c>
      <c r="P205" s="128">
        <v>8544700000</v>
      </c>
      <c r="Q205" s="126">
        <v>3.1511849717256588</v>
      </c>
      <c r="R205" s="149" t="s">
        <v>9</v>
      </c>
      <c r="T205" s="168">
        <v>10.503949905752197</v>
      </c>
      <c r="U205" s="168">
        <v>6.3023699434513185</v>
      </c>
      <c r="V205" s="168">
        <v>5.2519749528760986</v>
      </c>
      <c r="W205" s="168">
        <v>4.2015799623008787</v>
      </c>
    </row>
    <row r="206" spans="1:23" s="129" customFormat="1" hidden="1">
      <c r="A206" s="195" t="s">
        <v>1276</v>
      </c>
      <c r="B206" s="195" t="s">
        <v>656</v>
      </c>
      <c r="C206" s="195" t="s">
        <v>907</v>
      </c>
      <c r="D206" s="236" t="s">
        <v>936</v>
      </c>
      <c r="E206" s="128" t="s">
        <v>2632</v>
      </c>
      <c r="F206" s="128"/>
      <c r="G206" s="241" t="s">
        <v>1784</v>
      </c>
      <c r="H206" s="241" t="s">
        <v>2825</v>
      </c>
      <c r="I206" s="195" t="s">
        <v>1657</v>
      </c>
      <c r="J206" s="128"/>
      <c r="K206" s="236" t="s">
        <v>60</v>
      </c>
      <c r="L206" s="227"/>
      <c r="M206" s="236" t="s">
        <v>912</v>
      </c>
      <c r="N206" s="128" t="s">
        <v>913</v>
      </c>
      <c r="O206" s="128">
        <v>720</v>
      </c>
      <c r="P206" s="128">
        <v>8544700000</v>
      </c>
      <c r="Q206" s="126">
        <v>3.6555409666715839</v>
      </c>
      <c r="R206" s="149" t="s">
        <v>9</v>
      </c>
      <c r="T206" s="168">
        <v>12.185136555571948</v>
      </c>
      <c r="U206" s="168">
        <v>7.3110819333431678</v>
      </c>
      <c r="V206" s="168">
        <v>6.0925682777859738</v>
      </c>
      <c r="W206" s="168">
        <v>4.8740546222287797</v>
      </c>
    </row>
    <row r="207" spans="1:23" s="129" customFormat="1" hidden="1">
      <c r="A207" s="195" t="s">
        <v>1276</v>
      </c>
      <c r="B207" s="195" t="s">
        <v>656</v>
      </c>
      <c r="C207" s="195" t="s">
        <v>907</v>
      </c>
      <c r="D207" s="236" t="s">
        <v>908</v>
      </c>
      <c r="E207" s="128" t="s">
        <v>1785</v>
      </c>
      <c r="F207" s="128"/>
      <c r="G207" s="241" t="s">
        <v>1020</v>
      </c>
      <c r="H207" s="241" t="s">
        <v>2937</v>
      </c>
      <c r="I207" s="195" t="s">
        <v>1022</v>
      </c>
      <c r="J207" s="128"/>
      <c r="K207" s="236" t="s">
        <v>60</v>
      </c>
      <c r="L207" s="227"/>
      <c r="M207" s="236" t="s">
        <v>912</v>
      </c>
      <c r="N207" s="128" t="s">
        <v>913</v>
      </c>
      <c r="O207" s="128">
        <v>2160</v>
      </c>
      <c r="P207" s="128">
        <v>8544700000</v>
      </c>
      <c r="Q207" s="126">
        <v>2.7418469314288405</v>
      </c>
      <c r="R207" s="149" t="s">
        <v>9</v>
      </c>
      <c r="T207" s="168">
        <v>9.1394897714294689</v>
      </c>
      <c r="U207" s="168">
        <v>5.483693862857681</v>
      </c>
      <c r="V207" s="168">
        <v>4.5697448857147345</v>
      </c>
      <c r="W207" s="168">
        <v>3.6557959085717879</v>
      </c>
    </row>
    <row r="208" spans="1:23" s="129" customFormat="1" hidden="1">
      <c r="A208" s="195" t="s">
        <v>1276</v>
      </c>
      <c r="B208" s="195" t="s">
        <v>656</v>
      </c>
      <c r="C208" s="195" t="s">
        <v>907</v>
      </c>
      <c r="D208" s="236" t="s">
        <v>908</v>
      </c>
      <c r="E208" s="128" t="s">
        <v>1785</v>
      </c>
      <c r="F208" s="128"/>
      <c r="G208" s="241" t="s">
        <v>1023</v>
      </c>
      <c r="H208" s="241" t="s">
        <v>2938</v>
      </c>
      <c r="I208" s="195" t="s">
        <v>1025</v>
      </c>
      <c r="J208" s="128"/>
      <c r="K208" s="236" t="s">
        <v>60</v>
      </c>
      <c r="L208" s="227"/>
      <c r="M208" s="236" t="s">
        <v>912</v>
      </c>
      <c r="N208" s="128" t="s">
        <v>913</v>
      </c>
      <c r="O208" s="128">
        <v>1920</v>
      </c>
      <c r="P208" s="128">
        <v>8544700000</v>
      </c>
      <c r="Q208" s="126">
        <v>2.8580979439250549</v>
      </c>
      <c r="R208" s="149" t="s">
        <v>9</v>
      </c>
      <c r="T208" s="168">
        <v>9.5269931464168494</v>
      </c>
      <c r="U208" s="168">
        <v>5.7161958878501098</v>
      </c>
      <c r="V208" s="168">
        <v>4.7634965732084247</v>
      </c>
      <c r="W208" s="168">
        <v>3.81079725856674</v>
      </c>
    </row>
    <row r="209" spans="1:23" s="129" customFormat="1" hidden="1">
      <c r="A209" s="195" t="s">
        <v>1276</v>
      </c>
      <c r="B209" s="195" t="s">
        <v>656</v>
      </c>
      <c r="C209" s="195" t="s">
        <v>907</v>
      </c>
      <c r="D209" s="236" t="s">
        <v>908</v>
      </c>
      <c r="E209" s="128" t="s">
        <v>1785</v>
      </c>
      <c r="F209" s="128"/>
      <c r="G209" s="241" t="s">
        <v>1026</v>
      </c>
      <c r="H209" s="241" t="s">
        <v>2939</v>
      </c>
      <c r="I209" s="195" t="s">
        <v>1028</v>
      </c>
      <c r="J209" s="128"/>
      <c r="K209" s="236" t="s">
        <v>60</v>
      </c>
      <c r="L209" s="227"/>
      <c r="M209" s="236" t="s">
        <v>912</v>
      </c>
      <c r="N209" s="128" t="s">
        <v>913</v>
      </c>
      <c r="O209" s="128">
        <v>1920</v>
      </c>
      <c r="P209" s="128">
        <v>8544700000</v>
      </c>
      <c r="Q209" s="126">
        <v>2.9658386078373922</v>
      </c>
      <c r="R209" s="149" t="s">
        <v>9</v>
      </c>
      <c r="T209" s="168">
        <v>9.8861286927913081</v>
      </c>
      <c r="U209" s="168">
        <v>5.9316772156747843</v>
      </c>
      <c r="V209" s="168">
        <v>4.9430643463956541</v>
      </c>
      <c r="W209" s="168">
        <v>3.9544514771165233</v>
      </c>
    </row>
    <row r="210" spans="1:23" s="129" customFormat="1" hidden="1">
      <c r="A210" s="195" t="s">
        <v>1276</v>
      </c>
      <c r="B210" s="195" t="s">
        <v>656</v>
      </c>
      <c r="C210" s="195" t="s">
        <v>907</v>
      </c>
      <c r="D210" s="236" t="s">
        <v>908</v>
      </c>
      <c r="E210" s="128" t="s">
        <v>1785</v>
      </c>
      <c r="F210" s="128"/>
      <c r="G210" s="241" t="s">
        <v>1029</v>
      </c>
      <c r="H210" s="241" t="s">
        <v>2940</v>
      </c>
      <c r="I210" s="195" t="s">
        <v>1031</v>
      </c>
      <c r="J210" s="128"/>
      <c r="K210" s="236" t="s">
        <v>60</v>
      </c>
      <c r="L210" s="227"/>
      <c r="M210" s="236" t="s">
        <v>912</v>
      </c>
      <c r="N210" s="128" t="s">
        <v>913</v>
      </c>
      <c r="O210" s="128">
        <v>1440</v>
      </c>
      <c r="P210" s="128">
        <v>8544700000</v>
      </c>
      <c r="Q210" s="126">
        <v>3.196076915022465</v>
      </c>
      <c r="R210" s="149" t="s">
        <v>9</v>
      </c>
      <c r="T210" s="168">
        <v>10.65358971674155</v>
      </c>
      <c r="U210" s="168">
        <v>6.3921538300449301</v>
      </c>
      <c r="V210" s="168">
        <v>5.3267948583707749</v>
      </c>
      <c r="W210" s="168">
        <v>4.2614358866966198</v>
      </c>
    </row>
    <row r="211" spans="1:23" s="129" customFormat="1" hidden="1">
      <c r="A211" s="195" t="s">
        <v>1276</v>
      </c>
      <c r="B211" s="195" t="s">
        <v>656</v>
      </c>
      <c r="C211" s="195" t="s">
        <v>907</v>
      </c>
      <c r="D211" s="236" t="s">
        <v>908</v>
      </c>
      <c r="E211" s="128" t="s">
        <v>1785</v>
      </c>
      <c r="F211" s="128"/>
      <c r="G211" s="241" t="s">
        <v>1644</v>
      </c>
      <c r="H211" s="241" t="s">
        <v>2825</v>
      </c>
      <c r="I211" s="195" t="s">
        <v>1788</v>
      </c>
      <c r="J211" s="128"/>
      <c r="K211" s="236" t="s">
        <v>60</v>
      </c>
      <c r="L211" s="227"/>
      <c r="M211" s="236" t="s">
        <v>912</v>
      </c>
      <c r="N211" s="128" t="s">
        <v>913</v>
      </c>
      <c r="O211" s="128">
        <v>720</v>
      </c>
      <c r="P211" s="128">
        <v>8544700000</v>
      </c>
      <c r="Q211" s="126">
        <v>3.7453248532651968</v>
      </c>
      <c r="R211" s="149" t="s">
        <v>9</v>
      </c>
      <c r="T211" s="168">
        <v>12.484416177550656</v>
      </c>
      <c r="U211" s="168">
        <v>7.4906497065303936</v>
      </c>
      <c r="V211" s="168">
        <v>6.2422080887753282</v>
      </c>
      <c r="W211" s="168">
        <v>4.9937664710202627</v>
      </c>
    </row>
    <row r="212" spans="1:23" s="129" customFormat="1" hidden="1">
      <c r="A212" s="195" t="s">
        <v>1276</v>
      </c>
      <c r="B212" s="195" t="s">
        <v>656</v>
      </c>
      <c r="C212" s="195" t="s">
        <v>907</v>
      </c>
      <c r="D212" s="236" t="s">
        <v>908</v>
      </c>
      <c r="E212" s="128" t="s">
        <v>1785</v>
      </c>
      <c r="F212" s="128"/>
      <c r="G212" s="241" t="s">
        <v>1645</v>
      </c>
      <c r="H212" s="241" t="s">
        <v>2825</v>
      </c>
      <c r="I212" s="195" t="s">
        <v>1790</v>
      </c>
      <c r="J212" s="128"/>
      <c r="K212" s="236" t="s">
        <v>60</v>
      </c>
      <c r="L212" s="227"/>
      <c r="M212" s="236" t="s">
        <v>912</v>
      </c>
      <c r="N212" s="128" t="s">
        <v>913</v>
      </c>
      <c r="O212" s="128">
        <v>480</v>
      </c>
      <c r="P212" s="128">
        <v>8544700000</v>
      </c>
      <c r="Q212" s="126">
        <v>4.4041091331521383</v>
      </c>
      <c r="R212" s="149" t="s">
        <v>9</v>
      </c>
      <c r="T212" s="168">
        <v>14.680363777173795</v>
      </c>
      <c r="U212" s="168">
        <v>8.8082182663042765</v>
      </c>
      <c r="V212" s="168">
        <v>7.3401818885868977</v>
      </c>
      <c r="W212" s="168">
        <v>5.8721455108695189</v>
      </c>
    </row>
    <row r="213" spans="1:23" s="129" customFormat="1" hidden="1">
      <c r="A213" s="195" t="s">
        <v>1276</v>
      </c>
      <c r="B213" s="195" t="s">
        <v>656</v>
      </c>
      <c r="C213" s="195" t="s">
        <v>907</v>
      </c>
      <c r="D213" s="236" t="s">
        <v>923</v>
      </c>
      <c r="E213" s="128" t="s">
        <v>1785</v>
      </c>
      <c r="F213" s="128"/>
      <c r="G213" s="241" t="s">
        <v>1032</v>
      </c>
      <c r="H213" s="241" t="s">
        <v>2941</v>
      </c>
      <c r="I213" s="195" t="s">
        <v>1034</v>
      </c>
      <c r="J213" s="128"/>
      <c r="K213" s="236" t="s">
        <v>60</v>
      </c>
      <c r="L213" s="227"/>
      <c r="M213" s="236" t="s">
        <v>912</v>
      </c>
      <c r="N213" s="128" t="s">
        <v>913</v>
      </c>
      <c r="O213" s="128">
        <v>2160</v>
      </c>
      <c r="P213" s="128">
        <v>8544700000</v>
      </c>
      <c r="Q213" s="126">
        <v>2.7418469314288405</v>
      </c>
      <c r="R213" s="149" t="s">
        <v>9</v>
      </c>
      <c r="T213" s="168">
        <v>9.1394897714294689</v>
      </c>
      <c r="U213" s="168">
        <v>5.483693862857681</v>
      </c>
      <c r="V213" s="168">
        <v>4.5697448857147345</v>
      </c>
      <c r="W213" s="168">
        <v>3.6557959085717879</v>
      </c>
    </row>
    <row r="214" spans="1:23" s="129" customFormat="1" hidden="1">
      <c r="A214" s="195" t="s">
        <v>1276</v>
      </c>
      <c r="B214" s="195" t="s">
        <v>656</v>
      </c>
      <c r="C214" s="195" t="s">
        <v>907</v>
      </c>
      <c r="D214" s="236" t="s">
        <v>923</v>
      </c>
      <c r="E214" s="128" t="s">
        <v>1785</v>
      </c>
      <c r="F214" s="128"/>
      <c r="G214" s="241" t="s">
        <v>1035</v>
      </c>
      <c r="H214" s="241" t="s">
        <v>2942</v>
      </c>
      <c r="I214" s="195" t="s">
        <v>1037</v>
      </c>
      <c r="J214" s="128"/>
      <c r="K214" s="236" t="s">
        <v>60</v>
      </c>
      <c r="L214" s="227"/>
      <c r="M214" s="236" t="s">
        <v>912</v>
      </c>
      <c r="N214" s="128" t="s">
        <v>913</v>
      </c>
      <c r="O214" s="128">
        <v>1920</v>
      </c>
      <c r="P214" s="128">
        <v>8544700000</v>
      </c>
      <c r="Q214" s="126">
        <v>2.8580979439250549</v>
      </c>
      <c r="R214" s="149" t="s">
        <v>9</v>
      </c>
      <c r="T214" s="168">
        <v>9.5269931464168494</v>
      </c>
      <c r="U214" s="168">
        <v>5.7161958878501098</v>
      </c>
      <c r="V214" s="168">
        <v>4.7634965732084247</v>
      </c>
      <c r="W214" s="168">
        <v>3.81079725856674</v>
      </c>
    </row>
    <row r="215" spans="1:23" s="129" customFormat="1" hidden="1">
      <c r="A215" s="195" t="s">
        <v>1276</v>
      </c>
      <c r="B215" s="195" t="s">
        <v>656</v>
      </c>
      <c r="C215" s="195" t="s">
        <v>907</v>
      </c>
      <c r="D215" s="236" t="s">
        <v>923</v>
      </c>
      <c r="E215" s="128" t="s">
        <v>1785</v>
      </c>
      <c r="F215" s="128"/>
      <c r="G215" s="241" t="s">
        <v>1038</v>
      </c>
      <c r="H215" s="241" t="s">
        <v>2943</v>
      </c>
      <c r="I215" s="195" t="s">
        <v>1040</v>
      </c>
      <c r="J215" s="128"/>
      <c r="K215" s="236" t="s">
        <v>60</v>
      </c>
      <c r="L215" s="227"/>
      <c r="M215" s="236" t="s">
        <v>912</v>
      </c>
      <c r="N215" s="128" t="s">
        <v>913</v>
      </c>
      <c r="O215" s="128">
        <v>1920</v>
      </c>
      <c r="P215" s="128">
        <v>8544700000</v>
      </c>
      <c r="Q215" s="126">
        <v>2.9658386078373922</v>
      </c>
      <c r="R215" s="149" t="s">
        <v>9</v>
      </c>
      <c r="T215" s="168">
        <v>9.8861286927913081</v>
      </c>
      <c r="U215" s="168">
        <v>5.9316772156747843</v>
      </c>
      <c r="V215" s="168">
        <v>4.9430643463956541</v>
      </c>
      <c r="W215" s="168">
        <v>3.9544514771165233</v>
      </c>
    </row>
    <row r="216" spans="1:23" s="129" customFormat="1" hidden="1">
      <c r="A216" s="195" t="s">
        <v>1276</v>
      </c>
      <c r="B216" s="195" t="s">
        <v>656</v>
      </c>
      <c r="C216" s="195" t="s">
        <v>907</v>
      </c>
      <c r="D216" s="236" t="s">
        <v>923</v>
      </c>
      <c r="E216" s="128" t="s">
        <v>1785</v>
      </c>
      <c r="F216" s="128"/>
      <c r="G216" s="241" t="s">
        <v>1041</v>
      </c>
      <c r="H216" s="241" t="s">
        <v>2944</v>
      </c>
      <c r="I216" s="195" t="s">
        <v>1043</v>
      </c>
      <c r="J216" s="128"/>
      <c r="K216" s="236" t="s">
        <v>60</v>
      </c>
      <c r="L216" s="227"/>
      <c r="M216" s="236" t="s">
        <v>912</v>
      </c>
      <c r="N216" s="128" t="s">
        <v>913</v>
      </c>
      <c r="O216" s="128">
        <v>1440</v>
      </c>
      <c r="P216" s="128">
        <v>8544700000</v>
      </c>
      <c r="Q216" s="126">
        <v>3.196076915022465</v>
      </c>
      <c r="R216" s="149" t="s">
        <v>9</v>
      </c>
      <c r="T216" s="168">
        <v>10.65358971674155</v>
      </c>
      <c r="U216" s="168">
        <v>6.3921538300449301</v>
      </c>
      <c r="V216" s="168">
        <v>5.3267948583707749</v>
      </c>
      <c r="W216" s="168">
        <v>4.2614358866966198</v>
      </c>
    </row>
    <row r="217" spans="1:23" s="129" customFormat="1" hidden="1">
      <c r="A217" s="195" t="s">
        <v>1276</v>
      </c>
      <c r="B217" s="195" t="s">
        <v>656</v>
      </c>
      <c r="C217" s="195" t="s">
        <v>907</v>
      </c>
      <c r="D217" s="236" t="s">
        <v>923</v>
      </c>
      <c r="E217" s="128" t="s">
        <v>1785</v>
      </c>
      <c r="F217" s="128"/>
      <c r="G217" s="241" t="s">
        <v>1471</v>
      </c>
      <c r="H217" s="241" t="s">
        <v>2825</v>
      </c>
      <c r="I217" s="195" t="s">
        <v>1792</v>
      </c>
      <c r="J217" s="128"/>
      <c r="K217" s="236" t="s">
        <v>60</v>
      </c>
      <c r="L217" s="227"/>
      <c r="M217" s="236" t="s">
        <v>912</v>
      </c>
      <c r="N217" s="128" t="s">
        <v>913</v>
      </c>
      <c r="O217" s="128">
        <v>720</v>
      </c>
      <c r="P217" s="128">
        <v>8544700000</v>
      </c>
      <c r="Q217" s="126">
        <v>3.7453248532651968</v>
      </c>
      <c r="R217" s="149" t="s">
        <v>9</v>
      </c>
      <c r="T217" s="168">
        <v>12.484416177550656</v>
      </c>
      <c r="U217" s="168">
        <v>7.4906497065303936</v>
      </c>
      <c r="V217" s="168">
        <v>6.2422080887753282</v>
      </c>
      <c r="W217" s="168">
        <v>4.9937664710202627</v>
      </c>
    </row>
    <row r="218" spans="1:23" s="129" customFormat="1" hidden="1">
      <c r="A218" s="195" t="s">
        <v>1276</v>
      </c>
      <c r="B218" s="195" t="s">
        <v>656</v>
      </c>
      <c r="C218" s="195" t="s">
        <v>907</v>
      </c>
      <c r="D218" s="236" t="s">
        <v>923</v>
      </c>
      <c r="E218" s="128" t="s">
        <v>1785</v>
      </c>
      <c r="F218" s="128"/>
      <c r="G218" s="241" t="s">
        <v>1650</v>
      </c>
      <c r="H218" s="241" t="s">
        <v>2825</v>
      </c>
      <c r="I218" s="195" t="s">
        <v>1794</v>
      </c>
      <c r="J218" s="128"/>
      <c r="K218" s="236" t="s">
        <v>60</v>
      </c>
      <c r="L218" s="227"/>
      <c r="M218" s="236" t="s">
        <v>912</v>
      </c>
      <c r="N218" s="128" t="s">
        <v>913</v>
      </c>
      <c r="O218" s="128">
        <v>480</v>
      </c>
      <c r="P218" s="128">
        <v>8544700000</v>
      </c>
      <c r="Q218" s="126">
        <v>4.4041091331521383</v>
      </c>
      <c r="R218" s="149" t="s">
        <v>9</v>
      </c>
      <c r="T218" s="168">
        <v>14.680363777173795</v>
      </c>
      <c r="U218" s="168">
        <v>8.8082182663042765</v>
      </c>
      <c r="V218" s="168">
        <v>7.3401818885868977</v>
      </c>
      <c r="W218" s="168">
        <v>5.8721455108695189</v>
      </c>
    </row>
    <row r="219" spans="1:23" s="129" customFormat="1" hidden="1">
      <c r="A219" s="195" t="s">
        <v>1276</v>
      </c>
      <c r="B219" s="195" t="s">
        <v>656</v>
      </c>
      <c r="C219" s="195" t="s">
        <v>907</v>
      </c>
      <c r="D219" s="236" t="s">
        <v>936</v>
      </c>
      <c r="E219" s="128" t="s">
        <v>1785</v>
      </c>
      <c r="F219" s="128"/>
      <c r="G219" s="241" t="s">
        <v>1044</v>
      </c>
      <c r="H219" s="241" t="s">
        <v>2945</v>
      </c>
      <c r="I219" s="195" t="s">
        <v>1046</v>
      </c>
      <c r="J219" s="128"/>
      <c r="K219" s="236" t="s">
        <v>60</v>
      </c>
      <c r="L219" s="227"/>
      <c r="M219" s="236" t="s">
        <v>912</v>
      </c>
      <c r="N219" s="128" t="s">
        <v>913</v>
      </c>
      <c r="O219" s="128">
        <v>2160</v>
      </c>
      <c r="P219" s="128">
        <v>8544700000</v>
      </c>
      <c r="Q219" s="126">
        <v>2.7418469314288405</v>
      </c>
      <c r="R219" s="149" t="s">
        <v>9</v>
      </c>
      <c r="T219" s="168">
        <v>9.1394897714294689</v>
      </c>
      <c r="U219" s="168">
        <v>5.483693862857681</v>
      </c>
      <c r="V219" s="168">
        <v>4.5697448857147345</v>
      </c>
      <c r="W219" s="168">
        <v>3.6557959085717879</v>
      </c>
    </row>
    <row r="220" spans="1:23" s="129" customFormat="1" hidden="1">
      <c r="A220" s="195" t="s">
        <v>1276</v>
      </c>
      <c r="B220" s="195" t="s">
        <v>656</v>
      </c>
      <c r="C220" s="195" t="s">
        <v>907</v>
      </c>
      <c r="D220" s="236" t="s">
        <v>936</v>
      </c>
      <c r="E220" s="128" t="s">
        <v>1785</v>
      </c>
      <c r="F220" s="128"/>
      <c r="G220" s="241" t="s">
        <v>1047</v>
      </c>
      <c r="H220" s="241" t="s">
        <v>2946</v>
      </c>
      <c r="I220" s="195" t="s">
        <v>1049</v>
      </c>
      <c r="J220" s="128"/>
      <c r="K220" s="236" t="s">
        <v>60</v>
      </c>
      <c r="L220" s="227"/>
      <c r="M220" s="236" t="s">
        <v>912</v>
      </c>
      <c r="N220" s="128" t="s">
        <v>913</v>
      </c>
      <c r="O220" s="128">
        <v>1920</v>
      </c>
      <c r="P220" s="128">
        <v>8544700000</v>
      </c>
      <c r="Q220" s="126">
        <v>2.8580979439250549</v>
      </c>
      <c r="R220" s="149" t="s">
        <v>9</v>
      </c>
      <c r="T220" s="168">
        <v>9.5269931464168494</v>
      </c>
      <c r="U220" s="168">
        <v>5.7161958878501098</v>
      </c>
      <c r="V220" s="168">
        <v>4.7634965732084247</v>
      </c>
      <c r="W220" s="168">
        <v>3.81079725856674</v>
      </c>
    </row>
    <row r="221" spans="1:23" s="129" customFormat="1" hidden="1">
      <c r="A221" s="195" t="s">
        <v>1276</v>
      </c>
      <c r="B221" s="195" t="s">
        <v>656</v>
      </c>
      <c r="C221" s="195" t="s">
        <v>907</v>
      </c>
      <c r="D221" s="236" t="s">
        <v>936</v>
      </c>
      <c r="E221" s="128" t="s">
        <v>1785</v>
      </c>
      <c r="F221" s="128"/>
      <c r="G221" s="241" t="s">
        <v>1050</v>
      </c>
      <c r="H221" s="241" t="s">
        <v>2947</v>
      </c>
      <c r="I221" s="195" t="s">
        <v>1052</v>
      </c>
      <c r="J221" s="128"/>
      <c r="K221" s="236" t="s">
        <v>60</v>
      </c>
      <c r="L221" s="227"/>
      <c r="M221" s="236" t="s">
        <v>912</v>
      </c>
      <c r="N221" s="128" t="s">
        <v>913</v>
      </c>
      <c r="O221" s="128">
        <v>1920</v>
      </c>
      <c r="P221" s="128">
        <v>8544700000</v>
      </c>
      <c r="Q221" s="126">
        <v>2.9658386078373922</v>
      </c>
      <c r="R221" s="149" t="s">
        <v>9</v>
      </c>
      <c r="T221" s="168">
        <v>9.8861286927913081</v>
      </c>
      <c r="U221" s="168">
        <v>5.9316772156747843</v>
      </c>
      <c r="V221" s="168">
        <v>4.9430643463956541</v>
      </c>
      <c r="W221" s="168">
        <v>3.9544514771165233</v>
      </c>
    </row>
    <row r="222" spans="1:23" s="129" customFormat="1" hidden="1">
      <c r="A222" s="195" t="s">
        <v>1276</v>
      </c>
      <c r="B222" s="195" t="s">
        <v>656</v>
      </c>
      <c r="C222" s="195" t="s">
        <v>907</v>
      </c>
      <c r="D222" s="236" t="s">
        <v>936</v>
      </c>
      <c r="E222" s="128" t="s">
        <v>1785</v>
      </c>
      <c r="F222" s="128"/>
      <c r="G222" s="241" t="s">
        <v>1053</v>
      </c>
      <c r="H222" s="241" t="s">
        <v>2948</v>
      </c>
      <c r="I222" s="195" t="s">
        <v>1055</v>
      </c>
      <c r="J222" s="128"/>
      <c r="K222" s="236" t="s">
        <v>60</v>
      </c>
      <c r="L222" s="227"/>
      <c r="M222" s="236" t="s">
        <v>912</v>
      </c>
      <c r="N222" s="128" t="s">
        <v>913</v>
      </c>
      <c r="O222" s="128">
        <v>1440</v>
      </c>
      <c r="P222" s="128">
        <v>8544700000</v>
      </c>
      <c r="Q222" s="126">
        <v>3.196076915022465</v>
      </c>
      <c r="R222" s="149" t="s">
        <v>9</v>
      </c>
      <c r="T222" s="168">
        <v>10.65358971674155</v>
      </c>
      <c r="U222" s="168">
        <v>6.3921538300449301</v>
      </c>
      <c r="V222" s="168">
        <v>5.3267948583707749</v>
      </c>
      <c r="W222" s="168">
        <v>4.2614358866966198</v>
      </c>
    </row>
    <row r="223" spans="1:23" s="129" customFormat="1" hidden="1">
      <c r="A223" s="195" t="s">
        <v>1276</v>
      </c>
      <c r="B223" s="195" t="s">
        <v>656</v>
      </c>
      <c r="C223" s="195" t="s">
        <v>907</v>
      </c>
      <c r="D223" s="236" t="s">
        <v>936</v>
      </c>
      <c r="E223" s="128" t="s">
        <v>1785</v>
      </c>
      <c r="F223" s="128"/>
      <c r="G223" s="241" t="s">
        <v>1653</v>
      </c>
      <c r="H223" s="241" t="s">
        <v>2825</v>
      </c>
      <c r="I223" s="195" t="s">
        <v>1796</v>
      </c>
      <c r="J223" s="128"/>
      <c r="K223" s="236" t="s">
        <v>60</v>
      </c>
      <c r="L223" s="227"/>
      <c r="M223" s="236" t="s">
        <v>912</v>
      </c>
      <c r="N223" s="128" t="s">
        <v>913</v>
      </c>
      <c r="O223" s="128">
        <v>720</v>
      </c>
      <c r="P223" s="128">
        <v>8544700000</v>
      </c>
      <c r="Q223" s="126">
        <v>3.7453248532651968</v>
      </c>
      <c r="R223" s="149" t="s">
        <v>9</v>
      </c>
      <c r="T223" s="168">
        <v>12.484416177550656</v>
      </c>
      <c r="U223" s="168">
        <v>7.4906497065303936</v>
      </c>
      <c r="V223" s="168">
        <v>6.2422080887753282</v>
      </c>
      <c r="W223" s="168">
        <v>4.9937664710202627</v>
      </c>
    </row>
    <row r="224" spans="1:23" s="129" customFormat="1" hidden="1">
      <c r="A224" s="195" t="s">
        <v>1276</v>
      </c>
      <c r="B224" s="195" t="s">
        <v>656</v>
      </c>
      <c r="C224" s="195" t="s">
        <v>907</v>
      </c>
      <c r="D224" s="236" t="s">
        <v>936</v>
      </c>
      <c r="E224" s="128" t="s">
        <v>1785</v>
      </c>
      <c r="F224" s="128"/>
      <c r="G224" s="241" t="s">
        <v>1654</v>
      </c>
      <c r="H224" s="241" t="s">
        <v>2825</v>
      </c>
      <c r="I224" s="195" t="s">
        <v>1798</v>
      </c>
      <c r="J224" s="128"/>
      <c r="K224" s="236" t="s">
        <v>60</v>
      </c>
      <c r="L224" s="227"/>
      <c r="M224" s="236" t="s">
        <v>912</v>
      </c>
      <c r="N224" s="128" t="s">
        <v>913</v>
      </c>
      <c r="O224" s="128">
        <v>480</v>
      </c>
      <c r="P224" s="128">
        <v>8544700000</v>
      </c>
      <c r="Q224" s="126">
        <v>4.4041091331521383</v>
      </c>
      <c r="R224" s="149" t="s">
        <v>9</v>
      </c>
      <c r="T224" s="168">
        <v>14.680363777173795</v>
      </c>
      <c r="U224" s="168">
        <v>8.8082182663042765</v>
      </c>
      <c r="V224" s="168">
        <v>7.3401818885868977</v>
      </c>
      <c r="W224" s="168">
        <v>5.8721455108695189</v>
      </c>
    </row>
    <row r="225" spans="1:23" s="129" customFormat="1" hidden="1">
      <c r="A225" s="195" t="s">
        <v>1276</v>
      </c>
      <c r="B225" s="195" t="s">
        <v>656</v>
      </c>
      <c r="C225" s="195" t="s">
        <v>907</v>
      </c>
      <c r="D225" s="236" t="s">
        <v>936</v>
      </c>
      <c r="E225" s="128" t="s">
        <v>1785</v>
      </c>
      <c r="F225" s="128"/>
      <c r="G225" s="241" t="s">
        <v>1044</v>
      </c>
      <c r="H225" s="241" t="s">
        <v>2945</v>
      </c>
      <c r="I225" s="195" t="s">
        <v>1046</v>
      </c>
      <c r="J225" s="128"/>
      <c r="K225" s="236" t="s">
        <v>60</v>
      </c>
      <c r="L225" s="227"/>
      <c r="M225" s="236" t="s">
        <v>912</v>
      </c>
      <c r="N225" s="128" t="s">
        <v>913</v>
      </c>
      <c r="O225" s="128">
        <v>2160</v>
      </c>
      <c r="P225" s="128">
        <v>8544700000</v>
      </c>
      <c r="Q225" s="126">
        <v>2.7418469314288405</v>
      </c>
      <c r="R225" s="149" t="s">
        <v>9</v>
      </c>
      <c r="T225" s="168">
        <v>9.1394897714294689</v>
      </c>
      <c r="U225" s="168">
        <v>5.483693862857681</v>
      </c>
      <c r="V225" s="168">
        <v>4.5697448857147345</v>
      </c>
      <c r="W225" s="168">
        <v>3.6557959085717879</v>
      </c>
    </row>
    <row r="226" spans="1:23" s="129" customFormat="1" hidden="1">
      <c r="A226" s="195" t="s">
        <v>1276</v>
      </c>
      <c r="B226" s="195" t="s">
        <v>656</v>
      </c>
      <c r="C226" s="195" t="s">
        <v>907</v>
      </c>
      <c r="D226" s="236" t="s">
        <v>936</v>
      </c>
      <c r="E226" s="128" t="s">
        <v>1785</v>
      </c>
      <c r="F226" s="128"/>
      <c r="G226" s="241" t="s">
        <v>1047</v>
      </c>
      <c r="H226" s="241" t="s">
        <v>2946</v>
      </c>
      <c r="I226" s="195" t="s">
        <v>1049</v>
      </c>
      <c r="J226" s="128"/>
      <c r="K226" s="236" t="s">
        <v>60</v>
      </c>
      <c r="L226" s="227"/>
      <c r="M226" s="236" t="s">
        <v>912</v>
      </c>
      <c r="N226" s="128" t="s">
        <v>913</v>
      </c>
      <c r="O226" s="128">
        <v>1920</v>
      </c>
      <c r="P226" s="128">
        <v>8544700000</v>
      </c>
      <c r="Q226" s="126">
        <v>2.8580979439250549</v>
      </c>
      <c r="R226" s="149" t="s">
        <v>9</v>
      </c>
      <c r="T226" s="168">
        <v>9.5269931464168494</v>
      </c>
      <c r="U226" s="168">
        <v>5.7161958878501098</v>
      </c>
      <c r="V226" s="168">
        <v>4.7634965732084247</v>
      </c>
      <c r="W226" s="168">
        <v>3.81079725856674</v>
      </c>
    </row>
    <row r="227" spans="1:23" s="129" customFormat="1" hidden="1">
      <c r="A227" s="195" t="s">
        <v>1276</v>
      </c>
      <c r="B227" s="195" t="s">
        <v>656</v>
      </c>
      <c r="C227" s="195" t="s">
        <v>907</v>
      </c>
      <c r="D227" s="236" t="s">
        <v>936</v>
      </c>
      <c r="E227" s="128" t="s">
        <v>1785</v>
      </c>
      <c r="F227" s="128"/>
      <c r="G227" s="241" t="s">
        <v>1050</v>
      </c>
      <c r="H227" s="241" t="s">
        <v>2947</v>
      </c>
      <c r="I227" s="195" t="s">
        <v>1052</v>
      </c>
      <c r="J227" s="128"/>
      <c r="K227" s="236" t="s">
        <v>60</v>
      </c>
      <c r="L227" s="227"/>
      <c r="M227" s="236" t="s">
        <v>912</v>
      </c>
      <c r="N227" s="128" t="s">
        <v>913</v>
      </c>
      <c r="O227" s="128">
        <v>1920</v>
      </c>
      <c r="P227" s="128">
        <v>8544700000</v>
      </c>
      <c r="Q227" s="126">
        <v>2.9658386078373922</v>
      </c>
      <c r="R227" s="149" t="s">
        <v>9</v>
      </c>
      <c r="T227" s="168">
        <v>9.8861286927913081</v>
      </c>
      <c r="U227" s="168">
        <v>5.9316772156747843</v>
      </c>
      <c r="V227" s="168">
        <v>4.9430643463956541</v>
      </c>
      <c r="W227" s="168">
        <v>3.9544514771165233</v>
      </c>
    </row>
    <row r="228" spans="1:23" s="129" customFormat="1" hidden="1">
      <c r="A228" s="195" t="s">
        <v>1276</v>
      </c>
      <c r="B228" s="195" t="s">
        <v>656</v>
      </c>
      <c r="C228" s="195" t="s">
        <v>907</v>
      </c>
      <c r="D228" s="236" t="s">
        <v>936</v>
      </c>
      <c r="E228" s="128" t="s">
        <v>1785</v>
      </c>
      <c r="F228" s="128"/>
      <c r="G228" s="241" t="s">
        <v>1053</v>
      </c>
      <c r="H228" s="241" t="s">
        <v>2948</v>
      </c>
      <c r="I228" s="195" t="s">
        <v>1055</v>
      </c>
      <c r="J228" s="128"/>
      <c r="K228" s="236" t="s">
        <v>60</v>
      </c>
      <c r="L228" s="227"/>
      <c r="M228" s="236" t="s">
        <v>912</v>
      </c>
      <c r="N228" s="128" t="s">
        <v>913</v>
      </c>
      <c r="O228" s="128">
        <v>1440</v>
      </c>
      <c r="P228" s="128">
        <v>8544700000</v>
      </c>
      <c r="Q228" s="126">
        <v>3.196076915022465</v>
      </c>
      <c r="R228" s="149" t="s">
        <v>9</v>
      </c>
      <c r="T228" s="168">
        <v>10.65358971674155</v>
      </c>
      <c r="U228" s="168">
        <v>6.3921538300449301</v>
      </c>
      <c r="V228" s="168">
        <v>5.3267948583707749</v>
      </c>
      <c r="W228" s="168">
        <v>4.2614358866966198</v>
      </c>
    </row>
    <row r="229" spans="1:23" s="129" customFormat="1" hidden="1">
      <c r="A229" s="195" t="s">
        <v>1276</v>
      </c>
      <c r="B229" s="195" t="s">
        <v>656</v>
      </c>
      <c r="C229" s="195" t="s">
        <v>907</v>
      </c>
      <c r="D229" s="236" t="s">
        <v>936</v>
      </c>
      <c r="E229" s="128" t="s">
        <v>1785</v>
      </c>
      <c r="F229" s="128"/>
      <c r="G229" s="241" t="s">
        <v>1784</v>
      </c>
      <c r="H229" s="241" t="s">
        <v>2825</v>
      </c>
      <c r="I229" s="195" t="s">
        <v>1796</v>
      </c>
      <c r="J229" s="128"/>
      <c r="K229" s="236" t="s">
        <v>60</v>
      </c>
      <c r="L229" s="227"/>
      <c r="M229" s="236" t="s">
        <v>912</v>
      </c>
      <c r="N229" s="128" t="s">
        <v>913</v>
      </c>
      <c r="O229" s="128">
        <v>720</v>
      </c>
      <c r="P229" s="128">
        <v>8544700000</v>
      </c>
      <c r="Q229" s="126">
        <v>3.7453248532651968</v>
      </c>
      <c r="R229" s="149" t="s">
        <v>9</v>
      </c>
      <c r="T229" s="168">
        <v>12.484416177550656</v>
      </c>
      <c r="U229" s="168">
        <v>7.4906497065303936</v>
      </c>
      <c r="V229" s="168">
        <v>6.2422080887753282</v>
      </c>
      <c r="W229" s="168">
        <v>4.9937664710202627</v>
      </c>
    </row>
    <row r="230" spans="1:23" s="129" customFormat="1" hidden="1">
      <c r="A230" s="195" t="s">
        <v>1276</v>
      </c>
      <c r="B230" s="195" t="s">
        <v>656</v>
      </c>
      <c r="C230" s="195" t="s">
        <v>1056</v>
      </c>
      <c r="D230" s="236" t="s">
        <v>1056</v>
      </c>
      <c r="E230" s="128"/>
      <c r="F230" s="128"/>
      <c r="G230" s="241" t="s">
        <v>1057</v>
      </c>
      <c r="H230" s="241" t="s">
        <v>2949</v>
      </c>
      <c r="I230" s="195" t="s">
        <v>1058</v>
      </c>
      <c r="J230" s="128"/>
      <c r="K230" s="236" t="s">
        <v>60</v>
      </c>
      <c r="L230" s="227"/>
      <c r="M230" s="236" t="s">
        <v>241</v>
      </c>
      <c r="N230" s="128" t="s">
        <v>1059</v>
      </c>
      <c r="O230" s="128">
        <v>90</v>
      </c>
      <c r="P230" s="128" t="s">
        <v>630</v>
      </c>
      <c r="Q230" s="126">
        <v>15.214383637701019</v>
      </c>
      <c r="R230" s="149" t="s">
        <v>5</v>
      </c>
      <c r="T230" s="168">
        <v>50.714612125670065</v>
      </c>
      <c r="U230" s="168">
        <v>30.428767275402038</v>
      </c>
      <c r="V230" s="168">
        <v>25.357306062835033</v>
      </c>
      <c r="W230" s="168">
        <v>20.285844850268028</v>
      </c>
    </row>
    <row r="231" spans="1:23" s="129" customFormat="1" hidden="1">
      <c r="A231" s="195" t="s">
        <v>1276</v>
      </c>
      <c r="B231" s="195" t="s">
        <v>656</v>
      </c>
      <c r="C231" s="195" t="s">
        <v>1056</v>
      </c>
      <c r="D231" s="236" t="s">
        <v>1056</v>
      </c>
      <c r="E231" s="128"/>
      <c r="F231" s="128"/>
      <c r="G231" s="241" t="s">
        <v>1455</v>
      </c>
      <c r="H231" s="241" t="s">
        <v>2950</v>
      </c>
      <c r="I231" s="195" t="s">
        <v>1061</v>
      </c>
      <c r="J231" s="128"/>
      <c r="K231" s="236" t="s">
        <v>60</v>
      </c>
      <c r="L231" s="227"/>
      <c r="M231" s="236" t="s">
        <v>241</v>
      </c>
      <c r="N231" s="128" t="s">
        <v>1059</v>
      </c>
      <c r="O231" s="128">
        <v>90</v>
      </c>
      <c r="P231" s="128" t="s">
        <v>630</v>
      </c>
      <c r="Q231" s="126">
        <v>13.873463446238675</v>
      </c>
      <c r="R231" s="149" t="s">
        <v>5</v>
      </c>
      <c r="T231" s="168">
        <v>46.244878154128919</v>
      </c>
      <c r="U231" s="168">
        <v>27.746926892477351</v>
      </c>
      <c r="V231" s="168">
        <v>23.12243907706446</v>
      </c>
      <c r="W231" s="168">
        <v>18.497951261651568</v>
      </c>
    </row>
    <row r="232" spans="1:23" s="129" customFormat="1" hidden="1">
      <c r="A232" s="195" t="s">
        <v>1276</v>
      </c>
      <c r="B232" s="195" t="s">
        <v>656</v>
      </c>
      <c r="C232" s="195" t="s">
        <v>1056</v>
      </c>
      <c r="D232" s="236" t="s">
        <v>1056</v>
      </c>
      <c r="E232" s="128"/>
      <c r="F232" s="128"/>
      <c r="G232" s="241" t="s">
        <v>1708</v>
      </c>
      <c r="H232" s="241" t="s">
        <v>2825</v>
      </c>
      <c r="I232" s="195" t="s">
        <v>1715</v>
      </c>
      <c r="J232" s="128"/>
      <c r="K232" s="236" t="s">
        <v>60</v>
      </c>
      <c r="L232" s="227"/>
      <c r="M232" s="236" t="s">
        <v>241</v>
      </c>
      <c r="N232" s="128" t="s">
        <v>1059</v>
      </c>
      <c r="O232" s="128">
        <v>90</v>
      </c>
      <c r="P232" s="128" t="s">
        <v>630</v>
      </c>
      <c r="Q232" s="126">
        <v>24.315093879010117</v>
      </c>
      <c r="R232" s="149" t="s">
        <v>5</v>
      </c>
      <c r="T232" s="168">
        <v>81.050312930033726</v>
      </c>
      <c r="U232" s="168">
        <v>48.630187758020234</v>
      </c>
      <c r="V232" s="168">
        <v>40.525156465016863</v>
      </c>
      <c r="W232" s="168">
        <v>32.420125172013492</v>
      </c>
    </row>
    <row r="233" spans="1:23" s="129" customFormat="1" hidden="1">
      <c r="A233" s="195" t="s">
        <v>1276</v>
      </c>
      <c r="B233" s="195" t="s">
        <v>656</v>
      </c>
      <c r="C233" s="195" t="s">
        <v>1056</v>
      </c>
      <c r="D233" s="236" t="s">
        <v>1056</v>
      </c>
      <c r="E233" s="128"/>
      <c r="F233" s="128"/>
      <c r="G233" s="241" t="s">
        <v>1709</v>
      </c>
      <c r="H233" s="241" t="s">
        <v>2825</v>
      </c>
      <c r="I233" s="195" t="s">
        <v>1716</v>
      </c>
      <c r="J233" s="128"/>
      <c r="K233" s="236" t="s">
        <v>60</v>
      </c>
      <c r="L233" s="227"/>
      <c r="M233" s="236" t="s">
        <v>241</v>
      </c>
      <c r="N233" s="128" t="s">
        <v>1059</v>
      </c>
      <c r="O233" s="128">
        <v>90</v>
      </c>
      <c r="P233" s="128" t="s">
        <v>630</v>
      </c>
      <c r="Q233" s="126">
        <v>28.843789203056033</v>
      </c>
      <c r="R233" s="149" t="s">
        <v>5</v>
      </c>
      <c r="T233" s="168">
        <v>96.145964010186788</v>
      </c>
      <c r="U233" s="168">
        <v>57.687578406112067</v>
      </c>
      <c r="V233" s="168">
        <v>48.072982005093394</v>
      </c>
      <c r="W233" s="168">
        <v>38.458385604074721</v>
      </c>
    </row>
    <row r="234" spans="1:23" s="129" customFormat="1" hidden="1">
      <c r="A234" s="195" t="s">
        <v>1276</v>
      </c>
      <c r="B234" s="195" t="s">
        <v>656</v>
      </c>
      <c r="C234" s="195" t="s">
        <v>1056</v>
      </c>
      <c r="D234" s="236" t="s">
        <v>1056</v>
      </c>
      <c r="E234" s="128"/>
      <c r="F234" s="128"/>
      <c r="G234" s="241" t="s">
        <v>1710</v>
      </c>
      <c r="H234" s="241" t="s">
        <v>2825</v>
      </c>
      <c r="I234" s="195" t="s">
        <v>1717</v>
      </c>
      <c r="J234" s="128"/>
      <c r="K234" s="236" t="s">
        <v>60</v>
      </c>
      <c r="L234" s="227"/>
      <c r="M234" s="236" t="s">
        <v>241</v>
      </c>
      <c r="N234" s="128" t="s">
        <v>1059</v>
      </c>
      <c r="O234" s="128">
        <v>90</v>
      </c>
      <c r="P234" s="128" t="s">
        <v>630</v>
      </c>
      <c r="Q234" s="126">
        <v>38.102008912081168</v>
      </c>
      <c r="R234" s="149" t="s">
        <v>5</v>
      </c>
      <c r="T234" s="168">
        <v>127.0066963736039</v>
      </c>
      <c r="U234" s="168">
        <v>76.204017824162335</v>
      </c>
      <c r="V234" s="168">
        <v>63.503348186801951</v>
      </c>
      <c r="W234" s="168">
        <v>50.802678549441566</v>
      </c>
    </row>
    <row r="235" spans="1:23" s="129" customFormat="1" hidden="1">
      <c r="A235" s="195" t="s">
        <v>1276</v>
      </c>
      <c r="B235" s="195" t="s">
        <v>656</v>
      </c>
      <c r="C235" s="195" t="s">
        <v>1056</v>
      </c>
      <c r="D235" s="236" t="s">
        <v>1056</v>
      </c>
      <c r="E235" s="128"/>
      <c r="F235" s="128"/>
      <c r="G235" s="241" t="s">
        <v>1711</v>
      </c>
      <c r="H235" s="241" t="s">
        <v>2825</v>
      </c>
      <c r="I235" s="195" t="s">
        <v>1718</v>
      </c>
      <c r="J235" s="128"/>
      <c r="K235" s="236" t="s">
        <v>60</v>
      </c>
      <c r="L235" s="227"/>
      <c r="M235" s="236" t="s">
        <v>241</v>
      </c>
      <c r="N235" s="128" t="s">
        <v>1059</v>
      </c>
      <c r="O235" s="128">
        <v>90</v>
      </c>
      <c r="P235" s="128" t="s">
        <v>630</v>
      </c>
      <c r="Q235" s="126">
        <v>56.638531236224779</v>
      </c>
      <c r="R235" s="149" t="s">
        <v>5</v>
      </c>
      <c r="T235" s="168">
        <v>188.79510412074927</v>
      </c>
      <c r="U235" s="168">
        <v>113.27706247244956</v>
      </c>
      <c r="V235" s="168">
        <v>94.397552060374636</v>
      </c>
      <c r="W235" s="168">
        <v>75.518041648299715</v>
      </c>
    </row>
    <row r="236" spans="1:23" s="129" customFormat="1" hidden="1">
      <c r="A236" s="195" t="s">
        <v>1276</v>
      </c>
      <c r="B236" s="195" t="s">
        <v>656</v>
      </c>
      <c r="C236" s="195" t="s">
        <v>1056</v>
      </c>
      <c r="D236" s="236" t="s">
        <v>1056</v>
      </c>
      <c r="E236" s="128"/>
      <c r="F236" s="128"/>
      <c r="G236" s="241" t="s">
        <v>1712</v>
      </c>
      <c r="H236" s="241" t="s">
        <v>2825</v>
      </c>
      <c r="I236" s="195" t="s">
        <v>1719</v>
      </c>
      <c r="J236" s="128"/>
      <c r="K236" s="236" t="s">
        <v>60</v>
      </c>
      <c r="L236" s="227"/>
      <c r="M236" s="236" t="s">
        <v>241</v>
      </c>
      <c r="N236" s="128" t="s">
        <v>1059</v>
      </c>
      <c r="O236" s="128">
        <v>90</v>
      </c>
      <c r="P236" s="128" t="s">
        <v>630</v>
      </c>
      <c r="Q236" s="126">
        <v>25.483919013641923</v>
      </c>
      <c r="R236" s="149" t="s">
        <v>5</v>
      </c>
      <c r="T236" s="168">
        <v>84.946396712139745</v>
      </c>
      <c r="U236" s="168">
        <v>50.967838027283847</v>
      </c>
      <c r="V236" s="168">
        <v>42.473198356069872</v>
      </c>
      <c r="W236" s="168">
        <v>33.978558684855898</v>
      </c>
    </row>
    <row r="237" spans="1:23" s="129" customFormat="1" hidden="1">
      <c r="A237" s="195" t="s">
        <v>1276</v>
      </c>
      <c r="B237" s="195" t="s">
        <v>656</v>
      </c>
      <c r="C237" s="195" t="s">
        <v>1056</v>
      </c>
      <c r="D237" s="236" t="s">
        <v>1056</v>
      </c>
      <c r="E237" s="128"/>
      <c r="F237" s="128"/>
      <c r="G237" s="241" t="s">
        <v>1713</v>
      </c>
      <c r="H237" s="241" t="s">
        <v>2825</v>
      </c>
      <c r="I237" s="195" t="s">
        <v>1720</v>
      </c>
      <c r="J237" s="128"/>
      <c r="K237" s="236" t="s">
        <v>60</v>
      </c>
      <c r="L237" s="227"/>
      <c r="M237" s="236" t="s">
        <v>241</v>
      </c>
      <c r="N237" s="128" t="s">
        <v>1059</v>
      </c>
      <c r="O237" s="128">
        <v>90</v>
      </c>
      <c r="P237" s="128" t="s">
        <v>630</v>
      </c>
      <c r="Q237" s="126">
        <v>31.181439472319649</v>
      </c>
      <c r="R237" s="149" t="s">
        <v>5</v>
      </c>
      <c r="T237" s="168">
        <v>103.93813157439884</v>
      </c>
      <c r="U237" s="168">
        <v>62.362878944639299</v>
      </c>
      <c r="V237" s="168">
        <v>51.969065787199419</v>
      </c>
      <c r="W237" s="168">
        <v>41.57525262975954</v>
      </c>
    </row>
    <row r="238" spans="1:23" s="129" customFormat="1" hidden="1">
      <c r="A238" s="195" t="s">
        <v>1276</v>
      </c>
      <c r="B238" s="195" t="s">
        <v>656</v>
      </c>
      <c r="C238" s="195" t="s">
        <v>1056</v>
      </c>
      <c r="D238" s="236" t="s">
        <v>1056</v>
      </c>
      <c r="E238" s="128"/>
      <c r="F238" s="128"/>
      <c r="G238" s="241" t="s">
        <v>1714</v>
      </c>
      <c r="H238" s="241" t="s">
        <v>2825</v>
      </c>
      <c r="I238" s="195" t="s">
        <v>1721</v>
      </c>
      <c r="J238" s="128"/>
      <c r="K238" s="236" t="s">
        <v>60</v>
      </c>
      <c r="L238" s="227"/>
      <c r="M238" s="236" t="s">
        <v>241</v>
      </c>
      <c r="N238" s="128" t="s">
        <v>1059</v>
      </c>
      <c r="O238" s="128">
        <v>90</v>
      </c>
      <c r="P238" s="128" t="s">
        <v>630</v>
      </c>
      <c r="Q238" s="126">
        <v>42.777309450608399</v>
      </c>
      <c r="R238" s="149" t="s">
        <v>5</v>
      </c>
      <c r="T238" s="168">
        <v>142.59103150202802</v>
      </c>
      <c r="U238" s="168">
        <v>85.554618901216813</v>
      </c>
      <c r="V238" s="168">
        <v>71.295515751014008</v>
      </c>
      <c r="W238" s="168">
        <v>57.036412600811211</v>
      </c>
    </row>
    <row r="239" spans="1:23" s="129" customFormat="1" hidden="1">
      <c r="A239" s="195" t="s">
        <v>1276</v>
      </c>
      <c r="B239" s="195" t="s">
        <v>656</v>
      </c>
      <c r="C239" s="195" t="s">
        <v>1056</v>
      </c>
      <c r="D239" s="236" t="s">
        <v>1056</v>
      </c>
      <c r="E239" s="128"/>
      <c r="F239" s="128"/>
      <c r="G239" s="241" t="s">
        <v>2212</v>
      </c>
      <c r="H239" s="241" t="s">
        <v>2825</v>
      </c>
      <c r="I239" s="195" t="s">
        <v>1722</v>
      </c>
      <c r="J239" s="128"/>
      <c r="K239" s="236" t="s">
        <v>60</v>
      </c>
      <c r="L239" s="227"/>
      <c r="M239" s="236" t="s">
        <v>241</v>
      </c>
      <c r="N239" s="128" t="s">
        <v>1059</v>
      </c>
      <c r="O239" s="128">
        <v>90</v>
      </c>
      <c r="P239" s="128" t="s">
        <v>630</v>
      </c>
      <c r="Q239" s="126">
        <v>65.989132313279256</v>
      </c>
      <c r="R239" s="149" t="s">
        <v>5</v>
      </c>
      <c r="T239" s="168">
        <v>219.96377437759753</v>
      </c>
      <c r="U239" s="168">
        <v>131.97826462655851</v>
      </c>
      <c r="V239" s="168">
        <v>109.98188718879877</v>
      </c>
      <c r="W239" s="168">
        <v>87.985509751039018</v>
      </c>
    </row>
    <row r="240" spans="1:23" s="129" customFormat="1" hidden="1">
      <c r="A240" s="195" t="s">
        <v>1276</v>
      </c>
      <c r="B240" s="195" t="s">
        <v>656</v>
      </c>
      <c r="C240" s="195" t="s">
        <v>1056</v>
      </c>
      <c r="D240" s="236" t="s">
        <v>1056</v>
      </c>
      <c r="E240" s="128" t="s">
        <v>923</v>
      </c>
      <c r="F240" s="128"/>
      <c r="G240" s="241" t="s">
        <v>2438</v>
      </c>
      <c r="H240" s="241" t="s">
        <v>2951</v>
      </c>
      <c r="I240" s="195" t="s">
        <v>1322</v>
      </c>
      <c r="J240" s="128"/>
      <c r="K240" s="236" t="s">
        <v>60</v>
      </c>
      <c r="L240" s="227"/>
      <c r="M240" s="236" t="s">
        <v>241</v>
      </c>
      <c r="N240" s="128" t="s">
        <v>635</v>
      </c>
      <c r="O240" s="128">
        <v>540</v>
      </c>
      <c r="P240" s="128" t="s">
        <v>630</v>
      </c>
      <c r="Q240" s="126">
        <v>4.0902008060355239</v>
      </c>
      <c r="R240" s="149" t="s">
        <v>5</v>
      </c>
      <c r="T240" s="168">
        <v>13.634002686785081</v>
      </c>
      <c r="U240" s="168">
        <v>8.1804016120710479</v>
      </c>
      <c r="V240" s="168">
        <v>6.8170013433925405</v>
      </c>
      <c r="W240" s="168">
        <v>5.4536010747140331</v>
      </c>
    </row>
    <row r="241" spans="1:23" s="129" customFormat="1" hidden="1">
      <c r="A241" s="195" t="s">
        <v>1276</v>
      </c>
      <c r="B241" s="195" t="s">
        <v>656</v>
      </c>
      <c r="C241" s="195" t="s">
        <v>1056</v>
      </c>
      <c r="D241" s="236" t="s">
        <v>1056</v>
      </c>
      <c r="E241" s="128" t="s">
        <v>923</v>
      </c>
      <c r="F241" s="128"/>
      <c r="G241" s="241" t="s">
        <v>1694</v>
      </c>
      <c r="H241" s="241" t="s">
        <v>2952</v>
      </c>
      <c r="I241" s="195" t="s">
        <v>1324</v>
      </c>
      <c r="J241" s="128"/>
      <c r="K241" s="236" t="s">
        <v>60</v>
      </c>
      <c r="L241" s="227"/>
      <c r="M241" s="236" t="s">
        <v>241</v>
      </c>
      <c r="N241" s="128" t="s">
        <v>635</v>
      </c>
      <c r="O241" s="128">
        <v>540</v>
      </c>
      <c r="P241" s="128" t="s">
        <v>630</v>
      </c>
      <c r="Q241" s="126">
        <v>3.0453279295713602</v>
      </c>
      <c r="R241" s="149" t="s">
        <v>5</v>
      </c>
      <c r="T241" s="168">
        <v>10.1510930985712</v>
      </c>
      <c r="U241" s="168">
        <v>6.0906558591427205</v>
      </c>
      <c r="V241" s="168">
        <v>5.0755465492856002</v>
      </c>
      <c r="W241" s="168">
        <v>4.06043723942848</v>
      </c>
    </row>
    <row r="242" spans="1:23" s="129" customFormat="1" hidden="1">
      <c r="A242" s="195" t="s">
        <v>1276</v>
      </c>
      <c r="B242" s="195" t="s">
        <v>656</v>
      </c>
      <c r="C242" s="195" t="s">
        <v>1056</v>
      </c>
      <c r="D242" s="236" t="s">
        <v>1056</v>
      </c>
      <c r="E242" s="128" t="s">
        <v>923</v>
      </c>
      <c r="F242" s="128"/>
      <c r="G242" s="241" t="s">
        <v>1067</v>
      </c>
      <c r="H242" s="241" t="s">
        <v>2953</v>
      </c>
      <c r="I242" s="195" t="s">
        <v>1323</v>
      </c>
      <c r="J242" s="128"/>
      <c r="K242" s="236" t="s">
        <v>60</v>
      </c>
      <c r="L242" s="227"/>
      <c r="M242" s="236" t="s">
        <v>241</v>
      </c>
      <c r="N242" s="128" t="s">
        <v>635</v>
      </c>
      <c r="O242" s="128">
        <v>540</v>
      </c>
      <c r="P242" s="128" t="s">
        <v>630</v>
      </c>
      <c r="Q242" s="126">
        <v>3.0453279295713602</v>
      </c>
      <c r="R242" s="149" t="s">
        <v>5</v>
      </c>
      <c r="T242" s="168">
        <v>10.1510930985712</v>
      </c>
      <c r="U242" s="168">
        <v>6.0906558591427205</v>
      </c>
      <c r="V242" s="168">
        <v>5.0755465492856002</v>
      </c>
      <c r="W242" s="168">
        <v>4.06043723942848</v>
      </c>
    </row>
    <row r="243" spans="1:23" s="129" customFormat="1" hidden="1">
      <c r="A243" s="195" t="s">
        <v>1276</v>
      </c>
      <c r="B243" s="195" t="s">
        <v>656</v>
      </c>
      <c r="C243" s="195" t="s">
        <v>1056</v>
      </c>
      <c r="D243" s="236" t="s">
        <v>1056</v>
      </c>
      <c r="E243" s="128" t="s">
        <v>923</v>
      </c>
      <c r="F243" s="128"/>
      <c r="G243" s="241" t="s">
        <v>1069</v>
      </c>
      <c r="H243" s="241" t="s">
        <v>2954</v>
      </c>
      <c r="I243" s="195" t="s">
        <v>1325</v>
      </c>
      <c r="J243" s="128"/>
      <c r="K243" s="236" t="s">
        <v>60</v>
      </c>
      <c r="L243" s="227"/>
      <c r="M243" s="236" t="s">
        <v>241</v>
      </c>
      <c r="N243" s="128" t="s">
        <v>635</v>
      </c>
      <c r="O243" s="128">
        <v>540</v>
      </c>
      <c r="P243" s="128" t="s">
        <v>630</v>
      </c>
      <c r="Q243" s="126">
        <v>2.5228914913392786</v>
      </c>
      <c r="R243" s="149" t="s">
        <v>5</v>
      </c>
      <c r="T243" s="168">
        <v>8.4096383044642629</v>
      </c>
      <c r="U243" s="168">
        <v>5.0457829826785572</v>
      </c>
      <c r="V243" s="168">
        <v>4.2048191522321314</v>
      </c>
      <c r="W243" s="168">
        <v>3.3638553217857052</v>
      </c>
    </row>
    <row r="244" spans="1:23" s="129" customFormat="1" hidden="1">
      <c r="A244" s="195" t="s">
        <v>1276</v>
      </c>
      <c r="B244" s="195" t="s">
        <v>656</v>
      </c>
      <c r="C244" s="195" t="s">
        <v>1056</v>
      </c>
      <c r="D244" s="236" t="s">
        <v>1056</v>
      </c>
      <c r="E244" s="128" t="s">
        <v>1071</v>
      </c>
      <c r="F244" s="128"/>
      <c r="G244" s="241" t="s">
        <v>1072</v>
      </c>
      <c r="H244" s="241" t="s">
        <v>2955</v>
      </c>
      <c r="I244" s="195" t="s">
        <v>1074</v>
      </c>
      <c r="J244" s="128"/>
      <c r="K244" s="236" t="s">
        <v>60</v>
      </c>
      <c r="L244" s="227"/>
      <c r="M244" s="236" t="s">
        <v>241</v>
      </c>
      <c r="N244" s="128" t="s">
        <v>635</v>
      </c>
      <c r="O244" s="128">
        <v>540</v>
      </c>
      <c r="P244" s="128" t="s">
        <v>630</v>
      </c>
      <c r="Q244" s="126">
        <v>3.0453279295713602</v>
      </c>
      <c r="R244" s="149" t="s">
        <v>5</v>
      </c>
      <c r="T244" s="168">
        <v>10.1510930985712</v>
      </c>
      <c r="U244" s="168">
        <v>6.0906558591427205</v>
      </c>
      <c r="V244" s="168">
        <v>5.0755465492856002</v>
      </c>
      <c r="W244" s="168">
        <v>4.06043723942848</v>
      </c>
    </row>
    <row r="245" spans="1:23" s="129" customFormat="1" hidden="1">
      <c r="A245" s="195" t="s">
        <v>1276</v>
      </c>
      <c r="B245" s="195" t="s">
        <v>656</v>
      </c>
      <c r="C245" s="195" t="s">
        <v>1056</v>
      </c>
      <c r="D245" s="236" t="s">
        <v>1056</v>
      </c>
      <c r="E245" s="128" t="s">
        <v>668</v>
      </c>
      <c r="F245" s="195"/>
      <c r="G245" s="238" t="s">
        <v>1335</v>
      </c>
      <c r="H245" s="238" t="s">
        <v>2956</v>
      </c>
      <c r="I245" s="237" t="s">
        <v>1359</v>
      </c>
      <c r="J245" s="128"/>
      <c r="K245" s="236" t="s">
        <v>60</v>
      </c>
      <c r="L245" s="236"/>
      <c r="M245" s="236" t="s">
        <v>241</v>
      </c>
      <c r="N245" s="128" t="s">
        <v>635</v>
      </c>
      <c r="O245" s="128">
        <v>540</v>
      </c>
      <c r="P245" s="128" t="s">
        <v>630</v>
      </c>
      <c r="Q245" s="126">
        <v>8.2696923118921752</v>
      </c>
      <c r="R245" s="149" t="s">
        <v>5</v>
      </c>
      <c r="T245" s="168">
        <v>27.565641039640585</v>
      </c>
      <c r="U245" s="168">
        <v>16.53938462378435</v>
      </c>
      <c r="V245" s="168">
        <v>13.782820519820293</v>
      </c>
      <c r="W245" s="168">
        <v>11.026256415856235</v>
      </c>
    </row>
    <row r="246" spans="1:23" s="129" customFormat="1" hidden="1">
      <c r="A246" s="195" t="s">
        <v>1276</v>
      </c>
      <c r="B246" s="195" t="s">
        <v>656</v>
      </c>
      <c r="C246" s="195" t="s">
        <v>1056</v>
      </c>
      <c r="D246" s="236" t="s">
        <v>1056</v>
      </c>
      <c r="E246" s="128" t="s">
        <v>668</v>
      </c>
      <c r="F246" s="195"/>
      <c r="G246" s="238" t="s">
        <v>1337</v>
      </c>
      <c r="H246" s="238" t="s">
        <v>2957</v>
      </c>
      <c r="I246" s="237" t="s">
        <v>1360</v>
      </c>
      <c r="J246" s="128"/>
      <c r="K246" s="236" t="s">
        <v>60</v>
      </c>
      <c r="L246" s="236"/>
      <c r="M246" s="236" t="s">
        <v>241</v>
      </c>
      <c r="N246" s="128" t="s">
        <v>635</v>
      </c>
      <c r="O246" s="128">
        <v>540</v>
      </c>
      <c r="P246" s="128" t="s">
        <v>630</v>
      </c>
      <c r="Q246" s="126">
        <v>6.1799465589638487</v>
      </c>
      <c r="R246" s="149" t="s">
        <v>5</v>
      </c>
      <c r="T246" s="168">
        <v>20.599821863212831</v>
      </c>
      <c r="U246" s="168">
        <v>12.359893117927699</v>
      </c>
      <c r="V246" s="168">
        <v>10.299910931606416</v>
      </c>
      <c r="W246" s="168">
        <v>8.2399287452851322</v>
      </c>
    </row>
    <row r="247" spans="1:23" s="129" customFormat="1" hidden="1">
      <c r="A247" s="195" t="s">
        <v>1276</v>
      </c>
      <c r="B247" s="195" t="s">
        <v>656</v>
      </c>
      <c r="C247" s="195" t="s">
        <v>1056</v>
      </c>
      <c r="D247" s="236" t="s">
        <v>1056</v>
      </c>
      <c r="E247" s="128" t="s">
        <v>658</v>
      </c>
      <c r="F247" s="195"/>
      <c r="G247" s="238" t="s">
        <v>1338</v>
      </c>
      <c r="H247" s="238" t="s">
        <v>2958</v>
      </c>
      <c r="I247" s="237" t="s">
        <v>1362</v>
      </c>
      <c r="J247" s="128"/>
      <c r="K247" s="236" t="s">
        <v>60</v>
      </c>
      <c r="L247" s="236"/>
      <c r="M247" s="236" t="s">
        <v>241</v>
      </c>
      <c r="N247" s="128" t="s">
        <v>635</v>
      </c>
      <c r="O247" s="128">
        <v>540</v>
      </c>
      <c r="P247" s="128" t="s">
        <v>630</v>
      </c>
      <c r="Q247" s="126">
        <v>10.3594380648205</v>
      </c>
      <c r="R247" s="149" t="s">
        <v>5</v>
      </c>
      <c r="T247" s="168">
        <v>34.531460216068332</v>
      </c>
      <c r="U247" s="168">
        <v>20.718876129641</v>
      </c>
      <c r="V247" s="168">
        <v>17.265730108034166</v>
      </c>
      <c r="W247" s="168">
        <v>13.812584086427334</v>
      </c>
    </row>
    <row r="248" spans="1:23" s="129" customFormat="1" hidden="1">
      <c r="A248" s="195" t="s">
        <v>1276</v>
      </c>
      <c r="B248" s="195" t="s">
        <v>656</v>
      </c>
      <c r="C248" s="195" t="s">
        <v>1056</v>
      </c>
      <c r="D248" s="236" t="s">
        <v>1056</v>
      </c>
      <c r="E248" s="128" t="s">
        <v>658</v>
      </c>
      <c r="F248" s="195"/>
      <c r="G248" s="238" t="s">
        <v>1339</v>
      </c>
      <c r="H248" s="238" t="s">
        <v>2959</v>
      </c>
      <c r="I248" s="237" t="s">
        <v>1363</v>
      </c>
      <c r="J248" s="128"/>
      <c r="K248" s="236" t="s">
        <v>60</v>
      </c>
      <c r="L248" s="236"/>
      <c r="M248" s="236" t="s">
        <v>241</v>
      </c>
      <c r="N248" s="128" t="s">
        <v>635</v>
      </c>
      <c r="O248" s="128">
        <v>540</v>
      </c>
      <c r="P248" s="128" t="s">
        <v>630</v>
      </c>
      <c r="Q248" s="126">
        <v>6.7023829971959312</v>
      </c>
      <c r="R248" s="149" t="s">
        <v>5</v>
      </c>
      <c r="T248" s="168">
        <v>22.341276657319771</v>
      </c>
      <c r="U248" s="168">
        <v>13.404765994391862</v>
      </c>
      <c r="V248" s="168">
        <v>11.170638328659885</v>
      </c>
      <c r="W248" s="168">
        <v>8.9365106629279083</v>
      </c>
    </row>
    <row r="249" spans="1:23" s="129" customFormat="1" hidden="1">
      <c r="A249" s="195" t="s">
        <v>1276</v>
      </c>
      <c r="B249" s="195" t="s">
        <v>656</v>
      </c>
      <c r="C249" s="195" t="s">
        <v>1056</v>
      </c>
      <c r="D249" s="236" t="s">
        <v>1056</v>
      </c>
      <c r="E249" s="128" t="s">
        <v>668</v>
      </c>
      <c r="F249" s="195"/>
      <c r="G249" s="238" t="s">
        <v>1340</v>
      </c>
      <c r="H249" s="238" t="s">
        <v>2960</v>
      </c>
      <c r="I249" s="237" t="s">
        <v>1364</v>
      </c>
      <c r="J249" s="128"/>
      <c r="K249" s="236" t="s">
        <v>60</v>
      </c>
      <c r="L249" s="236"/>
      <c r="M249" s="236" t="s">
        <v>241</v>
      </c>
      <c r="N249" s="128" t="s">
        <v>635</v>
      </c>
      <c r="O249" s="128">
        <v>540</v>
      </c>
      <c r="P249" s="128" t="s">
        <v>630</v>
      </c>
      <c r="Q249" s="126">
        <v>8.2696923118921752</v>
      </c>
      <c r="R249" s="149" t="s">
        <v>5</v>
      </c>
      <c r="T249" s="168">
        <v>27.565641039640585</v>
      </c>
      <c r="U249" s="168">
        <v>16.53938462378435</v>
      </c>
      <c r="V249" s="168">
        <v>13.782820519820293</v>
      </c>
      <c r="W249" s="168">
        <v>11.026256415856235</v>
      </c>
    </row>
    <row r="250" spans="1:23" s="129" customFormat="1" hidden="1">
      <c r="A250" s="195" t="s">
        <v>1276</v>
      </c>
      <c r="B250" s="195" t="s">
        <v>656</v>
      </c>
      <c r="C250" s="195" t="s">
        <v>1056</v>
      </c>
      <c r="D250" s="236" t="s">
        <v>1056</v>
      </c>
      <c r="E250" s="128" t="s">
        <v>668</v>
      </c>
      <c r="F250" s="195"/>
      <c r="G250" s="238" t="s">
        <v>1341</v>
      </c>
      <c r="H250" s="238" t="s">
        <v>2961</v>
      </c>
      <c r="I250" s="237" t="s">
        <v>1365</v>
      </c>
      <c r="J250" s="128"/>
      <c r="K250" s="236" t="s">
        <v>60</v>
      </c>
      <c r="L250" s="236"/>
      <c r="M250" s="236" t="s">
        <v>241</v>
      </c>
      <c r="N250" s="128" t="s">
        <v>635</v>
      </c>
      <c r="O250" s="128">
        <v>540</v>
      </c>
      <c r="P250" s="128" t="s">
        <v>630</v>
      </c>
      <c r="Q250" s="126">
        <v>6.1799465589638487</v>
      </c>
      <c r="R250" s="149" t="s">
        <v>5</v>
      </c>
      <c r="T250" s="168">
        <v>20.599821863212831</v>
      </c>
      <c r="U250" s="168">
        <v>12.359893117927699</v>
      </c>
      <c r="V250" s="168">
        <v>10.299910931606416</v>
      </c>
      <c r="W250" s="168">
        <v>8.2399287452851322</v>
      </c>
    </row>
    <row r="251" spans="1:23" s="129" customFormat="1" hidden="1">
      <c r="A251" s="195" t="s">
        <v>1276</v>
      </c>
      <c r="B251" s="195" t="s">
        <v>656</v>
      </c>
      <c r="C251" s="195" t="s">
        <v>1056</v>
      </c>
      <c r="D251" s="236" t="s">
        <v>1056</v>
      </c>
      <c r="E251" s="128" t="s">
        <v>658</v>
      </c>
      <c r="F251" s="195"/>
      <c r="G251" s="238" t="s">
        <v>1342</v>
      </c>
      <c r="H251" s="238" t="s">
        <v>2962</v>
      </c>
      <c r="I251" s="237" t="s">
        <v>1366</v>
      </c>
      <c r="J251" s="128"/>
      <c r="K251" s="236" t="s">
        <v>60</v>
      </c>
      <c r="L251" s="236"/>
      <c r="M251" s="236" t="s">
        <v>241</v>
      </c>
      <c r="N251" s="128" t="s">
        <v>635</v>
      </c>
      <c r="O251" s="128">
        <v>540</v>
      </c>
      <c r="P251" s="128" t="s">
        <v>630</v>
      </c>
      <c r="Q251" s="126">
        <v>10.3594380648205</v>
      </c>
      <c r="R251" s="149" t="s">
        <v>5</v>
      </c>
      <c r="T251" s="168">
        <v>34.531460216068332</v>
      </c>
      <c r="U251" s="168">
        <v>20.718876129641</v>
      </c>
      <c r="V251" s="168">
        <v>17.265730108034166</v>
      </c>
      <c r="W251" s="168">
        <v>13.812584086427334</v>
      </c>
    </row>
    <row r="252" spans="1:23" s="129" customFormat="1" hidden="1">
      <c r="A252" s="195" t="s">
        <v>1276</v>
      </c>
      <c r="B252" s="195" t="s">
        <v>656</v>
      </c>
      <c r="C252" s="195" t="s">
        <v>1056</v>
      </c>
      <c r="D252" s="236" t="s">
        <v>1056</v>
      </c>
      <c r="E252" s="128" t="s">
        <v>658</v>
      </c>
      <c r="F252" s="195"/>
      <c r="G252" s="238" t="s">
        <v>1343</v>
      </c>
      <c r="H252" s="238" t="s">
        <v>2963</v>
      </c>
      <c r="I252" s="237" t="s">
        <v>1367</v>
      </c>
      <c r="J252" s="128"/>
      <c r="K252" s="236" t="s">
        <v>60</v>
      </c>
      <c r="L252" s="227"/>
      <c r="M252" s="236" t="s">
        <v>241</v>
      </c>
      <c r="N252" s="128" t="s">
        <v>635</v>
      </c>
      <c r="O252" s="128">
        <v>540</v>
      </c>
      <c r="P252" s="128" t="s">
        <v>630</v>
      </c>
      <c r="Q252" s="126">
        <v>6.7023829971959312</v>
      </c>
      <c r="R252" s="149" t="s">
        <v>5</v>
      </c>
      <c r="T252" s="168">
        <v>22.341276657319771</v>
      </c>
      <c r="U252" s="168">
        <v>13.404765994391862</v>
      </c>
      <c r="V252" s="168">
        <v>11.170638328659885</v>
      </c>
      <c r="W252" s="168">
        <v>8.9365106629279083</v>
      </c>
    </row>
    <row r="253" spans="1:23" s="129" customFormat="1" hidden="1">
      <c r="A253" s="195" t="s">
        <v>1276</v>
      </c>
      <c r="B253" s="195" t="s">
        <v>656</v>
      </c>
      <c r="C253" s="195" t="s">
        <v>1079</v>
      </c>
      <c r="D253" s="236" t="s">
        <v>668</v>
      </c>
      <c r="E253" s="128" t="s">
        <v>1679</v>
      </c>
      <c r="F253" s="128"/>
      <c r="G253" s="241" t="s">
        <v>1080</v>
      </c>
      <c r="H253" s="241" t="s">
        <v>2964</v>
      </c>
      <c r="I253" s="195" t="s">
        <v>1082</v>
      </c>
      <c r="J253" s="128"/>
      <c r="K253" s="236" t="s">
        <v>60</v>
      </c>
      <c r="L253" s="227"/>
      <c r="M253" s="236" t="s">
        <v>912</v>
      </c>
      <c r="N253" s="128" t="s">
        <v>635</v>
      </c>
      <c r="O253" s="128">
        <v>10800</v>
      </c>
      <c r="P253" s="128">
        <v>8544700000</v>
      </c>
      <c r="Q253" s="126">
        <v>0.43284006997130958</v>
      </c>
      <c r="R253" s="149" t="s">
        <v>9</v>
      </c>
      <c r="T253" s="168">
        <v>1.4428002332376986</v>
      </c>
      <c r="U253" s="168">
        <v>0.86568013994261916</v>
      </c>
      <c r="V253" s="168">
        <v>0.72140011661884929</v>
      </c>
      <c r="W253" s="168">
        <v>0.57712009329507941</v>
      </c>
    </row>
    <row r="254" spans="1:23" s="129" customFormat="1" hidden="1">
      <c r="A254" s="195" t="s">
        <v>1276</v>
      </c>
      <c r="B254" s="195" t="s">
        <v>656</v>
      </c>
      <c r="C254" s="195" t="s">
        <v>1079</v>
      </c>
      <c r="D254" s="236" t="s">
        <v>658</v>
      </c>
      <c r="E254" s="128" t="s">
        <v>1679</v>
      </c>
      <c r="F254" s="128"/>
      <c r="G254" s="241" t="s">
        <v>1083</v>
      </c>
      <c r="H254" s="241" t="s">
        <v>2965</v>
      </c>
      <c r="I254" s="195" t="s">
        <v>1085</v>
      </c>
      <c r="J254" s="128"/>
      <c r="K254" s="236" t="s">
        <v>60</v>
      </c>
      <c r="L254" s="227"/>
      <c r="M254" s="236" t="s">
        <v>912</v>
      </c>
      <c r="N254" s="128" t="s">
        <v>635</v>
      </c>
      <c r="O254" s="128">
        <v>10800</v>
      </c>
      <c r="P254" s="128">
        <v>8544700000</v>
      </c>
      <c r="Q254" s="126">
        <v>0.43284006997130958</v>
      </c>
      <c r="R254" s="149" t="s">
        <v>9</v>
      </c>
      <c r="T254" s="168">
        <v>1.4428002332376986</v>
      </c>
      <c r="U254" s="168">
        <v>0.86568013994261916</v>
      </c>
      <c r="V254" s="168">
        <v>0.72140011661884929</v>
      </c>
      <c r="W254" s="168">
        <v>0.57712009329507941</v>
      </c>
    </row>
    <row r="255" spans="1:23" s="129" customFormat="1" hidden="1">
      <c r="A255" s="195" t="s">
        <v>1276</v>
      </c>
      <c r="B255" s="195" t="s">
        <v>656</v>
      </c>
      <c r="C255" s="195" t="s">
        <v>1079</v>
      </c>
      <c r="D255" s="236" t="s">
        <v>668</v>
      </c>
      <c r="E255" s="128" t="s">
        <v>1686</v>
      </c>
      <c r="F255" s="128"/>
      <c r="G255" s="241" t="s">
        <v>1086</v>
      </c>
      <c r="H255" s="241" t="s">
        <v>2966</v>
      </c>
      <c r="I255" s="195" t="s">
        <v>1088</v>
      </c>
      <c r="J255" s="128"/>
      <c r="K255" s="236" t="s">
        <v>60</v>
      </c>
      <c r="L255" s="227"/>
      <c r="M255" s="236" t="s">
        <v>912</v>
      </c>
      <c r="N255" s="128" t="s">
        <v>635</v>
      </c>
      <c r="O255" s="128">
        <v>10800</v>
      </c>
      <c r="P255" s="128">
        <v>8544700000</v>
      </c>
      <c r="Q255" s="126">
        <v>0.54884085145025852</v>
      </c>
      <c r="R255" s="149" t="s">
        <v>9</v>
      </c>
      <c r="T255" s="168">
        <v>1.8294695048341951</v>
      </c>
      <c r="U255" s="168">
        <v>1.097681702900517</v>
      </c>
      <c r="V255" s="168">
        <v>0.91473475241709756</v>
      </c>
      <c r="W255" s="168">
        <v>0.73178780193367809</v>
      </c>
    </row>
    <row r="256" spans="1:23" s="129" customFormat="1" hidden="1">
      <c r="A256" s="195" t="s">
        <v>1276</v>
      </c>
      <c r="B256" s="195" t="s">
        <v>656</v>
      </c>
      <c r="C256" s="195" t="s">
        <v>1079</v>
      </c>
      <c r="D256" s="236" t="s">
        <v>658</v>
      </c>
      <c r="E256" s="128" t="s">
        <v>765</v>
      </c>
      <c r="F256" s="128"/>
      <c r="G256" s="241" t="s">
        <v>1089</v>
      </c>
      <c r="H256" s="241" t="s">
        <v>2967</v>
      </c>
      <c r="I256" s="195" t="s">
        <v>1090</v>
      </c>
      <c r="J256" s="128"/>
      <c r="K256" s="236" t="s">
        <v>60</v>
      </c>
      <c r="L256" s="227"/>
      <c r="M256" s="236" t="s">
        <v>912</v>
      </c>
      <c r="N256" s="128" t="s">
        <v>635</v>
      </c>
      <c r="O256" s="128">
        <v>10800</v>
      </c>
      <c r="P256" s="128">
        <v>8544700000</v>
      </c>
      <c r="Q256" s="126">
        <v>0.54884085145025852</v>
      </c>
      <c r="R256" s="149" t="s">
        <v>9</v>
      </c>
      <c r="T256" s="168">
        <v>1.8294695048341951</v>
      </c>
      <c r="U256" s="168">
        <v>1.097681702900517</v>
      </c>
      <c r="V256" s="168">
        <v>0.91473475241709756</v>
      </c>
      <c r="W256" s="168">
        <v>0.73178780193367809</v>
      </c>
    </row>
    <row r="257" spans="1:23" s="129" customFormat="1" hidden="1">
      <c r="A257" s="195" t="s">
        <v>1276</v>
      </c>
      <c r="B257" s="195" t="s">
        <v>656</v>
      </c>
      <c r="C257" s="195" t="s">
        <v>1079</v>
      </c>
      <c r="D257" s="236" t="s">
        <v>668</v>
      </c>
      <c r="E257" s="128" t="s">
        <v>1736</v>
      </c>
      <c r="F257" s="128"/>
      <c r="G257" s="241" t="s">
        <v>1097</v>
      </c>
      <c r="H257" s="241" t="s">
        <v>2968</v>
      </c>
      <c r="I257" s="195" t="s">
        <v>1099</v>
      </c>
      <c r="J257" s="128"/>
      <c r="K257" s="236" t="s">
        <v>60</v>
      </c>
      <c r="L257" s="227"/>
      <c r="M257" s="236" t="s">
        <v>912</v>
      </c>
      <c r="N257" s="128" t="s">
        <v>635</v>
      </c>
      <c r="O257" s="128">
        <v>10800</v>
      </c>
      <c r="P257" s="128">
        <v>8544700000</v>
      </c>
      <c r="Q257" s="126">
        <v>0.39162926602484094</v>
      </c>
      <c r="R257" s="149" t="s">
        <v>9</v>
      </c>
      <c r="T257" s="168">
        <v>1.3054308867494699</v>
      </c>
      <c r="U257" s="168">
        <v>0.78325853204968199</v>
      </c>
      <c r="V257" s="168">
        <v>0.65271544337473497</v>
      </c>
      <c r="W257" s="168">
        <v>0.52217235469978796</v>
      </c>
    </row>
    <row r="258" spans="1:23" s="129" customFormat="1" hidden="1">
      <c r="A258" s="195" t="s">
        <v>1276</v>
      </c>
      <c r="B258" s="195" t="s">
        <v>656</v>
      </c>
      <c r="C258" s="195" t="s">
        <v>1079</v>
      </c>
      <c r="D258" s="236" t="s">
        <v>658</v>
      </c>
      <c r="E258" s="128" t="s">
        <v>1736</v>
      </c>
      <c r="F258" s="128"/>
      <c r="G258" s="241" t="s">
        <v>1693</v>
      </c>
      <c r="H258" s="241" t="s">
        <v>2969</v>
      </c>
      <c r="I258" s="195" t="s">
        <v>1101</v>
      </c>
      <c r="J258" s="128"/>
      <c r="K258" s="236" t="s">
        <v>60</v>
      </c>
      <c r="L258" s="227"/>
      <c r="M258" s="236" t="s">
        <v>912</v>
      </c>
      <c r="N258" s="128" t="s">
        <v>635</v>
      </c>
      <c r="O258" s="128">
        <v>10800</v>
      </c>
      <c r="P258" s="128">
        <v>8544700000</v>
      </c>
      <c r="Q258" s="126">
        <v>0.39162926602484094</v>
      </c>
      <c r="R258" s="149" t="s">
        <v>9</v>
      </c>
      <c r="T258" s="168">
        <v>1.3054308867494699</v>
      </c>
      <c r="U258" s="168">
        <v>0.78325853204968199</v>
      </c>
      <c r="V258" s="168">
        <v>0.65271544337473497</v>
      </c>
      <c r="W258" s="168">
        <v>0.52217235469978796</v>
      </c>
    </row>
    <row r="259" spans="1:23" s="129" customFormat="1" hidden="1">
      <c r="A259" s="195" t="s">
        <v>1276</v>
      </c>
      <c r="B259" s="195" t="s">
        <v>656</v>
      </c>
      <c r="C259" s="195" t="s">
        <v>1079</v>
      </c>
      <c r="D259" s="236" t="s">
        <v>668</v>
      </c>
      <c r="E259" s="128" t="s">
        <v>1786</v>
      </c>
      <c r="F259" s="128"/>
      <c r="G259" s="241" t="s">
        <v>1097</v>
      </c>
      <c r="H259" s="241" t="s">
        <v>2968</v>
      </c>
      <c r="I259" s="195" t="s">
        <v>1099</v>
      </c>
      <c r="J259" s="128"/>
      <c r="K259" s="236" t="s">
        <v>60</v>
      </c>
      <c r="L259" s="227"/>
      <c r="M259" s="236" t="s">
        <v>912</v>
      </c>
      <c r="N259" s="128" t="s">
        <v>635</v>
      </c>
      <c r="O259" s="128">
        <v>10800</v>
      </c>
      <c r="P259" s="128">
        <v>8544700000</v>
      </c>
      <c r="Q259" s="126">
        <v>0.40078722245738951</v>
      </c>
      <c r="R259" s="149" t="s">
        <v>9</v>
      </c>
      <c r="T259" s="168">
        <v>1.3359574081912984</v>
      </c>
      <c r="U259" s="168">
        <v>0.80157444491477903</v>
      </c>
      <c r="V259" s="168">
        <v>0.66797870409564919</v>
      </c>
      <c r="W259" s="168">
        <v>0.53438296327651935</v>
      </c>
    </row>
    <row r="260" spans="1:23" s="129" customFormat="1" hidden="1">
      <c r="A260" s="195" t="s">
        <v>1276</v>
      </c>
      <c r="B260" s="195" t="s">
        <v>656</v>
      </c>
      <c r="C260" s="195" t="s">
        <v>1079</v>
      </c>
      <c r="D260" s="236" t="s">
        <v>658</v>
      </c>
      <c r="E260" s="128" t="s">
        <v>1786</v>
      </c>
      <c r="F260" s="128"/>
      <c r="G260" s="241" t="s">
        <v>1100</v>
      </c>
      <c r="H260" s="241" t="s">
        <v>2969</v>
      </c>
      <c r="I260" s="195" t="s">
        <v>1101</v>
      </c>
      <c r="J260" s="128"/>
      <c r="K260" s="236" t="s">
        <v>60</v>
      </c>
      <c r="L260" s="227"/>
      <c r="M260" s="236" t="s">
        <v>912</v>
      </c>
      <c r="N260" s="128" t="s">
        <v>635</v>
      </c>
      <c r="O260" s="128">
        <v>10800</v>
      </c>
      <c r="P260" s="128">
        <v>8544700000</v>
      </c>
      <c r="Q260" s="126">
        <v>0.40078722245738951</v>
      </c>
      <c r="R260" s="149" t="s">
        <v>9</v>
      </c>
      <c r="T260" s="168">
        <v>1.3359574081912984</v>
      </c>
      <c r="U260" s="168">
        <v>0.80157444491477903</v>
      </c>
      <c r="V260" s="168">
        <v>0.66797870409564919</v>
      </c>
      <c r="W260" s="168">
        <v>0.53438296327651935</v>
      </c>
    </row>
    <row r="261" spans="1:23" s="129" customFormat="1" hidden="1">
      <c r="A261" s="195" t="s">
        <v>1276</v>
      </c>
      <c r="B261" s="195" t="s">
        <v>656</v>
      </c>
      <c r="C261" s="195" t="s">
        <v>1079</v>
      </c>
      <c r="D261" s="236" t="s">
        <v>2530</v>
      </c>
      <c r="E261" s="128" t="s">
        <v>1679</v>
      </c>
      <c r="F261" s="128"/>
      <c r="G261" s="234" t="s">
        <v>2524</v>
      </c>
      <c r="H261" s="241"/>
      <c r="I261" s="195" t="s">
        <v>2546</v>
      </c>
      <c r="J261" s="128"/>
      <c r="K261" s="236" t="s">
        <v>1295</v>
      </c>
      <c r="L261" s="227"/>
      <c r="M261" s="195" t="s">
        <v>2532</v>
      </c>
      <c r="N261" s="128" t="s">
        <v>2534</v>
      </c>
      <c r="O261" s="128">
        <v>480</v>
      </c>
      <c r="P261" s="128"/>
      <c r="Q261" s="126">
        <v>5.6666636140145217</v>
      </c>
      <c r="R261" s="149" t="s">
        <v>281</v>
      </c>
      <c r="T261" s="168">
        <v>18.88887871338174</v>
      </c>
      <c r="U261" s="168">
        <v>11.333327228029043</v>
      </c>
      <c r="V261" s="168">
        <v>9.4444393566908698</v>
      </c>
      <c r="W261" s="168">
        <v>7.5555514853526962</v>
      </c>
    </row>
    <row r="262" spans="1:23" s="129" customFormat="1" hidden="1">
      <c r="A262" s="195" t="s">
        <v>1276</v>
      </c>
      <c r="B262" s="195" t="s">
        <v>656</v>
      </c>
      <c r="C262" s="195" t="s">
        <v>1079</v>
      </c>
      <c r="D262" s="236" t="s">
        <v>2531</v>
      </c>
      <c r="E262" s="128" t="s">
        <v>1679</v>
      </c>
      <c r="F262" s="128"/>
      <c r="G262" s="234" t="s">
        <v>2525</v>
      </c>
      <c r="H262" s="241"/>
      <c r="I262" s="195" t="s">
        <v>2547</v>
      </c>
      <c r="J262" s="128"/>
      <c r="K262" s="236" t="s">
        <v>1295</v>
      </c>
      <c r="L262" s="227"/>
      <c r="M262" s="195" t="s">
        <v>2532</v>
      </c>
      <c r="N262" s="128" t="s">
        <v>2534</v>
      </c>
      <c r="O262" s="128">
        <v>480</v>
      </c>
      <c r="P262" s="128"/>
      <c r="Q262" s="126">
        <v>5.6666636140145217</v>
      </c>
      <c r="R262" s="149" t="s">
        <v>281</v>
      </c>
      <c r="T262" s="168">
        <v>18.88887871338174</v>
      </c>
      <c r="U262" s="168">
        <v>11.333327228029043</v>
      </c>
      <c r="V262" s="168">
        <v>9.4444393566908698</v>
      </c>
      <c r="W262" s="168">
        <v>7.5555514853526962</v>
      </c>
    </row>
    <row r="263" spans="1:23" s="129" customFormat="1" hidden="1">
      <c r="A263" s="195" t="s">
        <v>1276</v>
      </c>
      <c r="B263" s="195" t="s">
        <v>656</v>
      </c>
      <c r="C263" s="195" t="s">
        <v>1079</v>
      </c>
      <c r="D263" s="236" t="s">
        <v>2530</v>
      </c>
      <c r="E263" s="128" t="s">
        <v>1686</v>
      </c>
      <c r="F263" s="128"/>
      <c r="G263" s="234" t="s">
        <v>2526</v>
      </c>
      <c r="H263" s="241"/>
      <c r="I263" s="195" t="s">
        <v>2548</v>
      </c>
      <c r="J263" s="128"/>
      <c r="K263" s="236" t="s">
        <v>1295</v>
      </c>
      <c r="L263" s="227"/>
      <c r="M263" s="195" t="s">
        <v>2532</v>
      </c>
      <c r="N263" s="128" t="s">
        <v>2534</v>
      </c>
      <c r="O263" s="128">
        <v>480</v>
      </c>
      <c r="P263" s="128"/>
      <c r="Q263" s="126">
        <v>6.7076179951808808</v>
      </c>
      <c r="R263" s="149" t="s">
        <v>281</v>
      </c>
      <c r="T263" s="168">
        <v>22.358726650602936</v>
      </c>
      <c r="U263" s="168">
        <v>13.415235990361762</v>
      </c>
      <c r="V263" s="168">
        <v>11.179363325301468</v>
      </c>
      <c r="W263" s="168">
        <v>8.9434906602411743</v>
      </c>
    </row>
    <row r="264" spans="1:23" s="129" customFormat="1" hidden="1">
      <c r="A264" s="195" t="s">
        <v>1276</v>
      </c>
      <c r="B264" s="195" t="s">
        <v>656</v>
      </c>
      <c r="C264" s="195" t="s">
        <v>1079</v>
      </c>
      <c r="D264" s="236" t="s">
        <v>2531</v>
      </c>
      <c r="E264" s="128" t="s">
        <v>765</v>
      </c>
      <c r="F264" s="128"/>
      <c r="G264" s="234" t="s">
        <v>2527</v>
      </c>
      <c r="H264" s="241"/>
      <c r="I264" s="195" t="s">
        <v>2549</v>
      </c>
      <c r="J264" s="128"/>
      <c r="K264" s="236" t="s">
        <v>1295</v>
      </c>
      <c r="L264" s="227"/>
      <c r="M264" s="195" t="s">
        <v>2532</v>
      </c>
      <c r="N264" s="128" t="s">
        <v>2534</v>
      </c>
      <c r="O264" s="128">
        <v>480</v>
      </c>
      <c r="P264" s="128"/>
      <c r="Q264" s="126">
        <v>6.7076179951808808</v>
      </c>
      <c r="R264" s="149" t="s">
        <v>281</v>
      </c>
      <c r="T264" s="168">
        <v>22.358726650602936</v>
      </c>
      <c r="U264" s="168">
        <v>13.415235990361762</v>
      </c>
      <c r="V264" s="168">
        <v>11.179363325301468</v>
      </c>
      <c r="W264" s="168">
        <v>8.9434906602411743</v>
      </c>
    </row>
    <row r="265" spans="1:23" s="129" customFormat="1" hidden="1">
      <c r="A265" s="195" t="s">
        <v>1276</v>
      </c>
      <c r="B265" s="195" t="s">
        <v>656</v>
      </c>
      <c r="C265" s="195" t="s">
        <v>1079</v>
      </c>
      <c r="D265" s="236" t="s">
        <v>2530</v>
      </c>
      <c r="E265" s="128" t="s">
        <v>820</v>
      </c>
      <c r="F265" s="128"/>
      <c r="G265" s="234" t="s">
        <v>2528</v>
      </c>
      <c r="H265" s="241"/>
      <c r="I265" s="195" t="s">
        <v>2550</v>
      </c>
      <c r="J265" s="128"/>
      <c r="K265" s="236" t="s">
        <v>1295</v>
      </c>
      <c r="L265" s="227"/>
      <c r="M265" s="195" t="s">
        <v>2532</v>
      </c>
      <c r="N265" s="128" t="s">
        <v>2534</v>
      </c>
      <c r="O265" s="128">
        <v>480</v>
      </c>
      <c r="P265" s="128"/>
      <c r="Q265" s="126">
        <v>9.0474758636970467</v>
      </c>
      <c r="R265" s="149" t="s">
        <v>281</v>
      </c>
      <c r="T265" s="168">
        <v>30.158252878990158</v>
      </c>
      <c r="U265" s="168">
        <v>18.094951727394093</v>
      </c>
      <c r="V265" s="168">
        <v>15.079126439495079</v>
      </c>
      <c r="W265" s="168">
        <v>12.063301151596065</v>
      </c>
    </row>
    <row r="266" spans="1:23" s="129" customFormat="1" hidden="1">
      <c r="A266" s="195" t="s">
        <v>1276</v>
      </c>
      <c r="B266" s="195" t="s">
        <v>656</v>
      </c>
      <c r="C266" s="195" t="s">
        <v>1079</v>
      </c>
      <c r="D266" s="236" t="s">
        <v>2531</v>
      </c>
      <c r="E266" s="128" t="s">
        <v>820</v>
      </c>
      <c r="F266" s="128"/>
      <c r="G266" s="234" t="s">
        <v>2529</v>
      </c>
      <c r="H266" s="241"/>
      <c r="I266" s="195" t="s">
        <v>2551</v>
      </c>
      <c r="J266" s="128"/>
      <c r="K266" s="236" t="s">
        <v>1295</v>
      </c>
      <c r="L266" s="227"/>
      <c r="M266" s="195" t="s">
        <v>2532</v>
      </c>
      <c r="N266" s="128" t="s">
        <v>2534</v>
      </c>
      <c r="O266" s="128">
        <v>480</v>
      </c>
      <c r="P266" s="128"/>
      <c r="Q266" s="126">
        <v>9.0474758636970467</v>
      </c>
      <c r="R266" s="149" t="s">
        <v>281</v>
      </c>
      <c r="T266" s="168">
        <v>30.158252878990158</v>
      </c>
      <c r="U266" s="168">
        <v>18.094951727394093</v>
      </c>
      <c r="V266" s="168">
        <v>15.079126439495079</v>
      </c>
      <c r="W266" s="168">
        <v>12.063301151596065</v>
      </c>
    </row>
    <row r="267" spans="1:23" s="129" customFormat="1" hidden="1">
      <c r="A267" s="195" t="s">
        <v>1276</v>
      </c>
      <c r="B267" s="195" t="s">
        <v>656</v>
      </c>
      <c r="C267" s="195" t="s">
        <v>1079</v>
      </c>
      <c r="D267" s="236" t="s">
        <v>2530</v>
      </c>
      <c r="E267" s="128" t="s">
        <v>1786</v>
      </c>
      <c r="F267" s="128"/>
      <c r="G267" s="234" t="s">
        <v>2522</v>
      </c>
      <c r="H267" s="241"/>
      <c r="I267" s="195" t="s">
        <v>2544</v>
      </c>
      <c r="J267" s="128"/>
      <c r="K267" s="236" t="s">
        <v>1295</v>
      </c>
      <c r="L267" s="227"/>
      <c r="M267" s="195" t="s">
        <v>2532</v>
      </c>
      <c r="N267" s="128" t="s">
        <v>2534</v>
      </c>
      <c r="O267" s="128">
        <v>480</v>
      </c>
      <c r="P267" s="128"/>
      <c r="Q267" s="126">
        <v>4.998132794438475</v>
      </c>
      <c r="R267" s="149" t="s">
        <v>281</v>
      </c>
      <c r="T267" s="168">
        <v>16.660442648128249</v>
      </c>
      <c r="U267" s="168">
        <v>9.99626558887695</v>
      </c>
      <c r="V267" s="168">
        <v>8.3302213240641247</v>
      </c>
      <c r="W267" s="168">
        <v>6.6641770592513003</v>
      </c>
    </row>
    <row r="268" spans="1:23" s="129" customFormat="1" hidden="1">
      <c r="A268" s="195" t="s">
        <v>1276</v>
      </c>
      <c r="B268" s="195" t="s">
        <v>656</v>
      </c>
      <c r="C268" s="195" t="s">
        <v>1079</v>
      </c>
      <c r="D268" s="236" t="s">
        <v>2531</v>
      </c>
      <c r="E268" s="128" t="s">
        <v>1786</v>
      </c>
      <c r="F268" s="128"/>
      <c r="G268" s="234" t="s">
        <v>2523</v>
      </c>
      <c r="H268" s="241"/>
      <c r="I268" s="195" t="s">
        <v>2545</v>
      </c>
      <c r="J268" s="128"/>
      <c r="K268" s="236" t="s">
        <v>1295</v>
      </c>
      <c r="L268" s="227"/>
      <c r="M268" s="195" t="s">
        <v>2532</v>
      </c>
      <c r="N268" s="128" t="s">
        <v>2534</v>
      </c>
      <c r="O268" s="128">
        <v>480</v>
      </c>
      <c r="P268" s="128"/>
      <c r="Q268" s="126">
        <v>4.998132794438475</v>
      </c>
      <c r="R268" s="149" t="s">
        <v>281</v>
      </c>
      <c r="T268" s="168">
        <v>16.660442648128249</v>
      </c>
      <c r="U268" s="168">
        <v>9.99626558887695</v>
      </c>
      <c r="V268" s="168">
        <v>8.3302213240641247</v>
      </c>
      <c r="W268" s="168">
        <v>6.6641770592513003</v>
      </c>
    </row>
    <row r="269" spans="1:23" s="129" customFormat="1" hidden="1">
      <c r="A269" s="195" t="s">
        <v>1276</v>
      </c>
      <c r="B269" s="195" t="s">
        <v>1102</v>
      </c>
      <c r="C269" s="195" t="s">
        <v>1103</v>
      </c>
      <c r="D269" s="236" t="s">
        <v>1103</v>
      </c>
      <c r="E269" s="128"/>
      <c r="F269" s="128"/>
      <c r="G269" s="241" t="s">
        <v>1418</v>
      </c>
      <c r="H269" s="241" t="s">
        <v>2970</v>
      </c>
      <c r="I269" s="236" t="s">
        <v>1109</v>
      </c>
      <c r="J269" s="128"/>
      <c r="K269" s="236" t="s">
        <v>60</v>
      </c>
      <c r="L269" s="227"/>
      <c r="M269" s="236" t="s">
        <v>241</v>
      </c>
      <c r="N269" s="128" t="s">
        <v>635</v>
      </c>
      <c r="O269" s="128">
        <v>400</v>
      </c>
      <c r="P269" s="128" t="s">
        <v>1457</v>
      </c>
      <c r="Q269" s="126">
        <v>2.6806930885082374</v>
      </c>
      <c r="R269" s="149" t="s">
        <v>9</v>
      </c>
      <c r="T269" s="168">
        <v>8.9356436283607916</v>
      </c>
      <c r="U269" s="168">
        <v>5.3613861770164748</v>
      </c>
      <c r="V269" s="168">
        <v>4.4678218141803958</v>
      </c>
      <c r="W269" s="168">
        <v>3.5742574513443168</v>
      </c>
    </row>
    <row r="270" spans="1:23" s="129" customFormat="1" hidden="1">
      <c r="A270" s="237" t="s">
        <v>1276</v>
      </c>
      <c r="B270" s="237" t="s">
        <v>1102</v>
      </c>
      <c r="C270" s="237" t="s">
        <v>1103</v>
      </c>
      <c r="D270" s="237" t="s">
        <v>1103</v>
      </c>
      <c r="E270" s="197"/>
      <c r="F270" s="128"/>
      <c r="G270" s="241" t="s">
        <v>1419</v>
      </c>
      <c r="H270" s="241" t="s">
        <v>2971</v>
      </c>
      <c r="I270" s="237" t="s">
        <v>1112</v>
      </c>
      <c r="J270" s="128"/>
      <c r="K270" s="236" t="s">
        <v>60</v>
      </c>
      <c r="L270" s="128"/>
      <c r="M270" s="236" t="s">
        <v>241</v>
      </c>
      <c r="N270" s="128" t="s">
        <v>635</v>
      </c>
      <c r="O270" s="128">
        <v>400</v>
      </c>
      <c r="P270" s="128" t="s">
        <v>1107</v>
      </c>
      <c r="Q270" s="126">
        <v>3.1833073842246455</v>
      </c>
      <c r="R270" s="149" t="s">
        <v>9</v>
      </c>
      <c r="T270" s="168">
        <v>10.611024614082153</v>
      </c>
      <c r="U270" s="168">
        <v>6.3666147684492911</v>
      </c>
      <c r="V270" s="168">
        <v>5.3055123070410763</v>
      </c>
      <c r="W270" s="168">
        <v>4.2444098456328616</v>
      </c>
    </row>
    <row r="271" spans="1:23" s="129" customFormat="1" hidden="1">
      <c r="A271" s="237" t="s">
        <v>1276</v>
      </c>
      <c r="B271" s="237" t="s">
        <v>1102</v>
      </c>
      <c r="C271" s="237" t="s">
        <v>1103</v>
      </c>
      <c r="D271" s="237" t="s">
        <v>1103</v>
      </c>
      <c r="E271" s="197"/>
      <c r="F271" s="128"/>
      <c r="G271" s="241" t="s">
        <v>1113</v>
      </c>
      <c r="H271" s="241" t="s">
        <v>2972</v>
      </c>
      <c r="I271" s="237" t="s">
        <v>1114</v>
      </c>
      <c r="J271" s="128"/>
      <c r="K271" s="236" t="s">
        <v>60</v>
      </c>
      <c r="L271" s="128"/>
      <c r="M271" s="236" t="s">
        <v>241</v>
      </c>
      <c r="N271" s="128" t="s">
        <v>242</v>
      </c>
      <c r="O271" s="128">
        <v>360</v>
      </c>
      <c r="P271" s="128" t="s">
        <v>1107</v>
      </c>
      <c r="Q271" s="126">
        <v>3.3007508376268753</v>
      </c>
      <c r="R271" s="149" t="s">
        <v>9</v>
      </c>
      <c r="T271" s="168">
        <v>11.002502792089585</v>
      </c>
      <c r="U271" s="168">
        <v>6.6015016752537505</v>
      </c>
      <c r="V271" s="168">
        <v>5.5012513960447924</v>
      </c>
      <c r="W271" s="168">
        <v>4.4010011168358343</v>
      </c>
    </row>
    <row r="272" spans="1:23" s="129" customFormat="1" hidden="1">
      <c r="A272" s="237" t="s">
        <v>1276</v>
      </c>
      <c r="B272" s="237" t="s">
        <v>1102</v>
      </c>
      <c r="C272" s="237" t="s">
        <v>1103</v>
      </c>
      <c r="D272" s="237" t="s">
        <v>1103</v>
      </c>
      <c r="E272" s="197"/>
      <c r="F272" s="128"/>
      <c r="G272" s="241" t="s">
        <v>1116</v>
      </c>
      <c r="H272" s="241" t="s">
        <v>2973</v>
      </c>
      <c r="I272" s="237" t="s">
        <v>1118</v>
      </c>
      <c r="J272" s="128"/>
      <c r="K272" s="236" t="s">
        <v>60</v>
      </c>
      <c r="L272" s="128"/>
      <c r="M272" s="236" t="s">
        <v>241</v>
      </c>
      <c r="N272" s="128" t="s">
        <v>242</v>
      </c>
      <c r="O272" s="128">
        <v>360</v>
      </c>
      <c r="P272" s="128" t="s">
        <v>1107</v>
      </c>
      <c r="Q272" s="126">
        <v>10.560875874258702</v>
      </c>
      <c r="R272" s="149" t="s">
        <v>9</v>
      </c>
      <c r="T272" s="168">
        <v>35.202919580862343</v>
      </c>
      <c r="U272" s="168">
        <v>21.121751748517404</v>
      </c>
      <c r="V272" s="168">
        <v>17.601459790431171</v>
      </c>
      <c r="W272" s="168">
        <v>14.081167832344939</v>
      </c>
    </row>
    <row r="273" spans="1:23" s="129" customFormat="1" hidden="1">
      <c r="A273" s="195" t="s">
        <v>1276</v>
      </c>
      <c r="B273" s="195" t="s">
        <v>1102</v>
      </c>
      <c r="C273" s="195" t="s">
        <v>1103</v>
      </c>
      <c r="D273" s="236" t="s">
        <v>1103</v>
      </c>
      <c r="E273" s="128"/>
      <c r="F273" s="128"/>
      <c r="G273" s="241" t="s">
        <v>1417</v>
      </c>
      <c r="H273" s="241" t="s">
        <v>2974</v>
      </c>
      <c r="I273" s="236" t="s">
        <v>1124</v>
      </c>
      <c r="J273" s="128"/>
      <c r="K273" s="236" t="s">
        <v>60</v>
      </c>
      <c r="L273" s="227"/>
      <c r="M273" s="236" t="s">
        <v>241</v>
      </c>
      <c r="N273" s="128" t="s">
        <v>635</v>
      </c>
      <c r="O273" s="128">
        <v>1600</v>
      </c>
      <c r="P273" s="128" t="s">
        <v>1107</v>
      </c>
      <c r="Q273" s="126">
        <v>2.9317628630039505</v>
      </c>
      <c r="R273" s="149" t="s">
        <v>9</v>
      </c>
      <c r="T273" s="168">
        <v>9.7725428766798359</v>
      </c>
      <c r="U273" s="168">
        <v>5.863525726007901</v>
      </c>
      <c r="V273" s="168">
        <v>4.8862714383399179</v>
      </c>
      <c r="W273" s="168">
        <v>3.9090171506719344</v>
      </c>
    </row>
    <row r="274" spans="1:23" s="129" customFormat="1" hidden="1">
      <c r="A274" s="195" t="s">
        <v>1276</v>
      </c>
      <c r="B274" s="195" t="s">
        <v>1102</v>
      </c>
      <c r="C274" s="195" t="s">
        <v>1103</v>
      </c>
      <c r="D274" s="236" t="s">
        <v>1103</v>
      </c>
      <c r="E274" s="128"/>
      <c r="F274" s="128"/>
      <c r="G274" s="238" t="s">
        <v>1125</v>
      </c>
      <c r="H274" s="238" t="s">
        <v>2975</v>
      </c>
      <c r="I274" s="195" t="s">
        <v>1127</v>
      </c>
      <c r="J274" s="128"/>
      <c r="K274" s="236" t="s">
        <v>60</v>
      </c>
      <c r="L274" s="128"/>
      <c r="M274" s="236" t="s">
        <v>241</v>
      </c>
      <c r="N274" s="128" t="s">
        <v>383</v>
      </c>
      <c r="O274" s="128">
        <v>128</v>
      </c>
      <c r="P274" s="128" t="s">
        <v>630</v>
      </c>
      <c r="Q274" s="126">
        <v>6.748403384655461</v>
      </c>
      <c r="R274" s="149" t="s">
        <v>9</v>
      </c>
      <c r="T274" s="168">
        <v>22.494677948851539</v>
      </c>
      <c r="U274" s="168">
        <v>13.496806769310924</v>
      </c>
      <c r="V274" s="168">
        <v>11.247338974425769</v>
      </c>
      <c r="W274" s="168">
        <v>8.9978711795406152</v>
      </c>
    </row>
    <row r="275" spans="1:23" s="129" customFormat="1" hidden="1">
      <c r="A275" s="195" t="s">
        <v>1276</v>
      </c>
      <c r="B275" s="195" t="s">
        <v>1102</v>
      </c>
      <c r="C275" s="195" t="s">
        <v>1103</v>
      </c>
      <c r="D275" s="236" t="s">
        <v>1103</v>
      </c>
      <c r="E275" s="128"/>
      <c r="F275" s="128"/>
      <c r="G275" s="238" t="s">
        <v>1129</v>
      </c>
      <c r="H275" s="238" t="s">
        <v>2976</v>
      </c>
      <c r="I275" s="195" t="s">
        <v>1131</v>
      </c>
      <c r="J275" s="128"/>
      <c r="K275" s="236" t="s">
        <v>60</v>
      </c>
      <c r="L275" s="227"/>
      <c r="M275" s="236" t="s">
        <v>241</v>
      </c>
      <c r="N275" s="128" t="s">
        <v>383</v>
      </c>
      <c r="O275" s="128">
        <v>200</v>
      </c>
      <c r="P275" s="128" t="s">
        <v>630</v>
      </c>
      <c r="Q275" s="126">
        <v>7.1859932422108841</v>
      </c>
      <c r="R275" s="149" t="s">
        <v>9</v>
      </c>
      <c r="T275" s="168">
        <v>23.953310807369615</v>
      </c>
      <c r="U275" s="168">
        <v>14.371986484421768</v>
      </c>
      <c r="V275" s="168">
        <v>11.976655403684807</v>
      </c>
      <c r="W275" s="168">
        <v>9.5813243229478466</v>
      </c>
    </row>
    <row r="276" spans="1:23" s="129" customFormat="1" hidden="1">
      <c r="A276" s="195" t="s">
        <v>1276</v>
      </c>
      <c r="B276" s="195" t="s">
        <v>1102</v>
      </c>
      <c r="C276" s="195" t="s">
        <v>1103</v>
      </c>
      <c r="D276" s="236" t="s">
        <v>1103</v>
      </c>
      <c r="E276" s="128"/>
      <c r="F276" s="128"/>
      <c r="G276" s="241" t="s">
        <v>1133</v>
      </c>
      <c r="H276" s="241" t="s">
        <v>2977</v>
      </c>
      <c r="I276" s="195" t="s">
        <v>1135</v>
      </c>
      <c r="J276" s="128"/>
      <c r="K276" s="236" t="s">
        <v>60</v>
      </c>
      <c r="L276" s="227"/>
      <c r="M276" s="236" t="s">
        <v>241</v>
      </c>
      <c r="N276" s="128" t="s">
        <v>635</v>
      </c>
      <c r="O276" s="128">
        <v>900</v>
      </c>
      <c r="P276" s="128" t="s">
        <v>1107</v>
      </c>
      <c r="Q276" s="126">
        <v>1.5286838829928564</v>
      </c>
      <c r="R276" s="149" t="s">
        <v>9</v>
      </c>
      <c r="T276" s="168">
        <v>5.0956129433095212</v>
      </c>
      <c r="U276" s="168">
        <v>3.0573677659857128</v>
      </c>
      <c r="V276" s="168">
        <v>2.5478064716547606</v>
      </c>
      <c r="W276" s="168">
        <v>2.0382451773238084</v>
      </c>
    </row>
    <row r="277" spans="1:23" s="129" customFormat="1" hidden="1">
      <c r="A277" s="237" t="s">
        <v>1276</v>
      </c>
      <c r="B277" s="237" t="s">
        <v>1102</v>
      </c>
      <c r="C277" s="237" t="s">
        <v>1103</v>
      </c>
      <c r="D277" s="237" t="s">
        <v>1103</v>
      </c>
      <c r="E277" s="197"/>
      <c r="F277" s="128"/>
      <c r="G277" s="241" t="s">
        <v>1137</v>
      </c>
      <c r="H277" s="241" t="s">
        <v>2978</v>
      </c>
      <c r="I277" s="237" t="s">
        <v>1139</v>
      </c>
      <c r="J277" s="128"/>
      <c r="K277" s="236" t="s">
        <v>60</v>
      </c>
      <c r="L277" s="128"/>
      <c r="M277" s="236" t="s">
        <v>241</v>
      </c>
      <c r="N277" s="128" t="s">
        <v>635</v>
      </c>
      <c r="O277" s="128">
        <v>400</v>
      </c>
      <c r="P277" s="128" t="s">
        <v>1107</v>
      </c>
      <c r="Q277" s="126">
        <v>3.2028768193806783</v>
      </c>
      <c r="R277" s="149" t="s">
        <v>9</v>
      </c>
      <c r="T277" s="168">
        <v>10.676256064602262</v>
      </c>
      <c r="U277" s="168">
        <v>6.4057536387613565</v>
      </c>
      <c r="V277" s="168">
        <v>5.3381280323011309</v>
      </c>
      <c r="W277" s="168">
        <v>4.2705024258409052</v>
      </c>
    </row>
    <row r="278" spans="1:23" s="129" customFormat="1" hidden="1">
      <c r="A278" s="237" t="s">
        <v>1276</v>
      </c>
      <c r="B278" s="237" t="s">
        <v>1102</v>
      </c>
      <c r="C278" s="237" t="s">
        <v>1141</v>
      </c>
      <c r="D278" s="237" t="s">
        <v>1141</v>
      </c>
      <c r="E278" s="197"/>
      <c r="F278" s="128"/>
      <c r="G278" s="241" t="s">
        <v>1420</v>
      </c>
      <c r="H278" s="241" t="s">
        <v>2979</v>
      </c>
      <c r="I278" s="237" t="s">
        <v>1144</v>
      </c>
      <c r="J278" s="128"/>
      <c r="K278" s="236" t="s">
        <v>60</v>
      </c>
      <c r="L278" s="128"/>
      <c r="M278" s="236" t="s">
        <v>241</v>
      </c>
      <c r="N278" s="128" t="s">
        <v>1059</v>
      </c>
      <c r="O278" s="128">
        <v>240</v>
      </c>
      <c r="P278" s="128">
        <v>8544422100</v>
      </c>
      <c r="Q278" s="126">
        <v>9.0166702127612144</v>
      </c>
      <c r="R278" s="149" t="s">
        <v>9</v>
      </c>
      <c r="T278" s="168">
        <v>30.055567375870716</v>
      </c>
      <c r="U278" s="168">
        <v>18.033340425522429</v>
      </c>
      <c r="V278" s="168">
        <v>15.027783687935358</v>
      </c>
      <c r="W278" s="168">
        <v>12.022226950348287</v>
      </c>
    </row>
    <row r="279" spans="1:23" s="129" customFormat="1" hidden="1">
      <c r="A279" s="237" t="s">
        <v>1276</v>
      </c>
      <c r="B279" s="237" t="s">
        <v>1102</v>
      </c>
      <c r="C279" s="237" t="s">
        <v>1141</v>
      </c>
      <c r="D279" s="237" t="s">
        <v>1141</v>
      </c>
      <c r="E279" s="197"/>
      <c r="F279" s="128"/>
      <c r="G279" s="241" t="s">
        <v>1149</v>
      </c>
      <c r="H279" s="241" t="s">
        <v>2980</v>
      </c>
      <c r="I279" s="237" t="s">
        <v>1151</v>
      </c>
      <c r="J279" s="128"/>
      <c r="K279" s="236" t="s">
        <v>60</v>
      </c>
      <c r="L279" s="128"/>
      <c r="M279" s="236" t="s">
        <v>241</v>
      </c>
      <c r="N279" s="128" t="s">
        <v>1059</v>
      </c>
      <c r="O279" s="128">
        <v>240</v>
      </c>
      <c r="P279" s="128">
        <v>8544422100</v>
      </c>
      <c r="Q279" s="126">
        <v>9.1419017434940084</v>
      </c>
      <c r="R279" s="149" t="s">
        <v>9</v>
      </c>
      <c r="T279" s="168">
        <v>30.473005811646697</v>
      </c>
      <c r="U279" s="168">
        <v>18.283803486988017</v>
      </c>
      <c r="V279" s="168">
        <v>15.236502905823349</v>
      </c>
      <c r="W279" s="168">
        <v>12.18920232465868</v>
      </c>
    </row>
    <row r="280" spans="1:23" s="129" customFormat="1" hidden="1">
      <c r="A280" s="195" t="s">
        <v>1276</v>
      </c>
      <c r="B280" s="195" t="s">
        <v>1102</v>
      </c>
      <c r="C280" s="195" t="s">
        <v>1141</v>
      </c>
      <c r="D280" s="236" t="s">
        <v>1141</v>
      </c>
      <c r="E280" s="128"/>
      <c r="F280" s="128"/>
      <c r="G280" s="241" t="s">
        <v>1153</v>
      </c>
      <c r="H280" s="241" t="s">
        <v>2981</v>
      </c>
      <c r="I280" s="195" t="s">
        <v>1155</v>
      </c>
      <c r="J280" s="128"/>
      <c r="K280" s="236" t="s">
        <v>60</v>
      </c>
      <c r="L280" s="227"/>
      <c r="M280" s="236" t="s">
        <v>241</v>
      </c>
      <c r="N280" s="128" t="s">
        <v>1059</v>
      </c>
      <c r="O280" s="128">
        <v>240</v>
      </c>
      <c r="P280" s="128" t="s">
        <v>1146</v>
      </c>
      <c r="Q280" s="126">
        <v>31.420285682111739</v>
      </c>
      <c r="R280" s="149" t="s">
        <v>9</v>
      </c>
      <c r="T280" s="168">
        <v>104.73428560703914</v>
      </c>
      <c r="U280" s="168">
        <v>62.840571364223479</v>
      </c>
      <c r="V280" s="168">
        <v>52.36714280351957</v>
      </c>
      <c r="W280" s="168">
        <v>41.893714242815662</v>
      </c>
    </row>
    <row r="281" spans="1:23" s="129" customFormat="1" hidden="1">
      <c r="A281" s="195" t="s">
        <v>1276</v>
      </c>
      <c r="B281" s="195" t="s">
        <v>656</v>
      </c>
      <c r="C281" s="195" t="s">
        <v>684</v>
      </c>
      <c r="D281" s="236" t="s">
        <v>686</v>
      </c>
      <c r="E281" s="128" t="s">
        <v>685</v>
      </c>
      <c r="F281" s="128"/>
      <c r="G281" s="241" t="s">
        <v>2633</v>
      </c>
      <c r="H281" s="241" t="s">
        <v>2825</v>
      </c>
      <c r="I281" s="195" t="s">
        <v>2635</v>
      </c>
      <c r="J281" s="128" t="s">
        <v>1666</v>
      </c>
      <c r="K281" s="236" t="s">
        <v>1223</v>
      </c>
      <c r="L281" s="227"/>
      <c r="M281" s="236" t="s">
        <v>715</v>
      </c>
      <c r="N281" s="128" t="s">
        <v>690</v>
      </c>
      <c r="O281" s="128">
        <v>8</v>
      </c>
      <c r="P281" s="128">
        <v>8544700000</v>
      </c>
      <c r="Q281" s="285">
        <v>472.14285714285717</v>
      </c>
      <c r="R281" s="149" t="s">
        <v>9</v>
      </c>
      <c r="T281" s="134">
        <v>1573.8095238095239</v>
      </c>
      <c r="U281" s="134">
        <v>944.28571428571422</v>
      </c>
      <c r="V281" s="134">
        <v>786.90476190476193</v>
      </c>
      <c r="W281" s="134">
        <v>629.52380952380963</v>
      </c>
    </row>
    <row r="282" spans="1:23" s="129" customFormat="1" hidden="1">
      <c r="A282" s="195" t="s">
        <v>1276</v>
      </c>
      <c r="B282" s="195" t="s">
        <v>656</v>
      </c>
      <c r="C282" s="195" t="s">
        <v>684</v>
      </c>
      <c r="D282" s="236" t="s">
        <v>686</v>
      </c>
      <c r="E282" s="128" t="s">
        <v>685</v>
      </c>
      <c r="F282" s="128"/>
      <c r="G282" s="241" t="s">
        <v>1671</v>
      </c>
      <c r="H282" s="241" t="s">
        <v>3026</v>
      </c>
      <c r="I282" s="195" t="s">
        <v>1675</v>
      </c>
      <c r="J282" s="128" t="s">
        <v>1666</v>
      </c>
      <c r="K282" s="236" t="s">
        <v>1223</v>
      </c>
      <c r="L282" s="227"/>
      <c r="M282" s="236" t="s">
        <v>715</v>
      </c>
      <c r="N282" s="128" t="s">
        <v>690</v>
      </c>
      <c r="O282" s="128">
        <v>8</v>
      </c>
      <c r="P282" s="128">
        <v>8544700000</v>
      </c>
      <c r="Q282" s="285">
        <v>665</v>
      </c>
      <c r="R282" s="149" t="s">
        <v>9</v>
      </c>
      <c r="T282" s="134">
        <v>2216.666666666667</v>
      </c>
      <c r="U282" s="134">
        <v>1330.0000000000002</v>
      </c>
      <c r="V282" s="134">
        <v>1108.3333333333335</v>
      </c>
      <c r="W282" s="134">
        <v>886.66666666666686</v>
      </c>
    </row>
    <row r="283" spans="1:23" s="129" customFormat="1" hidden="1">
      <c r="A283" s="195" t="s">
        <v>1276</v>
      </c>
      <c r="B283" s="195" t="s">
        <v>656</v>
      </c>
      <c r="C283" s="195" t="s">
        <v>684</v>
      </c>
      <c r="D283" s="236" t="s">
        <v>686</v>
      </c>
      <c r="E283" s="128" t="s">
        <v>685</v>
      </c>
      <c r="F283" s="128"/>
      <c r="G283" s="241" t="s">
        <v>1672</v>
      </c>
      <c r="H283" s="241" t="s">
        <v>3027</v>
      </c>
      <c r="I283" s="195" t="s">
        <v>1676</v>
      </c>
      <c r="J283" s="128" t="s">
        <v>1666</v>
      </c>
      <c r="K283" s="236" t="s">
        <v>1223</v>
      </c>
      <c r="L283" s="227"/>
      <c r="M283" s="236" t="s">
        <v>715</v>
      </c>
      <c r="N283" s="128" t="s">
        <v>690</v>
      </c>
      <c r="O283" s="128">
        <v>8</v>
      </c>
      <c r="P283" s="128">
        <v>8544700000</v>
      </c>
      <c r="Q283" s="285">
        <v>1162.1428571428571</v>
      </c>
      <c r="R283" s="149" t="s">
        <v>9</v>
      </c>
      <c r="T283" s="134">
        <v>3873.8095238095239</v>
      </c>
      <c r="U283" s="134">
        <v>2324.2857142857142</v>
      </c>
      <c r="V283" s="134">
        <v>1936.9047619047619</v>
      </c>
      <c r="W283" s="134">
        <v>1549.5238095238096</v>
      </c>
    </row>
    <row r="284" spans="1:23" s="129" customFormat="1" hidden="1">
      <c r="A284" s="195" t="s">
        <v>1276</v>
      </c>
      <c r="B284" s="195" t="s">
        <v>656</v>
      </c>
      <c r="C284" s="195" t="s">
        <v>684</v>
      </c>
      <c r="D284" s="236" t="s">
        <v>702</v>
      </c>
      <c r="E284" s="128" t="s">
        <v>685</v>
      </c>
      <c r="F284" s="128"/>
      <c r="G284" s="241" t="s">
        <v>703</v>
      </c>
      <c r="H284" s="241" t="s">
        <v>2982</v>
      </c>
      <c r="I284" s="195" t="s">
        <v>705</v>
      </c>
      <c r="J284" s="128" t="s">
        <v>125</v>
      </c>
      <c r="K284" s="236" t="s">
        <v>158</v>
      </c>
      <c r="L284" s="227"/>
      <c r="M284" s="236" t="s">
        <v>715</v>
      </c>
      <c r="N284" s="128" t="s">
        <v>690</v>
      </c>
      <c r="O284" s="128">
        <v>8</v>
      </c>
      <c r="P284" s="128">
        <v>8544700000</v>
      </c>
      <c r="Q284" s="285">
        <v>458.69565217391306</v>
      </c>
      <c r="R284" s="149" t="s">
        <v>9</v>
      </c>
      <c r="T284" s="134">
        <v>1528.985507246377</v>
      </c>
      <c r="U284" s="134">
        <v>917.39130434782612</v>
      </c>
      <c r="V284" s="134">
        <v>764.49275362318849</v>
      </c>
      <c r="W284" s="134">
        <v>611.59420289855086</v>
      </c>
    </row>
    <row r="285" spans="1:23" s="129" customFormat="1" hidden="1">
      <c r="A285" s="195" t="s">
        <v>1276</v>
      </c>
      <c r="B285" s="195" t="s">
        <v>656</v>
      </c>
      <c r="C285" s="195" t="s">
        <v>684</v>
      </c>
      <c r="D285" s="236" t="s">
        <v>702</v>
      </c>
      <c r="E285" s="128" t="s">
        <v>685</v>
      </c>
      <c r="F285" s="128"/>
      <c r="G285" s="241" t="s">
        <v>706</v>
      </c>
      <c r="H285" s="241" t="s">
        <v>2983</v>
      </c>
      <c r="I285" s="195" t="s">
        <v>708</v>
      </c>
      <c r="J285" s="128" t="s">
        <v>125</v>
      </c>
      <c r="K285" s="236" t="s">
        <v>158</v>
      </c>
      <c r="L285" s="227"/>
      <c r="M285" s="236" t="s">
        <v>715</v>
      </c>
      <c r="N285" s="128" t="s">
        <v>690</v>
      </c>
      <c r="O285" s="128">
        <v>8</v>
      </c>
      <c r="P285" s="128">
        <v>8544700000</v>
      </c>
      <c r="Q285" s="285">
        <v>536.95652173913049</v>
      </c>
      <c r="R285" s="149" t="s">
        <v>9</v>
      </c>
      <c r="T285" s="134">
        <v>1789.8550724637685</v>
      </c>
      <c r="U285" s="134">
        <v>1073.913043478261</v>
      </c>
      <c r="V285" s="134">
        <v>894.92753623188423</v>
      </c>
      <c r="W285" s="134">
        <v>715.94202898550748</v>
      </c>
    </row>
    <row r="286" spans="1:23" s="129" customFormat="1" hidden="1">
      <c r="A286" s="195" t="s">
        <v>1276</v>
      </c>
      <c r="B286" s="195" t="s">
        <v>656</v>
      </c>
      <c r="C286" s="195" t="s">
        <v>684</v>
      </c>
      <c r="D286" s="236" t="s">
        <v>702</v>
      </c>
      <c r="E286" s="128" t="s">
        <v>685</v>
      </c>
      <c r="F286" s="128"/>
      <c r="G286" s="241" t="s">
        <v>709</v>
      </c>
      <c r="H286" s="241" t="s">
        <v>2984</v>
      </c>
      <c r="I286" s="195" t="s">
        <v>711</v>
      </c>
      <c r="J286" s="128" t="s">
        <v>125</v>
      </c>
      <c r="K286" s="236" t="s">
        <v>158</v>
      </c>
      <c r="L286" s="227"/>
      <c r="M286" s="236" t="s">
        <v>715</v>
      </c>
      <c r="N286" s="128" t="s">
        <v>690</v>
      </c>
      <c r="O286" s="128">
        <v>8</v>
      </c>
      <c r="P286" s="128">
        <v>8544700000</v>
      </c>
      <c r="Q286" s="285">
        <v>715.21739130434787</v>
      </c>
      <c r="R286" s="149" t="s">
        <v>9</v>
      </c>
      <c r="T286" s="134">
        <v>2384.057971014493</v>
      </c>
      <c r="U286" s="134">
        <v>1430.4347826086957</v>
      </c>
      <c r="V286" s="134">
        <v>1192.0289855072465</v>
      </c>
      <c r="W286" s="134">
        <v>953.62318840579724</v>
      </c>
    </row>
    <row r="287" spans="1:23" s="129" customFormat="1" hidden="1">
      <c r="A287" s="195" t="s">
        <v>1276</v>
      </c>
      <c r="B287" s="195" t="s">
        <v>656</v>
      </c>
      <c r="C287" s="195" t="s">
        <v>684</v>
      </c>
      <c r="D287" s="236" t="s">
        <v>702</v>
      </c>
      <c r="E287" s="128" t="s">
        <v>685</v>
      </c>
      <c r="F287" s="128"/>
      <c r="G287" s="241" t="s">
        <v>712</v>
      </c>
      <c r="H287" s="241" t="s">
        <v>2985</v>
      </c>
      <c r="I287" s="195" t="s">
        <v>714</v>
      </c>
      <c r="J287" s="128" t="s">
        <v>125</v>
      </c>
      <c r="K287" s="236" t="s">
        <v>158</v>
      </c>
      <c r="L287" s="227"/>
      <c r="M287" s="236" t="s">
        <v>715</v>
      </c>
      <c r="N287" s="128" t="s">
        <v>690</v>
      </c>
      <c r="O287" s="128">
        <v>4</v>
      </c>
      <c r="P287" s="128">
        <v>8544700000</v>
      </c>
      <c r="Q287" s="285">
        <v>1191.304347826087</v>
      </c>
      <c r="R287" s="149" t="s">
        <v>9</v>
      </c>
      <c r="T287" s="134">
        <v>3971.0144927536235</v>
      </c>
      <c r="U287" s="134">
        <v>2382.608695652174</v>
      </c>
      <c r="V287" s="134">
        <v>1985.5072463768117</v>
      </c>
      <c r="W287" s="134">
        <v>1588.4057971014495</v>
      </c>
    </row>
    <row r="288" spans="1:23" s="129" customFormat="1" hidden="1">
      <c r="A288" s="195" t="s">
        <v>1276</v>
      </c>
      <c r="B288" s="195" t="s">
        <v>656</v>
      </c>
      <c r="C288" s="195" t="s">
        <v>684</v>
      </c>
      <c r="D288" s="236" t="s">
        <v>717</v>
      </c>
      <c r="E288" s="128" t="s">
        <v>685</v>
      </c>
      <c r="F288" s="128"/>
      <c r="G288" s="241" t="s">
        <v>718</v>
      </c>
      <c r="H288" s="241" t="s">
        <v>2986</v>
      </c>
      <c r="I288" s="195" t="s">
        <v>720</v>
      </c>
      <c r="J288" s="128" t="s">
        <v>108</v>
      </c>
      <c r="K288" s="236" t="s">
        <v>158</v>
      </c>
      <c r="L288" s="227"/>
      <c r="M288" s="236" t="s">
        <v>715</v>
      </c>
      <c r="N288" s="128" t="s">
        <v>690</v>
      </c>
      <c r="O288" s="128">
        <v>8</v>
      </c>
      <c r="P288" s="128">
        <v>8544700000</v>
      </c>
      <c r="Q288" s="285">
        <v>396.32352941176475</v>
      </c>
      <c r="R288" s="149" t="s">
        <v>9</v>
      </c>
      <c r="T288" s="134">
        <v>1321.0784313725492</v>
      </c>
      <c r="U288" s="134">
        <v>792.64705882352951</v>
      </c>
      <c r="V288" s="134">
        <v>660.53921568627459</v>
      </c>
      <c r="W288" s="134">
        <v>528.43137254901967</v>
      </c>
    </row>
    <row r="289" spans="1:23" s="129" customFormat="1" hidden="1">
      <c r="A289" s="195" t="s">
        <v>1276</v>
      </c>
      <c r="B289" s="195" t="s">
        <v>656</v>
      </c>
      <c r="C289" s="195" t="s">
        <v>684</v>
      </c>
      <c r="D289" s="236" t="s">
        <v>717</v>
      </c>
      <c r="E289" s="128" t="s">
        <v>685</v>
      </c>
      <c r="F289" s="128"/>
      <c r="G289" s="241" t="s">
        <v>721</v>
      </c>
      <c r="H289" s="241" t="s">
        <v>2987</v>
      </c>
      <c r="I289" s="195" t="s">
        <v>723</v>
      </c>
      <c r="J289" s="128" t="s">
        <v>108</v>
      </c>
      <c r="K289" s="236" t="s">
        <v>158</v>
      </c>
      <c r="L289" s="227"/>
      <c r="M289" s="236" t="s">
        <v>715</v>
      </c>
      <c r="N289" s="128" t="s">
        <v>690</v>
      </c>
      <c r="O289" s="128">
        <v>8</v>
      </c>
      <c r="P289" s="128">
        <v>8544700000</v>
      </c>
      <c r="Q289" s="285">
        <v>471.32352941176475</v>
      </c>
      <c r="R289" s="149" t="s">
        <v>9</v>
      </c>
      <c r="T289" s="134">
        <v>1571.0784313725492</v>
      </c>
      <c r="U289" s="134">
        <v>942.64705882352951</v>
      </c>
      <c r="V289" s="134">
        <v>785.53921568627459</v>
      </c>
      <c r="W289" s="134">
        <v>628.43137254901967</v>
      </c>
    </row>
    <row r="290" spans="1:23" s="129" customFormat="1" hidden="1">
      <c r="A290" s="195" t="s">
        <v>1276</v>
      </c>
      <c r="B290" s="195" t="s">
        <v>656</v>
      </c>
      <c r="C290" s="195" t="s">
        <v>684</v>
      </c>
      <c r="D290" s="236" t="s">
        <v>717</v>
      </c>
      <c r="E290" s="128" t="s">
        <v>685</v>
      </c>
      <c r="F290" s="128"/>
      <c r="G290" s="241" t="s">
        <v>724</v>
      </c>
      <c r="H290" s="241" t="s">
        <v>2988</v>
      </c>
      <c r="I290" s="195" t="s">
        <v>726</v>
      </c>
      <c r="J290" s="128" t="s">
        <v>108</v>
      </c>
      <c r="K290" s="236" t="s">
        <v>158</v>
      </c>
      <c r="L290" s="227"/>
      <c r="M290" s="236" t="s">
        <v>715</v>
      </c>
      <c r="N290" s="128" t="s">
        <v>690</v>
      </c>
      <c r="O290" s="128">
        <v>8</v>
      </c>
      <c r="P290" s="128">
        <v>8544700000</v>
      </c>
      <c r="Q290" s="285">
        <v>597.85714285714289</v>
      </c>
      <c r="R290" s="149" t="s">
        <v>9</v>
      </c>
      <c r="T290" s="134">
        <v>1992.8571428571431</v>
      </c>
      <c r="U290" s="134">
        <v>1195.7142857142858</v>
      </c>
      <c r="V290" s="134">
        <v>996.42857142857156</v>
      </c>
      <c r="W290" s="134">
        <v>797.14285714285734</v>
      </c>
    </row>
    <row r="291" spans="1:23" s="129" customFormat="1" hidden="1">
      <c r="A291" s="195" t="s">
        <v>1276</v>
      </c>
      <c r="B291" s="195" t="s">
        <v>656</v>
      </c>
      <c r="C291" s="195" t="s">
        <v>684</v>
      </c>
      <c r="D291" s="236" t="s">
        <v>717</v>
      </c>
      <c r="E291" s="128" t="s">
        <v>685</v>
      </c>
      <c r="F291" s="128"/>
      <c r="G291" s="241" t="s">
        <v>727</v>
      </c>
      <c r="H291" s="241" t="s">
        <v>2989</v>
      </c>
      <c r="I291" s="195" t="s">
        <v>729</v>
      </c>
      <c r="J291" s="128" t="s">
        <v>108</v>
      </c>
      <c r="K291" s="236" t="s">
        <v>158</v>
      </c>
      <c r="L291" s="227"/>
      <c r="M291" s="236" t="s">
        <v>715</v>
      </c>
      <c r="N291" s="128" t="s">
        <v>690</v>
      </c>
      <c r="O291" s="128">
        <v>8</v>
      </c>
      <c r="P291" s="128">
        <v>8544700000</v>
      </c>
      <c r="Q291" s="285">
        <v>1013.5714285714287</v>
      </c>
      <c r="R291" s="149" t="s">
        <v>9</v>
      </c>
      <c r="T291" s="134">
        <v>3378.5714285714289</v>
      </c>
      <c r="U291" s="134">
        <v>2027.1428571428573</v>
      </c>
      <c r="V291" s="134">
        <v>1689.2857142857144</v>
      </c>
      <c r="W291" s="134">
        <v>1351.4285714285716</v>
      </c>
    </row>
    <row r="292" spans="1:23" s="129" customFormat="1" hidden="1">
      <c r="A292" s="195" t="s">
        <v>1276</v>
      </c>
      <c r="B292" s="195" t="s">
        <v>656</v>
      </c>
      <c r="C292" s="195" t="s">
        <v>684</v>
      </c>
      <c r="D292" s="236" t="s">
        <v>730</v>
      </c>
      <c r="E292" s="128" t="s">
        <v>685</v>
      </c>
      <c r="F292" s="128"/>
      <c r="G292" s="241" t="s">
        <v>731</v>
      </c>
      <c r="H292" s="241" t="s">
        <v>2990</v>
      </c>
      <c r="I292" s="195" t="s">
        <v>733</v>
      </c>
      <c r="J292" s="128" t="s">
        <v>108</v>
      </c>
      <c r="K292" s="236" t="s">
        <v>158</v>
      </c>
      <c r="L292" s="227"/>
      <c r="M292" s="236" t="s">
        <v>715</v>
      </c>
      <c r="N292" s="128" t="s">
        <v>690</v>
      </c>
      <c r="O292" s="128">
        <v>8</v>
      </c>
      <c r="P292" s="128">
        <v>8544700000</v>
      </c>
      <c r="Q292" s="285">
        <v>473.57142857142861</v>
      </c>
      <c r="R292" s="149" t="s">
        <v>9</v>
      </c>
      <c r="T292" s="134">
        <v>1578.5714285714287</v>
      </c>
      <c r="U292" s="134">
        <v>947.14285714285711</v>
      </c>
      <c r="V292" s="134">
        <v>789.28571428571433</v>
      </c>
      <c r="W292" s="134">
        <v>631.42857142857156</v>
      </c>
    </row>
    <row r="293" spans="1:23" s="129" customFormat="1" hidden="1">
      <c r="A293" s="195" t="s">
        <v>1276</v>
      </c>
      <c r="B293" s="195" t="s">
        <v>656</v>
      </c>
      <c r="C293" s="195" t="s">
        <v>684</v>
      </c>
      <c r="D293" s="236" t="s">
        <v>730</v>
      </c>
      <c r="E293" s="128" t="s">
        <v>685</v>
      </c>
      <c r="F293" s="128"/>
      <c r="G293" s="241" t="s">
        <v>734</v>
      </c>
      <c r="H293" s="241" t="s">
        <v>2991</v>
      </c>
      <c r="I293" s="195" t="s">
        <v>736</v>
      </c>
      <c r="J293" s="128" t="s">
        <v>108</v>
      </c>
      <c r="K293" s="236" t="s">
        <v>158</v>
      </c>
      <c r="L293" s="227"/>
      <c r="M293" s="236" t="s">
        <v>715</v>
      </c>
      <c r="N293" s="128" t="s">
        <v>690</v>
      </c>
      <c r="O293" s="128">
        <v>8</v>
      </c>
      <c r="P293" s="128">
        <v>8544700000</v>
      </c>
      <c r="Q293" s="285">
        <v>542.14285714285722</v>
      </c>
      <c r="R293" s="149" t="s">
        <v>9</v>
      </c>
      <c r="T293" s="134">
        <v>1807.1428571428576</v>
      </c>
      <c r="U293" s="134">
        <v>1084.2857142857144</v>
      </c>
      <c r="V293" s="134">
        <v>903.57142857142878</v>
      </c>
      <c r="W293" s="134">
        <v>722.85714285714312</v>
      </c>
    </row>
    <row r="294" spans="1:23" s="129" customFormat="1" hidden="1">
      <c r="A294" s="195" t="s">
        <v>1276</v>
      </c>
      <c r="B294" s="195" t="s">
        <v>656</v>
      </c>
      <c r="C294" s="195" t="s">
        <v>684</v>
      </c>
      <c r="D294" s="236" t="s">
        <v>730</v>
      </c>
      <c r="E294" s="128" t="s">
        <v>685</v>
      </c>
      <c r="F294" s="128"/>
      <c r="G294" s="241" t="s">
        <v>737</v>
      </c>
      <c r="H294" s="241" t="s">
        <v>2992</v>
      </c>
      <c r="I294" s="195" t="s">
        <v>739</v>
      </c>
      <c r="J294" s="128" t="s">
        <v>108</v>
      </c>
      <c r="K294" s="236" t="s">
        <v>158</v>
      </c>
      <c r="L294" s="227"/>
      <c r="M294" s="236" t="s">
        <v>715</v>
      </c>
      <c r="N294" s="128" t="s">
        <v>690</v>
      </c>
      <c r="O294" s="128">
        <v>8</v>
      </c>
      <c r="P294" s="128">
        <v>8544700000</v>
      </c>
      <c r="Q294" s="285">
        <v>657.85714285714289</v>
      </c>
      <c r="R294" s="149" t="s">
        <v>9</v>
      </c>
      <c r="T294" s="134">
        <v>2192.8571428571431</v>
      </c>
      <c r="U294" s="134">
        <v>1315.7142857142858</v>
      </c>
      <c r="V294" s="134">
        <v>1096.4285714285716</v>
      </c>
      <c r="W294" s="134">
        <v>877.14285714285734</v>
      </c>
    </row>
    <row r="295" spans="1:23" s="129" customFormat="1" hidden="1">
      <c r="A295" s="195" t="s">
        <v>1276</v>
      </c>
      <c r="B295" s="195" t="s">
        <v>656</v>
      </c>
      <c r="C295" s="195" t="s">
        <v>684</v>
      </c>
      <c r="D295" s="236" t="s">
        <v>730</v>
      </c>
      <c r="E295" s="128" t="s">
        <v>685</v>
      </c>
      <c r="F295" s="128"/>
      <c r="G295" s="241" t="s">
        <v>740</v>
      </c>
      <c r="H295" s="241" t="s">
        <v>2993</v>
      </c>
      <c r="I295" s="195" t="s">
        <v>742</v>
      </c>
      <c r="J295" s="128" t="s">
        <v>108</v>
      </c>
      <c r="K295" s="236" t="s">
        <v>158</v>
      </c>
      <c r="L295" s="227"/>
      <c r="M295" s="236" t="s">
        <v>715</v>
      </c>
      <c r="N295" s="128" t="s">
        <v>690</v>
      </c>
      <c r="O295" s="128">
        <v>8</v>
      </c>
      <c r="P295" s="128">
        <v>8544700000</v>
      </c>
      <c r="Q295" s="285">
        <v>1095</v>
      </c>
      <c r="R295" s="149" t="s">
        <v>9</v>
      </c>
      <c r="T295" s="134">
        <v>3650</v>
      </c>
      <c r="U295" s="134">
        <v>2190</v>
      </c>
      <c r="V295" s="134">
        <v>1825</v>
      </c>
      <c r="W295" s="134">
        <v>1460</v>
      </c>
    </row>
    <row r="296" spans="1:23" s="129" customFormat="1" hidden="1">
      <c r="A296" s="195" t="s">
        <v>1276</v>
      </c>
      <c r="B296" s="195" t="s">
        <v>656</v>
      </c>
      <c r="C296" s="195" t="s">
        <v>684</v>
      </c>
      <c r="D296" s="236" t="s">
        <v>730</v>
      </c>
      <c r="E296" s="128" t="s">
        <v>685</v>
      </c>
      <c r="F296" s="128"/>
      <c r="G296" s="241" t="s">
        <v>2272</v>
      </c>
      <c r="H296" s="241" t="s">
        <v>2825</v>
      </c>
      <c r="I296" s="195" t="s">
        <v>2277</v>
      </c>
      <c r="J296" s="128" t="s">
        <v>1584</v>
      </c>
      <c r="K296" s="236" t="s">
        <v>158</v>
      </c>
      <c r="L296" s="227"/>
      <c r="M296" s="236" t="s">
        <v>715</v>
      </c>
      <c r="N296" s="128" t="s">
        <v>690</v>
      </c>
      <c r="O296" s="128">
        <v>8</v>
      </c>
      <c r="P296" s="128">
        <v>8544700000</v>
      </c>
      <c r="Q296" s="285">
        <v>882.14285714285722</v>
      </c>
      <c r="R296" s="149" t="s">
        <v>9</v>
      </c>
      <c r="T296" s="134">
        <v>2940.4761904761908</v>
      </c>
      <c r="U296" s="134">
        <v>1764.2857142857144</v>
      </c>
      <c r="V296" s="134">
        <v>1470.2380952380954</v>
      </c>
      <c r="W296" s="134">
        <v>1176.1904761904764</v>
      </c>
    </row>
    <row r="297" spans="1:23" s="129" customFormat="1" hidden="1">
      <c r="A297" s="195" t="s">
        <v>1276</v>
      </c>
      <c r="B297" s="195" t="s">
        <v>656</v>
      </c>
      <c r="C297" s="195" t="s">
        <v>684</v>
      </c>
      <c r="D297" s="236" t="s">
        <v>730</v>
      </c>
      <c r="E297" s="128" t="s">
        <v>685</v>
      </c>
      <c r="F297" s="128"/>
      <c r="G297" s="241" t="s">
        <v>2273</v>
      </c>
      <c r="H297" s="241" t="s">
        <v>2825</v>
      </c>
      <c r="I297" s="195" t="s">
        <v>2278</v>
      </c>
      <c r="J297" s="128" t="s">
        <v>1584</v>
      </c>
      <c r="K297" s="236" t="s">
        <v>158</v>
      </c>
      <c r="L297" s="227"/>
      <c r="M297" s="236" t="s">
        <v>715</v>
      </c>
      <c r="N297" s="128" t="s">
        <v>690</v>
      </c>
      <c r="O297" s="128">
        <v>8</v>
      </c>
      <c r="P297" s="128">
        <v>8544700000</v>
      </c>
      <c r="Q297" s="285">
        <v>1362.1428571428573</v>
      </c>
      <c r="R297" s="149" t="s">
        <v>9</v>
      </c>
      <c r="T297" s="134">
        <v>4540.4761904761917</v>
      </c>
      <c r="U297" s="134">
        <v>2724.2857142857151</v>
      </c>
      <c r="V297" s="134">
        <v>2270.2380952380959</v>
      </c>
      <c r="W297" s="134">
        <v>1816.1904761904768</v>
      </c>
    </row>
    <row r="298" spans="1:23" s="129" customFormat="1" hidden="1">
      <c r="A298" s="195" t="s">
        <v>1276</v>
      </c>
      <c r="B298" s="195" t="s">
        <v>656</v>
      </c>
      <c r="C298" s="195" t="s">
        <v>684</v>
      </c>
      <c r="D298" s="236" t="s">
        <v>730</v>
      </c>
      <c r="E298" s="128" t="s">
        <v>685</v>
      </c>
      <c r="F298" s="128"/>
      <c r="G298" s="241" t="s">
        <v>2279</v>
      </c>
      <c r="H298" s="241" t="s">
        <v>2825</v>
      </c>
      <c r="I298" s="195" t="s">
        <v>2289</v>
      </c>
      <c r="J298" s="128" t="s">
        <v>1584</v>
      </c>
      <c r="K298" s="236" t="s">
        <v>158</v>
      </c>
      <c r="L298" s="227"/>
      <c r="M298" s="236" t="s">
        <v>715</v>
      </c>
      <c r="N298" s="128" t="s">
        <v>690</v>
      </c>
      <c r="O298" s="128">
        <v>8</v>
      </c>
      <c r="P298" s="128">
        <v>8544700000</v>
      </c>
      <c r="Q298" s="285">
        <v>585</v>
      </c>
      <c r="R298" s="149" t="s">
        <v>9</v>
      </c>
      <c r="T298" s="134">
        <v>1950</v>
      </c>
      <c r="U298" s="134">
        <v>1170</v>
      </c>
      <c r="V298" s="134">
        <v>975</v>
      </c>
      <c r="W298" s="134">
        <v>780</v>
      </c>
    </row>
    <row r="299" spans="1:23" s="129" customFormat="1" hidden="1">
      <c r="A299" s="195" t="s">
        <v>1276</v>
      </c>
      <c r="B299" s="195" t="s">
        <v>656</v>
      </c>
      <c r="C299" s="195" t="s">
        <v>684</v>
      </c>
      <c r="D299" s="236" t="s">
        <v>730</v>
      </c>
      <c r="E299" s="128" t="s">
        <v>685</v>
      </c>
      <c r="F299" s="128"/>
      <c r="G299" s="241" t="s">
        <v>2280</v>
      </c>
      <c r="H299" s="241" t="s">
        <v>2825</v>
      </c>
      <c r="I299" s="195" t="s">
        <v>2290</v>
      </c>
      <c r="J299" s="128" t="s">
        <v>1584</v>
      </c>
      <c r="K299" s="236" t="s">
        <v>158</v>
      </c>
      <c r="L299" s="227"/>
      <c r="M299" s="236" t="s">
        <v>715</v>
      </c>
      <c r="N299" s="128" t="s">
        <v>690</v>
      </c>
      <c r="O299" s="128">
        <v>8</v>
      </c>
      <c r="P299" s="128">
        <v>8544700000</v>
      </c>
      <c r="Q299" s="285">
        <v>655</v>
      </c>
      <c r="R299" s="149" t="s">
        <v>9</v>
      </c>
      <c r="T299" s="134">
        <v>2183.3333333333335</v>
      </c>
      <c r="U299" s="134">
        <v>1310</v>
      </c>
      <c r="V299" s="134">
        <v>1091.6666666666667</v>
      </c>
      <c r="W299" s="134">
        <v>873.33333333333348</v>
      </c>
    </row>
    <row r="300" spans="1:23" s="129" customFormat="1" hidden="1">
      <c r="A300" s="195" t="s">
        <v>1276</v>
      </c>
      <c r="B300" s="195" t="s">
        <v>656</v>
      </c>
      <c r="C300" s="195" t="s">
        <v>684</v>
      </c>
      <c r="D300" s="236" t="s">
        <v>730</v>
      </c>
      <c r="E300" s="128" t="s">
        <v>685</v>
      </c>
      <c r="F300" s="128"/>
      <c r="G300" s="241" t="s">
        <v>2281</v>
      </c>
      <c r="H300" s="241" t="s">
        <v>2825</v>
      </c>
      <c r="I300" s="195" t="s">
        <v>2291</v>
      </c>
      <c r="J300" s="128" t="s">
        <v>1584</v>
      </c>
      <c r="K300" s="236" t="s">
        <v>158</v>
      </c>
      <c r="L300" s="227"/>
      <c r="M300" s="236" t="s">
        <v>715</v>
      </c>
      <c r="N300" s="128" t="s">
        <v>690</v>
      </c>
      <c r="O300" s="128">
        <v>8</v>
      </c>
      <c r="P300" s="128">
        <v>8544700000</v>
      </c>
      <c r="Q300" s="285">
        <v>737.85714285714289</v>
      </c>
      <c r="R300" s="149" t="s">
        <v>9</v>
      </c>
      <c r="T300" s="134">
        <v>2459.5238095238096</v>
      </c>
      <c r="U300" s="134">
        <v>1475.7142857142858</v>
      </c>
      <c r="V300" s="134">
        <v>1229.7619047619048</v>
      </c>
      <c r="W300" s="134">
        <v>983.80952380952385</v>
      </c>
    </row>
    <row r="301" spans="1:23" s="129" customFormat="1" hidden="1">
      <c r="A301" s="195" t="s">
        <v>1276</v>
      </c>
      <c r="B301" s="195" t="s">
        <v>656</v>
      </c>
      <c r="C301" s="195" t="s">
        <v>684</v>
      </c>
      <c r="D301" s="236" t="s">
        <v>730</v>
      </c>
      <c r="E301" s="128" t="s">
        <v>685</v>
      </c>
      <c r="F301" s="128"/>
      <c r="G301" s="241" t="s">
        <v>2282</v>
      </c>
      <c r="H301" s="241" t="s">
        <v>2825</v>
      </c>
      <c r="I301" s="195" t="s">
        <v>2292</v>
      </c>
      <c r="J301" s="128" t="s">
        <v>1584</v>
      </c>
      <c r="K301" s="236" t="s">
        <v>158</v>
      </c>
      <c r="L301" s="227"/>
      <c r="M301" s="236" t="s">
        <v>715</v>
      </c>
      <c r="N301" s="128" t="s">
        <v>690</v>
      </c>
      <c r="O301" s="128">
        <v>8</v>
      </c>
      <c r="P301" s="128">
        <v>8544700000</v>
      </c>
      <c r="Q301" s="285">
        <v>890.71428571428578</v>
      </c>
      <c r="R301" s="149" t="s">
        <v>9</v>
      </c>
      <c r="T301" s="134">
        <v>2969.0476190476193</v>
      </c>
      <c r="U301" s="134">
        <v>1781.4285714285716</v>
      </c>
      <c r="V301" s="134">
        <v>1484.5238095238096</v>
      </c>
      <c r="W301" s="134">
        <v>1187.6190476190477</v>
      </c>
    </row>
    <row r="302" spans="1:23" s="129" customFormat="1" hidden="1">
      <c r="A302" s="195" t="s">
        <v>1276</v>
      </c>
      <c r="B302" s="195" t="s">
        <v>656</v>
      </c>
      <c r="C302" s="195" t="s">
        <v>684</v>
      </c>
      <c r="D302" s="236" t="s">
        <v>730</v>
      </c>
      <c r="E302" s="128" t="s">
        <v>685</v>
      </c>
      <c r="F302" s="128"/>
      <c r="G302" s="241" t="s">
        <v>2283</v>
      </c>
      <c r="H302" s="241" t="s">
        <v>2825</v>
      </c>
      <c r="I302" s="195" t="s">
        <v>2293</v>
      </c>
      <c r="J302" s="128" t="s">
        <v>1584</v>
      </c>
      <c r="K302" s="236" t="s">
        <v>158</v>
      </c>
      <c r="L302" s="227"/>
      <c r="M302" s="236" t="s">
        <v>715</v>
      </c>
      <c r="N302" s="128" t="s">
        <v>690</v>
      </c>
      <c r="O302" s="128">
        <v>8</v>
      </c>
      <c r="P302" s="128">
        <v>8544700000</v>
      </c>
      <c r="Q302" s="285">
        <v>1383.5714285714287</v>
      </c>
      <c r="R302" s="149" t="s">
        <v>9</v>
      </c>
      <c r="T302" s="134">
        <v>4611.9047619047624</v>
      </c>
      <c r="U302" s="134">
        <v>2767.1428571428573</v>
      </c>
      <c r="V302" s="134">
        <v>2305.9523809523812</v>
      </c>
      <c r="W302" s="134">
        <v>1844.761904761905</v>
      </c>
    </row>
    <row r="303" spans="1:23" s="129" customFormat="1" hidden="1">
      <c r="A303" s="195" t="s">
        <v>1276</v>
      </c>
      <c r="B303" s="195" t="s">
        <v>656</v>
      </c>
      <c r="C303" s="195" t="s">
        <v>684</v>
      </c>
      <c r="D303" s="236" t="s">
        <v>743</v>
      </c>
      <c r="E303" s="128" t="s">
        <v>685</v>
      </c>
      <c r="F303" s="128"/>
      <c r="G303" s="241" t="s">
        <v>2419</v>
      </c>
      <c r="H303" s="241" t="s">
        <v>2825</v>
      </c>
      <c r="I303" s="195" t="s">
        <v>1678</v>
      </c>
      <c r="J303" s="128" t="s">
        <v>1666</v>
      </c>
      <c r="K303" s="236" t="s">
        <v>158</v>
      </c>
      <c r="L303" s="227"/>
      <c r="M303" s="236" t="s">
        <v>715</v>
      </c>
      <c r="N303" s="128" t="s">
        <v>690</v>
      </c>
      <c r="O303" s="128">
        <v>4</v>
      </c>
      <c r="P303" s="128">
        <v>8544700000</v>
      </c>
      <c r="Q303" s="285">
        <v>2290</v>
      </c>
      <c r="R303" s="149" t="s">
        <v>9</v>
      </c>
      <c r="T303" s="134">
        <v>7633.3333333333339</v>
      </c>
      <c r="U303" s="134">
        <v>4580</v>
      </c>
      <c r="V303" s="134">
        <v>3816.666666666667</v>
      </c>
      <c r="W303" s="134">
        <v>3053.3333333333339</v>
      </c>
    </row>
    <row r="304" spans="1:23" s="129" customFormat="1" hidden="1">
      <c r="A304" s="195" t="s">
        <v>1276</v>
      </c>
      <c r="B304" s="195" t="s">
        <v>656</v>
      </c>
      <c r="C304" s="195" t="s">
        <v>684</v>
      </c>
      <c r="D304" s="236" t="s">
        <v>751</v>
      </c>
      <c r="E304" s="128" t="s">
        <v>685</v>
      </c>
      <c r="F304" s="128"/>
      <c r="G304" s="241" t="s">
        <v>752</v>
      </c>
      <c r="H304" s="241" t="s">
        <v>2994</v>
      </c>
      <c r="I304" s="195" t="s">
        <v>754</v>
      </c>
      <c r="J304" s="128" t="s">
        <v>2403</v>
      </c>
      <c r="K304" s="236" t="s">
        <v>158</v>
      </c>
      <c r="L304" s="227"/>
      <c r="M304" s="236" t="s">
        <v>715</v>
      </c>
      <c r="N304" s="128" t="s">
        <v>690</v>
      </c>
      <c r="O304" s="128">
        <v>4</v>
      </c>
      <c r="P304" s="128">
        <v>8544700000</v>
      </c>
      <c r="Q304" s="285">
        <v>2052.8571428571431</v>
      </c>
      <c r="R304" s="149" t="s">
        <v>9</v>
      </c>
      <c r="T304" s="134">
        <v>6842.857142857144</v>
      </c>
      <c r="U304" s="134">
        <v>4105.7142857142862</v>
      </c>
      <c r="V304" s="134">
        <v>3421.428571428572</v>
      </c>
      <c r="W304" s="134">
        <v>2737.1428571428578</v>
      </c>
    </row>
    <row r="305" spans="1:23" s="129" customFormat="1" hidden="1">
      <c r="A305" s="195" t="s">
        <v>1276</v>
      </c>
      <c r="B305" s="195" t="s">
        <v>656</v>
      </c>
      <c r="C305" s="195" t="s">
        <v>684</v>
      </c>
      <c r="D305" s="236" t="s">
        <v>751</v>
      </c>
      <c r="E305" s="128" t="s">
        <v>685</v>
      </c>
      <c r="F305" s="128"/>
      <c r="G305" s="241" t="s">
        <v>755</v>
      </c>
      <c r="H305" s="241" t="s">
        <v>2995</v>
      </c>
      <c r="I305" s="195" t="s">
        <v>757</v>
      </c>
      <c r="J305" s="128" t="s">
        <v>2403</v>
      </c>
      <c r="K305" s="236" t="s">
        <v>158</v>
      </c>
      <c r="L305" s="227"/>
      <c r="M305" s="236" t="s">
        <v>715</v>
      </c>
      <c r="N305" s="128" t="s">
        <v>690</v>
      </c>
      <c r="O305" s="128">
        <v>2</v>
      </c>
      <c r="P305" s="128">
        <v>8544700000</v>
      </c>
      <c r="Q305" s="285">
        <v>3714.2857142857147</v>
      </c>
      <c r="R305" s="149" t="s">
        <v>9</v>
      </c>
      <c r="T305" s="134">
        <v>12380.952380952383</v>
      </c>
      <c r="U305" s="134">
        <v>7428.5714285714294</v>
      </c>
      <c r="V305" s="134">
        <v>6190.4761904761917</v>
      </c>
      <c r="W305" s="134">
        <v>4952.3809523809541</v>
      </c>
    </row>
    <row r="306" spans="1:23" s="129" customFormat="1" hidden="1">
      <c r="A306" s="195" t="s">
        <v>1276</v>
      </c>
      <c r="B306" s="195" t="s">
        <v>656</v>
      </c>
      <c r="C306" s="195" t="s">
        <v>684</v>
      </c>
      <c r="D306" s="236" t="s">
        <v>758</v>
      </c>
      <c r="E306" s="128" t="s">
        <v>685</v>
      </c>
      <c r="F306" s="128"/>
      <c r="G306" s="241" t="s">
        <v>759</v>
      </c>
      <c r="H306" s="241" t="s">
        <v>2996</v>
      </c>
      <c r="I306" s="195" t="s">
        <v>761</v>
      </c>
      <c r="J306" s="128" t="s">
        <v>2403</v>
      </c>
      <c r="K306" s="236" t="s">
        <v>158</v>
      </c>
      <c r="L306" s="227"/>
      <c r="M306" s="236" t="s">
        <v>715</v>
      </c>
      <c r="N306" s="128" t="s">
        <v>690</v>
      </c>
      <c r="O306" s="128">
        <v>8</v>
      </c>
      <c r="P306" s="128">
        <v>8544700000</v>
      </c>
      <c r="Q306" s="285">
        <v>2235.416666666667</v>
      </c>
      <c r="R306" s="149" t="s">
        <v>9</v>
      </c>
      <c r="T306" s="134">
        <v>7451.3888888888905</v>
      </c>
      <c r="U306" s="134">
        <v>4470.8333333333339</v>
      </c>
      <c r="V306" s="134">
        <v>3725.6944444444453</v>
      </c>
      <c r="W306" s="134">
        <v>2980.5555555555566</v>
      </c>
    </row>
    <row r="307" spans="1:23" s="129" customFormat="1" hidden="1">
      <c r="A307" s="195" t="s">
        <v>1276</v>
      </c>
      <c r="B307" s="195" t="s">
        <v>656</v>
      </c>
      <c r="C307" s="195" t="s">
        <v>684</v>
      </c>
      <c r="D307" s="236" t="s">
        <v>758</v>
      </c>
      <c r="E307" s="128" t="s">
        <v>685</v>
      </c>
      <c r="F307" s="128"/>
      <c r="G307" s="241" t="s">
        <v>762</v>
      </c>
      <c r="H307" s="241" t="s">
        <v>2997</v>
      </c>
      <c r="I307" s="195" t="s">
        <v>764</v>
      </c>
      <c r="J307" s="128" t="s">
        <v>2403</v>
      </c>
      <c r="K307" s="236" t="s">
        <v>158</v>
      </c>
      <c r="L307" s="227"/>
      <c r="M307" s="236" t="s">
        <v>715</v>
      </c>
      <c r="N307" s="128" t="s">
        <v>690</v>
      </c>
      <c r="O307" s="128">
        <v>2</v>
      </c>
      <c r="P307" s="128">
        <v>8544700000</v>
      </c>
      <c r="Q307" s="285">
        <v>3913.8888888888891</v>
      </c>
      <c r="R307" s="149" t="s">
        <v>9</v>
      </c>
      <c r="T307" s="134">
        <v>13046.296296296297</v>
      </c>
      <c r="U307" s="134">
        <v>7827.7777777777783</v>
      </c>
      <c r="V307" s="134">
        <v>6523.1481481481487</v>
      </c>
      <c r="W307" s="134">
        <v>5218.5185185185192</v>
      </c>
    </row>
    <row r="308" spans="1:23" s="129" customFormat="1" hidden="1">
      <c r="A308" s="195" t="s">
        <v>1276</v>
      </c>
      <c r="B308" s="195" t="s">
        <v>656</v>
      </c>
      <c r="C308" s="195" t="s">
        <v>684</v>
      </c>
      <c r="D308" s="236" t="s">
        <v>2294</v>
      </c>
      <c r="E308" s="128" t="s">
        <v>1679</v>
      </c>
      <c r="F308" s="128"/>
      <c r="G308" s="241" t="s">
        <v>2295</v>
      </c>
      <c r="H308" s="241" t="s">
        <v>2825</v>
      </c>
      <c r="I308" s="195" t="s">
        <v>2298</v>
      </c>
      <c r="J308" s="128" t="s">
        <v>1584</v>
      </c>
      <c r="K308" s="236" t="s">
        <v>1223</v>
      </c>
      <c r="L308" s="227"/>
      <c r="M308" s="236" t="s">
        <v>715</v>
      </c>
      <c r="N308" s="128" t="s">
        <v>690</v>
      </c>
      <c r="O308" s="128">
        <v>4</v>
      </c>
      <c r="P308" s="128">
        <v>8544700000</v>
      </c>
      <c r="Q308" s="285">
        <v>1286.3013698630136</v>
      </c>
      <c r="R308" s="149" t="s">
        <v>9</v>
      </c>
      <c r="T308" s="134">
        <v>4287.6712328767126</v>
      </c>
      <c r="U308" s="134">
        <v>2572.6027397260273</v>
      </c>
      <c r="V308" s="134">
        <v>2143.8356164383563</v>
      </c>
      <c r="W308" s="134">
        <v>1715.0684931506851</v>
      </c>
    </row>
    <row r="309" spans="1:23" s="129" customFormat="1" hidden="1">
      <c r="A309" s="195" t="s">
        <v>1276</v>
      </c>
      <c r="B309" s="195" t="s">
        <v>656</v>
      </c>
      <c r="C309" s="195" t="s">
        <v>684</v>
      </c>
      <c r="D309" s="236" t="s">
        <v>2294</v>
      </c>
      <c r="E309" s="128" t="s">
        <v>1679</v>
      </c>
      <c r="F309" s="128"/>
      <c r="G309" s="241" t="s">
        <v>2296</v>
      </c>
      <c r="H309" s="241" t="s">
        <v>2825</v>
      </c>
      <c r="I309" s="195" t="s">
        <v>2299</v>
      </c>
      <c r="J309" s="128" t="s">
        <v>1584</v>
      </c>
      <c r="K309" s="236" t="s">
        <v>1223</v>
      </c>
      <c r="L309" s="227"/>
      <c r="M309" s="236" t="s">
        <v>715</v>
      </c>
      <c r="N309" s="128" t="s">
        <v>690</v>
      </c>
      <c r="O309" s="128">
        <v>4</v>
      </c>
      <c r="P309" s="128">
        <v>8544700000</v>
      </c>
      <c r="Q309" s="285">
        <v>1724.6575342465753</v>
      </c>
      <c r="R309" s="149" t="s">
        <v>9</v>
      </c>
      <c r="T309" s="134">
        <v>5748.8584474885847</v>
      </c>
      <c r="U309" s="134">
        <v>3449.3150684931506</v>
      </c>
      <c r="V309" s="134">
        <v>2874.4292237442924</v>
      </c>
      <c r="W309" s="134">
        <v>2299.5433789954341</v>
      </c>
    </row>
    <row r="310" spans="1:23" s="129" customFormat="1" hidden="1">
      <c r="A310" s="195" t="s">
        <v>1276</v>
      </c>
      <c r="B310" s="195" t="s">
        <v>656</v>
      </c>
      <c r="C310" s="195" t="s">
        <v>684</v>
      </c>
      <c r="D310" s="236" t="s">
        <v>2294</v>
      </c>
      <c r="E310" s="128" t="s">
        <v>1679</v>
      </c>
      <c r="F310" s="128"/>
      <c r="G310" s="241" t="s">
        <v>2297</v>
      </c>
      <c r="H310" s="241" t="s">
        <v>2825</v>
      </c>
      <c r="I310" s="195" t="s">
        <v>2300</v>
      </c>
      <c r="J310" s="128" t="s">
        <v>1584</v>
      </c>
      <c r="K310" s="236" t="s">
        <v>1223</v>
      </c>
      <c r="L310" s="227"/>
      <c r="M310" s="236" t="s">
        <v>715</v>
      </c>
      <c r="N310" s="128" t="s">
        <v>690</v>
      </c>
      <c r="O310" s="128">
        <v>4</v>
      </c>
      <c r="P310" s="128">
        <v>8544700000</v>
      </c>
      <c r="Q310" s="285">
        <v>2561.6438356164385</v>
      </c>
      <c r="R310" s="149" t="s">
        <v>9</v>
      </c>
      <c r="T310" s="134">
        <v>8538.8127853881288</v>
      </c>
      <c r="U310" s="134">
        <v>5123.2876712328771</v>
      </c>
      <c r="V310" s="134">
        <v>4269.4063926940644</v>
      </c>
      <c r="W310" s="134">
        <v>3415.5251141552517</v>
      </c>
    </row>
    <row r="311" spans="1:23" s="129" customFormat="1" hidden="1">
      <c r="A311" s="195" t="s">
        <v>1276</v>
      </c>
      <c r="B311" s="195" t="s">
        <v>656</v>
      </c>
      <c r="C311" s="195" t="s">
        <v>684</v>
      </c>
      <c r="D311" s="236" t="s">
        <v>1670</v>
      </c>
      <c r="E311" s="128" t="s">
        <v>1679</v>
      </c>
      <c r="F311" s="128"/>
      <c r="G311" s="241" t="s">
        <v>2344</v>
      </c>
      <c r="H311" s="241" t="s">
        <v>2825</v>
      </c>
      <c r="I311" s="195" t="s">
        <v>2338</v>
      </c>
      <c r="J311" s="128" t="s">
        <v>1584</v>
      </c>
      <c r="K311" s="236" t="s">
        <v>1223</v>
      </c>
      <c r="L311" s="227"/>
      <c r="M311" s="236" t="s">
        <v>715</v>
      </c>
      <c r="N311" s="128" t="s">
        <v>690</v>
      </c>
      <c r="O311" s="128">
        <v>2</v>
      </c>
      <c r="P311" s="128">
        <v>8544700000</v>
      </c>
      <c r="Q311" s="285">
        <v>1512.3287671232877</v>
      </c>
      <c r="R311" s="149" t="s">
        <v>9</v>
      </c>
      <c r="T311" s="134">
        <v>5041.0958904109593</v>
      </c>
      <c r="U311" s="134">
        <v>3024.6575342465753</v>
      </c>
      <c r="V311" s="134">
        <v>2520.5479452054797</v>
      </c>
      <c r="W311" s="134">
        <v>2016.4383561643838</v>
      </c>
    </row>
    <row r="312" spans="1:23" s="129" customFormat="1" hidden="1">
      <c r="A312" s="195" t="s">
        <v>1276</v>
      </c>
      <c r="B312" s="195" t="s">
        <v>656</v>
      </c>
      <c r="C312" s="195" t="s">
        <v>684</v>
      </c>
      <c r="D312" s="236" t="s">
        <v>1670</v>
      </c>
      <c r="E312" s="128" t="s">
        <v>1679</v>
      </c>
      <c r="F312" s="128"/>
      <c r="G312" s="241" t="s">
        <v>2304</v>
      </c>
      <c r="H312" s="241" t="s">
        <v>2825</v>
      </c>
      <c r="I312" s="195" t="s">
        <v>2339</v>
      </c>
      <c r="J312" s="128" t="s">
        <v>1584</v>
      </c>
      <c r="K312" s="236" t="s">
        <v>1223</v>
      </c>
      <c r="L312" s="227"/>
      <c r="M312" s="236" t="s">
        <v>715</v>
      </c>
      <c r="N312" s="128" t="s">
        <v>690</v>
      </c>
      <c r="O312" s="128">
        <v>2</v>
      </c>
      <c r="P312" s="128">
        <v>8544700000</v>
      </c>
      <c r="Q312" s="285">
        <v>1956.1643835616439</v>
      </c>
      <c r="R312" s="149" t="s">
        <v>9</v>
      </c>
      <c r="T312" s="134">
        <v>6520.5479452054797</v>
      </c>
      <c r="U312" s="134">
        <v>3912.3287671232874</v>
      </c>
      <c r="V312" s="134">
        <v>3260.2739726027398</v>
      </c>
      <c r="W312" s="134">
        <v>2608.2191780821922</v>
      </c>
    </row>
    <row r="313" spans="1:23" s="129" customFormat="1" hidden="1">
      <c r="A313" s="195" t="s">
        <v>1276</v>
      </c>
      <c r="B313" s="195" t="s">
        <v>656</v>
      </c>
      <c r="C313" s="195" t="s">
        <v>684</v>
      </c>
      <c r="D313" s="236" t="s">
        <v>1670</v>
      </c>
      <c r="E313" s="128" t="s">
        <v>1679</v>
      </c>
      <c r="F313" s="128"/>
      <c r="G313" s="241" t="s">
        <v>2305</v>
      </c>
      <c r="H313" s="241" t="s">
        <v>2825</v>
      </c>
      <c r="I313" s="195" t="s">
        <v>2340</v>
      </c>
      <c r="J313" s="128" t="s">
        <v>1584</v>
      </c>
      <c r="K313" s="236" t="s">
        <v>1223</v>
      </c>
      <c r="L313" s="227"/>
      <c r="M313" s="236" t="s">
        <v>715</v>
      </c>
      <c r="N313" s="128" t="s">
        <v>690</v>
      </c>
      <c r="O313" s="128">
        <v>2</v>
      </c>
      <c r="P313" s="128">
        <v>8544700000</v>
      </c>
      <c r="Q313" s="285">
        <v>2832.8767123287671</v>
      </c>
      <c r="R313" s="149" t="s">
        <v>9</v>
      </c>
      <c r="T313" s="134">
        <v>9442.9223744292249</v>
      </c>
      <c r="U313" s="134">
        <v>5665.7534246575351</v>
      </c>
      <c r="V313" s="134">
        <v>4721.4611872146124</v>
      </c>
      <c r="W313" s="134">
        <v>3777.1689497716902</v>
      </c>
    </row>
    <row r="314" spans="1:23" s="129" customFormat="1" hidden="1">
      <c r="A314" s="195" t="s">
        <v>1276</v>
      </c>
      <c r="B314" s="195" t="s">
        <v>656</v>
      </c>
      <c r="C314" s="195" t="s">
        <v>684</v>
      </c>
      <c r="D314" s="236" t="s">
        <v>730</v>
      </c>
      <c r="E314" s="128" t="s">
        <v>765</v>
      </c>
      <c r="F314" s="128"/>
      <c r="G314" s="241" t="s">
        <v>2311</v>
      </c>
      <c r="H314" s="241" t="s">
        <v>2825</v>
      </c>
      <c r="I314" s="195" t="s">
        <v>2318</v>
      </c>
      <c r="J314" s="128" t="s">
        <v>1584</v>
      </c>
      <c r="K314" s="236" t="s">
        <v>158</v>
      </c>
      <c r="L314" s="227"/>
      <c r="M314" s="236" t="s">
        <v>715</v>
      </c>
      <c r="N314" s="128" t="s">
        <v>690</v>
      </c>
      <c r="O314" s="128">
        <v>8</v>
      </c>
      <c r="P314" s="128">
        <v>8544700000</v>
      </c>
      <c r="Q314" s="285">
        <v>1424.2647058823532</v>
      </c>
      <c r="R314" s="149" t="s">
        <v>9</v>
      </c>
      <c r="T314" s="134">
        <v>4747.5490196078445</v>
      </c>
      <c r="U314" s="134">
        <v>2848.5294117647068</v>
      </c>
      <c r="V314" s="134">
        <v>2373.7745098039222</v>
      </c>
      <c r="W314" s="134">
        <v>1899.0196078431379</v>
      </c>
    </row>
    <row r="315" spans="1:23" s="129" customFormat="1" hidden="1">
      <c r="A315" s="195" t="s">
        <v>1276</v>
      </c>
      <c r="B315" s="195" t="s">
        <v>656</v>
      </c>
      <c r="C315" s="195" t="s">
        <v>684</v>
      </c>
      <c r="D315" s="236" t="s">
        <v>730</v>
      </c>
      <c r="E315" s="128" t="s">
        <v>765</v>
      </c>
      <c r="F315" s="128"/>
      <c r="G315" s="241" t="s">
        <v>2312</v>
      </c>
      <c r="H315" s="241" t="s">
        <v>2825</v>
      </c>
      <c r="I315" s="195" t="s">
        <v>2319</v>
      </c>
      <c r="J315" s="128" t="s">
        <v>1584</v>
      </c>
      <c r="K315" s="236" t="s">
        <v>158</v>
      </c>
      <c r="L315" s="227"/>
      <c r="M315" s="236" t="s">
        <v>715</v>
      </c>
      <c r="N315" s="128" t="s">
        <v>690</v>
      </c>
      <c r="O315" s="128">
        <v>8</v>
      </c>
      <c r="P315" s="128">
        <v>8544700000</v>
      </c>
      <c r="Q315" s="285">
        <v>2584.5588235294122</v>
      </c>
      <c r="R315" s="149" t="s">
        <v>9</v>
      </c>
      <c r="T315" s="134">
        <v>8615.1960784313742</v>
      </c>
      <c r="U315" s="134">
        <v>5169.1176470588243</v>
      </c>
      <c r="V315" s="134">
        <v>4307.5980392156871</v>
      </c>
      <c r="W315" s="134">
        <v>3446.0784313725499</v>
      </c>
    </row>
    <row r="316" spans="1:23" s="129" customFormat="1" hidden="1">
      <c r="A316" s="195" t="s">
        <v>1276</v>
      </c>
      <c r="B316" s="195" t="s">
        <v>656</v>
      </c>
      <c r="C316" s="195" t="s">
        <v>684</v>
      </c>
      <c r="D316" s="236" t="s">
        <v>686</v>
      </c>
      <c r="E316" s="128" t="s">
        <v>765</v>
      </c>
      <c r="F316" s="128"/>
      <c r="G316" s="241" t="s">
        <v>2320</v>
      </c>
      <c r="H316" s="241" t="s">
        <v>2825</v>
      </c>
      <c r="I316" s="195" t="s">
        <v>2324</v>
      </c>
      <c r="J316" s="128" t="s">
        <v>1666</v>
      </c>
      <c r="K316" s="236" t="s">
        <v>158</v>
      </c>
      <c r="L316" s="227"/>
      <c r="M316" s="236" t="s">
        <v>715</v>
      </c>
      <c r="N316" s="128" t="s">
        <v>690</v>
      </c>
      <c r="O316" s="128">
        <v>8</v>
      </c>
      <c r="P316" s="128">
        <v>8544700000</v>
      </c>
      <c r="Q316" s="285">
        <v>784.55882352941182</v>
      </c>
      <c r="R316" s="149" t="s">
        <v>9</v>
      </c>
      <c r="T316" s="134">
        <v>2615.1960784313728</v>
      </c>
      <c r="U316" s="134">
        <v>1569.1176470588236</v>
      </c>
      <c r="V316" s="134">
        <v>1307.5980392156864</v>
      </c>
      <c r="W316" s="134">
        <v>1046.0784313725492</v>
      </c>
    </row>
    <row r="317" spans="1:23" s="129" customFormat="1" hidden="1">
      <c r="A317" s="195" t="s">
        <v>1276</v>
      </c>
      <c r="B317" s="195" t="s">
        <v>656</v>
      </c>
      <c r="C317" s="195" t="s">
        <v>684</v>
      </c>
      <c r="D317" s="236" t="s">
        <v>686</v>
      </c>
      <c r="E317" s="128" t="s">
        <v>765</v>
      </c>
      <c r="F317" s="128"/>
      <c r="G317" s="241" t="s">
        <v>2321</v>
      </c>
      <c r="H317" s="241" t="s">
        <v>2825</v>
      </c>
      <c r="I317" s="195" t="s">
        <v>2325</v>
      </c>
      <c r="J317" s="128" t="s">
        <v>1666</v>
      </c>
      <c r="K317" s="236" t="s">
        <v>158</v>
      </c>
      <c r="L317" s="227"/>
      <c r="M317" s="236" t="s">
        <v>715</v>
      </c>
      <c r="N317" s="128" t="s">
        <v>690</v>
      </c>
      <c r="O317" s="128">
        <v>8</v>
      </c>
      <c r="P317" s="128">
        <v>8544700000</v>
      </c>
      <c r="Q317" s="285">
        <v>1324.2647058823532</v>
      </c>
      <c r="R317" s="149" t="s">
        <v>9</v>
      </c>
      <c r="T317" s="134">
        <v>4414.2156862745105</v>
      </c>
      <c r="U317" s="134">
        <v>2648.5294117647063</v>
      </c>
      <c r="V317" s="134">
        <v>2207.1078431372553</v>
      </c>
      <c r="W317" s="134">
        <v>1765.6862745098042</v>
      </c>
    </row>
    <row r="318" spans="1:23" s="129" customFormat="1" hidden="1">
      <c r="A318" s="195" t="s">
        <v>1276</v>
      </c>
      <c r="B318" s="195" t="s">
        <v>656</v>
      </c>
      <c r="C318" s="195" t="s">
        <v>684</v>
      </c>
      <c r="D318" s="236" t="s">
        <v>686</v>
      </c>
      <c r="E318" s="128" t="s">
        <v>765</v>
      </c>
      <c r="F318" s="128"/>
      <c r="G318" s="241" t="s">
        <v>1680</v>
      </c>
      <c r="H318" s="241" t="s">
        <v>2825</v>
      </c>
      <c r="I318" s="195" t="s">
        <v>1684</v>
      </c>
      <c r="J318" s="128" t="s">
        <v>1666</v>
      </c>
      <c r="K318" s="236" t="s">
        <v>158</v>
      </c>
      <c r="L318" s="227"/>
      <c r="M318" s="236" t="s">
        <v>715</v>
      </c>
      <c r="N318" s="128" t="s">
        <v>690</v>
      </c>
      <c r="O318" s="128">
        <v>8</v>
      </c>
      <c r="P318" s="128">
        <v>8544700000</v>
      </c>
      <c r="Q318" s="285">
        <v>2397.794117647059</v>
      </c>
      <c r="R318" s="149" t="s">
        <v>9</v>
      </c>
      <c r="T318" s="134">
        <v>7992.6470588235306</v>
      </c>
      <c r="U318" s="134">
        <v>4795.588235294118</v>
      </c>
      <c r="V318" s="134">
        <v>3996.3235294117653</v>
      </c>
      <c r="W318" s="134">
        <v>3197.0588235294126</v>
      </c>
    </row>
    <row r="319" spans="1:23" s="129" customFormat="1" hidden="1">
      <c r="A319" s="195" t="s">
        <v>1276</v>
      </c>
      <c r="B319" s="195" t="s">
        <v>656</v>
      </c>
      <c r="C319" s="195" t="s">
        <v>684</v>
      </c>
      <c r="D319" s="236" t="s">
        <v>743</v>
      </c>
      <c r="E319" s="128" t="s">
        <v>765</v>
      </c>
      <c r="F319" s="128"/>
      <c r="G319" s="241" t="s">
        <v>1681</v>
      </c>
      <c r="H319" s="241" t="s">
        <v>2825</v>
      </c>
      <c r="I319" s="195" t="s">
        <v>1685</v>
      </c>
      <c r="J319" s="128" t="s">
        <v>1666</v>
      </c>
      <c r="K319" s="236" t="s">
        <v>158</v>
      </c>
      <c r="L319" s="227"/>
      <c r="M319" s="236" t="s">
        <v>715</v>
      </c>
      <c r="N319" s="128" t="s">
        <v>690</v>
      </c>
      <c r="O319" s="128">
        <v>4</v>
      </c>
      <c r="P319" s="128">
        <v>8544700000</v>
      </c>
      <c r="Q319" s="285">
        <v>5004.4117647058829</v>
      </c>
      <c r="R319" s="149" t="s">
        <v>9</v>
      </c>
      <c r="T319" s="134">
        <v>16681.372549019612</v>
      </c>
      <c r="U319" s="134">
        <v>10008.823529411768</v>
      </c>
      <c r="V319" s="134">
        <v>8340.686274509806</v>
      </c>
      <c r="W319" s="134">
        <v>6672.5490196078454</v>
      </c>
    </row>
    <row r="320" spans="1:23" s="129" customFormat="1" hidden="1">
      <c r="A320" s="195" t="s">
        <v>1276</v>
      </c>
      <c r="B320" s="195" t="s">
        <v>656</v>
      </c>
      <c r="C320" s="195" t="s">
        <v>684</v>
      </c>
      <c r="D320" s="236" t="s">
        <v>702</v>
      </c>
      <c r="E320" s="128" t="s">
        <v>765</v>
      </c>
      <c r="F320" s="128"/>
      <c r="G320" s="241" t="s">
        <v>784</v>
      </c>
      <c r="H320" s="241" t="s">
        <v>2998</v>
      </c>
      <c r="I320" s="195" t="s">
        <v>786</v>
      </c>
      <c r="J320" s="128" t="s">
        <v>125</v>
      </c>
      <c r="K320" s="236" t="s">
        <v>158</v>
      </c>
      <c r="L320" s="227"/>
      <c r="M320" s="236" t="s">
        <v>715</v>
      </c>
      <c r="N320" s="128" t="s">
        <v>690</v>
      </c>
      <c r="O320" s="128">
        <v>8</v>
      </c>
      <c r="P320" s="128">
        <v>8544700000</v>
      </c>
      <c r="Q320" s="285">
        <v>780.14705882352951</v>
      </c>
      <c r="R320" s="149" t="s">
        <v>9</v>
      </c>
      <c r="T320" s="134">
        <v>2600.4901960784318</v>
      </c>
      <c r="U320" s="134">
        <v>1560.294117647059</v>
      </c>
      <c r="V320" s="134">
        <v>1300.2450980392159</v>
      </c>
      <c r="W320" s="134">
        <v>1040.1960784313728</v>
      </c>
    </row>
    <row r="321" spans="1:23" s="129" customFormat="1" hidden="1">
      <c r="A321" s="195" t="s">
        <v>1276</v>
      </c>
      <c r="B321" s="195" t="s">
        <v>656</v>
      </c>
      <c r="C321" s="195" t="s">
        <v>684</v>
      </c>
      <c r="D321" s="236" t="s">
        <v>702</v>
      </c>
      <c r="E321" s="128" t="s">
        <v>765</v>
      </c>
      <c r="F321" s="128"/>
      <c r="G321" s="241" t="s">
        <v>2404</v>
      </c>
      <c r="H321" s="241" t="s">
        <v>2999</v>
      </c>
      <c r="I321" s="195" t="s">
        <v>789</v>
      </c>
      <c r="J321" s="128" t="s">
        <v>125</v>
      </c>
      <c r="K321" s="236" t="s">
        <v>158</v>
      </c>
      <c r="L321" s="227"/>
      <c r="M321" s="236" t="s">
        <v>715</v>
      </c>
      <c r="N321" s="128" t="s">
        <v>690</v>
      </c>
      <c r="O321" s="128">
        <v>8</v>
      </c>
      <c r="P321" s="128">
        <v>8544700000</v>
      </c>
      <c r="Q321" s="285">
        <v>966.91176470588243</v>
      </c>
      <c r="R321" s="149" t="s">
        <v>9</v>
      </c>
      <c r="T321" s="134">
        <v>3223.0392156862749</v>
      </c>
      <c r="U321" s="134">
        <v>1933.8235294117649</v>
      </c>
      <c r="V321" s="134">
        <v>1611.5196078431375</v>
      </c>
      <c r="W321" s="134">
        <v>1289.2156862745101</v>
      </c>
    </row>
    <row r="322" spans="1:23" s="129" customFormat="1" hidden="1">
      <c r="A322" s="195" t="s">
        <v>1276</v>
      </c>
      <c r="B322" s="195" t="s">
        <v>656</v>
      </c>
      <c r="C322" s="195" t="s">
        <v>684</v>
      </c>
      <c r="D322" s="236" t="s">
        <v>702</v>
      </c>
      <c r="E322" s="128" t="s">
        <v>765</v>
      </c>
      <c r="F322" s="128"/>
      <c r="G322" s="241" t="s">
        <v>790</v>
      </c>
      <c r="H322" s="241" t="s">
        <v>3000</v>
      </c>
      <c r="I322" s="195" t="s">
        <v>792</v>
      </c>
      <c r="J322" s="128" t="s">
        <v>125</v>
      </c>
      <c r="K322" s="236" t="s">
        <v>158</v>
      </c>
      <c r="L322" s="227"/>
      <c r="M322" s="236" t="s">
        <v>715</v>
      </c>
      <c r="N322" s="128" t="s">
        <v>690</v>
      </c>
      <c r="O322" s="128">
        <v>8</v>
      </c>
      <c r="P322" s="128">
        <v>8544700000</v>
      </c>
      <c r="Q322" s="285">
        <v>1327.2058823529412</v>
      </c>
      <c r="R322" s="149" t="s">
        <v>9</v>
      </c>
      <c r="T322" s="134">
        <v>4424.0196078431372</v>
      </c>
      <c r="U322" s="134">
        <v>2654.4117647058824</v>
      </c>
      <c r="V322" s="134">
        <v>2212.0098039215686</v>
      </c>
      <c r="W322" s="134">
        <v>1769.607843137255</v>
      </c>
    </row>
    <row r="323" spans="1:23" s="172" customFormat="1" hidden="1">
      <c r="A323" s="195" t="s">
        <v>1276</v>
      </c>
      <c r="B323" s="195" t="s">
        <v>656</v>
      </c>
      <c r="C323" s="195" t="s">
        <v>684</v>
      </c>
      <c r="D323" s="236" t="s">
        <v>702</v>
      </c>
      <c r="E323" s="128" t="s">
        <v>765</v>
      </c>
      <c r="F323" s="128"/>
      <c r="G323" s="241" t="s">
        <v>793</v>
      </c>
      <c r="H323" s="241" t="s">
        <v>3001</v>
      </c>
      <c r="I323" s="195" t="s">
        <v>795</v>
      </c>
      <c r="J323" s="128" t="s">
        <v>125</v>
      </c>
      <c r="K323" s="236" t="s">
        <v>158</v>
      </c>
      <c r="L323" s="227"/>
      <c r="M323" s="236" t="s">
        <v>715</v>
      </c>
      <c r="N323" s="128" t="s">
        <v>690</v>
      </c>
      <c r="O323" s="128">
        <v>4</v>
      </c>
      <c r="P323" s="128">
        <v>8544700000</v>
      </c>
      <c r="Q323" s="285">
        <v>2477.9411764705883</v>
      </c>
      <c r="R323" s="149" t="s">
        <v>9</v>
      </c>
      <c r="T323" s="134">
        <v>8259.8039215686276</v>
      </c>
      <c r="U323" s="134">
        <v>4955.8823529411766</v>
      </c>
      <c r="V323" s="134">
        <v>4129.9019607843138</v>
      </c>
      <c r="W323" s="134">
        <v>3303.9215686274511</v>
      </c>
    </row>
    <row r="324" spans="1:23" s="129" customFormat="1" hidden="1">
      <c r="A324" s="195" t="s">
        <v>1276</v>
      </c>
      <c r="B324" s="195" t="s">
        <v>656</v>
      </c>
      <c r="C324" s="195" t="s">
        <v>684</v>
      </c>
      <c r="D324" s="236" t="s">
        <v>702</v>
      </c>
      <c r="E324" s="128" t="s">
        <v>2351</v>
      </c>
      <c r="F324" s="128"/>
      <c r="G324" s="241" t="s">
        <v>796</v>
      </c>
      <c r="H324" s="241" t="s">
        <v>3002</v>
      </c>
      <c r="I324" s="195" t="s">
        <v>798</v>
      </c>
      <c r="J324" s="128" t="s">
        <v>125</v>
      </c>
      <c r="K324" s="236" t="s">
        <v>158</v>
      </c>
      <c r="L324" s="227"/>
      <c r="M324" s="236" t="s">
        <v>715</v>
      </c>
      <c r="N324" s="128" t="s">
        <v>690</v>
      </c>
      <c r="O324" s="128">
        <v>8</v>
      </c>
      <c r="P324" s="128">
        <v>8544700000</v>
      </c>
      <c r="Q324" s="285">
        <v>1341.9117647058824</v>
      </c>
      <c r="R324" s="149" t="s">
        <v>9</v>
      </c>
      <c r="T324" s="134">
        <v>4473.0392156862754</v>
      </c>
      <c r="U324" s="134">
        <v>2683.8235294117653</v>
      </c>
      <c r="V324" s="134">
        <v>2236.5196078431377</v>
      </c>
      <c r="W324" s="134">
        <v>1789.2156862745103</v>
      </c>
    </row>
    <row r="325" spans="1:23" s="129" customFormat="1" hidden="1">
      <c r="A325" s="195" t="s">
        <v>1276</v>
      </c>
      <c r="B325" s="195" t="s">
        <v>656</v>
      </c>
      <c r="C325" s="195" t="s">
        <v>684</v>
      </c>
      <c r="D325" s="236" t="s">
        <v>702</v>
      </c>
      <c r="E325" s="128" t="s">
        <v>2351</v>
      </c>
      <c r="F325" s="128"/>
      <c r="G325" s="241" t="s">
        <v>799</v>
      </c>
      <c r="H325" s="241" t="s">
        <v>3003</v>
      </c>
      <c r="I325" s="195" t="s">
        <v>801</v>
      </c>
      <c r="J325" s="128" t="s">
        <v>125</v>
      </c>
      <c r="K325" s="236" t="s">
        <v>158</v>
      </c>
      <c r="L325" s="227"/>
      <c r="M325" s="236" t="s">
        <v>715</v>
      </c>
      <c r="N325" s="128" t="s">
        <v>690</v>
      </c>
      <c r="O325" s="128">
        <v>8</v>
      </c>
      <c r="P325" s="128">
        <v>8544700000</v>
      </c>
      <c r="Q325" s="285">
        <v>1724.2647058823532</v>
      </c>
      <c r="R325" s="149" t="s">
        <v>9</v>
      </c>
      <c r="T325" s="134">
        <v>5747.5490196078445</v>
      </c>
      <c r="U325" s="134">
        <v>3448.5294117647068</v>
      </c>
      <c r="V325" s="134">
        <v>2873.7745098039222</v>
      </c>
      <c r="W325" s="134">
        <v>2299.0196078431377</v>
      </c>
    </row>
    <row r="326" spans="1:23" s="129" customFormat="1" hidden="1">
      <c r="A326" s="195" t="s">
        <v>1276</v>
      </c>
      <c r="B326" s="195" t="s">
        <v>656</v>
      </c>
      <c r="C326" s="195" t="s">
        <v>684</v>
      </c>
      <c r="D326" s="236" t="s">
        <v>702</v>
      </c>
      <c r="E326" s="128" t="s">
        <v>2351</v>
      </c>
      <c r="F326" s="128"/>
      <c r="G326" s="241" t="s">
        <v>802</v>
      </c>
      <c r="H326" s="241" t="s">
        <v>3004</v>
      </c>
      <c r="I326" s="195" t="s">
        <v>804</v>
      </c>
      <c r="J326" s="128" t="s">
        <v>125</v>
      </c>
      <c r="K326" s="236" t="s">
        <v>158</v>
      </c>
      <c r="L326" s="227"/>
      <c r="M326" s="236" t="s">
        <v>715</v>
      </c>
      <c r="N326" s="128" t="s">
        <v>690</v>
      </c>
      <c r="O326" s="128">
        <v>8</v>
      </c>
      <c r="P326" s="128">
        <v>8544700000</v>
      </c>
      <c r="Q326" s="285">
        <v>2584.5588235294122</v>
      </c>
      <c r="R326" s="149" t="s">
        <v>9</v>
      </c>
      <c r="T326" s="134">
        <v>8615.1960784313742</v>
      </c>
      <c r="U326" s="134">
        <v>5169.1176470588243</v>
      </c>
      <c r="V326" s="134">
        <v>4307.5980392156871</v>
      </c>
      <c r="W326" s="134">
        <v>3446.0784313725499</v>
      </c>
    </row>
    <row r="327" spans="1:23" s="129" customFormat="1" hidden="1">
      <c r="A327" s="195" t="s">
        <v>1276</v>
      </c>
      <c r="B327" s="195" t="s">
        <v>656</v>
      </c>
      <c r="C327" s="195" t="s">
        <v>684</v>
      </c>
      <c r="D327" s="236" t="s">
        <v>702</v>
      </c>
      <c r="E327" s="128" t="s">
        <v>2351</v>
      </c>
      <c r="F327" s="128"/>
      <c r="G327" s="241" t="s">
        <v>805</v>
      </c>
      <c r="H327" s="241" t="s">
        <v>3005</v>
      </c>
      <c r="I327" s="195" t="s">
        <v>807</v>
      </c>
      <c r="J327" s="128" t="s">
        <v>125</v>
      </c>
      <c r="K327" s="236" t="s">
        <v>158</v>
      </c>
      <c r="L327" s="227"/>
      <c r="M327" s="236" t="s">
        <v>715</v>
      </c>
      <c r="N327" s="128" t="s">
        <v>690</v>
      </c>
      <c r="O327" s="128">
        <v>8</v>
      </c>
      <c r="P327" s="128">
        <v>8544700000</v>
      </c>
      <c r="Q327" s="285">
        <v>4888.9705882352946</v>
      </c>
      <c r="R327" s="149" t="s">
        <v>9</v>
      </c>
      <c r="T327" s="134">
        <v>16296.568627450983</v>
      </c>
      <c r="U327" s="134">
        <v>9777.9411764705892</v>
      </c>
      <c r="V327" s="134">
        <v>8148.2843137254913</v>
      </c>
      <c r="W327" s="134">
        <v>6518.6274509803934</v>
      </c>
    </row>
    <row r="328" spans="1:23" s="129" customFormat="1" hidden="1">
      <c r="A328" s="195" t="s">
        <v>1276</v>
      </c>
      <c r="B328" s="195" t="s">
        <v>656</v>
      </c>
      <c r="C328" s="195" t="s">
        <v>684</v>
      </c>
      <c r="D328" s="236" t="s">
        <v>751</v>
      </c>
      <c r="E328" s="128" t="s">
        <v>765</v>
      </c>
      <c r="F328" s="128"/>
      <c r="G328" s="241" t="s">
        <v>808</v>
      </c>
      <c r="H328" s="241" t="s">
        <v>3006</v>
      </c>
      <c r="I328" s="195" t="s">
        <v>2317</v>
      </c>
      <c r="J328" s="128" t="s">
        <v>2403</v>
      </c>
      <c r="K328" s="236" t="s">
        <v>158</v>
      </c>
      <c r="L328" s="227"/>
      <c r="M328" s="236" t="s">
        <v>715</v>
      </c>
      <c r="N328" s="128" t="s">
        <v>690</v>
      </c>
      <c r="O328" s="128">
        <v>4</v>
      </c>
      <c r="P328" s="128">
        <v>8544700000</v>
      </c>
      <c r="Q328" s="285">
        <v>4566.176470588236</v>
      </c>
      <c r="R328" s="149" t="s">
        <v>9</v>
      </c>
      <c r="T328" s="134">
        <v>15220.588235294121</v>
      </c>
      <c r="U328" s="134">
        <v>9132.3529411764721</v>
      </c>
      <c r="V328" s="134">
        <v>7610.2941176470604</v>
      </c>
      <c r="W328" s="134">
        <v>6088.2352941176487</v>
      </c>
    </row>
    <row r="329" spans="1:23" s="129" customFormat="1" hidden="1">
      <c r="A329" s="195" t="s">
        <v>1276</v>
      </c>
      <c r="B329" s="195" t="s">
        <v>656</v>
      </c>
      <c r="C329" s="195" t="s">
        <v>684</v>
      </c>
      <c r="D329" s="236" t="s">
        <v>751</v>
      </c>
      <c r="E329" s="128" t="s">
        <v>765</v>
      </c>
      <c r="F329" s="128"/>
      <c r="G329" s="241" t="s">
        <v>811</v>
      </c>
      <c r="H329" s="241" t="s">
        <v>3007</v>
      </c>
      <c r="I329" s="195" t="s">
        <v>813</v>
      </c>
      <c r="J329" s="128" t="s">
        <v>2403</v>
      </c>
      <c r="K329" s="236" t="s">
        <v>158</v>
      </c>
      <c r="L329" s="227"/>
      <c r="M329" s="236" t="s">
        <v>715</v>
      </c>
      <c r="N329" s="128" t="s">
        <v>690</v>
      </c>
      <c r="O329" s="128">
        <v>2</v>
      </c>
      <c r="P329" s="128">
        <v>8544700000</v>
      </c>
      <c r="Q329" s="285">
        <v>8585.2941176470595</v>
      </c>
      <c r="R329" s="149" t="s">
        <v>9</v>
      </c>
      <c r="T329" s="134">
        <v>28617.647058823532</v>
      </c>
      <c r="U329" s="134">
        <v>17170.588235294119</v>
      </c>
      <c r="V329" s="134">
        <v>14308.823529411766</v>
      </c>
      <c r="W329" s="134">
        <v>11447.058823529413</v>
      </c>
    </row>
    <row r="330" spans="1:23" s="129" customFormat="1" hidden="1">
      <c r="A330" s="195" t="s">
        <v>1276</v>
      </c>
      <c r="B330" s="195" t="s">
        <v>656</v>
      </c>
      <c r="C330" s="195" t="s">
        <v>684</v>
      </c>
      <c r="D330" s="236" t="s">
        <v>758</v>
      </c>
      <c r="E330" s="128" t="s">
        <v>765</v>
      </c>
      <c r="F330" s="128"/>
      <c r="G330" s="241" t="s">
        <v>814</v>
      </c>
      <c r="H330" s="241" t="s">
        <v>3008</v>
      </c>
      <c r="I330" s="195" t="s">
        <v>2316</v>
      </c>
      <c r="J330" s="128" t="s">
        <v>2403</v>
      </c>
      <c r="K330" s="236" t="s">
        <v>158</v>
      </c>
      <c r="L330" s="227"/>
      <c r="M330" s="236" t="s">
        <v>715</v>
      </c>
      <c r="N330" s="128" t="s">
        <v>690</v>
      </c>
      <c r="O330" s="128">
        <v>4</v>
      </c>
      <c r="P330" s="128">
        <v>8544700000</v>
      </c>
      <c r="Q330" s="285">
        <v>4512.8571428571431</v>
      </c>
      <c r="R330" s="149" t="s">
        <v>9</v>
      </c>
      <c r="T330" s="134">
        <v>15042.857142857145</v>
      </c>
      <c r="U330" s="134">
        <v>9025.7142857142862</v>
      </c>
      <c r="V330" s="134">
        <v>7521.4285714285725</v>
      </c>
      <c r="W330" s="134">
        <v>6017.1428571428587</v>
      </c>
    </row>
    <row r="331" spans="1:23" s="129" customFormat="1" hidden="1">
      <c r="A331" s="195" t="s">
        <v>1276</v>
      </c>
      <c r="B331" s="195" t="s">
        <v>656</v>
      </c>
      <c r="C331" s="195" t="s">
        <v>684</v>
      </c>
      <c r="D331" s="236" t="s">
        <v>758</v>
      </c>
      <c r="E331" s="128" t="s">
        <v>765</v>
      </c>
      <c r="F331" s="128"/>
      <c r="G331" s="241" t="s">
        <v>817</v>
      </c>
      <c r="H331" s="241" t="s">
        <v>3009</v>
      </c>
      <c r="I331" s="195" t="s">
        <v>819</v>
      </c>
      <c r="J331" s="128" t="s">
        <v>2403</v>
      </c>
      <c r="K331" s="236" t="s">
        <v>158</v>
      </c>
      <c r="L331" s="227"/>
      <c r="M331" s="236" t="s">
        <v>715</v>
      </c>
      <c r="N331" s="128" t="s">
        <v>690</v>
      </c>
      <c r="O331" s="128">
        <v>2</v>
      </c>
      <c r="P331" s="128">
        <v>8544700000</v>
      </c>
      <c r="Q331" s="285">
        <v>8464.2857142857156</v>
      </c>
      <c r="R331" s="149" t="s">
        <v>9</v>
      </c>
      <c r="T331" s="134">
        <v>28214.285714285721</v>
      </c>
      <c r="U331" s="134">
        <v>16928.571428571431</v>
      </c>
      <c r="V331" s="134">
        <v>14107.142857142861</v>
      </c>
      <c r="W331" s="134">
        <v>11285.71428571429</v>
      </c>
    </row>
    <row r="332" spans="1:23" s="129" customFormat="1" hidden="1">
      <c r="A332" s="195" t="s">
        <v>1276</v>
      </c>
      <c r="B332" s="195" t="s">
        <v>656</v>
      </c>
      <c r="C332" s="195" t="s">
        <v>684</v>
      </c>
      <c r="D332" s="236" t="s">
        <v>2328</v>
      </c>
      <c r="E332" s="128" t="s">
        <v>1686</v>
      </c>
      <c r="F332" s="128"/>
      <c r="G332" s="241" t="s">
        <v>2329</v>
      </c>
      <c r="H332" s="241" t="s">
        <v>2825</v>
      </c>
      <c r="I332" s="195" t="s">
        <v>2335</v>
      </c>
      <c r="J332" s="128" t="s">
        <v>1584</v>
      </c>
      <c r="K332" s="236" t="s">
        <v>1223</v>
      </c>
      <c r="L332" s="227"/>
      <c r="M332" s="236" t="s">
        <v>715</v>
      </c>
      <c r="N332" s="128" t="s">
        <v>690</v>
      </c>
      <c r="O332" s="128">
        <v>4</v>
      </c>
      <c r="P332" s="128">
        <v>8544700000</v>
      </c>
      <c r="Q332" s="285">
        <v>1808.2191780821918</v>
      </c>
      <c r="R332" s="149" t="s">
        <v>9</v>
      </c>
      <c r="T332" s="134">
        <v>6027.3972602739732</v>
      </c>
      <c r="U332" s="134">
        <v>3616.438356164384</v>
      </c>
      <c r="V332" s="134">
        <v>3013.6986301369866</v>
      </c>
      <c r="W332" s="134">
        <v>2410.9589041095892</v>
      </c>
    </row>
    <row r="333" spans="1:23" s="129" customFormat="1" hidden="1">
      <c r="A333" s="195" t="s">
        <v>1276</v>
      </c>
      <c r="B333" s="195" t="s">
        <v>656</v>
      </c>
      <c r="C333" s="195" t="s">
        <v>684</v>
      </c>
      <c r="D333" s="236" t="s">
        <v>2328</v>
      </c>
      <c r="E333" s="128" t="s">
        <v>1686</v>
      </c>
      <c r="F333" s="128"/>
      <c r="G333" s="241" t="s">
        <v>2330</v>
      </c>
      <c r="H333" s="241" t="s">
        <v>2825</v>
      </c>
      <c r="I333" s="195" t="s">
        <v>2336</v>
      </c>
      <c r="J333" s="128" t="s">
        <v>1584</v>
      </c>
      <c r="K333" s="236" t="s">
        <v>1223</v>
      </c>
      <c r="L333" s="227"/>
      <c r="M333" s="236" t="s">
        <v>715</v>
      </c>
      <c r="N333" s="128" t="s">
        <v>690</v>
      </c>
      <c r="O333" s="128">
        <v>4</v>
      </c>
      <c r="P333" s="128">
        <v>8544700000</v>
      </c>
      <c r="Q333" s="285">
        <v>2820.5479452054797</v>
      </c>
      <c r="R333" s="149" t="s">
        <v>9</v>
      </c>
      <c r="T333" s="134">
        <v>9401.8264840182655</v>
      </c>
      <c r="U333" s="134">
        <v>5641.0958904109593</v>
      </c>
      <c r="V333" s="134">
        <v>4700.9132420091328</v>
      </c>
      <c r="W333" s="134">
        <v>3760.7305936073062</v>
      </c>
    </row>
    <row r="334" spans="1:23" s="129" customFormat="1" hidden="1">
      <c r="A334" s="195" t="s">
        <v>1276</v>
      </c>
      <c r="B334" s="195" t="s">
        <v>656</v>
      </c>
      <c r="C334" s="195" t="s">
        <v>684</v>
      </c>
      <c r="D334" s="236" t="s">
        <v>2328</v>
      </c>
      <c r="E334" s="128" t="s">
        <v>1686</v>
      </c>
      <c r="F334" s="128"/>
      <c r="G334" s="241" t="s">
        <v>2331</v>
      </c>
      <c r="H334" s="241" t="s">
        <v>2825</v>
      </c>
      <c r="I334" s="195" t="s">
        <v>2337</v>
      </c>
      <c r="J334" s="128" t="s">
        <v>1584</v>
      </c>
      <c r="K334" s="236" t="s">
        <v>1223</v>
      </c>
      <c r="L334" s="227"/>
      <c r="M334" s="236" t="s">
        <v>715</v>
      </c>
      <c r="N334" s="128" t="s">
        <v>690</v>
      </c>
      <c r="O334" s="128">
        <v>4</v>
      </c>
      <c r="P334" s="128">
        <v>8544700000</v>
      </c>
      <c r="Q334" s="285">
        <v>4869.8630136986303</v>
      </c>
      <c r="R334" s="149" t="s">
        <v>9</v>
      </c>
      <c r="T334" s="134">
        <v>16232.876712328769</v>
      </c>
      <c r="U334" s="134">
        <v>9739.7260273972606</v>
      </c>
      <c r="V334" s="134">
        <v>8116.4383561643845</v>
      </c>
      <c r="W334" s="134">
        <v>6493.1506849315083</v>
      </c>
    </row>
    <row r="335" spans="1:23" s="129" customFormat="1" hidden="1">
      <c r="A335" s="195" t="s">
        <v>1276</v>
      </c>
      <c r="B335" s="195" t="s">
        <v>656</v>
      </c>
      <c r="C335" s="195" t="s">
        <v>684</v>
      </c>
      <c r="D335" s="236" t="s">
        <v>1670</v>
      </c>
      <c r="E335" s="128" t="s">
        <v>1686</v>
      </c>
      <c r="F335" s="128"/>
      <c r="G335" s="241" t="s">
        <v>2341</v>
      </c>
      <c r="H335" s="241" t="s">
        <v>2825</v>
      </c>
      <c r="I335" s="195" t="s">
        <v>2348</v>
      </c>
      <c r="J335" s="128" t="s">
        <v>1584</v>
      </c>
      <c r="K335" s="236" t="s">
        <v>1223</v>
      </c>
      <c r="L335" s="227"/>
      <c r="M335" s="236" t="s">
        <v>715</v>
      </c>
      <c r="N335" s="128" t="s">
        <v>690</v>
      </c>
      <c r="O335" s="128">
        <v>2</v>
      </c>
      <c r="P335" s="128">
        <v>8544700000</v>
      </c>
      <c r="Q335" s="285">
        <v>2178.0821917808221</v>
      </c>
      <c r="R335" s="149" t="s">
        <v>9</v>
      </c>
      <c r="T335" s="134">
        <v>7260.2739726027403</v>
      </c>
      <c r="U335" s="134">
        <v>4356.1643835616442</v>
      </c>
      <c r="V335" s="134">
        <v>3630.1369863013701</v>
      </c>
      <c r="W335" s="134">
        <v>2904.1095890410961</v>
      </c>
    </row>
    <row r="336" spans="1:23" s="129" customFormat="1" hidden="1">
      <c r="A336" s="195" t="s">
        <v>1276</v>
      </c>
      <c r="B336" s="195" t="s">
        <v>656</v>
      </c>
      <c r="C336" s="195" t="s">
        <v>684</v>
      </c>
      <c r="D336" s="236" t="s">
        <v>1670</v>
      </c>
      <c r="E336" s="128" t="s">
        <v>1686</v>
      </c>
      <c r="F336" s="128"/>
      <c r="G336" s="241" t="s">
        <v>2342</v>
      </c>
      <c r="H336" s="241" t="s">
        <v>2825</v>
      </c>
      <c r="I336" s="195" t="s">
        <v>2349</v>
      </c>
      <c r="J336" s="128" t="s">
        <v>1584</v>
      </c>
      <c r="K336" s="236" t="s">
        <v>1223</v>
      </c>
      <c r="L336" s="227"/>
      <c r="M336" s="236" t="s">
        <v>715</v>
      </c>
      <c r="N336" s="128" t="s">
        <v>690</v>
      </c>
      <c r="O336" s="128">
        <v>2</v>
      </c>
      <c r="P336" s="128">
        <v>8544700000</v>
      </c>
      <c r="Q336" s="285">
        <v>3238.3561643835619</v>
      </c>
      <c r="R336" s="149" t="s">
        <v>9</v>
      </c>
      <c r="T336" s="134">
        <v>10794.520547945207</v>
      </c>
      <c r="U336" s="134">
        <v>6476.7123287671238</v>
      </c>
      <c r="V336" s="134">
        <v>5397.2602739726035</v>
      </c>
      <c r="W336" s="134">
        <v>4317.8082191780832</v>
      </c>
    </row>
    <row r="337" spans="1:23" s="129" customFormat="1" ht="12.75" hidden="1" customHeight="1">
      <c r="A337" s="195" t="s">
        <v>1276</v>
      </c>
      <c r="B337" s="195" t="s">
        <v>656</v>
      </c>
      <c r="C337" s="195" t="s">
        <v>684</v>
      </c>
      <c r="D337" s="236" t="s">
        <v>1670</v>
      </c>
      <c r="E337" s="128" t="s">
        <v>1686</v>
      </c>
      <c r="F337" s="128"/>
      <c r="G337" s="241" t="s">
        <v>2343</v>
      </c>
      <c r="H337" s="241" t="s">
        <v>2825</v>
      </c>
      <c r="I337" s="195" t="s">
        <v>2350</v>
      </c>
      <c r="J337" s="128" t="s">
        <v>1584</v>
      </c>
      <c r="K337" s="236" t="s">
        <v>1223</v>
      </c>
      <c r="L337" s="227"/>
      <c r="M337" s="236" t="s">
        <v>715</v>
      </c>
      <c r="N337" s="128" t="s">
        <v>690</v>
      </c>
      <c r="O337" s="128">
        <v>2</v>
      </c>
      <c r="P337" s="128">
        <v>8544700000</v>
      </c>
      <c r="Q337" s="285">
        <v>5301.3698630136987</v>
      </c>
      <c r="R337" s="149" t="s">
        <v>9</v>
      </c>
      <c r="T337" s="134">
        <v>17671.232876712329</v>
      </c>
      <c r="U337" s="134">
        <v>10602.739726027397</v>
      </c>
      <c r="V337" s="134">
        <v>8835.6164383561645</v>
      </c>
      <c r="W337" s="134">
        <v>7068.4931506849316</v>
      </c>
    </row>
    <row r="338" spans="1:23" s="129" customFormat="1" hidden="1">
      <c r="A338" s="195" t="s">
        <v>1276</v>
      </c>
      <c r="B338" s="195" t="s">
        <v>656</v>
      </c>
      <c r="C338" s="195" t="s">
        <v>684</v>
      </c>
      <c r="D338" s="236" t="s">
        <v>686</v>
      </c>
      <c r="E338" s="128" t="s">
        <v>839</v>
      </c>
      <c r="F338" s="128"/>
      <c r="G338" s="241" t="s">
        <v>2241</v>
      </c>
      <c r="H338" s="241" t="s">
        <v>3028</v>
      </c>
      <c r="I338" s="195" t="s">
        <v>2243</v>
      </c>
      <c r="J338" s="128" t="s">
        <v>1666</v>
      </c>
      <c r="K338" s="236" t="s">
        <v>1223</v>
      </c>
      <c r="L338" s="227"/>
      <c r="M338" s="236" t="s">
        <v>715</v>
      </c>
      <c r="N338" s="128" t="s">
        <v>690</v>
      </c>
      <c r="O338" s="128">
        <v>8</v>
      </c>
      <c r="P338" s="128">
        <v>8544700000</v>
      </c>
      <c r="Q338" s="285">
        <v>280.14705882352945</v>
      </c>
      <c r="R338" s="149" t="s">
        <v>9</v>
      </c>
      <c r="T338" s="134">
        <v>933.82352941176487</v>
      </c>
      <c r="U338" s="134">
        <v>560.2941176470589</v>
      </c>
      <c r="V338" s="134">
        <v>466.91176470588243</v>
      </c>
      <c r="W338" s="134">
        <v>373.52941176470597</v>
      </c>
    </row>
    <row r="339" spans="1:23" s="129" customFormat="1" hidden="1">
      <c r="A339" s="195" t="s">
        <v>1276</v>
      </c>
      <c r="B339" s="195" t="s">
        <v>656</v>
      </c>
      <c r="C339" s="195" t="s">
        <v>684</v>
      </c>
      <c r="D339" s="236" t="s">
        <v>686</v>
      </c>
      <c r="E339" s="128" t="s">
        <v>839</v>
      </c>
      <c r="F339" s="128"/>
      <c r="G339" s="241" t="s">
        <v>1660</v>
      </c>
      <c r="H339" s="241" t="s">
        <v>3029</v>
      </c>
      <c r="I339" s="195" t="s">
        <v>1664</v>
      </c>
      <c r="J339" s="128" t="s">
        <v>1666</v>
      </c>
      <c r="K339" s="236" t="s">
        <v>1223</v>
      </c>
      <c r="L339" s="227"/>
      <c r="M339" s="236" t="s">
        <v>715</v>
      </c>
      <c r="N339" s="128" t="s">
        <v>690</v>
      </c>
      <c r="O339" s="128">
        <v>8</v>
      </c>
      <c r="P339" s="128">
        <v>8544700000</v>
      </c>
      <c r="Q339" s="285">
        <v>309.55882352941177</v>
      </c>
      <c r="R339" s="149" t="s">
        <v>9</v>
      </c>
      <c r="T339" s="134">
        <v>1031.8627450980393</v>
      </c>
      <c r="U339" s="134">
        <v>619.11764705882354</v>
      </c>
      <c r="V339" s="134">
        <v>515.93137254901967</v>
      </c>
      <c r="W339" s="134">
        <v>412.74509803921575</v>
      </c>
    </row>
    <row r="340" spans="1:23" s="129" customFormat="1" hidden="1">
      <c r="A340" s="195" t="s">
        <v>1276</v>
      </c>
      <c r="B340" s="195" t="s">
        <v>656</v>
      </c>
      <c r="C340" s="195" t="s">
        <v>684</v>
      </c>
      <c r="D340" s="236" t="s">
        <v>686</v>
      </c>
      <c r="E340" s="128" t="s">
        <v>839</v>
      </c>
      <c r="F340" s="128"/>
      <c r="G340" s="241" t="s">
        <v>1661</v>
      </c>
      <c r="H340" s="241" t="s">
        <v>3030</v>
      </c>
      <c r="I340" s="195" t="s">
        <v>1665</v>
      </c>
      <c r="J340" s="128" t="s">
        <v>1666</v>
      </c>
      <c r="K340" s="236" t="s">
        <v>1223</v>
      </c>
      <c r="L340" s="227"/>
      <c r="M340" s="236" t="s">
        <v>715</v>
      </c>
      <c r="N340" s="128" t="s">
        <v>690</v>
      </c>
      <c r="O340" s="128">
        <v>8</v>
      </c>
      <c r="P340" s="128">
        <v>8544700000</v>
      </c>
      <c r="Q340" s="285">
        <v>387.50000000000006</v>
      </c>
      <c r="R340" s="149" t="s">
        <v>9</v>
      </c>
      <c r="T340" s="134">
        <v>1291.666666666667</v>
      </c>
      <c r="U340" s="134">
        <v>775.00000000000011</v>
      </c>
      <c r="V340" s="134">
        <v>645.83333333333348</v>
      </c>
      <c r="W340" s="134">
        <v>516.66666666666686</v>
      </c>
    </row>
    <row r="341" spans="1:23" s="129" customFormat="1" hidden="1">
      <c r="A341" s="195" t="s">
        <v>1276</v>
      </c>
      <c r="B341" s="195" t="s">
        <v>656</v>
      </c>
      <c r="C341" s="195" t="s">
        <v>684</v>
      </c>
      <c r="D341" s="236" t="s">
        <v>702</v>
      </c>
      <c r="E341" s="128" t="s">
        <v>839</v>
      </c>
      <c r="F341" s="128"/>
      <c r="G341" s="241" t="s">
        <v>853</v>
      </c>
      <c r="H341" s="241" t="s">
        <v>3010</v>
      </c>
      <c r="I341" s="195" t="s">
        <v>855</v>
      </c>
      <c r="J341" s="128" t="s">
        <v>125</v>
      </c>
      <c r="K341" s="236" t="s">
        <v>158</v>
      </c>
      <c r="L341" s="227"/>
      <c r="M341" s="236" t="s">
        <v>715</v>
      </c>
      <c r="N341" s="128" t="s">
        <v>690</v>
      </c>
      <c r="O341" s="128">
        <v>8</v>
      </c>
      <c r="P341" s="128">
        <v>8544700000</v>
      </c>
      <c r="Q341" s="285">
        <v>257.24637681159425</v>
      </c>
      <c r="R341" s="149" t="s">
        <v>9</v>
      </c>
      <c r="T341" s="134">
        <v>857.48792270531419</v>
      </c>
      <c r="U341" s="134">
        <v>514.49275362318849</v>
      </c>
      <c r="V341" s="134">
        <v>428.7439613526571</v>
      </c>
      <c r="W341" s="134">
        <v>342.9951690821257</v>
      </c>
    </row>
    <row r="342" spans="1:23" s="129" customFormat="1" hidden="1">
      <c r="A342" s="195" t="s">
        <v>1276</v>
      </c>
      <c r="B342" s="195" t="s">
        <v>656</v>
      </c>
      <c r="C342" s="195" t="s">
        <v>684</v>
      </c>
      <c r="D342" s="236" t="s">
        <v>702</v>
      </c>
      <c r="E342" s="128" t="s">
        <v>839</v>
      </c>
      <c r="F342" s="128"/>
      <c r="G342" s="241" t="s">
        <v>856</v>
      </c>
      <c r="H342" s="241" t="s">
        <v>3011</v>
      </c>
      <c r="I342" s="195" t="s">
        <v>858</v>
      </c>
      <c r="J342" s="128" t="s">
        <v>125</v>
      </c>
      <c r="K342" s="236" t="s">
        <v>158</v>
      </c>
      <c r="L342" s="227"/>
      <c r="M342" s="236" t="s">
        <v>715</v>
      </c>
      <c r="N342" s="128" t="s">
        <v>690</v>
      </c>
      <c r="O342" s="128">
        <v>8</v>
      </c>
      <c r="P342" s="128">
        <v>8544700000</v>
      </c>
      <c r="Q342" s="285">
        <v>274.65753424657532</v>
      </c>
      <c r="R342" s="149" t="s">
        <v>9</v>
      </c>
      <c r="T342" s="134">
        <v>915.52511415525112</v>
      </c>
      <c r="U342" s="134">
        <v>549.31506849315065</v>
      </c>
      <c r="V342" s="134">
        <v>457.76255707762556</v>
      </c>
      <c r="W342" s="134">
        <v>366.21004566210047</v>
      </c>
    </row>
    <row r="343" spans="1:23" s="129" customFormat="1" hidden="1">
      <c r="A343" s="195" t="s">
        <v>1276</v>
      </c>
      <c r="B343" s="195" t="s">
        <v>656</v>
      </c>
      <c r="C343" s="195" t="s">
        <v>684</v>
      </c>
      <c r="D343" s="236" t="s">
        <v>702</v>
      </c>
      <c r="E343" s="128" t="s">
        <v>839</v>
      </c>
      <c r="F343" s="128"/>
      <c r="G343" s="241" t="s">
        <v>859</v>
      </c>
      <c r="H343" s="241" t="s">
        <v>3012</v>
      </c>
      <c r="I343" s="195" t="s">
        <v>861</v>
      </c>
      <c r="J343" s="128" t="s">
        <v>125</v>
      </c>
      <c r="K343" s="236" t="s">
        <v>158</v>
      </c>
      <c r="L343" s="227"/>
      <c r="M343" s="236" t="s">
        <v>715</v>
      </c>
      <c r="N343" s="128" t="s">
        <v>690</v>
      </c>
      <c r="O343" s="128">
        <v>8</v>
      </c>
      <c r="P343" s="128">
        <v>8544700000</v>
      </c>
      <c r="Q343" s="285">
        <v>315.75342465753425</v>
      </c>
      <c r="R343" s="149" t="s">
        <v>9</v>
      </c>
      <c r="T343" s="134">
        <v>1052.5114155251142</v>
      </c>
      <c r="U343" s="134">
        <v>631.50684931506851</v>
      </c>
      <c r="V343" s="134">
        <v>526.25570776255711</v>
      </c>
      <c r="W343" s="134">
        <v>421.00456621004571</v>
      </c>
    </row>
    <row r="344" spans="1:23" s="129" customFormat="1" hidden="1">
      <c r="A344" s="195" t="s">
        <v>1276</v>
      </c>
      <c r="B344" s="195" t="s">
        <v>656</v>
      </c>
      <c r="C344" s="195" t="s">
        <v>684</v>
      </c>
      <c r="D344" s="236" t="s">
        <v>702</v>
      </c>
      <c r="E344" s="128" t="s">
        <v>839</v>
      </c>
      <c r="F344" s="128"/>
      <c r="G344" s="241" t="s">
        <v>862</v>
      </c>
      <c r="H344" s="241" t="s">
        <v>3013</v>
      </c>
      <c r="I344" s="195" t="s">
        <v>864</v>
      </c>
      <c r="J344" s="128" t="s">
        <v>125</v>
      </c>
      <c r="K344" s="236" t="s">
        <v>158</v>
      </c>
      <c r="L344" s="227"/>
      <c r="M344" s="236" t="s">
        <v>715</v>
      </c>
      <c r="N344" s="128" t="s">
        <v>690</v>
      </c>
      <c r="O344" s="128">
        <v>8</v>
      </c>
      <c r="P344" s="128">
        <v>8544700000</v>
      </c>
      <c r="Q344" s="285">
        <v>436.30136986301369</v>
      </c>
      <c r="R344" s="149" t="s">
        <v>9</v>
      </c>
      <c r="T344" s="134">
        <v>1454.3378995433791</v>
      </c>
      <c r="U344" s="134">
        <v>872.60273972602738</v>
      </c>
      <c r="V344" s="134">
        <v>727.16894977168954</v>
      </c>
      <c r="W344" s="134">
        <v>581.7351598173517</v>
      </c>
    </row>
    <row r="345" spans="1:23" s="129" customFormat="1" hidden="1">
      <c r="A345" s="195" t="s">
        <v>1276</v>
      </c>
      <c r="B345" s="195" t="s">
        <v>656</v>
      </c>
      <c r="C345" s="195" t="s">
        <v>684</v>
      </c>
      <c r="D345" s="236" t="s">
        <v>717</v>
      </c>
      <c r="E345" s="128" t="s">
        <v>839</v>
      </c>
      <c r="F345" s="128"/>
      <c r="G345" s="241" t="s">
        <v>865</v>
      </c>
      <c r="H345" s="241" t="s">
        <v>3014</v>
      </c>
      <c r="I345" s="195" t="s">
        <v>867</v>
      </c>
      <c r="J345" s="128" t="s">
        <v>108</v>
      </c>
      <c r="K345" s="236" t="s">
        <v>158</v>
      </c>
      <c r="L345" s="227"/>
      <c r="M345" s="236" t="s">
        <v>715</v>
      </c>
      <c r="N345" s="128" t="s">
        <v>690</v>
      </c>
      <c r="O345" s="128">
        <v>8</v>
      </c>
      <c r="P345" s="128">
        <v>8544700000</v>
      </c>
      <c r="Q345" s="285">
        <v>235.60606060606062</v>
      </c>
      <c r="R345" s="149" t="s">
        <v>9</v>
      </c>
      <c r="T345" s="134">
        <v>785.35353535353545</v>
      </c>
      <c r="U345" s="134">
        <v>471.21212121212125</v>
      </c>
      <c r="V345" s="134">
        <v>392.67676767676772</v>
      </c>
      <c r="W345" s="134">
        <v>314.1414141414142</v>
      </c>
    </row>
    <row r="346" spans="1:23" s="129" customFormat="1" hidden="1">
      <c r="A346" s="195" t="s">
        <v>1276</v>
      </c>
      <c r="B346" s="195" t="s">
        <v>656</v>
      </c>
      <c r="C346" s="195" t="s">
        <v>684</v>
      </c>
      <c r="D346" s="236" t="s">
        <v>717</v>
      </c>
      <c r="E346" s="128" t="s">
        <v>839</v>
      </c>
      <c r="F346" s="128"/>
      <c r="G346" s="241" t="s">
        <v>868</v>
      </c>
      <c r="H346" s="241" t="s">
        <v>3015</v>
      </c>
      <c r="I346" s="195" t="s">
        <v>870</v>
      </c>
      <c r="J346" s="128" t="s">
        <v>108</v>
      </c>
      <c r="K346" s="236" t="s">
        <v>158</v>
      </c>
      <c r="L346" s="227"/>
      <c r="M346" s="236" t="s">
        <v>715</v>
      </c>
      <c r="N346" s="128" t="s">
        <v>690</v>
      </c>
      <c r="O346" s="128">
        <v>8</v>
      </c>
      <c r="P346" s="128">
        <v>8544700000</v>
      </c>
      <c r="Q346" s="285">
        <v>248.50746268656718</v>
      </c>
      <c r="R346" s="149" t="s">
        <v>9</v>
      </c>
      <c r="T346" s="134">
        <v>828.35820895522397</v>
      </c>
      <c r="U346" s="134">
        <v>497.01492537313436</v>
      </c>
      <c r="V346" s="134">
        <v>414.17910447761199</v>
      </c>
      <c r="W346" s="134">
        <v>331.34328358208961</v>
      </c>
    </row>
    <row r="347" spans="1:23" s="129" customFormat="1" hidden="1">
      <c r="A347" s="195" t="s">
        <v>1276</v>
      </c>
      <c r="B347" s="195" t="s">
        <v>656</v>
      </c>
      <c r="C347" s="195" t="s">
        <v>684</v>
      </c>
      <c r="D347" s="236" t="s">
        <v>717</v>
      </c>
      <c r="E347" s="128" t="s">
        <v>839</v>
      </c>
      <c r="F347" s="128"/>
      <c r="G347" s="241" t="s">
        <v>871</v>
      </c>
      <c r="H347" s="241" t="s">
        <v>3016</v>
      </c>
      <c r="I347" s="195" t="s">
        <v>873</v>
      </c>
      <c r="J347" s="128" t="s">
        <v>108</v>
      </c>
      <c r="K347" s="236" t="s">
        <v>158</v>
      </c>
      <c r="L347" s="227"/>
      <c r="M347" s="236" t="s">
        <v>715</v>
      </c>
      <c r="N347" s="128" t="s">
        <v>690</v>
      </c>
      <c r="O347" s="128">
        <v>8</v>
      </c>
      <c r="P347" s="128">
        <v>8544700000</v>
      </c>
      <c r="Q347" s="285">
        <v>264.92537313432837</v>
      </c>
      <c r="R347" s="149" t="s">
        <v>9</v>
      </c>
      <c r="T347" s="134">
        <v>883.08457711442793</v>
      </c>
      <c r="U347" s="134">
        <v>529.85074626865674</v>
      </c>
      <c r="V347" s="134">
        <v>441.54228855721396</v>
      </c>
      <c r="W347" s="134">
        <v>353.23383084577119</v>
      </c>
    </row>
    <row r="348" spans="1:23" s="129" customFormat="1" hidden="1">
      <c r="A348" s="195" t="s">
        <v>1276</v>
      </c>
      <c r="B348" s="195" t="s">
        <v>656</v>
      </c>
      <c r="C348" s="195" t="s">
        <v>684</v>
      </c>
      <c r="D348" s="236" t="s">
        <v>717</v>
      </c>
      <c r="E348" s="128" t="s">
        <v>839</v>
      </c>
      <c r="F348" s="128"/>
      <c r="G348" s="241" t="s">
        <v>874</v>
      </c>
      <c r="H348" s="241" t="s">
        <v>3017</v>
      </c>
      <c r="I348" s="195" t="s">
        <v>876</v>
      </c>
      <c r="J348" s="128" t="s">
        <v>108</v>
      </c>
      <c r="K348" s="236" t="s">
        <v>158</v>
      </c>
      <c r="L348" s="227"/>
      <c r="M348" s="236" t="s">
        <v>715</v>
      </c>
      <c r="N348" s="128" t="s">
        <v>690</v>
      </c>
      <c r="O348" s="128">
        <v>8</v>
      </c>
      <c r="P348" s="128">
        <v>8544700000</v>
      </c>
      <c r="Q348" s="285">
        <v>347.79411764705884</v>
      </c>
      <c r="R348" s="149" t="s">
        <v>9</v>
      </c>
      <c r="T348" s="134">
        <v>1159.3137254901962</v>
      </c>
      <c r="U348" s="134">
        <v>695.58823529411768</v>
      </c>
      <c r="V348" s="134">
        <v>579.65686274509812</v>
      </c>
      <c r="W348" s="134">
        <v>463.72549019607851</v>
      </c>
    </row>
    <row r="349" spans="1:23" s="129" customFormat="1" hidden="1">
      <c r="A349" s="195" t="s">
        <v>1276</v>
      </c>
      <c r="B349" s="195" t="s">
        <v>656</v>
      </c>
      <c r="C349" s="195" t="s">
        <v>684</v>
      </c>
      <c r="D349" s="236" t="s">
        <v>730</v>
      </c>
      <c r="E349" s="128" t="s">
        <v>839</v>
      </c>
      <c r="F349" s="128"/>
      <c r="G349" s="241" t="s">
        <v>877</v>
      </c>
      <c r="H349" s="241" t="s">
        <v>3018</v>
      </c>
      <c r="I349" s="195" t="s">
        <v>879</v>
      </c>
      <c r="J349" s="128" t="s">
        <v>108</v>
      </c>
      <c r="K349" s="236" t="s">
        <v>158</v>
      </c>
      <c r="L349" s="227"/>
      <c r="M349" s="236" t="s">
        <v>715</v>
      </c>
      <c r="N349" s="128" t="s">
        <v>690</v>
      </c>
      <c r="O349" s="128">
        <v>8</v>
      </c>
      <c r="P349" s="128">
        <v>8544700000</v>
      </c>
      <c r="Q349" s="285">
        <v>309.55882352941177</v>
      </c>
      <c r="R349" s="149" t="s">
        <v>9</v>
      </c>
      <c r="T349" s="134">
        <v>1031.8627450980393</v>
      </c>
      <c r="U349" s="134">
        <v>619.11764705882354</v>
      </c>
      <c r="V349" s="134">
        <v>515.93137254901967</v>
      </c>
      <c r="W349" s="134">
        <v>412.74509803921575</v>
      </c>
    </row>
    <row r="350" spans="1:23" s="129" customFormat="1" hidden="1">
      <c r="A350" s="195" t="s">
        <v>1276</v>
      </c>
      <c r="B350" s="195" t="s">
        <v>656</v>
      </c>
      <c r="C350" s="195" t="s">
        <v>684</v>
      </c>
      <c r="D350" s="236" t="s">
        <v>730</v>
      </c>
      <c r="E350" s="128" t="s">
        <v>839</v>
      </c>
      <c r="F350" s="128"/>
      <c r="G350" s="241" t="s">
        <v>880</v>
      </c>
      <c r="H350" s="241" t="s">
        <v>3019</v>
      </c>
      <c r="I350" s="195" t="s">
        <v>882</v>
      </c>
      <c r="J350" s="128" t="s">
        <v>108</v>
      </c>
      <c r="K350" s="236" t="s">
        <v>158</v>
      </c>
      <c r="L350" s="227"/>
      <c r="M350" s="236" t="s">
        <v>715</v>
      </c>
      <c r="N350" s="128" t="s">
        <v>690</v>
      </c>
      <c r="O350" s="128">
        <v>8</v>
      </c>
      <c r="P350" s="128">
        <v>8544700000</v>
      </c>
      <c r="Q350" s="285">
        <v>322.79411764705884</v>
      </c>
      <c r="R350" s="149" t="s">
        <v>9</v>
      </c>
      <c r="T350" s="134">
        <v>1075.9803921568628</v>
      </c>
      <c r="U350" s="134">
        <v>645.58823529411768</v>
      </c>
      <c r="V350" s="134">
        <v>537.99019607843138</v>
      </c>
      <c r="W350" s="134">
        <v>430.39215686274514</v>
      </c>
    </row>
    <row r="351" spans="1:23" s="129" customFormat="1" hidden="1">
      <c r="A351" s="195" t="s">
        <v>1276</v>
      </c>
      <c r="B351" s="195" t="s">
        <v>656</v>
      </c>
      <c r="C351" s="195" t="s">
        <v>684</v>
      </c>
      <c r="D351" s="236" t="s">
        <v>730</v>
      </c>
      <c r="E351" s="128" t="s">
        <v>839</v>
      </c>
      <c r="F351" s="128"/>
      <c r="G351" s="241" t="s">
        <v>2409</v>
      </c>
      <c r="H351" s="241" t="s">
        <v>3020</v>
      </c>
      <c r="I351" s="195" t="s">
        <v>885</v>
      </c>
      <c r="J351" s="128" t="s">
        <v>108</v>
      </c>
      <c r="K351" s="236" t="s">
        <v>158</v>
      </c>
      <c r="L351" s="227"/>
      <c r="M351" s="236" t="s">
        <v>715</v>
      </c>
      <c r="N351" s="128" t="s">
        <v>690</v>
      </c>
      <c r="O351" s="128">
        <v>8</v>
      </c>
      <c r="P351" s="128">
        <v>8544700000</v>
      </c>
      <c r="Q351" s="285">
        <v>338.97058823529414</v>
      </c>
      <c r="R351" s="149" t="s">
        <v>9</v>
      </c>
      <c r="T351" s="134">
        <v>1129.9019607843138</v>
      </c>
      <c r="U351" s="134">
        <v>677.94117647058829</v>
      </c>
      <c r="V351" s="134">
        <v>564.95098039215691</v>
      </c>
      <c r="W351" s="134">
        <v>451.96078431372553</v>
      </c>
    </row>
    <row r="352" spans="1:23" s="129" customFormat="1" hidden="1">
      <c r="A352" s="195" t="s">
        <v>1276</v>
      </c>
      <c r="B352" s="195" t="s">
        <v>656</v>
      </c>
      <c r="C352" s="195" t="s">
        <v>684</v>
      </c>
      <c r="D352" s="236" t="s">
        <v>730</v>
      </c>
      <c r="E352" s="128" t="s">
        <v>839</v>
      </c>
      <c r="F352" s="128"/>
      <c r="G352" s="241" t="s">
        <v>2410</v>
      </c>
      <c r="H352" s="241" t="s">
        <v>3021</v>
      </c>
      <c r="I352" s="195" t="s">
        <v>2355</v>
      </c>
      <c r="J352" s="128" t="s">
        <v>108</v>
      </c>
      <c r="K352" s="236" t="s">
        <v>158</v>
      </c>
      <c r="L352" s="227"/>
      <c r="M352" s="236" t="s">
        <v>715</v>
      </c>
      <c r="N352" s="128" t="s">
        <v>690</v>
      </c>
      <c r="O352" s="128">
        <v>8</v>
      </c>
      <c r="P352" s="128">
        <v>8544700000</v>
      </c>
      <c r="Q352" s="285">
        <v>421.32352941176475</v>
      </c>
      <c r="R352" s="149" t="s">
        <v>9</v>
      </c>
      <c r="T352" s="134">
        <v>1404.4117647058827</v>
      </c>
      <c r="U352" s="134">
        <v>842.64705882352962</v>
      </c>
      <c r="V352" s="134">
        <v>702.20588235294133</v>
      </c>
      <c r="W352" s="134">
        <v>561.76470588235304</v>
      </c>
    </row>
    <row r="353" spans="1:23" s="129" customFormat="1" hidden="1">
      <c r="A353" s="195" t="s">
        <v>1276</v>
      </c>
      <c r="B353" s="195" t="s">
        <v>656</v>
      </c>
      <c r="C353" s="195" t="s">
        <v>684</v>
      </c>
      <c r="D353" s="236" t="s">
        <v>730</v>
      </c>
      <c r="E353" s="128" t="s">
        <v>839</v>
      </c>
      <c r="F353" s="128"/>
      <c r="G353" s="241" t="s">
        <v>2405</v>
      </c>
      <c r="H353" s="241" t="s">
        <v>2825</v>
      </c>
      <c r="I353" s="195" t="s">
        <v>2356</v>
      </c>
      <c r="J353" s="128" t="s">
        <v>1584</v>
      </c>
      <c r="K353" s="236" t="s">
        <v>158</v>
      </c>
      <c r="L353" s="227"/>
      <c r="M353" s="236" t="s">
        <v>715</v>
      </c>
      <c r="N353" s="128" t="s">
        <v>690</v>
      </c>
      <c r="O353" s="128">
        <v>8</v>
      </c>
      <c r="P353" s="128">
        <v>8544700000</v>
      </c>
      <c r="Q353" s="285">
        <v>484.55882352941182</v>
      </c>
      <c r="R353" s="149" t="s">
        <v>9</v>
      </c>
      <c r="T353" s="134">
        <v>1615.1960784313728</v>
      </c>
      <c r="U353" s="134">
        <v>969.11764705882365</v>
      </c>
      <c r="V353" s="134">
        <v>807.59803921568641</v>
      </c>
      <c r="W353" s="134">
        <v>646.07843137254918</v>
      </c>
    </row>
    <row r="354" spans="1:23" s="129" customFormat="1" hidden="1">
      <c r="A354" s="195" t="s">
        <v>1276</v>
      </c>
      <c r="B354" s="195" t="s">
        <v>656</v>
      </c>
      <c r="C354" s="195" t="s">
        <v>684</v>
      </c>
      <c r="D354" s="236" t="s">
        <v>730</v>
      </c>
      <c r="E354" s="128" t="s">
        <v>839</v>
      </c>
      <c r="F354" s="128"/>
      <c r="G354" s="241" t="s">
        <v>2352</v>
      </c>
      <c r="H354" s="241" t="s">
        <v>2825</v>
      </c>
      <c r="I354" s="195" t="s">
        <v>2357</v>
      </c>
      <c r="J354" s="128" t="s">
        <v>1584</v>
      </c>
      <c r="K354" s="236" t="s">
        <v>158</v>
      </c>
      <c r="L354" s="227"/>
      <c r="M354" s="236" t="s">
        <v>715</v>
      </c>
      <c r="N354" s="128" t="s">
        <v>690</v>
      </c>
      <c r="O354" s="128">
        <v>8</v>
      </c>
      <c r="P354" s="128">
        <v>8544700000</v>
      </c>
      <c r="Q354" s="285">
        <v>618.38235294117658</v>
      </c>
      <c r="R354" s="149" t="s">
        <v>9</v>
      </c>
      <c r="T354" s="134">
        <v>2061.2745098039222</v>
      </c>
      <c r="U354" s="134">
        <v>1236.7647058823534</v>
      </c>
      <c r="V354" s="134">
        <v>1030.6372549019611</v>
      </c>
      <c r="W354" s="134">
        <v>824.50980392156896</v>
      </c>
    </row>
    <row r="355" spans="1:23" s="129" customFormat="1" hidden="1">
      <c r="A355" s="195" t="s">
        <v>1276</v>
      </c>
      <c r="B355" s="195" t="s">
        <v>656</v>
      </c>
      <c r="C355" s="195" t="s">
        <v>684</v>
      </c>
      <c r="D355" s="236" t="s">
        <v>730</v>
      </c>
      <c r="E355" s="128" t="s">
        <v>839</v>
      </c>
      <c r="F355" s="128"/>
      <c r="G355" s="241" t="s">
        <v>2358</v>
      </c>
      <c r="H355" s="241" t="s">
        <v>2825</v>
      </c>
      <c r="I355" s="195" t="s">
        <v>2369</v>
      </c>
      <c r="J355" s="128" t="s">
        <v>1584</v>
      </c>
      <c r="K355" s="236" t="s">
        <v>158</v>
      </c>
      <c r="L355" s="227"/>
      <c r="M355" s="236" t="s">
        <v>715</v>
      </c>
      <c r="N355" s="128" t="s">
        <v>690</v>
      </c>
      <c r="O355" s="128">
        <v>8</v>
      </c>
      <c r="P355" s="128">
        <v>8544700000</v>
      </c>
      <c r="Q355" s="285">
        <v>468.38235294117652</v>
      </c>
      <c r="R355" s="149" t="s">
        <v>9</v>
      </c>
      <c r="T355" s="134">
        <v>1561.2745098039218</v>
      </c>
      <c r="U355" s="134">
        <v>936.76470588235304</v>
      </c>
      <c r="V355" s="134">
        <v>780.63725490196089</v>
      </c>
      <c r="W355" s="134">
        <v>624.50980392156873</v>
      </c>
    </row>
    <row r="356" spans="1:23" s="129" customFormat="1" hidden="1">
      <c r="A356" s="195" t="s">
        <v>1276</v>
      </c>
      <c r="B356" s="195" t="s">
        <v>656</v>
      </c>
      <c r="C356" s="195" t="s">
        <v>684</v>
      </c>
      <c r="D356" s="236" t="s">
        <v>730</v>
      </c>
      <c r="E356" s="128" t="s">
        <v>839</v>
      </c>
      <c r="F356" s="128"/>
      <c r="G356" s="241" t="s">
        <v>2359</v>
      </c>
      <c r="H356" s="241" t="s">
        <v>2825</v>
      </c>
      <c r="I356" s="195" t="s">
        <v>2370</v>
      </c>
      <c r="J356" s="128" t="s">
        <v>1584</v>
      </c>
      <c r="K356" s="236" t="s">
        <v>158</v>
      </c>
      <c r="L356" s="227"/>
      <c r="M356" s="236" t="s">
        <v>715</v>
      </c>
      <c r="N356" s="128" t="s">
        <v>690</v>
      </c>
      <c r="O356" s="128">
        <v>8</v>
      </c>
      <c r="P356" s="128">
        <v>8544700000</v>
      </c>
      <c r="Q356" s="285">
        <v>478.67647058823536</v>
      </c>
      <c r="R356" s="149" t="s">
        <v>9</v>
      </c>
      <c r="T356" s="134">
        <v>1595.588235294118</v>
      </c>
      <c r="U356" s="134">
        <v>957.35294117647072</v>
      </c>
      <c r="V356" s="134">
        <v>797.79411764705901</v>
      </c>
      <c r="W356" s="134">
        <v>638.2352941176473</v>
      </c>
    </row>
    <row r="357" spans="1:23" s="129" customFormat="1" hidden="1">
      <c r="A357" s="195" t="s">
        <v>1276</v>
      </c>
      <c r="B357" s="195" t="s">
        <v>656</v>
      </c>
      <c r="C357" s="195" t="s">
        <v>684</v>
      </c>
      <c r="D357" s="236" t="s">
        <v>730</v>
      </c>
      <c r="E357" s="128" t="s">
        <v>839</v>
      </c>
      <c r="F357" s="128"/>
      <c r="G357" s="241" t="s">
        <v>2360</v>
      </c>
      <c r="H357" s="241" t="s">
        <v>2825</v>
      </c>
      <c r="I357" s="195" t="s">
        <v>2371</v>
      </c>
      <c r="J357" s="128" t="s">
        <v>1584</v>
      </c>
      <c r="K357" s="236" t="s">
        <v>158</v>
      </c>
      <c r="L357" s="227"/>
      <c r="M357" s="236" t="s">
        <v>715</v>
      </c>
      <c r="N357" s="128" t="s">
        <v>690</v>
      </c>
      <c r="O357" s="128">
        <v>8</v>
      </c>
      <c r="P357" s="128">
        <v>8544700000</v>
      </c>
      <c r="Q357" s="285">
        <v>490.44117647058829</v>
      </c>
      <c r="R357" s="149" t="s">
        <v>9</v>
      </c>
      <c r="T357" s="134">
        <v>1634.8039215686276</v>
      </c>
      <c r="U357" s="134">
        <v>980.88235294117658</v>
      </c>
      <c r="V357" s="134">
        <v>817.40196078431381</v>
      </c>
      <c r="W357" s="134">
        <v>653.92156862745105</v>
      </c>
    </row>
    <row r="358" spans="1:23" s="129" customFormat="1" hidden="1">
      <c r="A358" s="195" t="s">
        <v>1276</v>
      </c>
      <c r="B358" s="195" t="s">
        <v>656</v>
      </c>
      <c r="C358" s="195" t="s">
        <v>684</v>
      </c>
      <c r="D358" s="236" t="s">
        <v>730</v>
      </c>
      <c r="E358" s="128" t="s">
        <v>839</v>
      </c>
      <c r="F358" s="128"/>
      <c r="G358" s="241" t="s">
        <v>2361</v>
      </c>
      <c r="H358" s="241" t="s">
        <v>2825</v>
      </c>
      <c r="I358" s="195" t="s">
        <v>2367</v>
      </c>
      <c r="J358" s="128" t="s">
        <v>1584</v>
      </c>
      <c r="K358" s="236" t="s">
        <v>158</v>
      </c>
      <c r="L358" s="227"/>
      <c r="M358" s="236" t="s">
        <v>715</v>
      </c>
      <c r="N358" s="128" t="s">
        <v>690</v>
      </c>
      <c r="O358" s="128">
        <v>8</v>
      </c>
      <c r="P358" s="128">
        <v>8544700000</v>
      </c>
      <c r="Q358" s="285">
        <v>512.5</v>
      </c>
      <c r="R358" s="149" t="s">
        <v>9</v>
      </c>
      <c r="T358" s="134">
        <v>1708.3333333333335</v>
      </c>
      <c r="U358" s="134">
        <v>1025</v>
      </c>
      <c r="V358" s="134">
        <v>854.16666666666674</v>
      </c>
      <c r="W358" s="134">
        <v>683.33333333333348</v>
      </c>
    </row>
    <row r="359" spans="1:23" s="129" customFormat="1" hidden="1">
      <c r="A359" s="195" t="s">
        <v>1276</v>
      </c>
      <c r="B359" s="195" t="s">
        <v>656</v>
      </c>
      <c r="C359" s="195" t="s">
        <v>684</v>
      </c>
      <c r="D359" s="236" t="s">
        <v>730</v>
      </c>
      <c r="E359" s="128" t="s">
        <v>839</v>
      </c>
      <c r="F359" s="128"/>
      <c r="G359" s="241" t="s">
        <v>2362</v>
      </c>
      <c r="H359" s="241" t="s">
        <v>2825</v>
      </c>
      <c r="I359" s="195" t="s">
        <v>2368</v>
      </c>
      <c r="J359" s="128" t="s">
        <v>1584</v>
      </c>
      <c r="K359" s="236" t="s">
        <v>158</v>
      </c>
      <c r="L359" s="227"/>
      <c r="M359" s="236" t="s">
        <v>715</v>
      </c>
      <c r="N359" s="128" t="s">
        <v>690</v>
      </c>
      <c r="O359" s="128">
        <v>8</v>
      </c>
      <c r="P359" s="128">
        <v>8544700000</v>
      </c>
      <c r="Q359" s="285">
        <v>646.32352941176475</v>
      </c>
      <c r="R359" s="149" t="s">
        <v>9</v>
      </c>
      <c r="T359" s="134">
        <v>2154.4117647058824</v>
      </c>
      <c r="U359" s="134">
        <v>1292.6470588235295</v>
      </c>
      <c r="V359" s="134">
        <v>1077.2058823529412</v>
      </c>
      <c r="W359" s="134">
        <v>861.76470588235304</v>
      </c>
    </row>
    <row r="360" spans="1:23" s="129" customFormat="1" hidden="1">
      <c r="A360" s="195" t="s">
        <v>1276</v>
      </c>
      <c r="B360" s="195" t="s">
        <v>656</v>
      </c>
      <c r="C360" s="195" t="s">
        <v>684</v>
      </c>
      <c r="D360" s="236" t="s">
        <v>743</v>
      </c>
      <c r="E360" s="128" t="s">
        <v>839</v>
      </c>
      <c r="F360" s="128"/>
      <c r="G360" s="241" t="s">
        <v>1667</v>
      </c>
      <c r="H360" s="241" t="s">
        <v>2825</v>
      </c>
      <c r="I360" s="195" t="s">
        <v>1669</v>
      </c>
      <c r="J360" s="128" t="s">
        <v>1666</v>
      </c>
      <c r="K360" s="236" t="s">
        <v>158</v>
      </c>
      <c r="L360" s="227"/>
      <c r="M360" s="236" t="s">
        <v>715</v>
      </c>
      <c r="N360" s="128" t="s">
        <v>690</v>
      </c>
      <c r="O360" s="128">
        <v>4</v>
      </c>
      <c r="P360" s="128">
        <v>8544700000</v>
      </c>
      <c r="Q360" s="285">
        <v>779.45205479452056</v>
      </c>
      <c r="R360" s="149" t="s">
        <v>9</v>
      </c>
      <c r="T360" s="134">
        <v>2598.1735159817354</v>
      </c>
      <c r="U360" s="134">
        <v>1558.9041095890411</v>
      </c>
      <c r="V360" s="134">
        <v>1299.0867579908677</v>
      </c>
      <c r="W360" s="134">
        <v>1039.2694063926942</v>
      </c>
    </row>
    <row r="361" spans="1:23" s="129" customFormat="1" hidden="1">
      <c r="A361" s="195" t="s">
        <v>1276</v>
      </c>
      <c r="B361" s="195" t="s">
        <v>656</v>
      </c>
      <c r="C361" s="195" t="s">
        <v>684</v>
      </c>
      <c r="D361" s="236" t="s">
        <v>751</v>
      </c>
      <c r="E361" s="128" t="s">
        <v>839</v>
      </c>
      <c r="F361" s="128"/>
      <c r="G361" s="241" t="s">
        <v>898</v>
      </c>
      <c r="H361" s="241" t="s">
        <v>3023</v>
      </c>
      <c r="I361" s="195" t="s">
        <v>900</v>
      </c>
      <c r="J361" s="128" t="s">
        <v>2403</v>
      </c>
      <c r="K361" s="236" t="s">
        <v>158</v>
      </c>
      <c r="L361" s="227"/>
      <c r="M361" s="236" t="s">
        <v>715</v>
      </c>
      <c r="N361" s="128" t="s">
        <v>690</v>
      </c>
      <c r="O361" s="128">
        <v>2</v>
      </c>
      <c r="P361" s="128">
        <v>8544700000</v>
      </c>
      <c r="Q361" s="285">
        <v>1027.3972602739727</v>
      </c>
      <c r="R361" s="149" t="s">
        <v>9</v>
      </c>
      <c r="T361" s="134">
        <v>3424.6575342465758</v>
      </c>
      <c r="U361" s="134">
        <v>2054.7945205479455</v>
      </c>
      <c r="V361" s="134">
        <v>1712.3287671232879</v>
      </c>
      <c r="W361" s="134">
        <v>1369.8630136986303</v>
      </c>
    </row>
    <row r="362" spans="1:23" s="129" customFormat="1" hidden="1">
      <c r="A362" s="195" t="s">
        <v>1276</v>
      </c>
      <c r="B362" s="195" t="s">
        <v>656</v>
      </c>
      <c r="C362" s="195" t="s">
        <v>684</v>
      </c>
      <c r="D362" s="236" t="s">
        <v>751</v>
      </c>
      <c r="E362" s="128" t="s">
        <v>839</v>
      </c>
      <c r="F362" s="128"/>
      <c r="G362" s="241" t="s">
        <v>895</v>
      </c>
      <c r="H362" s="241" t="s">
        <v>3022</v>
      </c>
      <c r="I362" s="195" t="s">
        <v>897</v>
      </c>
      <c r="J362" s="128" t="s">
        <v>2403</v>
      </c>
      <c r="K362" s="236" t="s">
        <v>158</v>
      </c>
      <c r="L362" s="227"/>
      <c r="M362" s="236" t="s">
        <v>715</v>
      </c>
      <c r="N362" s="128" t="s">
        <v>690</v>
      </c>
      <c r="O362" s="128">
        <v>4</v>
      </c>
      <c r="P362" s="128">
        <v>8544700000</v>
      </c>
      <c r="Q362" s="285">
        <v>710.95890410958907</v>
      </c>
      <c r="R362" s="149" t="s">
        <v>9</v>
      </c>
      <c r="T362" s="134">
        <v>2369.8630136986303</v>
      </c>
      <c r="U362" s="134">
        <v>1421.9178082191781</v>
      </c>
      <c r="V362" s="134">
        <v>1184.9315068493152</v>
      </c>
      <c r="W362" s="134">
        <v>947.94520547945217</v>
      </c>
    </row>
    <row r="363" spans="1:23" s="129" customFormat="1" hidden="1">
      <c r="A363" s="195" t="s">
        <v>1276</v>
      </c>
      <c r="B363" s="195" t="s">
        <v>656</v>
      </c>
      <c r="C363" s="195" t="s">
        <v>684</v>
      </c>
      <c r="D363" s="236" t="s">
        <v>751</v>
      </c>
      <c r="E363" s="128" t="s">
        <v>839</v>
      </c>
      <c r="F363" s="128"/>
      <c r="G363" s="241" t="s">
        <v>2420</v>
      </c>
      <c r="H363" s="241" t="s">
        <v>2825</v>
      </c>
      <c r="I363" s="195" t="s">
        <v>1839</v>
      </c>
      <c r="J363" s="128" t="s">
        <v>2403</v>
      </c>
      <c r="K363" s="236" t="s">
        <v>158</v>
      </c>
      <c r="L363" s="227"/>
      <c r="M363" s="236" t="s">
        <v>715</v>
      </c>
      <c r="N363" s="128" t="s">
        <v>690</v>
      </c>
      <c r="O363" s="128">
        <v>4</v>
      </c>
      <c r="P363" s="128">
        <v>8544700000</v>
      </c>
      <c r="Q363" s="285">
        <v>552.05479452054794</v>
      </c>
      <c r="R363" s="149" t="s">
        <v>9</v>
      </c>
      <c r="T363" s="134">
        <v>1840.1826484018266</v>
      </c>
      <c r="U363" s="134">
        <v>1104.1095890410959</v>
      </c>
      <c r="V363" s="134">
        <v>920.09132420091328</v>
      </c>
      <c r="W363" s="134">
        <v>736.07305936073067</v>
      </c>
    </row>
    <row r="364" spans="1:23" s="129" customFormat="1" hidden="1">
      <c r="A364" s="195" t="s">
        <v>1276</v>
      </c>
      <c r="B364" s="195" t="s">
        <v>656</v>
      </c>
      <c r="C364" s="195" t="s">
        <v>684</v>
      </c>
      <c r="D364" s="236" t="s">
        <v>758</v>
      </c>
      <c r="E364" s="128" t="s">
        <v>839</v>
      </c>
      <c r="F364" s="128"/>
      <c r="G364" s="241" t="s">
        <v>901</v>
      </c>
      <c r="H364" s="241" t="s">
        <v>3024</v>
      </c>
      <c r="I364" s="195" t="s">
        <v>903</v>
      </c>
      <c r="J364" s="128" t="s">
        <v>2403</v>
      </c>
      <c r="K364" s="236" t="s">
        <v>158</v>
      </c>
      <c r="L364" s="227"/>
      <c r="M364" s="236" t="s">
        <v>715</v>
      </c>
      <c r="N364" s="128" t="s">
        <v>690</v>
      </c>
      <c r="O364" s="128">
        <v>4</v>
      </c>
      <c r="P364" s="128">
        <v>8544700000</v>
      </c>
      <c r="Q364" s="285">
        <v>823.28767123287673</v>
      </c>
      <c r="R364" s="149" t="s">
        <v>9</v>
      </c>
      <c r="T364" s="134">
        <v>2744.2922374429227</v>
      </c>
      <c r="U364" s="134">
        <v>1646.5753424657535</v>
      </c>
      <c r="V364" s="134">
        <v>1372.1461187214613</v>
      </c>
      <c r="W364" s="134">
        <v>1097.7168949771692</v>
      </c>
    </row>
    <row r="365" spans="1:23" s="129" customFormat="1" hidden="1">
      <c r="A365" s="195" t="s">
        <v>1276</v>
      </c>
      <c r="B365" s="195" t="s">
        <v>656</v>
      </c>
      <c r="C365" s="195" t="s">
        <v>684</v>
      </c>
      <c r="D365" s="236" t="s">
        <v>758</v>
      </c>
      <c r="E365" s="128" t="s">
        <v>839</v>
      </c>
      <c r="F365" s="128"/>
      <c r="G365" s="241" t="s">
        <v>904</v>
      </c>
      <c r="H365" s="241" t="s">
        <v>3025</v>
      </c>
      <c r="I365" s="195" t="s">
        <v>906</v>
      </c>
      <c r="J365" s="128" t="s">
        <v>2403</v>
      </c>
      <c r="K365" s="236" t="s">
        <v>158</v>
      </c>
      <c r="L365" s="227"/>
      <c r="M365" s="236" t="s">
        <v>715</v>
      </c>
      <c r="N365" s="128" t="s">
        <v>690</v>
      </c>
      <c r="O365" s="128">
        <v>2</v>
      </c>
      <c r="P365" s="128">
        <v>8544700000</v>
      </c>
      <c r="Q365" s="285">
        <v>1183.5616438356165</v>
      </c>
      <c r="R365" s="149" t="s">
        <v>9</v>
      </c>
      <c r="T365" s="134">
        <v>3945.205479452055</v>
      </c>
      <c r="U365" s="134">
        <v>2367.1232876712329</v>
      </c>
      <c r="V365" s="134">
        <v>1972.6027397260275</v>
      </c>
      <c r="W365" s="134">
        <v>1578.0821917808221</v>
      </c>
    </row>
    <row r="366" spans="1:23" s="129" customFormat="1" hidden="1">
      <c r="A366" s="195" t="s">
        <v>1276</v>
      </c>
      <c r="B366" s="195" t="s">
        <v>656</v>
      </c>
      <c r="C366" s="195" t="s">
        <v>684</v>
      </c>
      <c r="D366" s="236" t="s">
        <v>2327</v>
      </c>
      <c r="E366" s="128" t="s">
        <v>839</v>
      </c>
      <c r="F366" s="128"/>
      <c r="G366" s="241" t="s">
        <v>2372</v>
      </c>
      <c r="H366" s="241" t="s">
        <v>2825</v>
      </c>
      <c r="I366" s="195" t="s">
        <v>2383</v>
      </c>
      <c r="J366" s="128" t="s">
        <v>1584</v>
      </c>
      <c r="K366" s="236" t="s">
        <v>1223</v>
      </c>
      <c r="L366" s="227"/>
      <c r="M366" s="236" t="s">
        <v>715</v>
      </c>
      <c r="N366" s="128" t="s">
        <v>690</v>
      </c>
      <c r="O366" s="128">
        <v>4</v>
      </c>
      <c r="P366" s="128">
        <v>8544700000</v>
      </c>
      <c r="Q366" s="285">
        <v>915.06849315068496</v>
      </c>
      <c r="R366" s="149" t="s">
        <v>9</v>
      </c>
      <c r="T366" s="134">
        <v>3050.2283105022834</v>
      </c>
      <c r="U366" s="134">
        <v>1830.1369863013699</v>
      </c>
      <c r="V366" s="134">
        <v>1525.1141552511417</v>
      </c>
      <c r="W366" s="134">
        <v>1220.0913242009135</v>
      </c>
    </row>
    <row r="367" spans="1:23" s="129" customFormat="1" hidden="1">
      <c r="A367" s="195" t="s">
        <v>1276</v>
      </c>
      <c r="B367" s="195" t="s">
        <v>656</v>
      </c>
      <c r="C367" s="195" t="s">
        <v>684</v>
      </c>
      <c r="D367" s="236" t="s">
        <v>2327</v>
      </c>
      <c r="E367" s="128" t="s">
        <v>839</v>
      </c>
      <c r="F367" s="128"/>
      <c r="G367" s="241" t="s">
        <v>2373</v>
      </c>
      <c r="H367" s="241" t="s">
        <v>2825</v>
      </c>
      <c r="I367" s="195" t="s">
        <v>2384</v>
      </c>
      <c r="J367" s="128" t="s">
        <v>1584</v>
      </c>
      <c r="K367" s="236" t="s">
        <v>1223</v>
      </c>
      <c r="L367" s="227"/>
      <c r="M367" s="236" t="s">
        <v>715</v>
      </c>
      <c r="N367" s="128" t="s">
        <v>690</v>
      </c>
      <c r="O367" s="128">
        <v>4</v>
      </c>
      <c r="P367" s="128">
        <v>8544700000</v>
      </c>
      <c r="Q367" s="285">
        <v>973.97260273972609</v>
      </c>
      <c r="R367" s="149" t="s">
        <v>9</v>
      </c>
      <c r="T367" s="134">
        <v>3246.5753424657537</v>
      </c>
      <c r="U367" s="134">
        <v>1947.9452054794522</v>
      </c>
      <c r="V367" s="134">
        <v>1623.2876712328768</v>
      </c>
      <c r="W367" s="134">
        <v>1298.6301369863015</v>
      </c>
    </row>
    <row r="368" spans="1:23" s="129" customFormat="1" hidden="1">
      <c r="A368" s="195" t="s">
        <v>1276</v>
      </c>
      <c r="B368" s="195" t="s">
        <v>656</v>
      </c>
      <c r="C368" s="195" t="s">
        <v>684</v>
      </c>
      <c r="D368" s="236" t="s">
        <v>2327</v>
      </c>
      <c r="E368" s="128" t="s">
        <v>839</v>
      </c>
      <c r="F368" s="128"/>
      <c r="G368" s="241" t="s">
        <v>2374</v>
      </c>
      <c r="H368" s="241" t="s">
        <v>2825</v>
      </c>
      <c r="I368" s="195" t="s">
        <v>2385</v>
      </c>
      <c r="J368" s="128" t="s">
        <v>1584</v>
      </c>
      <c r="K368" s="236" t="s">
        <v>1223</v>
      </c>
      <c r="L368" s="227"/>
      <c r="M368" s="236" t="s">
        <v>715</v>
      </c>
      <c r="N368" s="128" t="s">
        <v>690</v>
      </c>
      <c r="O368" s="128">
        <v>4</v>
      </c>
      <c r="P368" s="128">
        <v>8544700000</v>
      </c>
      <c r="Q368" s="285">
        <v>1120.5479452054794</v>
      </c>
      <c r="R368" s="149" t="s">
        <v>9</v>
      </c>
      <c r="T368" s="134">
        <v>3735.1598173515981</v>
      </c>
      <c r="U368" s="134">
        <v>2241.0958904109589</v>
      </c>
      <c r="V368" s="134">
        <v>1867.5799086757991</v>
      </c>
      <c r="W368" s="134">
        <v>1494.0639269406392</v>
      </c>
    </row>
    <row r="369" spans="1:23" s="129" customFormat="1" hidden="1">
      <c r="A369" s="195" t="s">
        <v>1276</v>
      </c>
      <c r="B369" s="195" t="s">
        <v>656</v>
      </c>
      <c r="C369" s="195" t="s">
        <v>684</v>
      </c>
      <c r="D369" s="236" t="s">
        <v>2327</v>
      </c>
      <c r="E369" s="128" t="s">
        <v>839</v>
      </c>
      <c r="F369" s="128"/>
      <c r="G369" s="241" t="s">
        <v>2375</v>
      </c>
      <c r="H369" s="241" t="s">
        <v>2825</v>
      </c>
      <c r="I369" s="195" t="s">
        <v>2389</v>
      </c>
      <c r="J369" s="128" t="s">
        <v>1584</v>
      </c>
      <c r="K369" s="236" t="s">
        <v>1223</v>
      </c>
      <c r="L369" s="227"/>
      <c r="M369" s="236" t="s">
        <v>715</v>
      </c>
      <c r="N369" s="128" t="s">
        <v>690</v>
      </c>
      <c r="O369" s="128">
        <v>2</v>
      </c>
      <c r="P369" s="128">
        <v>8544700000</v>
      </c>
      <c r="Q369" s="285">
        <v>1910.9589041095892</v>
      </c>
      <c r="R369" s="149" t="s">
        <v>9</v>
      </c>
      <c r="T369" s="134">
        <v>6369.8630136986312</v>
      </c>
      <c r="U369" s="134">
        <v>3821.9178082191784</v>
      </c>
      <c r="V369" s="134">
        <v>3184.9315068493156</v>
      </c>
      <c r="W369" s="134">
        <v>2547.9452054794529</v>
      </c>
    </row>
    <row r="370" spans="1:23" s="129" customFormat="1" hidden="1">
      <c r="A370" s="195" t="s">
        <v>1276</v>
      </c>
      <c r="B370" s="195" t="s">
        <v>656</v>
      </c>
      <c r="C370" s="195" t="s">
        <v>684</v>
      </c>
      <c r="D370" s="236" t="s">
        <v>2327</v>
      </c>
      <c r="E370" s="128" t="s">
        <v>839</v>
      </c>
      <c r="F370" s="128"/>
      <c r="G370" s="241" t="s">
        <v>2376</v>
      </c>
      <c r="H370" s="241" t="s">
        <v>2825</v>
      </c>
      <c r="I370" s="195" t="s">
        <v>2390</v>
      </c>
      <c r="J370" s="128" t="s">
        <v>1584</v>
      </c>
      <c r="K370" s="236" t="s">
        <v>1223</v>
      </c>
      <c r="L370" s="227"/>
      <c r="M370" s="236" t="s">
        <v>715</v>
      </c>
      <c r="N370" s="128" t="s">
        <v>690</v>
      </c>
      <c r="O370" s="128">
        <v>2</v>
      </c>
      <c r="P370" s="128">
        <v>8544700000</v>
      </c>
      <c r="Q370" s="285">
        <v>2960.2739726027398</v>
      </c>
      <c r="R370" s="149" t="s">
        <v>9</v>
      </c>
      <c r="T370" s="134">
        <v>9867.5799086757997</v>
      </c>
      <c r="U370" s="134">
        <v>5920.5479452054797</v>
      </c>
      <c r="V370" s="134">
        <v>4933.7899543378999</v>
      </c>
      <c r="W370" s="134">
        <v>3947.0319634703201</v>
      </c>
    </row>
    <row r="371" spans="1:23" s="129" customFormat="1" hidden="1">
      <c r="A371" s="195" t="s">
        <v>1276</v>
      </c>
      <c r="B371" s="195" t="s">
        <v>656</v>
      </c>
      <c r="C371" s="195" t="s">
        <v>684</v>
      </c>
      <c r="D371" s="236" t="s">
        <v>1670</v>
      </c>
      <c r="E371" s="128" t="s">
        <v>839</v>
      </c>
      <c r="F371" s="128"/>
      <c r="G371" s="241" t="s">
        <v>2400</v>
      </c>
      <c r="H371" s="241" t="s">
        <v>2825</v>
      </c>
      <c r="I371" s="195" t="s">
        <v>2402</v>
      </c>
      <c r="J371" s="128" t="s">
        <v>1584</v>
      </c>
      <c r="K371" s="236" t="s">
        <v>1223</v>
      </c>
      <c r="L371" s="227"/>
      <c r="M371" s="236" t="s">
        <v>715</v>
      </c>
      <c r="N371" s="128" t="s">
        <v>690</v>
      </c>
      <c r="O371" s="128">
        <v>2</v>
      </c>
      <c r="P371" s="128">
        <v>8544700000</v>
      </c>
      <c r="Q371" s="285">
        <v>1360.2739726027398</v>
      </c>
      <c r="R371" s="149" t="s">
        <v>9</v>
      </c>
      <c r="T371" s="134">
        <v>4534.2465753424667</v>
      </c>
      <c r="U371" s="134">
        <v>2720.5479452054801</v>
      </c>
      <c r="V371" s="134">
        <v>2267.1232876712334</v>
      </c>
      <c r="W371" s="134">
        <v>1813.6986301369868</v>
      </c>
    </row>
    <row r="372" spans="1:23" s="129" customFormat="1" hidden="1">
      <c r="A372" s="195" t="s">
        <v>1276</v>
      </c>
      <c r="B372" s="195" t="s">
        <v>656</v>
      </c>
      <c r="C372" s="195" t="s">
        <v>684</v>
      </c>
      <c r="D372" s="236" t="s">
        <v>1670</v>
      </c>
      <c r="E372" s="128" t="s">
        <v>839</v>
      </c>
      <c r="F372" s="128"/>
      <c r="G372" s="241" t="s">
        <v>2399</v>
      </c>
      <c r="H372" s="241" t="s">
        <v>2825</v>
      </c>
      <c r="I372" s="195" t="s">
        <v>2386</v>
      </c>
      <c r="J372" s="128" t="s">
        <v>1584</v>
      </c>
      <c r="K372" s="236" t="s">
        <v>1223</v>
      </c>
      <c r="L372" s="227"/>
      <c r="M372" s="236" t="s">
        <v>715</v>
      </c>
      <c r="N372" s="128" t="s">
        <v>690</v>
      </c>
      <c r="O372" s="128">
        <v>2</v>
      </c>
      <c r="P372" s="128">
        <v>8544700000</v>
      </c>
      <c r="Q372" s="285">
        <v>1147.9452054794522</v>
      </c>
      <c r="R372" s="149" t="s">
        <v>9</v>
      </c>
      <c r="T372" s="134">
        <v>3826.4840182648409</v>
      </c>
      <c r="U372" s="134">
        <v>2295.8904109589043</v>
      </c>
      <c r="V372" s="134">
        <v>1913.2420091324204</v>
      </c>
      <c r="W372" s="134">
        <v>1530.5936073059365</v>
      </c>
    </row>
    <row r="373" spans="1:23" s="129" customFormat="1" hidden="1">
      <c r="A373" s="195" t="s">
        <v>1276</v>
      </c>
      <c r="B373" s="195" t="s">
        <v>656</v>
      </c>
      <c r="C373" s="195" t="s">
        <v>684</v>
      </c>
      <c r="D373" s="236" t="s">
        <v>1670</v>
      </c>
      <c r="E373" s="128" t="s">
        <v>839</v>
      </c>
      <c r="F373" s="128"/>
      <c r="G373" s="241" t="s">
        <v>2391</v>
      </c>
      <c r="H373" s="241" t="s">
        <v>2825</v>
      </c>
      <c r="I373" s="195" t="s">
        <v>2387</v>
      </c>
      <c r="J373" s="128" t="s">
        <v>1584</v>
      </c>
      <c r="K373" s="236" t="s">
        <v>1223</v>
      </c>
      <c r="L373" s="227"/>
      <c r="M373" s="236" t="s">
        <v>715</v>
      </c>
      <c r="N373" s="128" t="s">
        <v>690</v>
      </c>
      <c r="O373" s="128">
        <v>2</v>
      </c>
      <c r="P373" s="128">
        <v>8544700000</v>
      </c>
      <c r="Q373" s="285">
        <v>1208.2191780821918</v>
      </c>
      <c r="R373" s="149" t="s">
        <v>9</v>
      </c>
      <c r="T373" s="134">
        <v>4027.3972602739727</v>
      </c>
      <c r="U373" s="134">
        <v>2416.4383561643835</v>
      </c>
      <c r="V373" s="134">
        <v>2013.6986301369864</v>
      </c>
      <c r="W373" s="134">
        <v>1610.9589041095892</v>
      </c>
    </row>
    <row r="374" spans="1:23" s="129" customFormat="1" hidden="1">
      <c r="A374" s="195" t="s">
        <v>1276</v>
      </c>
      <c r="B374" s="195" t="s">
        <v>656</v>
      </c>
      <c r="C374" s="195" t="s">
        <v>684</v>
      </c>
      <c r="D374" s="236" t="s">
        <v>1670</v>
      </c>
      <c r="E374" s="128" t="s">
        <v>839</v>
      </c>
      <c r="F374" s="128"/>
      <c r="G374" s="241" t="s">
        <v>2392</v>
      </c>
      <c r="H374" s="241" t="s">
        <v>2825</v>
      </c>
      <c r="I374" s="195" t="s">
        <v>2388</v>
      </c>
      <c r="J374" s="128" t="s">
        <v>1584</v>
      </c>
      <c r="K374" s="236" t="s">
        <v>1223</v>
      </c>
      <c r="L374" s="227"/>
      <c r="M374" s="236" t="s">
        <v>715</v>
      </c>
      <c r="N374" s="128" t="s">
        <v>690</v>
      </c>
      <c r="O374" s="128">
        <v>2</v>
      </c>
      <c r="P374" s="128">
        <v>8544700000</v>
      </c>
      <c r="Q374" s="285">
        <v>1319.178082191781</v>
      </c>
      <c r="R374" s="149" t="s">
        <v>9</v>
      </c>
      <c r="T374" s="134">
        <v>4397.2602739726035</v>
      </c>
      <c r="U374" s="134">
        <v>2638.3561643835619</v>
      </c>
      <c r="V374" s="134">
        <v>2198.6301369863017</v>
      </c>
      <c r="W374" s="134">
        <v>1758.9041095890416</v>
      </c>
    </row>
    <row r="375" spans="1:23" s="129" customFormat="1" hidden="1">
      <c r="A375" s="195" t="s">
        <v>1276</v>
      </c>
      <c r="B375" s="195" t="s">
        <v>656</v>
      </c>
      <c r="C375" s="195" t="s">
        <v>684</v>
      </c>
      <c r="D375" s="236" t="s">
        <v>1670</v>
      </c>
      <c r="E375" s="128" t="s">
        <v>839</v>
      </c>
      <c r="F375" s="128"/>
      <c r="G375" s="241" t="s">
        <v>2393</v>
      </c>
      <c r="H375" s="241" t="s">
        <v>2825</v>
      </c>
      <c r="I375" s="195" t="s">
        <v>2397</v>
      </c>
      <c r="J375" s="128" t="s">
        <v>1584</v>
      </c>
      <c r="K375" s="236" t="s">
        <v>1223</v>
      </c>
      <c r="L375" s="227"/>
      <c r="M375" s="236" t="s">
        <v>715</v>
      </c>
      <c r="N375" s="128" t="s">
        <v>690</v>
      </c>
      <c r="O375" s="128">
        <v>2</v>
      </c>
      <c r="P375" s="128">
        <v>8544700000</v>
      </c>
      <c r="Q375" s="285">
        <v>2278.0821917808221</v>
      </c>
      <c r="R375" s="149" t="s">
        <v>9</v>
      </c>
      <c r="T375" s="134">
        <v>7593.6073059360742</v>
      </c>
      <c r="U375" s="134">
        <v>4556.1643835616442</v>
      </c>
      <c r="V375" s="134">
        <v>3796.8036529680371</v>
      </c>
      <c r="W375" s="134">
        <v>3037.4429223744301</v>
      </c>
    </row>
    <row r="376" spans="1:23" s="129" customFormat="1" hidden="1">
      <c r="A376" s="195" t="s">
        <v>1276</v>
      </c>
      <c r="B376" s="195" t="s">
        <v>656</v>
      </c>
      <c r="C376" s="195" t="s">
        <v>684</v>
      </c>
      <c r="D376" s="236" t="s">
        <v>1670</v>
      </c>
      <c r="E376" s="128" t="s">
        <v>839</v>
      </c>
      <c r="F376" s="128"/>
      <c r="G376" s="241" t="s">
        <v>2394</v>
      </c>
      <c r="H376" s="241" t="s">
        <v>2825</v>
      </c>
      <c r="I376" s="195" t="s">
        <v>2398</v>
      </c>
      <c r="J376" s="128" t="s">
        <v>1584</v>
      </c>
      <c r="K376" s="236" t="s">
        <v>1223</v>
      </c>
      <c r="L376" s="227"/>
      <c r="M376" s="236" t="s">
        <v>715</v>
      </c>
      <c r="N376" s="128" t="s">
        <v>690</v>
      </c>
      <c r="O376" s="128">
        <v>2</v>
      </c>
      <c r="P376" s="128">
        <v>8544700000</v>
      </c>
      <c r="Q376" s="285">
        <v>3452.0547945205481</v>
      </c>
      <c r="R376" s="149" t="s">
        <v>9</v>
      </c>
      <c r="T376" s="134">
        <v>11506.849315068494</v>
      </c>
      <c r="U376" s="134">
        <v>6904.1095890410961</v>
      </c>
      <c r="V376" s="134">
        <v>5753.4246575342468</v>
      </c>
      <c r="W376" s="134">
        <v>4602.7397260273974</v>
      </c>
    </row>
    <row r="377" spans="1:23" s="129" customFormat="1" hidden="1">
      <c r="A377" s="195" t="s">
        <v>1276</v>
      </c>
      <c r="B377" s="195" t="s">
        <v>1102</v>
      </c>
      <c r="C377" s="239" t="s">
        <v>1247</v>
      </c>
      <c r="D377" s="237" t="s">
        <v>1845</v>
      </c>
      <c r="E377" s="128"/>
      <c r="F377" s="128"/>
      <c r="G377" s="242" t="s">
        <v>2255</v>
      </c>
      <c r="H377" s="242" t="s">
        <v>2825</v>
      </c>
      <c r="I377" s="236" t="s">
        <v>2664</v>
      </c>
      <c r="J377" s="128"/>
      <c r="K377" s="239" t="s">
        <v>1295</v>
      </c>
      <c r="L377" s="197"/>
      <c r="M377" s="237" t="s">
        <v>1243</v>
      </c>
      <c r="N377" s="588" t="s">
        <v>2252</v>
      </c>
      <c r="O377" s="588" t="s">
        <v>1245</v>
      </c>
      <c r="P377" s="197">
        <v>9403208000</v>
      </c>
      <c r="Q377" s="126">
        <v>63.601532567049802</v>
      </c>
      <c r="R377" s="277" t="s">
        <v>9</v>
      </c>
      <c r="T377" s="168">
        <v>212.00510855683268</v>
      </c>
      <c r="U377" s="168">
        <v>127.2030651340996</v>
      </c>
      <c r="V377" s="168">
        <v>106.00255427841634</v>
      </c>
      <c r="W377" s="168">
        <v>84.802043422733078</v>
      </c>
    </row>
    <row r="378" spans="1:23" s="129" customFormat="1" hidden="1">
      <c r="A378" s="195" t="s">
        <v>1276</v>
      </c>
      <c r="B378" s="195" t="s">
        <v>1102</v>
      </c>
      <c r="C378" s="239" t="s">
        <v>1247</v>
      </c>
      <c r="D378" s="237" t="s">
        <v>1845</v>
      </c>
      <c r="E378" s="128"/>
      <c r="F378" s="128"/>
      <c r="G378" s="242" t="s">
        <v>2256</v>
      </c>
      <c r="H378" s="242" t="s">
        <v>2825</v>
      </c>
      <c r="I378" s="236" t="s">
        <v>2665</v>
      </c>
      <c r="J378" s="128"/>
      <c r="K378" s="239" t="s">
        <v>1295</v>
      </c>
      <c r="L378" s="197"/>
      <c r="M378" s="237" t="s">
        <v>1243</v>
      </c>
      <c r="N378" s="588"/>
      <c r="O378" s="588"/>
      <c r="P378" s="197">
        <v>9403208000</v>
      </c>
      <c r="Q378" s="126">
        <v>71.000957854406138</v>
      </c>
      <c r="R378" s="277" t="s">
        <v>9</v>
      </c>
      <c r="T378" s="168">
        <v>236.66985951468715</v>
      </c>
      <c r="U378" s="168">
        <v>142.00191570881228</v>
      </c>
      <c r="V378" s="168">
        <v>118.33492975734357</v>
      </c>
      <c r="W378" s="168">
        <v>94.66794380587487</v>
      </c>
    </row>
    <row r="379" spans="1:23" s="129" customFormat="1" hidden="1">
      <c r="A379" s="195" t="s">
        <v>1276</v>
      </c>
      <c r="B379" s="195" t="s">
        <v>1102</v>
      </c>
      <c r="C379" s="239" t="s">
        <v>1247</v>
      </c>
      <c r="D379" s="237" t="s">
        <v>1845</v>
      </c>
      <c r="E379" s="128"/>
      <c r="F379" s="128"/>
      <c r="G379" s="242" t="s">
        <v>2257</v>
      </c>
      <c r="H379" s="242" t="s">
        <v>2825</v>
      </c>
      <c r="I379" s="236" t="s">
        <v>2666</v>
      </c>
      <c r="J379" s="128"/>
      <c r="K379" s="239" t="s">
        <v>1295</v>
      </c>
      <c r="L379" s="197"/>
      <c r="M379" s="237" t="s">
        <v>1243</v>
      </c>
      <c r="N379" s="588"/>
      <c r="O379" s="588"/>
      <c r="P379" s="197">
        <v>9403208000</v>
      </c>
      <c r="Q379" s="126">
        <v>78.3764367816092</v>
      </c>
      <c r="R379" s="277" t="s">
        <v>9</v>
      </c>
      <c r="T379" s="168">
        <v>261.25478927203068</v>
      </c>
      <c r="U379" s="168">
        <v>156.7528735632184</v>
      </c>
      <c r="V379" s="168">
        <v>130.62739463601534</v>
      </c>
      <c r="W379" s="168">
        <v>104.50191570881228</v>
      </c>
    </row>
    <row r="380" spans="1:23" s="129" customFormat="1" hidden="1">
      <c r="A380" s="195" t="s">
        <v>1276</v>
      </c>
      <c r="B380" s="195" t="s">
        <v>1102</v>
      </c>
      <c r="C380" s="239" t="s">
        <v>1247</v>
      </c>
      <c r="D380" s="237" t="s">
        <v>1845</v>
      </c>
      <c r="E380" s="128"/>
      <c r="F380" s="128"/>
      <c r="G380" s="242" t="s">
        <v>2254</v>
      </c>
      <c r="H380" s="242" t="s">
        <v>2825</v>
      </c>
      <c r="I380" s="236" t="s">
        <v>2667</v>
      </c>
      <c r="J380" s="128"/>
      <c r="K380" s="239" t="s">
        <v>1295</v>
      </c>
      <c r="L380" s="197"/>
      <c r="M380" s="237" t="s">
        <v>1243</v>
      </c>
      <c r="N380" s="588"/>
      <c r="O380" s="588"/>
      <c r="P380" s="197">
        <v>9403208000</v>
      </c>
      <c r="Q380" s="126">
        <v>87.691570881226056</v>
      </c>
      <c r="R380" s="277" t="s">
        <v>9</v>
      </c>
      <c r="T380" s="168">
        <v>292.30523627075354</v>
      </c>
      <c r="U380" s="168">
        <v>175.38314176245211</v>
      </c>
      <c r="V380" s="168">
        <v>146.15261813537677</v>
      </c>
      <c r="W380" s="168">
        <v>116.92209450830143</v>
      </c>
    </row>
    <row r="381" spans="1:23" s="129" customFormat="1" hidden="1">
      <c r="A381" s="195" t="s">
        <v>1276</v>
      </c>
      <c r="B381" s="195" t="s">
        <v>1102</v>
      </c>
      <c r="C381" s="239" t="s">
        <v>1247</v>
      </c>
      <c r="D381" s="237" t="s">
        <v>1845</v>
      </c>
      <c r="E381" s="128"/>
      <c r="F381" s="128"/>
      <c r="G381" s="242" t="s">
        <v>2259</v>
      </c>
      <c r="H381" s="242" t="s">
        <v>2825</v>
      </c>
      <c r="I381" s="236" t="s">
        <v>2668</v>
      </c>
      <c r="J381" s="128"/>
      <c r="K381" s="239" t="s">
        <v>1295</v>
      </c>
      <c r="L381" s="197"/>
      <c r="M381" s="237" t="s">
        <v>1243</v>
      </c>
      <c r="N381" s="588"/>
      <c r="O381" s="588"/>
      <c r="P381" s="197">
        <v>9403208000</v>
      </c>
      <c r="Q381" s="126">
        <v>95.641762452107272</v>
      </c>
      <c r="R381" s="277" t="s">
        <v>9</v>
      </c>
      <c r="T381" s="168">
        <v>318.8058748403576</v>
      </c>
      <c r="U381" s="168">
        <v>191.28352490421454</v>
      </c>
      <c r="V381" s="168">
        <v>159.4029374201788</v>
      </c>
      <c r="W381" s="168">
        <v>127.52234993614304</v>
      </c>
    </row>
    <row r="382" spans="1:23" s="129" customFormat="1" hidden="1">
      <c r="A382" s="195" t="s">
        <v>1276</v>
      </c>
      <c r="B382" s="195" t="s">
        <v>1102</v>
      </c>
      <c r="C382" s="239" t="s">
        <v>1247</v>
      </c>
      <c r="D382" s="237" t="s">
        <v>1845</v>
      </c>
      <c r="E382" s="128"/>
      <c r="F382" s="128"/>
      <c r="G382" s="242" t="s">
        <v>2258</v>
      </c>
      <c r="H382" s="242" t="s">
        <v>2825</v>
      </c>
      <c r="I382" s="236" t="s">
        <v>2669</v>
      </c>
      <c r="J382" s="128"/>
      <c r="K382" s="239" t="s">
        <v>1295</v>
      </c>
      <c r="L382" s="197"/>
      <c r="M382" s="237" t="s">
        <v>1243</v>
      </c>
      <c r="N382" s="588"/>
      <c r="O382" s="588"/>
      <c r="P382" s="197">
        <v>9403208000</v>
      </c>
      <c r="Q382" s="126">
        <v>105.35201149425289</v>
      </c>
      <c r="R382" s="277" t="s">
        <v>9</v>
      </c>
      <c r="T382" s="168">
        <v>351.17337164750967</v>
      </c>
      <c r="U382" s="168">
        <v>210.70402298850578</v>
      </c>
      <c r="V382" s="168">
        <v>175.58668582375483</v>
      </c>
      <c r="W382" s="168">
        <v>140.46934865900388</v>
      </c>
    </row>
    <row r="383" spans="1:23" s="129" customFormat="1" hidden="1">
      <c r="A383" s="195" t="s">
        <v>1276</v>
      </c>
      <c r="B383" s="195" t="s">
        <v>1102</v>
      </c>
      <c r="C383" s="239" t="s">
        <v>1247</v>
      </c>
      <c r="D383" s="237" t="s">
        <v>1845</v>
      </c>
      <c r="E383" s="128"/>
      <c r="F383" s="128"/>
      <c r="G383" s="242" t="s">
        <v>2260</v>
      </c>
      <c r="H383" s="242" t="s">
        <v>2825</v>
      </c>
      <c r="I383" s="236" t="s">
        <v>2670</v>
      </c>
      <c r="J383" s="128"/>
      <c r="K383" s="239" t="s">
        <v>1295</v>
      </c>
      <c r="L383" s="197"/>
      <c r="M383" s="237" t="s">
        <v>1243</v>
      </c>
      <c r="N383" s="588"/>
      <c r="O383" s="588"/>
      <c r="P383" s="197">
        <v>9403208000</v>
      </c>
      <c r="Q383" s="126">
        <v>0</v>
      </c>
      <c r="R383" s="277" t="s">
        <v>9</v>
      </c>
      <c r="T383" s="168">
        <v>0</v>
      </c>
      <c r="U383" s="168">
        <v>0</v>
      </c>
      <c r="V383" s="168">
        <v>0</v>
      </c>
      <c r="W383" s="168">
        <v>0</v>
      </c>
    </row>
    <row r="384" spans="1:23" s="129" customFormat="1" hidden="1">
      <c r="A384" s="195" t="s">
        <v>1276</v>
      </c>
      <c r="B384" s="195" t="s">
        <v>1102</v>
      </c>
      <c r="C384" s="239" t="s">
        <v>1247</v>
      </c>
      <c r="D384" s="237" t="s">
        <v>1845</v>
      </c>
      <c r="E384" s="128"/>
      <c r="F384" s="128"/>
      <c r="G384" s="242" t="s">
        <v>2253</v>
      </c>
      <c r="H384" s="242" t="s">
        <v>2825</v>
      </c>
      <c r="I384" s="236" t="s">
        <v>2671</v>
      </c>
      <c r="J384" s="128"/>
      <c r="K384" s="239" t="s">
        <v>1295</v>
      </c>
      <c r="L384" s="197"/>
      <c r="M384" s="237" t="s">
        <v>1243</v>
      </c>
      <c r="N384" s="588"/>
      <c r="O384" s="588"/>
      <c r="P384" s="197">
        <v>9403208000</v>
      </c>
      <c r="Q384" s="126">
        <v>54.298371647509583</v>
      </c>
      <c r="R384" s="277" t="s">
        <v>9</v>
      </c>
      <c r="T384" s="168">
        <v>180.99457215836529</v>
      </c>
      <c r="U384" s="168">
        <v>108.59674329501917</v>
      </c>
      <c r="V384" s="168">
        <v>90.497286079182643</v>
      </c>
      <c r="W384" s="168">
        <v>72.39782886334612</v>
      </c>
    </row>
    <row r="385" spans="1:23" s="129" customFormat="1" hidden="1">
      <c r="A385" s="195" t="s">
        <v>1276</v>
      </c>
      <c r="B385" s="195" t="s">
        <v>1102</v>
      </c>
      <c r="C385" s="239" t="s">
        <v>1247</v>
      </c>
      <c r="D385" s="237" t="s">
        <v>1845</v>
      </c>
      <c r="E385" s="128"/>
      <c r="F385" s="128"/>
      <c r="G385" s="242" t="s">
        <v>2261</v>
      </c>
      <c r="H385" s="242" t="s">
        <v>2825</v>
      </c>
      <c r="I385" s="236" t="s">
        <v>2672</v>
      </c>
      <c r="J385" s="128"/>
      <c r="K385" s="239" t="s">
        <v>1295</v>
      </c>
      <c r="L385" s="197"/>
      <c r="M385" s="237" t="s">
        <v>1243</v>
      </c>
      <c r="N385" s="588"/>
      <c r="O385" s="588"/>
      <c r="P385" s="197">
        <v>9403208000</v>
      </c>
      <c r="Q385" s="126">
        <v>60.53639846743296</v>
      </c>
      <c r="R385" s="277" t="s">
        <v>9</v>
      </c>
      <c r="T385" s="168">
        <v>201.78799489144322</v>
      </c>
      <c r="U385" s="168">
        <v>121.07279693486592</v>
      </c>
      <c r="V385" s="168">
        <v>100.89399744572161</v>
      </c>
      <c r="W385" s="168">
        <v>80.715197956577299</v>
      </c>
    </row>
    <row r="386" spans="1:23" s="129" customFormat="1" hidden="1">
      <c r="A386" s="195" t="s">
        <v>1276</v>
      </c>
      <c r="B386" s="195" t="s">
        <v>1102</v>
      </c>
      <c r="C386" s="239" t="s">
        <v>1247</v>
      </c>
      <c r="D386" s="237" t="s">
        <v>1845</v>
      </c>
      <c r="E386" s="128"/>
      <c r="F386" s="128"/>
      <c r="G386" s="242" t="s">
        <v>2262</v>
      </c>
      <c r="H386" s="242" t="s">
        <v>2825</v>
      </c>
      <c r="I386" s="236" t="s">
        <v>2673</v>
      </c>
      <c r="J386" s="128"/>
      <c r="K386" s="239" t="s">
        <v>1295</v>
      </c>
      <c r="L386" s="197"/>
      <c r="M386" s="237" t="s">
        <v>1243</v>
      </c>
      <c r="N386" s="588"/>
      <c r="O386" s="588"/>
      <c r="P386" s="197">
        <v>9403208000</v>
      </c>
      <c r="Q386" s="126">
        <v>67.049808429118769</v>
      </c>
      <c r="R386" s="277" t="s">
        <v>9</v>
      </c>
      <c r="T386" s="168">
        <v>223.49936143039591</v>
      </c>
      <c r="U386" s="168">
        <v>134.09961685823754</v>
      </c>
      <c r="V386" s="168">
        <v>111.74968071519795</v>
      </c>
      <c r="W386" s="168">
        <v>89.399744572158369</v>
      </c>
    </row>
    <row r="387" spans="1:23" s="129" customFormat="1" hidden="1">
      <c r="A387" s="195" t="s">
        <v>1276</v>
      </c>
      <c r="B387" s="195" t="s">
        <v>1102</v>
      </c>
      <c r="C387" s="239" t="s">
        <v>1247</v>
      </c>
      <c r="D387" s="237" t="s">
        <v>1845</v>
      </c>
      <c r="E387" s="128"/>
      <c r="F387" s="128"/>
      <c r="G387" s="242" t="s">
        <v>2263</v>
      </c>
      <c r="H387" s="242" t="s">
        <v>2825</v>
      </c>
      <c r="I387" s="236" t="s">
        <v>2674</v>
      </c>
      <c r="J387" s="128"/>
      <c r="K387" s="239" t="s">
        <v>1295</v>
      </c>
      <c r="L387" s="197"/>
      <c r="M387" s="237" t="s">
        <v>1243</v>
      </c>
      <c r="N387" s="588"/>
      <c r="O387" s="588"/>
      <c r="P387" s="197">
        <v>9403208000</v>
      </c>
      <c r="Q387" s="126">
        <v>74.796455938697321</v>
      </c>
      <c r="R387" s="277" t="s">
        <v>9</v>
      </c>
      <c r="T387" s="168">
        <v>249.32151979565774</v>
      </c>
      <c r="U387" s="168">
        <v>149.59291187739464</v>
      </c>
      <c r="V387" s="168">
        <v>124.66075989782887</v>
      </c>
      <c r="W387" s="168">
        <v>99.728607918263094</v>
      </c>
    </row>
    <row r="388" spans="1:23" s="129" customFormat="1" hidden="1">
      <c r="A388" s="195" t="s">
        <v>1276</v>
      </c>
      <c r="B388" s="195" t="s">
        <v>1102</v>
      </c>
      <c r="C388" s="239" t="s">
        <v>1247</v>
      </c>
      <c r="D388" s="237" t="s">
        <v>1845</v>
      </c>
      <c r="E388" s="128"/>
      <c r="F388" s="128"/>
      <c r="G388" s="242" t="s">
        <v>2264</v>
      </c>
      <c r="H388" s="242" t="s">
        <v>2825</v>
      </c>
      <c r="I388" s="236" t="s">
        <v>2675</v>
      </c>
      <c r="J388" s="128"/>
      <c r="K388" s="239" t="s">
        <v>1295</v>
      </c>
      <c r="L388" s="197"/>
      <c r="M388" s="237" t="s">
        <v>1243</v>
      </c>
      <c r="N388" s="588"/>
      <c r="O388" s="588"/>
      <c r="P388" s="197">
        <v>9403208000</v>
      </c>
      <c r="Q388" s="126">
        <v>81.381704980842912</v>
      </c>
      <c r="R388" s="277" t="s">
        <v>9</v>
      </c>
      <c r="T388" s="168">
        <v>271.27234993614303</v>
      </c>
      <c r="U388" s="168">
        <v>162.76340996168582</v>
      </c>
      <c r="V388" s="168">
        <v>135.63617496807151</v>
      </c>
      <c r="W388" s="168">
        <v>108.50893997445722</v>
      </c>
    </row>
    <row r="389" spans="1:23" s="129" customFormat="1" hidden="1">
      <c r="A389" s="195" t="s">
        <v>1276</v>
      </c>
      <c r="B389" s="195" t="s">
        <v>1102</v>
      </c>
      <c r="C389" s="239" t="s">
        <v>1247</v>
      </c>
      <c r="D389" s="237" t="s">
        <v>1845</v>
      </c>
      <c r="E389" s="128"/>
      <c r="F389" s="128"/>
      <c r="G389" s="242" t="s">
        <v>2265</v>
      </c>
      <c r="H389" s="242" t="s">
        <v>2825</v>
      </c>
      <c r="I389" s="236" t="s">
        <v>2676</v>
      </c>
      <c r="J389" s="128"/>
      <c r="K389" s="239" t="s">
        <v>1295</v>
      </c>
      <c r="L389" s="197"/>
      <c r="M389" s="237" t="s">
        <v>1243</v>
      </c>
      <c r="N389" s="588"/>
      <c r="O389" s="588"/>
      <c r="P389" s="197">
        <v>9403208000</v>
      </c>
      <c r="Q389" s="126">
        <v>90.301724137931046</v>
      </c>
      <c r="R389" s="277" t="s">
        <v>9</v>
      </c>
      <c r="T389" s="168">
        <v>301.00574712643686</v>
      </c>
      <c r="U389" s="168">
        <v>180.60344827586212</v>
      </c>
      <c r="V389" s="168">
        <v>150.50287356321843</v>
      </c>
      <c r="W389" s="168">
        <v>120.40229885057475</v>
      </c>
    </row>
    <row r="390" spans="1:23" s="129" customFormat="1" hidden="1">
      <c r="A390" s="195" t="s">
        <v>1276</v>
      </c>
      <c r="B390" s="195" t="s">
        <v>1102</v>
      </c>
      <c r="C390" s="239" t="s">
        <v>1247</v>
      </c>
      <c r="D390" s="237" t="s">
        <v>1845</v>
      </c>
      <c r="E390" s="128"/>
      <c r="F390" s="128"/>
      <c r="G390" s="242" t="s">
        <v>2266</v>
      </c>
      <c r="H390" s="242" t="s">
        <v>2825</v>
      </c>
      <c r="I390" s="236" t="s">
        <v>2677</v>
      </c>
      <c r="J390" s="128"/>
      <c r="K390" s="239" t="s">
        <v>1295</v>
      </c>
      <c r="L390" s="197"/>
      <c r="M390" s="237" t="s">
        <v>1243</v>
      </c>
      <c r="N390" s="588"/>
      <c r="O390" s="588"/>
      <c r="P390" s="197">
        <v>9403208000</v>
      </c>
      <c r="Q390" s="126">
        <v>13.888888888888889</v>
      </c>
      <c r="R390" s="277" t="s">
        <v>9</v>
      </c>
      <c r="T390" s="168">
        <v>46.296296296296298</v>
      </c>
      <c r="U390" s="168">
        <v>27.777777777777779</v>
      </c>
      <c r="V390" s="168">
        <v>23.148148148148149</v>
      </c>
      <c r="W390" s="168">
        <v>18.518518518518519</v>
      </c>
    </row>
    <row r="391" spans="1:23" s="129" customFormat="1" hidden="1">
      <c r="A391" s="195" t="s">
        <v>1276</v>
      </c>
      <c r="B391" s="195" t="s">
        <v>1102</v>
      </c>
      <c r="C391" s="239" t="s">
        <v>1844</v>
      </c>
      <c r="D391" s="237" t="s">
        <v>1845</v>
      </c>
      <c r="E391" s="128" t="s">
        <v>2636</v>
      </c>
      <c r="F391" s="128" t="s">
        <v>3254</v>
      </c>
      <c r="G391" s="238" t="s">
        <v>1847</v>
      </c>
      <c r="H391" s="238" t="s">
        <v>3031</v>
      </c>
      <c r="I391" s="236" t="s">
        <v>2086</v>
      </c>
      <c r="J391" s="128"/>
      <c r="K391" s="239" t="s">
        <v>1223</v>
      </c>
      <c r="L391" s="197"/>
      <c r="M391" s="237" t="s">
        <v>2206</v>
      </c>
      <c r="N391" s="197"/>
      <c r="O391" s="197"/>
      <c r="P391" s="197">
        <v>9403208000</v>
      </c>
      <c r="Q391" s="126">
        <v>214.04109589041101</v>
      </c>
      <c r="R391" s="277" t="s">
        <v>9</v>
      </c>
      <c r="T391" s="168">
        <v>713.4703196347034</v>
      </c>
      <c r="U391" s="168">
        <v>428.08219178082203</v>
      </c>
      <c r="V391" s="168">
        <v>356.7351598173517</v>
      </c>
      <c r="W391" s="168">
        <v>285.38812785388137</v>
      </c>
    </row>
    <row r="392" spans="1:23" s="129" customFormat="1" hidden="1">
      <c r="A392" s="195" t="s">
        <v>1276</v>
      </c>
      <c r="B392" s="195" t="s">
        <v>1102</v>
      </c>
      <c r="C392" s="239" t="s">
        <v>1844</v>
      </c>
      <c r="D392" s="237" t="s">
        <v>1845</v>
      </c>
      <c r="E392" s="128" t="s">
        <v>2637</v>
      </c>
      <c r="F392" s="128" t="s">
        <v>3254</v>
      </c>
      <c r="G392" s="238" t="s">
        <v>1848</v>
      </c>
      <c r="H392" s="238" t="s">
        <v>3032</v>
      </c>
      <c r="I392" s="236" t="s">
        <v>2087</v>
      </c>
      <c r="J392" s="128"/>
      <c r="K392" s="239" t="s">
        <v>1223</v>
      </c>
      <c r="L392" s="197"/>
      <c r="M392" s="237" t="s">
        <v>2206</v>
      </c>
      <c r="N392" s="197"/>
      <c r="O392" s="197"/>
      <c r="P392" s="197">
        <v>9403208000</v>
      </c>
      <c r="Q392" s="126">
        <v>228.80255077940484</v>
      </c>
      <c r="R392" s="277" t="s">
        <v>9</v>
      </c>
      <c r="T392" s="168">
        <v>762.67516926468284</v>
      </c>
      <c r="U392" s="168">
        <v>457.60510155880968</v>
      </c>
      <c r="V392" s="168">
        <v>381.33758463234142</v>
      </c>
      <c r="W392" s="168">
        <v>305.07006770587316</v>
      </c>
    </row>
    <row r="393" spans="1:23" s="129" customFormat="1" hidden="1">
      <c r="A393" s="195" t="s">
        <v>1276</v>
      </c>
      <c r="B393" s="195" t="s">
        <v>1102</v>
      </c>
      <c r="C393" s="239" t="s">
        <v>1844</v>
      </c>
      <c r="D393" s="237" t="s">
        <v>1845</v>
      </c>
      <c r="E393" s="128" t="s">
        <v>2638</v>
      </c>
      <c r="F393" s="128" t="s">
        <v>3254</v>
      </c>
      <c r="G393" s="238" t="s">
        <v>1849</v>
      </c>
      <c r="H393" s="238" t="s">
        <v>3033</v>
      </c>
      <c r="I393" s="236" t="s">
        <v>2088</v>
      </c>
      <c r="J393" s="128"/>
      <c r="K393" s="239" t="s">
        <v>1223</v>
      </c>
      <c r="L393" s="197"/>
      <c r="M393" s="237" t="s">
        <v>2206</v>
      </c>
      <c r="N393" s="197"/>
      <c r="O393" s="197"/>
      <c r="P393" s="197">
        <v>9403208000</v>
      </c>
      <c r="Q393" s="126">
        <v>243.56400566839869</v>
      </c>
      <c r="R393" s="277" t="s">
        <v>9</v>
      </c>
      <c r="T393" s="168">
        <v>811.88001889466238</v>
      </c>
      <c r="U393" s="168">
        <v>487.12801133679739</v>
      </c>
      <c r="V393" s="168">
        <v>405.94000944733119</v>
      </c>
      <c r="W393" s="168">
        <v>324.752007557865</v>
      </c>
    </row>
    <row r="394" spans="1:23" s="129" customFormat="1" hidden="1">
      <c r="A394" s="195" t="s">
        <v>1276</v>
      </c>
      <c r="B394" s="195" t="s">
        <v>1102</v>
      </c>
      <c r="C394" s="239" t="s">
        <v>1844</v>
      </c>
      <c r="D394" s="237" t="s">
        <v>1845</v>
      </c>
      <c r="E394" s="128" t="s">
        <v>2639</v>
      </c>
      <c r="F394" s="128" t="s">
        <v>3254</v>
      </c>
      <c r="G394" s="238" t="s">
        <v>1850</v>
      </c>
      <c r="H394" s="238" t="s">
        <v>3034</v>
      </c>
      <c r="I394" s="236" t="s">
        <v>2089</v>
      </c>
      <c r="J394" s="128"/>
      <c r="K394" s="239" t="s">
        <v>1223</v>
      </c>
      <c r="L394" s="197"/>
      <c r="M394" s="237" t="s">
        <v>2206</v>
      </c>
      <c r="N394" s="197"/>
      <c r="O394" s="197"/>
      <c r="P394" s="197">
        <v>9403208000</v>
      </c>
      <c r="Q394" s="126">
        <v>265.70618800188947</v>
      </c>
      <c r="R394" s="277" t="s">
        <v>9</v>
      </c>
      <c r="T394" s="168">
        <v>885.68729333963165</v>
      </c>
      <c r="U394" s="168">
        <v>531.41237600377895</v>
      </c>
      <c r="V394" s="168">
        <v>442.84364666981583</v>
      </c>
      <c r="W394" s="168">
        <v>354.27491733585271</v>
      </c>
    </row>
    <row r="395" spans="1:23" s="129" customFormat="1" hidden="1">
      <c r="A395" s="195" t="s">
        <v>1276</v>
      </c>
      <c r="B395" s="195" t="s">
        <v>1102</v>
      </c>
      <c r="C395" s="239" t="s">
        <v>1844</v>
      </c>
      <c r="D395" s="237" t="s">
        <v>1845</v>
      </c>
      <c r="E395" s="128" t="s">
        <v>2640</v>
      </c>
      <c r="F395" s="128" t="s">
        <v>3254</v>
      </c>
      <c r="G395" s="238" t="s">
        <v>1851</v>
      </c>
      <c r="H395" s="238" t="s">
        <v>3035</v>
      </c>
      <c r="I395" s="236" t="s">
        <v>2090</v>
      </c>
      <c r="J395" s="128"/>
      <c r="K395" s="239" t="s">
        <v>1223</v>
      </c>
      <c r="L395" s="197"/>
      <c r="M395" s="237" t="s">
        <v>2206</v>
      </c>
      <c r="N395" s="197"/>
      <c r="O395" s="197"/>
      <c r="P395" s="197">
        <v>9403208000</v>
      </c>
      <c r="Q395" s="126">
        <v>317.37128011336802</v>
      </c>
      <c r="R395" s="277" t="s">
        <v>9</v>
      </c>
      <c r="T395" s="168">
        <v>1057.9042670445601</v>
      </c>
      <c r="U395" s="168">
        <v>634.74256022673603</v>
      </c>
      <c r="V395" s="168">
        <v>528.95213352228006</v>
      </c>
      <c r="W395" s="168">
        <v>423.1617068178241</v>
      </c>
    </row>
    <row r="396" spans="1:23" s="129" customFormat="1" hidden="1">
      <c r="A396" s="195" t="s">
        <v>1276</v>
      </c>
      <c r="B396" s="195" t="s">
        <v>1102</v>
      </c>
      <c r="C396" s="239" t="s">
        <v>1844</v>
      </c>
      <c r="D396" s="237" t="s">
        <v>1845</v>
      </c>
      <c r="E396" s="128" t="s">
        <v>2640</v>
      </c>
      <c r="F396" s="128" t="s">
        <v>3254</v>
      </c>
      <c r="G396" s="238" t="s">
        <v>1852</v>
      </c>
      <c r="H396" s="238" t="s">
        <v>3036</v>
      </c>
      <c r="I396" s="236" t="s">
        <v>2091</v>
      </c>
      <c r="J396" s="128"/>
      <c r="K396" s="239" t="s">
        <v>1223</v>
      </c>
      <c r="L396" s="197"/>
      <c r="M396" s="237" t="s">
        <v>2206</v>
      </c>
      <c r="N396" s="197"/>
      <c r="O396" s="197"/>
      <c r="P396" s="197">
        <v>9403208000</v>
      </c>
      <c r="Q396" s="126">
        <v>249.46858762399626</v>
      </c>
      <c r="R396" s="277" t="s">
        <v>9</v>
      </c>
      <c r="T396" s="168">
        <v>831.56195874665423</v>
      </c>
      <c r="U396" s="168">
        <v>498.93717524799251</v>
      </c>
      <c r="V396" s="168">
        <v>415.78097937332711</v>
      </c>
      <c r="W396" s="168">
        <v>332.62478349866171</v>
      </c>
    </row>
    <row r="397" spans="1:23" s="129" customFormat="1" hidden="1">
      <c r="A397" s="195" t="s">
        <v>1276</v>
      </c>
      <c r="B397" s="195" t="s">
        <v>1102</v>
      </c>
      <c r="C397" s="239" t="s">
        <v>1844</v>
      </c>
      <c r="D397" s="237" t="s">
        <v>1845</v>
      </c>
      <c r="E397" s="128" t="s">
        <v>2636</v>
      </c>
      <c r="F397" s="128" t="s">
        <v>3255</v>
      </c>
      <c r="G397" s="238" t="s">
        <v>1853</v>
      </c>
      <c r="H397" s="238" t="s">
        <v>3037</v>
      </c>
      <c r="I397" s="236" t="s">
        <v>2092</v>
      </c>
      <c r="J397" s="128"/>
      <c r="K397" s="239" t="s">
        <v>1223</v>
      </c>
      <c r="L397" s="197"/>
      <c r="M397" s="237" t="s">
        <v>2206</v>
      </c>
      <c r="N397" s="197"/>
      <c r="O397" s="197"/>
      <c r="P397" s="197">
        <v>9403208000</v>
      </c>
      <c r="Q397" s="126">
        <v>250.94473311289562</v>
      </c>
      <c r="R397" s="277" t="s">
        <v>9</v>
      </c>
      <c r="T397" s="168">
        <v>836.4824437096521</v>
      </c>
      <c r="U397" s="168">
        <v>501.88946622579124</v>
      </c>
      <c r="V397" s="168">
        <v>418.24122185482605</v>
      </c>
      <c r="W397" s="168">
        <v>334.59297748386086</v>
      </c>
    </row>
    <row r="398" spans="1:23" s="129" customFormat="1" hidden="1">
      <c r="A398" s="195" t="s">
        <v>1276</v>
      </c>
      <c r="B398" s="195" t="s">
        <v>1102</v>
      </c>
      <c r="C398" s="239" t="s">
        <v>1844</v>
      </c>
      <c r="D398" s="237" t="s">
        <v>1845</v>
      </c>
      <c r="E398" s="128" t="s">
        <v>2637</v>
      </c>
      <c r="F398" s="128" t="s">
        <v>3255</v>
      </c>
      <c r="G398" s="238" t="s">
        <v>1854</v>
      </c>
      <c r="H398" s="238" t="s">
        <v>3038</v>
      </c>
      <c r="I398" s="236" t="s">
        <v>2093</v>
      </c>
      <c r="J398" s="128"/>
      <c r="K398" s="239" t="s">
        <v>1223</v>
      </c>
      <c r="L398" s="197"/>
      <c r="M398" s="237" t="s">
        <v>2206</v>
      </c>
      <c r="N398" s="197"/>
      <c r="O398" s="197"/>
      <c r="P398" s="197">
        <v>9403208000</v>
      </c>
      <c r="Q398" s="126">
        <v>265.70618800188947</v>
      </c>
      <c r="R398" s="277" t="s">
        <v>9</v>
      </c>
      <c r="T398" s="168">
        <v>885.68729333963165</v>
      </c>
      <c r="U398" s="168">
        <v>531.41237600377895</v>
      </c>
      <c r="V398" s="168">
        <v>442.84364666981583</v>
      </c>
      <c r="W398" s="168">
        <v>354.27491733585271</v>
      </c>
    </row>
    <row r="399" spans="1:23" s="129" customFormat="1" hidden="1">
      <c r="A399" s="195" t="s">
        <v>1276</v>
      </c>
      <c r="B399" s="195" t="s">
        <v>1102</v>
      </c>
      <c r="C399" s="239" t="s">
        <v>1844</v>
      </c>
      <c r="D399" s="237" t="s">
        <v>1845</v>
      </c>
      <c r="E399" s="128" t="s">
        <v>2638</v>
      </c>
      <c r="F399" s="128" t="s">
        <v>3255</v>
      </c>
      <c r="G399" s="238" t="s">
        <v>1855</v>
      </c>
      <c r="H399" s="238" t="s">
        <v>3039</v>
      </c>
      <c r="I399" s="236" t="s">
        <v>2094</v>
      </c>
      <c r="J399" s="128"/>
      <c r="K399" s="239" t="s">
        <v>1223</v>
      </c>
      <c r="L399" s="197"/>
      <c r="M399" s="237" t="s">
        <v>2206</v>
      </c>
      <c r="N399" s="197"/>
      <c r="O399" s="197"/>
      <c r="P399" s="197">
        <v>9403208000</v>
      </c>
      <c r="Q399" s="126">
        <v>276.03920642418524</v>
      </c>
      <c r="R399" s="277" t="s">
        <v>9</v>
      </c>
      <c r="T399" s="168">
        <v>920.13068808061746</v>
      </c>
      <c r="U399" s="168">
        <v>552.07841284837048</v>
      </c>
      <c r="V399" s="168">
        <v>460.06534404030873</v>
      </c>
      <c r="W399" s="168">
        <v>368.05227523224698</v>
      </c>
    </row>
    <row r="400" spans="1:23" s="129" customFormat="1" hidden="1">
      <c r="A400" s="195" t="s">
        <v>1276</v>
      </c>
      <c r="B400" s="195" t="s">
        <v>1102</v>
      </c>
      <c r="C400" s="239" t="s">
        <v>1844</v>
      </c>
      <c r="D400" s="237" t="s">
        <v>1845</v>
      </c>
      <c r="E400" s="128" t="s">
        <v>2639</v>
      </c>
      <c r="F400" s="128" t="s">
        <v>3255</v>
      </c>
      <c r="G400" s="238" t="s">
        <v>1856</v>
      </c>
      <c r="H400" s="238" t="s">
        <v>3040</v>
      </c>
      <c r="I400" s="236" t="s">
        <v>2095</v>
      </c>
      <c r="J400" s="128"/>
      <c r="K400" s="239" t="s">
        <v>1223</v>
      </c>
      <c r="L400" s="197"/>
      <c r="M400" s="237" t="s">
        <v>2206</v>
      </c>
      <c r="N400" s="197"/>
      <c r="O400" s="197"/>
      <c r="P400" s="197">
        <v>9403208000</v>
      </c>
      <c r="Q400" s="126">
        <v>302.60982522437416</v>
      </c>
      <c r="R400" s="277" t="s">
        <v>9</v>
      </c>
      <c r="T400" s="168">
        <v>1008.6994174145806</v>
      </c>
      <c r="U400" s="168">
        <v>605.21965044874833</v>
      </c>
      <c r="V400" s="168">
        <v>504.34970870729029</v>
      </c>
      <c r="W400" s="168">
        <v>403.47976696583225</v>
      </c>
    </row>
    <row r="401" spans="1:23" s="129" customFormat="1" hidden="1">
      <c r="A401" s="195" t="s">
        <v>1276</v>
      </c>
      <c r="B401" s="195" t="s">
        <v>1102</v>
      </c>
      <c r="C401" s="239" t="s">
        <v>1844</v>
      </c>
      <c r="D401" s="237" t="s">
        <v>1845</v>
      </c>
      <c r="E401" s="128" t="s">
        <v>2640</v>
      </c>
      <c r="F401" s="128" t="s">
        <v>3255</v>
      </c>
      <c r="G401" s="238" t="s">
        <v>1857</v>
      </c>
      <c r="H401" s="238" t="s">
        <v>3041</v>
      </c>
      <c r="I401" s="236" t="s">
        <v>2096</v>
      </c>
      <c r="J401" s="128"/>
      <c r="K401" s="239" t="s">
        <v>1223</v>
      </c>
      <c r="L401" s="197"/>
      <c r="M401" s="237" t="s">
        <v>2206</v>
      </c>
      <c r="N401" s="197"/>
      <c r="O401" s="197"/>
      <c r="P401" s="197">
        <v>9403208000</v>
      </c>
      <c r="Q401" s="126">
        <v>339.5134624468588</v>
      </c>
      <c r="R401" s="277" t="s">
        <v>9</v>
      </c>
      <c r="T401" s="168">
        <v>1131.7115414895293</v>
      </c>
      <c r="U401" s="168">
        <v>679.02692489371759</v>
      </c>
      <c r="V401" s="168">
        <v>565.85577074476464</v>
      </c>
      <c r="W401" s="168">
        <v>452.68461659581175</v>
      </c>
    </row>
    <row r="402" spans="1:23" s="129" customFormat="1" hidden="1">
      <c r="A402" s="195" t="s">
        <v>1276</v>
      </c>
      <c r="B402" s="195" t="s">
        <v>1102</v>
      </c>
      <c r="C402" s="239" t="s">
        <v>1844</v>
      </c>
      <c r="D402" s="237" t="s">
        <v>1845</v>
      </c>
      <c r="E402" s="128" t="s">
        <v>2640</v>
      </c>
      <c r="F402" s="128" t="s">
        <v>3255</v>
      </c>
      <c r="G402" s="238" t="s">
        <v>1858</v>
      </c>
      <c r="H402" s="238" t="s">
        <v>3042</v>
      </c>
      <c r="I402" s="236" t="s">
        <v>2097</v>
      </c>
      <c r="J402" s="128"/>
      <c r="K402" s="239" t="s">
        <v>1223</v>
      </c>
      <c r="L402" s="197"/>
      <c r="M402" s="237" t="s">
        <v>2206</v>
      </c>
      <c r="N402" s="197"/>
      <c r="O402" s="197"/>
      <c r="P402" s="197">
        <v>9403208000</v>
      </c>
      <c r="Q402" s="126">
        <v>265.70618800188947</v>
      </c>
      <c r="R402" s="277" t="s">
        <v>9</v>
      </c>
      <c r="T402" s="168">
        <v>885.68729333963165</v>
      </c>
      <c r="U402" s="168">
        <v>531.41237600377895</v>
      </c>
      <c r="V402" s="168">
        <v>442.84364666981583</v>
      </c>
      <c r="W402" s="168">
        <v>354.27491733585271</v>
      </c>
    </row>
    <row r="403" spans="1:23" s="129" customFormat="1" hidden="1">
      <c r="A403" s="195" t="s">
        <v>1276</v>
      </c>
      <c r="B403" s="195" t="s">
        <v>1102</v>
      </c>
      <c r="C403" s="239" t="s">
        <v>1844</v>
      </c>
      <c r="D403" s="237" t="s">
        <v>1845</v>
      </c>
      <c r="E403" s="128" t="s">
        <v>2640</v>
      </c>
      <c r="F403" s="128" t="s">
        <v>3256</v>
      </c>
      <c r="G403" s="238" t="s">
        <v>1859</v>
      </c>
      <c r="H403" s="238" t="s">
        <v>3043</v>
      </c>
      <c r="I403" s="236" t="s">
        <v>2098</v>
      </c>
      <c r="J403" s="128"/>
      <c r="K403" s="239" t="s">
        <v>1223</v>
      </c>
      <c r="L403" s="197"/>
      <c r="M403" s="237" t="s">
        <v>2206</v>
      </c>
      <c r="N403" s="197"/>
      <c r="O403" s="197"/>
      <c r="P403" s="197">
        <v>9403208000</v>
      </c>
      <c r="Q403" s="126">
        <v>405.94000944733119</v>
      </c>
      <c r="R403" s="277" t="s">
        <v>9</v>
      </c>
      <c r="T403" s="168">
        <v>1353.1333648244374</v>
      </c>
      <c r="U403" s="168">
        <v>811.88001889466238</v>
      </c>
      <c r="V403" s="168">
        <v>676.56668241221871</v>
      </c>
      <c r="W403" s="168">
        <v>541.25334592977504</v>
      </c>
    </row>
    <row r="404" spans="1:23" s="129" customFormat="1" hidden="1">
      <c r="A404" s="195" t="s">
        <v>1276</v>
      </c>
      <c r="B404" s="195" t="s">
        <v>1102</v>
      </c>
      <c r="C404" s="239" t="s">
        <v>1844</v>
      </c>
      <c r="D404" s="237" t="s">
        <v>1845</v>
      </c>
      <c r="E404" s="128" t="s">
        <v>2640</v>
      </c>
      <c r="F404" s="128" t="s">
        <v>3257</v>
      </c>
      <c r="G404" s="238" t="s">
        <v>1860</v>
      </c>
      <c r="H404" s="238" t="s">
        <v>3044</v>
      </c>
      <c r="I404" s="236" t="s">
        <v>2099</v>
      </c>
      <c r="J404" s="128"/>
      <c r="K404" s="239" t="s">
        <v>1223</v>
      </c>
      <c r="L404" s="197"/>
      <c r="M404" s="237" t="s">
        <v>2206</v>
      </c>
      <c r="N404" s="197"/>
      <c r="O404" s="197"/>
      <c r="P404" s="197">
        <v>9403208000</v>
      </c>
      <c r="Q404" s="126">
        <v>361.65564478034958</v>
      </c>
      <c r="R404" s="277" t="s">
        <v>9</v>
      </c>
      <c r="T404" s="168">
        <v>1205.5188159344987</v>
      </c>
      <c r="U404" s="168">
        <v>723.31128956069915</v>
      </c>
      <c r="V404" s="168">
        <v>602.75940796724933</v>
      </c>
      <c r="W404" s="168">
        <v>482.20752637379951</v>
      </c>
    </row>
    <row r="405" spans="1:23" s="129" customFormat="1" hidden="1">
      <c r="A405" s="195" t="s">
        <v>1276</v>
      </c>
      <c r="B405" s="195" t="s">
        <v>1102</v>
      </c>
      <c r="C405" s="239" t="s">
        <v>1844</v>
      </c>
      <c r="D405" s="237" t="s">
        <v>1845</v>
      </c>
      <c r="E405" s="128" t="s">
        <v>2640</v>
      </c>
      <c r="F405" s="128" t="s">
        <v>3257</v>
      </c>
      <c r="G405" s="238" t="s">
        <v>1861</v>
      </c>
      <c r="H405" s="238" t="s">
        <v>3045</v>
      </c>
      <c r="I405" s="236" t="s">
        <v>2100</v>
      </c>
      <c r="J405" s="128"/>
      <c r="K405" s="239" t="s">
        <v>1223</v>
      </c>
      <c r="L405" s="197"/>
      <c r="M405" s="237" t="s">
        <v>2206</v>
      </c>
      <c r="N405" s="197"/>
      <c r="O405" s="197"/>
      <c r="P405" s="197">
        <v>9403208000</v>
      </c>
      <c r="Q405" s="126">
        <v>273.08691544638646</v>
      </c>
      <c r="R405" s="277" t="s">
        <v>9</v>
      </c>
      <c r="T405" s="168">
        <v>910.2897181546216</v>
      </c>
      <c r="U405" s="168">
        <v>546.17383089277291</v>
      </c>
      <c r="V405" s="168">
        <v>455.1448590773108</v>
      </c>
      <c r="W405" s="168">
        <v>364.11588726184868</v>
      </c>
    </row>
    <row r="406" spans="1:23" s="129" customFormat="1" hidden="1">
      <c r="A406" s="195" t="s">
        <v>1276</v>
      </c>
      <c r="B406" s="195" t="s">
        <v>1102</v>
      </c>
      <c r="C406" s="239" t="s">
        <v>1844</v>
      </c>
      <c r="D406" s="237" t="s">
        <v>1845</v>
      </c>
      <c r="E406" s="128" t="s">
        <v>2638</v>
      </c>
      <c r="F406" s="128" t="s">
        <v>3258</v>
      </c>
      <c r="G406" s="238" t="s">
        <v>1862</v>
      </c>
      <c r="H406" s="238" t="s">
        <v>3046</v>
      </c>
      <c r="I406" s="236" t="s">
        <v>2101</v>
      </c>
      <c r="J406" s="128"/>
      <c r="K406" s="239" t="s">
        <v>1223</v>
      </c>
      <c r="L406" s="197"/>
      <c r="M406" s="237" t="s">
        <v>2206</v>
      </c>
      <c r="N406" s="197"/>
      <c r="O406" s="197"/>
      <c r="P406" s="197">
        <v>9403208000</v>
      </c>
      <c r="Q406" s="126">
        <v>333.60888049126123</v>
      </c>
      <c r="R406" s="277" t="s">
        <v>9</v>
      </c>
      <c r="T406" s="168">
        <v>1112.0296016375376</v>
      </c>
      <c r="U406" s="168">
        <v>667.21776098252246</v>
      </c>
      <c r="V406" s="168">
        <v>556.01480081876878</v>
      </c>
      <c r="W406" s="168">
        <v>444.81184065501503</v>
      </c>
    </row>
    <row r="407" spans="1:23" s="129" customFormat="1" hidden="1">
      <c r="A407" s="195" t="s">
        <v>1276</v>
      </c>
      <c r="B407" s="195" t="s">
        <v>1102</v>
      </c>
      <c r="C407" s="239" t="s">
        <v>1844</v>
      </c>
      <c r="D407" s="237" t="s">
        <v>1845</v>
      </c>
      <c r="E407" s="128" t="s">
        <v>2639</v>
      </c>
      <c r="F407" s="128" t="s">
        <v>3258</v>
      </c>
      <c r="G407" s="238" t="s">
        <v>1863</v>
      </c>
      <c r="H407" s="238" t="s">
        <v>3047</v>
      </c>
      <c r="I407" s="236" t="s">
        <v>2102</v>
      </c>
      <c r="J407" s="128"/>
      <c r="K407" s="239" t="s">
        <v>1223</v>
      </c>
      <c r="L407" s="197"/>
      <c r="M407" s="237" t="s">
        <v>2206</v>
      </c>
      <c r="N407" s="197"/>
      <c r="O407" s="197"/>
      <c r="P407" s="197">
        <v>9403208000</v>
      </c>
      <c r="Q407" s="126">
        <v>351.32262635805387</v>
      </c>
      <c r="R407" s="277" t="s">
        <v>9</v>
      </c>
      <c r="T407" s="168">
        <v>1171.075421193513</v>
      </c>
      <c r="U407" s="168">
        <v>702.64525271610773</v>
      </c>
      <c r="V407" s="168">
        <v>585.53771059675648</v>
      </c>
      <c r="W407" s="168">
        <v>468.43016847740523</v>
      </c>
    </row>
    <row r="408" spans="1:23" s="129" customFormat="1" hidden="1">
      <c r="A408" s="195" t="s">
        <v>1276</v>
      </c>
      <c r="B408" s="195" t="s">
        <v>1102</v>
      </c>
      <c r="C408" s="239" t="s">
        <v>1844</v>
      </c>
      <c r="D408" s="237" t="s">
        <v>1845</v>
      </c>
      <c r="E408" s="128" t="s">
        <v>2640</v>
      </c>
      <c r="F408" s="128" t="s">
        <v>3258</v>
      </c>
      <c r="G408" s="238" t="s">
        <v>1864</v>
      </c>
      <c r="H408" s="238" t="s">
        <v>3048</v>
      </c>
      <c r="I408" s="236" t="s">
        <v>2103</v>
      </c>
      <c r="J408" s="128"/>
      <c r="K408" s="239" t="s">
        <v>1223</v>
      </c>
      <c r="L408" s="197"/>
      <c r="M408" s="237" t="s">
        <v>2206</v>
      </c>
      <c r="N408" s="197"/>
      <c r="O408" s="197"/>
      <c r="P408" s="197">
        <v>9403208000</v>
      </c>
      <c r="Q408" s="126">
        <v>391.17855455833728</v>
      </c>
      <c r="R408" s="277" t="s">
        <v>9</v>
      </c>
      <c r="T408" s="168">
        <v>1303.9285151944578</v>
      </c>
      <c r="U408" s="168">
        <v>782.35710911667468</v>
      </c>
      <c r="V408" s="168">
        <v>651.96425759722888</v>
      </c>
      <c r="W408" s="168">
        <v>521.57140607778308</v>
      </c>
    </row>
    <row r="409" spans="1:23" s="129" customFormat="1" hidden="1">
      <c r="A409" s="195" t="s">
        <v>1276</v>
      </c>
      <c r="B409" s="195" t="s">
        <v>1102</v>
      </c>
      <c r="C409" s="239" t="s">
        <v>1844</v>
      </c>
      <c r="D409" s="237" t="s">
        <v>1845</v>
      </c>
      <c r="E409" s="128" t="s">
        <v>2640</v>
      </c>
      <c r="F409" s="128" t="s">
        <v>3258</v>
      </c>
      <c r="G409" s="238" t="s">
        <v>1865</v>
      </c>
      <c r="H409" s="238" t="s">
        <v>3049</v>
      </c>
      <c r="I409" s="236" t="s">
        <v>2104</v>
      </c>
      <c r="J409" s="128"/>
      <c r="K409" s="239" t="s">
        <v>1223</v>
      </c>
      <c r="L409" s="197"/>
      <c r="M409" s="237" t="s">
        <v>2206</v>
      </c>
      <c r="N409" s="197"/>
      <c r="O409" s="197"/>
      <c r="P409" s="197">
        <v>9403208000</v>
      </c>
      <c r="Q409" s="126">
        <v>309.99055266887109</v>
      </c>
      <c r="R409" s="277" t="s">
        <v>9</v>
      </c>
      <c r="T409" s="168">
        <v>1033.3018422295704</v>
      </c>
      <c r="U409" s="168">
        <v>619.98110533774218</v>
      </c>
      <c r="V409" s="168">
        <v>516.65092111478521</v>
      </c>
      <c r="W409" s="168">
        <v>413.32073689182818</v>
      </c>
    </row>
    <row r="410" spans="1:23" s="129" customFormat="1" hidden="1">
      <c r="A410" s="195" t="s">
        <v>1276</v>
      </c>
      <c r="B410" s="195" t="s">
        <v>1102</v>
      </c>
      <c r="C410" s="239" t="s">
        <v>1844</v>
      </c>
      <c r="D410" s="237" t="s">
        <v>1845</v>
      </c>
      <c r="E410" s="128" t="s">
        <v>2640</v>
      </c>
      <c r="F410" s="128" t="s">
        <v>3259</v>
      </c>
      <c r="G410" s="238" t="s">
        <v>1866</v>
      </c>
      <c r="H410" s="238" t="s">
        <v>3050</v>
      </c>
      <c r="I410" s="236" t="s">
        <v>2105</v>
      </c>
      <c r="J410" s="128"/>
      <c r="K410" s="239" t="s">
        <v>1223</v>
      </c>
      <c r="L410" s="197"/>
      <c r="M410" s="237" t="s">
        <v>2206</v>
      </c>
      <c r="N410" s="197"/>
      <c r="O410" s="197"/>
      <c r="P410" s="197">
        <v>9403208000</v>
      </c>
      <c r="Q410" s="126">
        <v>442.84364666981588</v>
      </c>
      <c r="R410" s="277" t="s">
        <v>9</v>
      </c>
      <c r="T410" s="168">
        <v>1476.1454888993862</v>
      </c>
      <c r="U410" s="168">
        <v>885.68729333963176</v>
      </c>
      <c r="V410" s="168">
        <v>738.07274444969312</v>
      </c>
      <c r="W410" s="168">
        <v>590.45819555975447</v>
      </c>
    </row>
    <row r="411" spans="1:23" s="129" customFormat="1" hidden="1">
      <c r="A411" s="195" t="s">
        <v>1276</v>
      </c>
      <c r="B411" s="195" t="s">
        <v>1102</v>
      </c>
      <c r="C411" s="239" t="s">
        <v>1844</v>
      </c>
      <c r="D411" s="237" t="s">
        <v>1845</v>
      </c>
      <c r="E411" s="128" t="s">
        <v>2640</v>
      </c>
      <c r="F411" s="128" t="s">
        <v>3259</v>
      </c>
      <c r="G411" s="238" t="s">
        <v>1867</v>
      </c>
      <c r="H411" s="238" t="s">
        <v>3051</v>
      </c>
      <c r="I411" s="236" t="s">
        <v>2106</v>
      </c>
      <c r="J411" s="128"/>
      <c r="K411" s="239" t="s">
        <v>1223</v>
      </c>
      <c r="L411" s="197"/>
      <c r="M411" s="237" t="s">
        <v>2206</v>
      </c>
      <c r="N411" s="197"/>
      <c r="O411" s="197"/>
      <c r="P411" s="197">
        <v>9403208000</v>
      </c>
      <c r="Q411" s="126">
        <v>361.65564478034958</v>
      </c>
      <c r="R411" s="277" t="s">
        <v>9</v>
      </c>
      <c r="T411" s="168">
        <v>1205.5188159344987</v>
      </c>
      <c r="U411" s="168">
        <v>723.31128956069915</v>
      </c>
      <c r="V411" s="168">
        <v>602.75940796724933</v>
      </c>
      <c r="W411" s="168">
        <v>482.20752637379951</v>
      </c>
    </row>
    <row r="412" spans="1:23" s="129" customFormat="1" hidden="1">
      <c r="A412" s="195" t="s">
        <v>1276</v>
      </c>
      <c r="B412" s="195" t="s">
        <v>1102</v>
      </c>
      <c r="C412" s="239" t="s">
        <v>1844</v>
      </c>
      <c r="D412" s="237" t="s">
        <v>1845</v>
      </c>
      <c r="E412" s="128"/>
      <c r="F412" s="128"/>
      <c r="G412" s="238" t="s">
        <v>1868</v>
      </c>
      <c r="H412" s="238" t="s">
        <v>2825</v>
      </c>
      <c r="I412" s="236" t="s">
        <v>2107</v>
      </c>
      <c r="J412" s="128"/>
      <c r="K412" s="239" t="s">
        <v>1223</v>
      </c>
      <c r="L412" s="197"/>
      <c r="M412" s="237" t="s">
        <v>2206</v>
      </c>
      <c r="N412" s="197"/>
      <c r="O412" s="197"/>
      <c r="P412" s="197">
        <v>9403208000</v>
      </c>
      <c r="Q412" s="126">
        <v>0</v>
      </c>
      <c r="R412" s="277" t="s">
        <v>9</v>
      </c>
      <c r="T412" s="168">
        <v>0</v>
      </c>
      <c r="U412" s="168">
        <v>0</v>
      </c>
      <c r="V412" s="168">
        <v>0</v>
      </c>
      <c r="W412" s="168">
        <v>0</v>
      </c>
    </row>
    <row r="413" spans="1:23" s="129" customFormat="1" hidden="1">
      <c r="A413" s="195" t="s">
        <v>1276</v>
      </c>
      <c r="B413" s="195" t="s">
        <v>1102</v>
      </c>
      <c r="C413" s="239" t="s">
        <v>1844</v>
      </c>
      <c r="D413" s="237" t="s">
        <v>1845</v>
      </c>
      <c r="E413" s="128"/>
      <c r="F413" s="128"/>
      <c r="G413" s="238" t="s">
        <v>1869</v>
      </c>
      <c r="H413" s="238" t="s">
        <v>2825</v>
      </c>
      <c r="I413" s="236" t="s">
        <v>2108</v>
      </c>
      <c r="J413" s="128"/>
      <c r="K413" s="239" t="s">
        <v>1223</v>
      </c>
      <c r="L413" s="197"/>
      <c r="M413" s="237" t="s">
        <v>2206</v>
      </c>
      <c r="N413" s="197"/>
      <c r="O413" s="197"/>
      <c r="P413" s="197">
        <v>9403208000</v>
      </c>
      <c r="Q413" s="126">
        <v>0</v>
      </c>
      <c r="R413" s="277" t="s">
        <v>9</v>
      </c>
      <c r="T413" s="168">
        <v>0</v>
      </c>
      <c r="U413" s="168">
        <v>0</v>
      </c>
      <c r="V413" s="168">
        <v>0</v>
      </c>
      <c r="W413" s="168">
        <v>0</v>
      </c>
    </row>
    <row r="414" spans="1:23" s="129" customFormat="1" hidden="1">
      <c r="A414" s="195" t="s">
        <v>1276</v>
      </c>
      <c r="B414" s="195" t="s">
        <v>1102</v>
      </c>
      <c r="C414" s="239" t="s">
        <v>1844</v>
      </c>
      <c r="D414" s="237" t="s">
        <v>1845</v>
      </c>
      <c r="E414" s="128"/>
      <c r="F414" s="128"/>
      <c r="G414" s="238" t="s">
        <v>1870</v>
      </c>
      <c r="H414" s="238" t="s">
        <v>2825</v>
      </c>
      <c r="I414" s="236" t="s">
        <v>2109</v>
      </c>
      <c r="J414" s="128"/>
      <c r="K414" s="239" t="s">
        <v>1223</v>
      </c>
      <c r="L414" s="197"/>
      <c r="M414" s="237" t="s">
        <v>2206</v>
      </c>
      <c r="N414" s="197"/>
      <c r="O414" s="197"/>
      <c r="P414" s="197">
        <v>9403208000</v>
      </c>
      <c r="Q414" s="126">
        <v>0</v>
      </c>
      <c r="R414" s="277" t="s">
        <v>9</v>
      </c>
      <c r="T414" s="168">
        <v>0</v>
      </c>
      <c r="U414" s="168">
        <v>0</v>
      </c>
      <c r="V414" s="168">
        <v>0</v>
      </c>
      <c r="W414" s="168">
        <v>0</v>
      </c>
    </row>
    <row r="415" spans="1:23" s="129" customFormat="1" hidden="1">
      <c r="A415" s="195" t="s">
        <v>1276</v>
      </c>
      <c r="B415" s="195" t="s">
        <v>1102</v>
      </c>
      <c r="C415" s="239" t="s">
        <v>1844</v>
      </c>
      <c r="D415" s="237" t="s">
        <v>1845</v>
      </c>
      <c r="E415" s="128"/>
      <c r="F415" s="128"/>
      <c r="G415" s="238" t="s">
        <v>1871</v>
      </c>
      <c r="H415" s="238" t="s">
        <v>2825</v>
      </c>
      <c r="I415" s="236" t="s">
        <v>2110</v>
      </c>
      <c r="J415" s="128"/>
      <c r="K415" s="239" t="s">
        <v>1223</v>
      </c>
      <c r="L415" s="197"/>
      <c r="M415" s="237" t="s">
        <v>2206</v>
      </c>
      <c r="N415" s="197"/>
      <c r="O415" s="197"/>
      <c r="P415" s="197">
        <v>9403208000</v>
      </c>
      <c r="Q415" s="126">
        <v>0</v>
      </c>
      <c r="R415" s="277" t="s">
        <v>9</v>
      </c>
      <c r="T415" s="168">
        <v>0</v>
      </c>
      <c r="U415" s="168">
        <v>0</v>
      </c>
      <c r="V415" s="168">
        <v>0</v>
      </c>
      <c r="W415" s="168">
        <v>0</v>
      </c>
    </row>
    <row r="416" spans="1:23" s="129" customFormat="1" hidden="1">
      <c r="A416" s="195" t="s">
        <v>1276</v>
      </c>
      <c r="B416" s="195" t="s">
        <v>1102</v>
      </c>
      <c r="C416" s="239" t="s">
        <v>1844</v>
      </c>
      <c r="D416" s="237" t="s">
        <v>1845</v>
      </c>
      <c r="E416" s="128"/>
      <c r="F416" s="128"/>
      <c r="G416" s="238" t="s">
        <v>1872</v>
      </c>
      <c r="H416" s="238" t="s">
        <v>2825</v>
      </c>
      <c r="I416" s="236" t="s">
        <v>2111</v>
      </c>
      <c r="J416" s="128"/>
      <c r="K416" s="239" t="s">
        <v>1223</v>
      </c>
      <c r="L416" s="197"/>
      <c r="M416" s="237" t="s">
        <v>2206</v>
      </c>
      <c r="N416" s="197"/>
      <c r="O416" s="197"/>
      <c r="P416" s="197">
        <v>9403208000</v>
      </c>
      <c r="Q416" s="126">
        <v>0</v>
      </c>
      <c r="R416" s="277" t="s">
        <v>9</v>
      </c>
      <c r="T416" s="168">
        <v>0</v>
      </c>
      <c r="U416" s="168">
        <v>0</v>
      </c>
      <c r="V416" s="168">
        <v>0</v>
      </c>
      <c r="W416" s="168">
        <v>0</v>
      </c>
    </row>
    <row r="417" spans="1:23" s="129" customFormat="1" hidden="1">
      <c r="A417" s="195" t="s">
        <v>1276</v>
      </c>
      <c r="B417" s="195" t="s">
        <v>1102</v>
      </c>
      <c r="C417" s="239" t="s">
        <v>1844</v>
      </c>
      <c r="D417" s="237" t="s">
        <v>1845</v>
      </c>
      <c r="E417" s="128"/>
      <c r="F417" s="128"/>
      <c r="G417" s="238" t="s">
        <v>1873</v>
      </c>
      <c r="H417" s="238" t="s">
        <v>2825</v>
      </c>
      <c r="I417" s="236" t="s">
        <v>2112</v>
      </c>
      <c r="J417" s="128"/>
      <c r="K417" s="239" t="s">
        <v>1223</v>
      </c>
      <c r="L417" s="197"/>
      <c r="M417" s="237" t="s">
        <v>2206</v>
      </c>
      <c r="N417" s="197"/>
      <c r="O417" s="197"/>
      <c r="P417" s="197">
        <v>9403208000</v>
      </c>
      <c r="Q417" s="126">
        <v>0</v>
      </c>
      <c r="R417" s="277" t="s">
        <v>9</v>
      </c>
      <c r="T417" s="168">
        <v>0</v>
      </c>
      <c r="U417" s="168">
        <v>0</v>
      </c>
      <c r="V417" s="168">
        <v>0</v>
      </c>
      <c r="W417" s="168">
        <v>0</v>
      </c>
    </row>
    <row r="418" spans="1:23" s="129" customFormat="1" hidden="1">
      <c r="A418" s="195" t="s">
        <v>1276</v>
      </c>
      <c r="B418" s="195" t="s">
        <v>1102</v>
      </c>
      <c r="C418" s="239" t="s">
        <v>1844</v>
      </c>
      <c r="D418" s="237" t="s">
        <v>2207</v>
      </c>
      <c r="E418" s="128" t="s">
        <v>2636</v>
      </c>
      <c r="F418" s="128" t="s">
        <v>3254</v>
      </c>
      <c r="G418" s="238" t="s">
        <v>1874</v>
      </c>
      <c r="H418" s="238" t="s">
        <v>3052</v>
      </c>
      <c r="I418" s="236" t="s">
        <v>2113</v>
      </c>
      <c r="J418" s="128"/>
      <c r="K418" s="239" t="s">
        <v>1223</v>
      </c>
      <c r="L418" s="197"/>
      <c r="M418" s="237" t="s">
        <v>2206</v>
      </c>
      <c r="N418" s="197"/>
      <c r="O418" s="197"/>
      <c r="P418" s="197">
        <v>9403208000</v>
      </c>
      <c r="Q418" s="126">
        <v>251.43678160919538</v>
      </c>
      <c r="R418" s="277" t="s">
        <v>9</v>
      </c>
      <c r="T418" s="168">
        <v>838.12260536398458</v>
      </c>
      <c r="U418" s="168">
        <v>502.8735632183907</v>
      </c>
      <c r="V418" s="168">
        <v>419.06130268199229</v>
      </c>
      <c r="W418" s="168">
        <v>335.24904214559388</v>
      </c>
    </row>
    <row r="419" spans="1:23" s="129" customFormat="1" hidden="1">
      <c r="A419" s="195" t="s">
        <v>1276</v>
      </c>
      <c r="B419" s="195" t="s">
        <v>1102</v>
      </c>
      <c r="C419" s="239" t="s">
        <v>1844</v>
      </c>
      <c r="D419" s="237" t="s">
        <v>2207</v>
      </c>
      <c r="E419" s="128" t="s">
        <v>2637</v>
      </c>
      <c r="F419" s="128" t="s">
        <v>3254</v>
      </c>
      <c r="G419" s="238" t="s">
        <v>1875</v>
      </c>
      <c r="H419" s="238" t="s">
        <v>3053</v>
      </c>
      <c r="I419" s="236" t="s">
        <v>2114</v>
      </c>
      <c r="J419" s="128"/>
      <c r="K419" s="239" t="s">
        <v>1223</v>
      </c>
      <c r="L419" s="197"/>
      <c r="M419" s="237" t="s">
        <v>2206</v>
      </c>
      <c r="N419" s="197"/>
      <c r="O419" s="197"/>
      <c r="P419" s="197">
        <v>9403208000</v>
      </c>
      <c r="Q419" s="126">
        <v>258.62068965517244</v>
      </c>
      <c r="R419" s="277" t="s">
        <v>9</v>
      </c>
      <c r="T419" s="168">
        <v>862.06896551724151</v>
      </c>
      <c r="U419" s="168">
        <v>517.24137931034488</v>
      </c>
      <c r="V419" s="168">
        <v>431.03448275862075</v>
      </c>
      <c r="W419" s="168">
        <v>344.82758620689663</v>
      </c>
    </row>
    <row r="420" spans="1:23" s="129" customFormat="1" hidden="1">
      <c r="A420" s="195" t="s">
        <v>1276</v>
      </c>
      <c r="B420" s="195" t="s">
        <v>1102</v>
      </c>
      <c r="C420" s="239" t="s">
        <v>1844</v>
      </c>
      <c r="D420" s="237" t="s">
        <v>2207</v>
      </c>
      <c r="E420" s="128" t="s">
        <v>2638</v>
      </c>
      <c r="F420" s="128" t="s">
        <v>3254</v>
      </c>
      <c r="G420" s="238" t="s">
        <v>1876</v>
      </c>
      <c r="H420" s="238" t="s">
        <v>3054</v>
      </c>
      <c r="I420" s="236" t="s">
        <v>2115</v>
      </c>
      <c r="J420" s="128"/>
      <c r="K420" s="239" t="s">
        <v>1223</v>
      </c>
      <c r="L420" s="197"/>
      <c r="M420" s="237" t="s">
        <v>2206</v>
      </c>
      <c r="N420" s="197"/>
      <c r="O420" s="197"/>
      <c r="P420" s="197">
        <v>9403208000</v>
      </c>
      <c r="Q420" s="126">
        <v>272.98850574712645</v>
      </c>
      <c r="R420" s="277" t="s">
        <v>9</v>
      </c>
      <c r="T420" s="168">
        <v>909.96168582375492</v>
      </c>
      <c r="U420" s="168">
        <v>545.97701149425291</v>
      </c>
      <c r="V420" s="168">
        <v>454.98084291187746</v>
      </c>
      <c r="W420" s="168">
        <v>363.98467432950201</v>
      </c>
    </row>
    <row r="421" spans="1:23" s="129" customFormat="1" hidden="1">
      <c r="A421" s="195" t="s">
        <v>1276</v>
      </c>
      <c r="B421" s="195" t="s">
        <v>1102</v>
      </c>
      <c r="C421" s="239" t="s">
        <v>1844</v>
      </c>
      <c r="D421" s="237" t="s">
        <v>2207</v>
      </c>
      <c r="E421" s="128" t="s">
        <v>2639</v>
      </c>
      <c r="F421" s="128" t="s">
        <v>3254</v>
      </c>
      <c r="G421" s="238" t="s">
        <v>1877</v>
      </c>
      <c r="H421" s="238" t="s">
        <v>3055</v>
      </c>
      <c r="I421" s="236" t="s">
        <v>2116</v>
      </c>
      <c r="J421" s="128"/>
      <c r="K421" s="239" t="s">
        <v>1223</v>
      </c>
      <c r="L421" s="197"/>
      <c r="M421" s="237" t="s">
        <v>2206</v>
      </c>
      <c r="N421" s="197"/>
      <c r="O421" s="197"/>
      <c r="P421" s="197">
        <v>9403208000</v>
      </c>
      <c r="Q421" s="126">
        <v>301.72413793103448</v>
      </c>
      <c r="R421" s="277" t="s">
        <v>9</v>
      </c>
      <c r="T421" s="168">
        <v>1005.7471264367816</v>
      </c>
      <c r="U421" s="168">
        <v>603.44827586206895</v>
      </c>
      <c r="V421" s="168">
        <v>502.87356321839081</v>
      </c>
      <c r="W421" s="168">
        <v>402.29885057471267</v>
      </c>
    </row>
    <row r="422" spans="1:23" s="129" customFormat="1" hidden="1">
      <c r="A422" s="195" t="s">
        <v>1276</v>
      </c>
      <c r="B422" s="195" t="s">
        <v>1102</v>
      </c>
      <c r="C422" s="239" t="s">
        <v>1844</v>
      </c>
      <c r="D422" s="237" t="s">
        <v>2207</v>
      </c>
      <c r="E422" s="128" t="s">
        <v>2640</v>
      </c>
      <c r="F422" s="128" t="s">
        <v>3254</v>
      </c>
      <c r="G422" s="238" t="s">
        <v>1878</v>
      </c>
      <c r="H422" s="238" t="s">
        <v>3056</v>
      </c>
      <c r="I422" s="236" t="s">
        <v>2117</v>
      </c>
      <c r="J422" s="128"/>
      <c r="K422" s="239" t="s">
        <v>1223</v>
      </c>
      <c r="L422" s="197"/>
      <c r="M422" s="237" t="s">
        <v>2206</v>
      </c>
      <c r="N422" s="197"/>
      <c r="O422" s="197"/>
      <c r="P422" s="197">
        <v>9403208000</v>
      </c>
      <c r="Q422" s="126">
        <v>352.01149425287355</v>
      </c>
      <c r="R422" s="277" t="s">
        <v>9</v>
      </c>
      <c r="T422" s="168">
        <v>1173.3716475095785</v>
      </c>
      <c r="U422" s="168">
        <v>704.02298850574709</v>
      </c>
      <c r="V422" s="168">
        <v>586.68582375478923</v>
      </c>
      <c r="W422" s="168">
        <v>469.34865900383141</v>
      </c>
    </row>
    <row r="423" spans="1:23" s="129" customFormat="1" hidden="1">
      <c r="A423" s="195" t="s">
        <v>1276</v>
      </c>
      <c r="B423" s="195" t="s">
        <v>1102</v>
      </c>
      <c r="C423" s="239" t="s">
        <v>1844</v>
      </c>
      <c r="D423" s="237" t="s">
        <v>2207</v>
      </c>
      <c r="E423" s="128" t="s">
        <v>2636</v>
      </c>
      <c r="F423" s="128" t="s">
        <v>3255</v>
      </c>
      <c r="G423" s="238" t="s">
        <v>1879</v>
      </c>
      <c r="H423" s="238" t="s">
        <v>3057</v>
      </c>
      <c r="I423" s="236" t="s">
        <v>2118</v>
      </c>
      <c r="J423" s="128"/>
      <c r="K423" s="239" t="s">
        <v>1223</v>
      </c>
      <c r="L423" s="197"/>
      <c r="M423" s="237" t="s">
        <v>2206</v>
      </c>
      <c r="N423" s="197"/>
      <c r="O423" s="197"/>
      <c r="P423" s="197">
        <v>9403208000</v>
      </c>
      <c r="Q423" s="126">
        <v>272.98850574712645</v>
      </c>
      <c r="R423" s="277" t="s">
        <v>9</v>
      </c>
      <c r="T423" s="168">
        <v>909.96168582375492</v>
      </c>
      <c r="U423" s="168">
        <v>545.97701149425291</v>
      </c>
      <c r="V423" s="168">
        <v>454.98084291187746</v>
      </c>
      <c r="W423" s="168">
        <v>363.98467432950201</v>
      </c>
    </row>
    <row r="424" spans="1:23" s="129" customFormat="1" hidden="1">
      <c r="A424" s="195" t="s">
        <v>1276</v>
      </c>
      <c r="B424" s="195" t="s">
        <v>1102</v>
      </c>
      <c r="C424" s="239" t="s">
        <v>1844</v>
      </c>
      <c r="D424" s="237" t="s">
        <v>2207</v>
      </c>
      <c r="E424" s="128" t="s">
        <v>2638</v>
      </c>
      <c r="F424" s="128" t="s">
        <v>3255</v>
      </c>
      <c r="G424" s="238" t="s">
        <v>1880</v>
      </c>
      <c r="H424" s="238" t="s">
        <v>3058</v>
      </c>
      <c r="I424" s="236" t="s">
        <v>2119</v>
      </c>
      <c r="J424" s="128"/>
      <c r="K424" s="239" t="s">
        <v>1223</v>
      </c>
      <c r="L424" s="197"/>
      <c r="M424" s="237" t="s">
        <v>2206</v>
      </c>
      <c r="N424" s="197"/>
      <c r="O424" s="197"/>
      <c r="P424" s="197">
        <v>9403208000</v>
      </c>
      <c r="Q424" s="126">
        <v>301.72413793103448</v>
      </c>
      <c r="R424" s="277" t="s">
        <v>9</v>
      </c>
      <c r="T424" s="168">
        <v>1005.7471264367816</v>
      </c>
      <c r="U424" s="168">
        <v>603.44827586206895</v>
      </c>
      <c r="V424" s="168">
        <v>502.87356321839081</v>
      </c>
      <c r="W424" s="168">
        <v>402.29885057471267</v>
      </c>
    </row>
    <row r="425" spans="1:23" s="129" customFormat="1" hidden="1">
      <c r="A425" s="195" t="s">
        <v>1276</v>
      </c>
      <c r="B425" s="195" t="s">
        <v>1102</v>
      </c>
      <c r="C425" s="239" t="s">
        <v>1844</v>
      </c>
      <c r="D425" s="237" t="s">
        <v>2207</v>
      </c>
      <c r="E425" s="128" t="s">
        <v>2640</v>
      </c>
      <c r="F425" s="128" t="s">
        <v>3255</v>
      </c>
      <c r="G425" s="238" t="s">
        <v>1881</v>
      </c>
      <c r="H425" s="238" t="s">
        <v>3059</v>
      </c>
      <c r="I425" s="236" t="s">
        <v>2120</v>
      </c>
      <c r="J425" s="128"/>
      <c r="K425" s="239" t="s">
        <v>1223</v>
      </c>
      <c r="L425" s="197"/>
      <c r="M425" s="237" t="s">
        <v>2206</v>
      </c>
      <c r="N425" s="197"/>
      <c r="O425" s="197"/>
      <c r="P425" s="197">
        <v>9403208000</v>
      </c>
      <c r="Q425" s="126">
        <v>380.74712643678163</v>
      </c>
      <c r="R425" s="277" t="s">
        <v>9</v>
      </c>
      <c r="T425" s="168">
        <v>1269.1570881226055</v>
      </c>
      <c r="U425" s="168">
        <v>761.49425287356325</v>
      </c>
      <c r="V425" s="168">
        <v>634.57854406130275</v>
      </c>
      <c r="W425" s="168">
        <v>507.66283524904225</v>
      </c>
    </row>
    <row r="426" spans="1:23" s="129" customFormat="1" hidden="1">
      <c r="A426" s="195" t="s">
        <v>1276</v>
      </c>
      <c r="B426" s="195" t="s">
        <v>1102</v>
      </c>
      <c r="C426" s="239" t="s">
        <v>1844</v>
      </c>
      <c r="D426" s="237" t="s">
        <v>2207</v>
      </c>
      <c r="E426" s="128" t="s">
        <v>2640</v>
      </c>
      <c r="F426" s="128" t="s">
        <v>3256</v>
      </c>
      <c r="G426" s="238" t="s">
        <v>1882</v>
      </c>
      <c r="H426" s="238" t="s">
        <v>3060</v>
      </c>
      <c r="I426" s="236" t="s">
        <v>2121</v>
      </c>
      <c r="J426" s="128"/>
      <c r="K426" s="239" t="s">
        <v>1223</v>
      </c>
      <c r="L426" s="197"/>
      <c r="M426" s="237" t="s">
        <v>2206</v>
      </c>
      <c r="N426" s="197"/>
      <c r="O426" s="197"/>
      <c r="P426" s="197">
        <v>9403208000</v>
      </c>
      <c r="Q426" s="126">
        <v>416.66666666666674</v>
      </c>
      <c r="R426" s="277" t="s">
        <v>9</v>
      </c>
      <c r="T426" s="168">
        <v>1388.8888888888891</v>
      </c>
      <c r="U426" s="168">
        <v>833.33333333333348</v>
      </c>
      <c r="V426" s="168">
        <v>694.44444444444457</v>
      </c>
      <c r="W426" s="168">
        <v>555.55555555555566</v>
      </c>
    </row>
    <row r="427" spans="1:23" s="129" customFormat="1" hidden="1">
      <c r="A427" s="195" t="s">
        <v>1276</v>
      </c>
      <c r="B427" s="195" t="s">
        <v>1102</v>
      </c>
      <c r="C427" s="239" t="s">
        <v>1844</v>
      </c>
      <c r="D427" s="237" t="s">
        <v>2207</v>
      </c>
      <c r="E427" s="128" t="s">
        <v>2636</v>
      </c>
      <c r="F427" s="128" t="s">
        <v>3254</v>
      </c>
      <c r="G427" s="238" t="s">
        <v>1883</v>
      </c>
      <c r="H427" s="238" t="s">
        <v>3061</v>
      </c>
      <c r="I427" s="236" t="s">
        <v>2122</v>
      </c>
      <c r="J427" s="128"/>
      <c r="K427" s="239" t="s">
        <v>1223</v>
      </c>
      <c r="L427" s="197"/>
      <c r="M427" s="237" t="s">
        <v>2206</v>
      </c>
      <c r="N427" s="197"/>
      <c r="O427" s="197"/>
      <c r="P427" s="197">
        <v>9403208000</v>
      </c>
      <c r="Q427" s="126">
        <v>294.5402298850575</v>
      </c>
      <c r="R427" s="277" t="s">
        <v>9</v>
      </c>
      <c r="T427" s="168">
        <v>981.80076628352504</v>
      </c>
      <c r="U427" s="168">
        <v>589.080459770115</v>
      </c>
      <c r="V427" s="168">
        <v>490.90038314176252</v>
      </c>
      <c r="W427" s="168">
        <v>392.72030651341004</v>
      </c>
    </row>
    <row r="428" spans="1:23" s="129" customFormat="1" hidden="1">
      <c r="A428" s="195" t="s">
        <v>1276</v>
      </c>
      <c r="B428" s="195" t="s">
        <v>1102</v>
      </c>
      <c r="C428" s="239" t="s">
        <v>1844</v>
      </c>
      <c r="D428" s="237" t="s">
        <v>2207</v>
      </c>
      <c r="E428" s="128" t="s">
        <v>2637</v>
      </c>
      <c r="F428" s="128" t="s">
        <v>3254</v>
      </c>
      <c r="G428" s="238" t="s">
        <v>1884</v>
      </c>
      <c r="H428" s="238" t="s">
        <v>3062</v>
      </c>
      <c r="I428" s="236" t="s">
        <v>2123</v>
      </c>
      <c r="J428" s="128"/>
      <c r="K428" s="239" t="s">
        <v>1223</v>
      </c>
      <c r="L428" s="197"/>
      <c r="M428" s="237" t="s">
        <v>2206</v>
      </c>
      <c r="N428" s="197"/>
      <c r="O428" s="197"/>
      <c r="P428" s="197">
        <v>9403208000</v>
      </c>
      <c r="Q428" s="126">
        <v>303.16091954022988</v>
      </c>
      <c r="R428" s="277" t="s">
        <v>9</v>
      </c>
      <c r="T428" s="168">
        <v>1010.5363984674329</v>
      </c>
      <c r="U428" s="168">
        <v>606.32183908045977</v>
      </c>
      <c r="V428" s="168">
        <v>505.26819923371647</v>
      </c>
      <c r="W428" s="168">
        <v>404.21455938697318</v>
      </c>
    </row>
    <row r="429" spans="1:23" s="129" customFormat="1" hidden="1">
      <c r="A429" s="195" t="s">
        <v>1276</v>
      </c>
      <c r="B429" s="195" t="s">
        <v>1102</v>
      </c>
      <c r="C429" s="239" t="s">
        <v>1844</v>
      </c>
      <c r="D429" s="237" t="s">
        <v>2207</v>
      </c>
      <c r="E429" s="128" t="s">
        <v>2638</v>
      </c>
      <c r="F429" s="128" t="s">
        <v>3254</v>
      </c>
      <c r="G429" s="238" t="s">
        <v>1885</v>
      </c>
      <c r="H429" s="238" t="s">
        <v>3063</v>
      </c>
      <c r="I429" s="236" t="s">
        <v>2124</v>
      </c>
      <c r="J429" s="128"/>
      <c r="K429" s="239" t="s">
        <v>1223</v>
      </c>
      <c r="L429" s="197"/>
      <c r="M429" s="237" t="s">
        <v>2206</v>
      </c>
      <c r="N429" s="197"/>
      <c r="O429" s="197"/>
      <c r="P429" s="197">
        <v>9403208000</v>
      </c>
      <c r="Q429" s="126">
        <v>316.09195402298855</v>
      </c>
      <c r="R429" s="277" t="s">
        <v>9</v>
      </c>
      <c r="T429" s="168">
        <v>1053.6398467432953</v>
      </c>
      <c r="U429" s="168">
        <v>632.18390804597709</v>
      </c>
      <c r="V429" s="168">
        <v>526.81992337164763</v>
      </c>
      <c r="W429" s="168">
        <v>421.45593869731812</v>
      </c>
    </row>
    <row r="430" spans="1:23" s="129" customFormat="1" hidden="1">
      <c r="A430" s="195" t="s">
        <v>1276</v>
      </c>
      <c r="B430" s="195" t="s">
        <v>1102</v>
      </c>
      <c r="C430" s="239" t="s">
        <v>1844</v>
      </c>
      <c r="D430" s="237" t="s">
        <v>2207</v>
      </c>
      <c r="E430" s="128" t="s">
        <v>2639</v>
      </c>
      <c r="F430" s="128" t="s">
        <v>3254</v>
      </c>
      <c r="G430" s="238" t="s">
        <v>1886</v>
      </c>
      <c r="H430" s="238" t="s">
        <v>3064</v>
      </c>
      <c r="I430" s="236" t="s">
        <v>2125</v>
      </c>
      <c r="J430" s="128"/>
      <c r="K430" s="239" t="s">
        <v>1223</v>
      </c>
      <c r="L430" s="197"/>
      <c r="M430" s="237" t="s">
        <v>2206</v>
      </c>
      <c r="N430" s="197"/>
      <c r="O430" s="197"/>
      <c r="P430" s="197">
        <v>9403208000</v>
      </c>
      <c r="Q430" s="126">
        <v>354.88505747126442</v>
      </c>
      <c r="R430" s="277" t="s">
        <v>9</v>
      </c>
      <c r="T430" s="168">
        <v>1182.9501915708815</v>
      </c>
      <c r="U430" s="168">
        <v>709.77011494252895</v>
      </c>
      <c r="V430" s="168">
        <v>591.47509578544077</v>
      </c>
      <c r="W430" s="168">
        <v>473.18007662835265</v>
      </c>
    </row>
    <row r="431" spans="1:23" s="129" customFormat="1" hidden="1">
      <c r="A431" s="195" t="s">
        <v>1276</v>
      </c>
      <c r="B431" s="195" t="s">
        <v>1102</v>
      </c>
      <c r="C431" s="239" t="s">
        <v>1844</v>
      </c>
      <c r="D431" s="237" t="s">
        <v>2207</v>
      </c>
      <c r="E431" s="128" t="s">
        <v>2640</v>
      </c>
      <c r="F431" s="128" t="s">
        <v>3254</v>
      </c>
      <c r="G431" s="238" t="s">
        <v>1887</v>
      </c>
      <c r="H431" s="238" t="s">
        <v>3065</v>
      </c>
      <c r="I431" s="236" t="s">
        <v>2126</v>
      </c>
      <c r="J431" s="128"/>
      <c r="K431" s="239" t="s">
        <v>1223</v>
      </c>
      <c r="L431" s="197"/>
      <c r="M431" s="237" t="s">
        <v>2206</v>
      </c>
      <c r="N431" s="197"/>
      <c r="O431" s="197"/>
      <c r="P431" s="197">
        <v>9403208000</v>
      </c>
      <c r="Q431" s="126">
        <v>395.11494252873564</v>
      </c>
      <c r="R431" s="277" t="s">
        <v>9</v>
      </c>
      <c r="T431" s="168">
        <v>1317.0498084291189</v>
      </c>
      <c r="U431" s="168">
        <v>790.22988505747128</v>
      </c>
      <c r="V431" s="168">
        <v>658.52490421455946</v>
      </c>
      <c r="W431" s="168">
        <v>526.81992337164763</v>
      </c>
    </row>
    <row r="432" spans="1:23" s="129" customFormat="1" hidden="1">
      <c r="A432" s="195" t="s">
        <v>1276</v>
      </c>
      <c r="B432" s="195" t="s">
        <v>1102</v>
      </c>
      <c r="C432" s="239" t="s">
        <v>1844</v>
      </c>
      <c r="D432" s="237" t="s">
        <v>2207</v>
      </c>
      <c r="E432" s="128" t="s">
        <v>2636</v>
      </c>
      <c r="F432" s="128" t="s">
        <v>3255</v>
      </c>
      <c r="G432" s="238" t="s">
        <v>1888</v>
      </c>
      <c r="H432" s="238" t="s">
        <v>3066</v>
      </c>
      <c r="I432" s="236" t="s">
        <v>2127</v>
      </c>
      <c r="J432" s="128"/>
      <c r="K432" s="239" t="s">
        <v>1223</v>
      </c>
      <c r="L432" s="197"/>
      <c r="M432" s="237" t="s">
        <v>2206</v>
      </c>
      <c r="N432" s="197"/>
      <c r="O432" s="197"/>
      <c r="P432" s="197">
        <v>9403208000</v>
      </c>
      <c r="Q432" s="126">
        <v>316.09195402298855</v>
      </c>
      <c r="R432" s="277" t="s">
        <v>9</v>
      </c>
      <c r="T432" s="168">
        <v>1053.6398467432953</v>
      </c>
      <c r="U432" s="168">
        <v>632.18390804597709</v>
      </c>
      <c r="V432" s="168">
        <v>526.81992337164763</v>
      </c>
      <c r="W432" s="168">
        <v>421.45593869731812</v>
      </c>
    </row>
    <row r="433" spans="1:23" s="129" customFormat="1" hidden="1">
      <c r="A433" s="195" t="s">
        <v>1276</v>
      </c>
      <c r="B433" s="195" t="s">
        <v>1102</v>
      </c>
      <c r="C433" s="239" t="s">
        <v>1844</v>
      </c>
      <c r="D433" s="237" t="s">
        <v>2207</v>
      </c>
      <c r="E433" s="128" t="s">
        <v>2638</v>
      </c>
      <c r="F433" s="128" t="s">
        <v>3255</v>
      </c>
      <c r="G433" s="238" t="s">
        <v>1889</v>
      </c>
      <c r="H433" s="238" t="s">
        <v>3067</v>
      </c>
      <c r="I433" s="236" t="s">
        <v>2128</v>
      </c>
      <c r="J433" s="128"/>
      <c r="K433" s="239" t="s">
        <v>1223</v>
      </c>
      <c r="L433" s="197"/>
      <c r="M433" s="237" t="s">
        <v>2206</v>
      </c>
      <c r="N433" s="197"/>
      <c r="O433" s="197"/>
      <c r="P433" s="197">
        <v>9403208000</v>
      </c>
      <c r="Q433" s="126">
        <v>344.82758620689657</v>
      </c>
      <c r="R433" s="277" t="s">
        <v>9</v>
      </c>
      <c r="T433" s="168">
        <v>1149.4252873563219</v>
      </c>
      <c r="U433" s="168">
        <v>689.65517241379314</v>
      </c>
      <c r="V433" s="168">
        <v>574.71264367816093</v>
      </c>
      <c r="W433" s="168">
        <v>459.77011494252878</v>
      </c>
    </row>
    <row r="434" spans="1:23" s="129" customFormat="1" hidden="1">
      <c r="A434" s="195" t="s">
        <v>1276</v>
      </c>
      <c r="B434" s="195" t="s">
        <v>1102</v>
      </c>
      <c r="C434" s="239" t="s">
        <v>1844</v>
      </c>
      <c r="D434" s="237" t="s">
        <v>2207</v>
      </c>
      <c r="E434" s="128" t="s">
        <v>2640</v>
      </c>
      <c r="F434" s="128" t="s">
        <v>3255</v>
      </c>
      <c r="G434" s="238" t="s">
        <v>1890</v>
      </c>
      <c r="H434" s="238" t="s">
        <v>3068</v>
      </c>
      <c r="I434" s="236" t="s">
        <v>2129</v>
      </c>
      <c r="J434" s="128"/>
      <c r="K434" s="239" t="s">
        <v>1223</v>
      </c>
      <c r="L434" s="197"/>
      <c r="M434" s="237" t="s">
        <v>2206</v>
      </c>
      <c r="N434" s="197"/>
      <c r="O434" s="197"/>
      <c r="P434" s="197">
        <v>9403208000</v>
      </c>
      <c r="Q434" s="126">
        <v>431.03448275862075</v>
      </c>
      <c r="R434" s="277" t="s">
        <v>9</v>
      </c>
      <c r="T434" s="168">
        <v>1436.7816091954026</v>
      </c>
      <c r="U434" s="168">
        <v>862.06896551724151</v>
      </c>
      <c r="V434" s="168">
        <v>718.39080459770128</v>
      </c>
      <c r="W434" s="168">
        <v>574.71264367816104</v>
      </c>
    </row>
    <row r="435" spans="1:23" s="129" customFormat="1" hidden="1">
      <c r="A435" s="195" t="s">
        <v>1276</v>
      </c>
      <c r="B435" s="195" t="s">
        <v>1102</v>
      </c>
      <c r="C435" s="239" t="s">
        <v>1844</v>
      </c>
      <c r="D435" s="237" t="s">
        <v>2207</v>
      </c>
      <c r="E435" s="128" t="s">
        <v>2640</v>
      </c>
      <c r="F435" s="128" t="s">
        <v>3256</v>
      </c>
      <c r="G435" s="238" t="s">
        <v>1891</v>
      </c>
      <c r="H435" s="238" t="s">
        <v>3069</v>
      </c>
      <c r="I435" s="236" t="s">
        <v>2130</v>
      </c>
      <c r="J435" s="128"/>
      <c r="K435" s="239" t="s">
        <v>1223</v>
      </c>
      <c r="L435" s="197"/>
      <c r="M435" s="237" t="s">
        <v>2206</v>
      </c>
      <c r="N435" s="197"/>
      <c r="O435" s="197"/>
      <c r="P435" s="197">
        <v>9403208000</v>
      </c>
      <c r="Q435" s="126">
        <v>474.13793103448279</v>
      </c>
      <c r="R435" s="277" t="s">
        <v>9</v>
      </c>
      <c r="T435" s="168">
        <v>1580.4597701149428</v>
      </c>
      <c r="U435" s="168">
        <v>948.27586206896558</v>
      </c>
      <c r="V435" s="168">
        <v>790.22988505747139</v>
      </c>
      <c r="W435" s="168">
        <v>632.1839080459772</v>
      </c>
    </row>
    <row r="436" spans="1:23" s="129" customFormat="1" hidden="1">
      <c r="A436" s="195" t="s">
        <v>1276</v>
      </c>
      <c r="B436" s="195" t="s">
        <v>1102</v>
      </c>
      <c r="C436" s="239" t="s">
        <v>1844</v>
      </c>
      <c r="D436" s="237" t="s">
        <v>2207</v>
      </c>
      <c r="E436" s="128" t="s">
        <v>2640</v>
      </c>
      <c r="F436" s="128" t="s">
        <v>3257</v>
      </c>
      <c r="G436" s="238" t="s">
        <v>1892</v>
      </c>
      <c r="H436" s="238" t="s">
        <v>3070</v>
      </c>
      <c r="I436" s="236" t="s">
        <v>2131</v>
      </c>
      <c r="J436" s="128"/>
      <c r="K436" s="239" t="s">
        <v>1223</v>
      </c>
      <c r="L436" s="197"/>
      <c r="M436" s="237" t="s">
        <v>2206</v>
      </c>
      <c r="N436" s="197"/>
      <c r="O436" s="197"/>
      <c r="P436" s="197">
        <v>9403208000</v>
      </c>
      <c r="Q436" s="126">
        <v>488.5057471264368</v>
      </c>
      <c r="R436" s="277" t="s">
        <v>9</v>
      </c>
      <c r="T436" s="168">
        <v>1628.352490421456</v>
      </c>
      <c r="U436" s="168">
        <v>977.01149425287349</v>
      </c>
      <c r="V436" s="168">
        <v>814.17624521072798</v>
      </c>
      <c r="W436" s="168">
        <v>651.34099616858248</v>
      </c>
    </row>
    <row r="437" spans="1:23" s="129" customFormat="1" hidden="1">
      <c r="A437" s="195" t="s">
        <v>1276</v>
      </c>
      <c r="B437" s="195" t="s">
        <v>1102</v>
      </c>
      <c r="C437" s="239" t="s">
        <v>1844</v>
      </c>
      <c r="D437" s="237" t="s">
        <v>2207</v>
      </c>
      <c r="E437" s="128" t="s">
        <v>2639</v>
      </c>
      <c r="F437" s="128" t="s">
        <v>3258</v>
      </c>
      <c r="G437" s="238" t="s">
        <v>1893</v>
      </c>
      <c r="H437" s="238" t="s">
        <v>3071</v>
      </c>
      <c r="I437" s="236" t="s">
        <v>2132</v>
      </c>
      <c r="J437" s="128"/>
      <c r="K437" s="239" t="s">
        <v>1223</v>
      </c>
      <c r="L437" s="197"/>
      <c r="M437" s="237" t="s">
        <v>2206</v>
      </c>
      <c r="N437" s="197"/>
      <c r="O437" s="197"/>
      <c r="P437" s="197">
        <v>9403208000</v>
      </c>
      <c r="Q437" s="126">
        <v>466.95402298850581</v>
      </c>
      <c r="R437" s="277" t="s">
        <v>9</v>
      </c>
      <c r="T437" s="168">
        <v>1556.5134099616862</v>
      </c>
      <c r="U437" s="168">
        <v>933.90804597701162</v>
      </c>
      <c r="V437" s="168">
        <v>778.2567049808431</v>
      </c>
      <c r="W437" s="168">
        <v>622.60536398467457</v>
      </c>
    </row>
    <row r="438" spans="1:23" s="129" customFormat="1" hidden="1">
      <c r="A438" s="195" t="s">
        <v>1276</v>
      </c>
      <c r="B438" s="195" t="s">
        <v>1102</v>
      </c>
      <c r="C438" s="239" t="s">
        <v>1844</v>
      </c>
      <c r="D438" s="237" t="s">
        <v>2207</v>
      </c>
      <c r="E438" s="128" t="s">
        <v>2640</v>
      </c>
      <c r="F438" s="128" t="s">
        <v>3258</v>
      </c>
      <c r="G438" s="238" t="s">
        <v>1894</v>
      </c>
      <c r="H438" s="238" t="s">
        <v>3072</v>
      </c>
      <c r="I438" s="236" t="s">
        <v>2133</v>
      </c>
      <c r="J438" s="128"/>
      <c r="K438" s="239" t="s">
        <v>1223</v>
      </c>
      <c r="L438" s="197"/>
      <c r="M438" s="237" t="s">
        <v>2206</v>
      </c>
      <c r="N438" s="197"/>
      <c r="O438" s="197"/>
      <c r="P438" s="197">
        <v>9403208000</v>
      </c>
      <c r="Q438" s="126">
        <v>488.5057471264368</v>
      </c>
      <c r="R438" s="277" t="s">
        <v>9</v>
      </c>
      <c r="T438" s="168">
        <v>1628.352490421456</v>
      </c>
      <c r="U438" s="168">
        <v>977.01149425287349</v>
      </c>
      <c r="V438" s="168">
        <v>814.17624521072798</v>
      </c>
      <c r="W438" s="168">
        <v>651.34099616858248</v>
      </c>
    </row>
    <row r="439" spans="1:23" s="129" customFormat="1" hidden="1">
      <c r="A439" s="195" t="s">
        <v>1276</v>
      </c>
      <c r="B439" s="195" t="s">
        <v>1102</v>
      </c>
      <c r="C439" s="239" t="s">
        <v>1844</v>
      </c>
      <c r="D439" s="237" t="s">
        <v>2207</v>
      </c>
      <c r="E439" s="128" t="s">
        <v>2641</v>
      </c>
      <c r="F439" s="128" t="s">
        <v>3258</v>
      </c>
      <c r="G439" s="238" t="s">
        <v>1895</v>
      </c>
      <c r="H439" s="238" t="s">
        <v>3073</v>
      </c>
      <c r="I439" s="236" t="s">
        <v>2134</v>
      </c>
      <c r="J439" s="128"/>
      <c r="K439" s="239" t="s">
        <v>1223</v>
      </c>
      <c r="L439" s="197"/>
      <c r="M439" s="237" t="s">
        <v>2206</v>
      </c>
      <c r="N439" s="197"/>
      <c r="O439" s="197"/>
      <c r="P439" s="197">
        <v>9403208000</v>
      </c>
      <c r="Q439" s="126">
        <v>574.71264367816093</v>
      </c>
      <c r="R439" s="277" t="s">
        <v>9</v>
      </c>
      <c r="T439" s="168">
        <v>1915.7088122605364</v>
      </c>
      <c r="U439" s="168">
        <v>1149.4252873563219</v>
      </c>
      <c r="V439" s="168">
        <v>957.85440613026822</v>
      </c>
      <c r="W439" s="168">
        <v>766.28352490421457</v>
      </c>
    </row>
    <row r="440" spans="1:23" s="129" customFormat="1" hidden="1">
      <c r="A440" s="195" t="s">
        <v>1276</v>
      </c>
      <c r="B440" s="195" t="s">
        <v>1102</v>
      </c>
      <c r="C440" s="239" t="s">
        <v>1844</v>
      </c>
      <c r="D440" s="237" t="s">
        <v>2207</v>
      </c>
      <c r="E440" s="128" t="s">
        <v>2640</v>
      </c>
      <c r="F440" s="128" t="s">
        <v>3259</v>
      </c>
      <c r="G440" s="238" t="s">
        <v>1896</v>
      </c>
      <c r="H440" s="238" t="s">
        <v>3074</v>
      </c>
      <c r="I440" s="236" t="s">
        <v>2135</v>
      </c>
      <c r="J440" s="128"/>
      <c r="K440" s="239" t="s">
        <v>1223</v>
      </c>
      <c r="L440" s="197"/>
      <c r="M440" s="237" t="s">
        <v>2206</v>
      </c>
      <c r="N440" s="197"/>
      <c r="O440" s="197"/>
      <c r="P440" s="197">
        <v>9403208000</v>
      </c>
      <c r="Q440" s="126">
        <v>553.16091954022988</v>
      </c>
      <c r="R440" s="277" t="s">
        <v>9</v>
      </c>
      <c r="T440" s="168">
        <v>1843.8697318007664</v>
      </c>
      <c r="U440" s="168">
        <v>1106.3218390804598</v>
      </c>
      <c r="V440" s="168">
        <v>921.93486590038322</v>
      </c>
      <c r="W440" s="168">
        <v>737.54789272030666</v>
      </c>
    </row>
    <row r="441" spans="1:23" s="129" customFormat="1" hidden="1">
      <c r="A441" s="195" t="s">
        <v>1276</v>
      </c>
      <c r="B441" s="195" t="s">
        <v>1102</v>
      </c>
      <c r="C441" s="239" t="s">
        <v>1844</v>
      </c>
      <c r="D441" s="237" t="s">
        <v>2207</v>
      </c>
      <c r="E441" s="128" t="s">
        <v>2640</v>
      </c>
      <c r="F441" s="128" t="s">
        <v>3260</v>
      </c>
      <c r="G441" s="238" t="s">
        <v>1897</v>
      </c>
      <c r="H441" s="238" t="s">
        <v>3075</v>
      </c>
      <c r="I441" s="236" t="s">
        <v>2136</v>
      </c>
      <c r="J441" s="128"/>
      <c r="K441" s="239" t="s">
        <v>1223</v>
      </c>
      <c r="L441" s="197"/>
      <c r="M441" s="237" t="s">
        <v>2206</v>
      </c>
      <c r="N441" s="197"/>
      <c r="O441" s="197"/>
      <c r="P441" s="197">
        <v>9403208000</v>
      </c>
      <c r="Q441" s="126">
        <v>625</v>
      </c>
      <c r="R441" s="277" t="s">
        <v>9</v>
      </c>
      <c r="T441" s="168">
        <v>2083.3333333333335</v>
      </c>
      <c r="U441" s="168">
        <v>1250</v>
      </c>
      <c r="V441" s="168">
        <v>1041.6666666666667</v>
      </c>
      <c r="W441" s="168">
        <v>833.33333333333348</v>
      </c>
    </row>
    <row r="442" spans="1:23" s="129" customFormat="1" hidden="1">
      <c r="A442" s="195" t="s">
        <v>1276</v>
      </c>
      <c r="B442" s="195" t="s">
        <v>1102</v>
      </c>
      <c r="C442" s="239" t="s">
        <v>1844</v>
      </c>
      <c r="D442" s="237" t="s">
        <v>2207</v>
      </c>
      <c r="E442" s="128" t="s">
        <v>2641</v>
      </c>
      <c r="F442" s="128" t="s">
        <v>3260</v>
      </c>
      <c r="G442" s="238" t="s">
        <v>1898</v>
      </c>
      <c r="H442" s="238" t="s">
        <v>3076</v>
      </c>
      <c r="I442" s="236" t="s">
        <v>2137</v>
      </c>
      <c r="J442" s="128"/>
      <c r="K442" s="239" t="s">
        <v>1223</v>
      </c>
      <c r="L442" s="197"/>
      <c r="M442" s="237" t="s">
        <v>2206</v>
      </c>
      <c r="N442" s="197"/>
      <c r="O442" s="197"/>
      <c r="P442" s="197">
        <v>9403208000</v>
      </c>
      <c r="Q442" s="126">
        <v>675.28735632183918</v>
      </c>
      <c r="R442" s="277" t="s">
        <v>9</v>
      </c>
      <c r="T442" s="168">
        <v>2250.9578544061305</v>
      </c>
      <c r="U442" s="168">
        <v>1350.5747126436784</v>
      </c>
      <c r="V442" s="168">
        <v>1125.4789272030653</v>
      </c>
      <c r="W442" s="168">
        <v>900.38314176245228</v>
      </c>
    </row>
    <row r="443" spans="1:23" s="129" customFormat="1" hidden="1">
      <c r="A443" s="195" t="s">
        <v>1276</v>
      </c>
      <c r="B443" s="195" t="s">
        <v>1102</v>
      </c>
      <c r="C443" s="239" t="s">
        <v>1844</v>
      </c>
      <c r="D443" s="237" t="s">
        <v>2207</v>
      </c>
      <c r="E443" s="128" t="s">
        <v>2639</v>
      </c>
      <c r="F443" s="128" t="s">
        <v>3258</v>
      </c>
      <c r="G443" s="238" t="s">
        <v>1899</v>
      </c>
      <c r="H443" s="238" t="s">
        <v>3077</v>
      </c>
      <c r="I443" s="236" t="s">
        <v>2138</v>
      </c>
      <c r="J443" s="128"/>
      <c r="K443" s="239" t="s">
        <v>1223</v>
      </c>
      <c r="L443" s="197"/>
      <c r="M443" s="237" t="s">
        <v>2206</v>
      </c>
      <c r="N443" s="197"/>
      <c r="O443" s="197"/>
      <c r="P443" s="197">
        <v>9403208000</v>
      </c>
      <c r="Q443" s="126">
        <v>538.79310344827593</v>
      </c>
      <c r="R443" s="277" t="s">
        <v>9</v>
      </c>
      <c r="T443" s="168">
        <v>1795.9770114942532</v>
      </c>
      <c r="U443" s="168">
        <v>1077.5862068965519</v>
      </c>
      <c r="V443" s="168">
        <v>897.98850574712662</v>
      </c>
      <c r="W443" s="168">
        <v>718.39080459770139</v>
      </c>
    </row>
    <row r="444" spans="1:23" s="129" customFormat="1" hidden="1">
      <c r="A444" s="195" t="s">
        <v>1276</v>
      </c>
      <c r="B444" s="195" t="s">
        <v>1102</v>
      </c>
      <c r="C444" s="239" t="s">
        <v>1844</v>
      </c>
      <c r="D444" s="237" t="s">
        <v>2207</v>
      </c>
      <c r="E444" s="128" t="s">
        <v>2640</v>
      </c>
      <c r="F444" s="128" t="s">
        <v>3258</v>
      </c>
      <c r="G444" s="238" t="s">
        <v>1900</v>
      </c>
      <c r="H444" s="238" t="s">
        <v>3078</v>
      </c>
      <c r="I444" s="236" t="s">
        <v>2139</v>
      </c>
      <c r="J444" s="128"/>
      <c r="K444" s="239" t="s">
        <v>1223</v>
      </c>
      <c r="L444" s="197"/>
      <c r="M444" s="237" t="s">
        <v>2206</v>
      </c>
      <c r="N444" s="197"/>
      <c r="O444" s="197"/>
      <c r="P444" s="197">
        <v>9403208000</v>
      </c>
      <c r="Q444" s="126">
        <v>603.44827586206895</v>
      </c>
      <c r="R444" s="277" t="s">
        <v>9</v>
      </c>
      <c r="T444" s="168">
        <v>2011.4942528735633</v>
      </c>
      <c r="U444" s="168">
        <v>1206.8965517241379</v>
      </c>
      <c r="V444" s="168">
        <v>1005.7471264367816</v>
      </c>
      <c r="W444" s="168">
        <v>804.59770114942535</v>
      </c>
    </row>
    <row r="445" spans="1:23" s="129" customFormat="1" hidden="1">
      <c r="A445" s="195" t="s">
        <v>1276</v>
      </c>
      <c r="B445" s="195" t="s">
        <v>1102</v>
      </c>
      <c r="C445" s="239" t="s">
        <v>1844</v>
      </c>
      <c r="D445" s="237" t="s">
        <v>2207</v>
      </c>
      <c r="E445" s="128" t="s">
        <v>2641</v>
      </c>
      <c r="F445" s="128" t="s">
        <v>3258</v>
      </c>
      <c r="G445" s="238" t="s">
        <v>1901</v>
      </c>
      <c r="H445" s="238" t="s">
        <v>3079</v>
      </c>
      <c r="I445" s="236" t="s">
        <v>2140</v>
      </c>
      <c r="J445" s="128"/>
      <c r="K445" s="239" t="s">
        <v>1223</v>
      </c>
      <c r="L445" s="197"/>
      <c r="M445" s="237" t="s">
        <v>2206</v>
      </c>
      <c r="N445" s="197"/>
      <c r="O445" s="197"/>
      <c r="P445" s="197">
        <v>9403208000</v>
      </c>
      <c r="Q445" s="126">
        <v>653.73563218390814</v>
      </c>
      <c r="R445" s="277" t="s">
        <v>9</v>
      </c>
      <c r="T445" s="168">
        <v>2179.1187739463608</v>
      </c>
      <c r="U445" s="168">
        <v>1307.4712643678165</v>
      </c>
      <c r="V445" s="168">
        <v>1089.5593869731804</v>
      </c>
      <c r="W445" s="168">
        <v>871.64750957854437</v>
      </c>
    </row>
    <row r="446" spans="1:23" s="129" customFormat="1" hidden="1">
      <c r="A446" s="195" t="s">
        <v>1276</v>
      </c>
      <c r="B446" s="195" t="s">
        <v>1102</v>
      </c>
      <c r="C446" s="239" t="s">
        <v>1844</v>
      </c>
      <c r="D446" s="237" t="s">
        <v>2207</v>
      </c>
      <c r="E446" s="128" t="s">
        <v>2640</v>
      </c>
      <c r="F446" s="128" t="s">
        <v>3259</v>
      </c>
      <c r="G446" s="238" t="s">
        <v>1902</v>
      </c>
      <c r="H446" s="238" t="s">
        <v>3080</v>
      </c>
      <c r="I446" s="236" t="s">
        <v>2141</v>
      </c>
      <c r="J446" s="128"/>
      <c r="K446" s="239" t="s">
        <v>1223</v>
      </c>
      <c r="L446" s="197"/>
      <c r="M446" s="237" t="s">
        <v>2206</v>
      </c>
      <c r="N446" s="197"/>
      <c r="O446" s="197"/>
      <c r="P446" s="197">
        <v>9403208000</v>
      </c>
      <c r="Q446" s="126">
        <v>639.36781609195407</v>
      </c>
      <c r="R446" s="277" t="s">
        <v>9</v>
      </c>
      <c r="T446" s="168">
        <v>2131.2260536398471</v>
      </c>
      <c r="U446" s="168">
        <v>1278.7356321839081</v>
      </c>
      <c r="V446" s="168">
        <v>1065.6130268199236</v>
      </c>
      <c r="W446" s="168">
        <v>852.49042145593887</v>
      </c>
    </row>
    <row r="447" spans="1:23" s="129" customFormat="1" hidden="1">
      <c r="A447" s="195" t="s">
        <v>1276</v>
      </c>
      <c r="B447" s="195" t="s">
        <v>1102</v>
      </c>
      <c r="C447" s="239" t="s">
        <v>1844</v>
      </c>
      <c r="D447" s="237" t="s">
        <v>2207</v>
      </c>
      <c r="E447" s="128" t="s">
        <v>2640</v>
      </c>
      <c r="F447" s="128" t="s">
        <v>3260</v>
      </c>
      <c r="G447" s="238" t="s">
        <v>1903</v>
      </c>
      <c r="H447" s="238" t="s">
        <v>3081</v>
      </c>
      <c r="I447" s="236" t="s">
        <v>2142</v>
      </c>
      <c r="J447" s="128"/>
      <c r="K447" s="239" t="s">
        <v>1223</v>
      </c>
      <c r="L447" s="197"/>
      <c r="M447" s="237" t="s">
        <v>2206</v>
      </c>
      <c r="N447" s="197"/>
      <c r="O447" s="197"/>
      <c r="P447" s="197">
        <v>9403208000</v>
      </c>
      <c r="Q447" s="126">
        <v>704.02298850574709</v>
      </c>
      <c r="R447" s="277" t="s">
        <v>9</v>
      </c>
      <c r="T447" s="168">
        <v>2346.7432950191569</v>
      </c>
      <c r="U447" s="168">
        <v>1408.0459770114942</v>
      </c>
      <c r="V447" s="168">
        <v>1173.3716475095785</v>
      </c>
      <c r="W447" s="168">
        <v>938.69731800766283</v>
      </c>
    </row>
    <row r="448" spans="1:23" s="129" customFormat="1" hidden="1">
      <c r="A448" s="195" t="s">
        <v>1276</v>
      </c>
      <c r="B448" s="195" t="s">
        <v>1102</v>
      </c>
      <c r="C448" s="239" t="s">
        <v>1844</v>
      </c>
      <c r="D448" s="237" t="s">
        <v>2207</v>
      </c>
      <c r="E448" s="128" t="s">
        <v>2641</v>
      </c>
      <c r="F448" s="128" t="s">
        <v>3260</v>
      </c>
      <c r="G448" s="238" t="s">
        <v>1904</v>
      </c>
      <c r="H448" s="238" t="s">
        <v>3082</v>
      </c>
      <c r="I448" s="236" t="s">
        <v>2143</v>
      </c>
      <c r="J448" s="128"/>
      <c r="K448" s="239" t="s">
        <v>1223</v>
      </c>
      <c r="L448" s="197"/>
      <c r="M448" s="237" t="s">
        <v>2206</v>
      </c>
      <c r="N448" s="197"/>
      <c r="O448" s="197"/>
      <c r="P448" s="197">
        <v>9403208000</v>
      </c>
      <c r="Q448" s="126">
        <v>761.49425287356325</v>
      </c>
      <c r="R448" s="277" t="s">
        <v>9</v>
      </c>
      <c r="T448" s="168">
        <v>2538.314176245211</v>
      </c>
      <c r="U448" s="168">
        <v>1522.9885057471265</v>
      </c>
      <c r="V448" s="168">
        <v>1269.1570881226055</v>
      </c>
      <c r="W448" s="168">
        <v>1015.3256704980845</v>
      </c>
    </row>
    <row r="449" spans="1:23" s="129" customFormat="1" hidden="1">
      <c r="A449" s="195" t="s">
        <v>1276</v>
      </c>
      <c r="B449" s="195" t="s">
        <v>1102</v>
      </c>
      <c r="C449" s="239" t="s">
        <v>1844</v>
      </c>
      <c r="D449" s="237" t="s">
        <v>2207</v>
      </c>
      <c r="E449" s="128" t="s">
        <v>2636</v>
      </c>
      <c r="F449" s="128"/>
      <c r="G449" s="238" t="s">
        <v>1905</v>
      </c>
      <c r="H449" s="238" t="s">
        <v>3083</v>
      </c>
      <c r="I449" s="236" t="s">
        <v>2144</v>
      </c>
      <c r="J449" s="128"/>
      <c r="K449" s="239" t="s">
        <v>1223</v>
      </c>
      <c r="L449" s="197"/>
      <c r="M449" s="237" t="s">
        <v>2206</v>
      </c>
      <c r="N449" s="197"/>
      <c r="O449" s="197"/>
      <c r="P449" s="197">
        <v>9403208000</v>
      </c>
      <c r="Q449" s="126">
        <v>258.62068965517244</v>
      </c>
      <c r="R449" s="277" t="s">
        <v>9</v>
      </c>
      <c r="T449" s="168">
        <v>862.06896551724151</v>
      </c>
      <c r="U449" s="168">
        <v>517.24137931034488</v>
      </c>
      <c r="V449" s="168">
        <v>431.03448275862075</v>
      </c>
      <c r="W449" s="168">
        <v>344.82758620689663</v>
      </c>
    </row>
    <row r="450" spans="1:23" s="129" customFormat="1" hidden="1">
      <c r="A450" s="195" t="s">
        <v>1276</v>
      </c>
      <c r="B450" s="195" t="s">
        <v>1102</v>
      </c>
      <c r="C450" s="239" t="s">
        <v>1844</v>
      </c>
      <c r="D450" s="237" t="s">
        <v>2207</v>
      </c>
      <c r="E450" s="128" t="s">
        <v>2637</v>
      </c>
      <c r="F450" s="128"/>
      <c r="G450" s="238" t="s">
        <v>1906</v>
      </c>
      <c r="H450" s="238" t="s">
        <v>3084</v>
      </c>
      <c r="I450" s="236" t="s">
        <v>2145</v>
      </c>
      <c r="J450" s="128"/>
      <c r="K450" s="239" t="s">
        <v>1223</v>
      </c>
      <c r="L450" s="197"/>
      <c r="M450" s="237" t="s">
        <v>2206</v>
      </c>
      <c r="N450" s="197"/>
      <c r="O450" s="197"/>
      <c r="P450" s="197">
        <v>9403208000</v>
      </c>
      <c r="Q450" s="126">
        <v>272.98850574712645</v>
      </c>
      <c r="R450" s="277" t="s">
        <v>9</v>
      </c>
      <c r="T450" s="168">
        <v>909.96168582375492</v>
      </c>
      <c r="U450" s="168">
        <v>545.97701149425291</v>
      </c>
      <c r="V450" s="168">
        <v>454.98084291187746</v>
      </c>
      <c r="W450" s="168">
        <v>363.98467432950201</v>
      </c>
    </row>
    <row r="451" spans="1:23" s="129" customFormat="1" hidden="1">
      <c r="A451" s="195" t="s">
        <v>1276</v>
      </c>
      <c r="B451" s="195" t="s">
        <v>1102</v>
      </c>
      <c r="C451" s="239" t="s">
        <v>1844</v>
      </c>
      <c r="D451" s="237" t="s">
        <v>2207</v>
      </c>
      <c r="E451" s="128" t="s">
        <v>2638</v>
      </c>
      <c r="F451" s="128"/>
      <c r="G451" s="238" t="s">
        <v>1907</v>
      </c>
      <c r="H451" s="238" t="s">
        <v>3085</v>
      </c>
      <c r="I451" s="236" t="s">
        <v>2146</v>
      </c>
      <c r="J451" s="128"/>
      <c r="K451" s="239" t="s">
        <v>1223</v>
      </c>
      <c r="L451" s="197"/>
      <c r="M451" s="237" t="s">
        <v>2206</v>
      </c>
      <c r="N451" s="197"/>
      <c r="O451" s="197"/>
      <c r="P451" s="197">
        <v>9403208000</v>
      </c>
      <c r="Q451" s="126">
        <v>287.35632183908046</v>
      </c>
      <c r="R451" s="277" t="s">
        <v>9</v>
      </c>
      <c r="T451" s="168">
        <v>957.85440613026822</v>
      </c>
      <c r="U451" s="168">
        <v>574.71264367816093</v>
      </c>
      <c r="V451" s="168">
        <v>478.92720306513411</v>
      </c>
      <c r="W451" s="168">
        <v>383.14176245210729</v>
      </c>
    </row>
    <row r="452" spans="1:23" s="129" customFormat="1" hidden="1">
      <c r="A452" s="195" t="s">
        <v>1276</v>
      </c>
      <c r="B452" s="195" t="s">
        <v>1102</v>
      </c>
      <c r="C452" s="239" t="s">
        <v>1844</v>
      </c>
      <c r="D452" s="237" t="s">
        <v>2207</v>
      </c>
      <c r="E452" s="128" t="s">
        <v>2639</v>
      </c>
      <c r="F452" s="128" t="s">
        <v>3254</v>
      </c>
      <c r="G452" s="238" t="s">
        <v>1908</v>
      </c>
      <c r="H452" s="238" t="s">
        <v>3086</v>
      </c>
      <c r="I452" s="236" t="s">
        <v>2147</v>
      </c>
      <c r="J452" s="128"/>
      <c r="K452" s="239" t="s">
        <v>1223</v>
      </c>
      <c r="L452" s="197"/>
      <c r="M452" s="237" t="s">
        <v>2206</v>
      </c>
      <c r="N452" s="197"/>
      <c r="O452" s="197"/>
      <c r="P452" s="197">
        <v>9403208000</v>
      </c>
      <c r="Q452" s="126">
        <v>316.09195402298855</v>
      </c>
      <c r="R452" s="277" t="s">
        <v>9</v>
      </c>
      <c r="T452" s="168">
        <v>1053.6398467432953</v>
      </c>
      <c r="U452" s="168">
        <v>632.18390804597709</v>
      </c>
      <c r="V452" s="168">
        <v>526.81992337164763</v>
      </c>
      <c r="W452" s="168">
        <v>421.45593869731812</v>
      </c>
    </row>
    <row r="453" spans="1:23" s="129" customFormat="1" hidden="1">
      <c r="A453" s="195" t="s">
        <v>1276</v>
      </c>
      <c r="B453" s="195" t="s">
        <v>1102</v>
      </c>
      <c r="C453" s="239" t="s">
        <v>1844</v>
      </c>
      <c r="D453" s="237" t="s">
        <v>2207</v>
      </c>
      <c r="E453" s="128" t="s">
        <v>2640</v>
      </c>
      <c r="F453" s="128" t="s">
        <v>3254</v>
      </c>
      <c r="G453" s="238" t="s">
        <v>1909</v>
      </c>
      <c r="H453" s="238" t="s">
        <v>3087</v>
      </c>
      <c r="I453" s="236" t="s">
        <v>2148</v>
      </c>
      <c r="J453" s="128"/>
      <c r="K453" s="239" t="s">
        <v>1223</v>
      </c>
      <c r="L453" s="197"/>
      <c r="M453" s="237" t="s">
        <v>2206</v>
      </c>
      <c r="N453" s="197"/>
      <c r="O453" s="197"/>
      <c r="P453" s="197">
        <v>9403208000</v>
      </c>
      <c r="Q453" s="126">
        <v>359.19540229885052</v>
      </c>
      <c r="R453" s="277" t="s">
        <v>9</v>
      </c>
      <c r="T453" s="168">
        <v>1197.318007662835</v>
      </c>
      <c r="U453" s="168">
        <v>718.39080459770105</v>
      </c>
      <c r="V453" s="168">
        <v>598.65900383141752</v>
      </c>
      <c r="W453" s="168">
        <v>478.92720306513405</v>
      </c>
    </row>
    <row r="454" spans="1:23" s="129" customFormat="1" hidden="1">
      <c r="A454" s="195" t="s">
        <v>1276</v>
      </c>
      <c r="B454" s="195" t="s">
        <v>1102</v>
      </c>
      <c r="C454" s="239" t="s">
        <v>1844</v>
      </c>
      <c r="D454" s="237" t="s">
        <v>2207</v>
      </c>
      <c r="E454" s="128" t="s">
        <v>2636</v>
      </c>
      <c r="F454" s="128"/>
      <c r="G454" s="238" t="s">
        <v>1910</v>
      </c>
      <c r="H454" s="238" t="s">
        <v>3088</v>
      </c>
      <c r="I454" s="236" t="s">
        <v>2149</v>
      </c>
      <c r="J454" s="128"/>
      <c r="K454" s="239" t="s">
        <v>1223</v>
      </c>
      <c r="L454" s="197"/>
      <c r="M454" s="237" t="s">
        <v>2206</v>
      </c>
      <c r="N454" s="197"/>
      <c r="O454" s="197"/>
      <c r="P454" s="197">
        <v>9403208000</v>
      </c>
      <c r="Q454" s="126">
        <v>287.35632183908046</v>
      </c>
      <c r="R454" s="277" t="s">
        <v>9</v>
      </c>
      <c r="T454" s="168">
        <v>957.85440613026822</v>
      </c>
      <c r="U454" s="168">
        <v>574.71264367816093</v>
      </c>
      <c r="V454" s="168">
        <v>478.92720306513411</v>
      </c>
      <c r="W454" s="168">
        <v>383.14176245210729</v>
      </c>
    </row>
    <row r="455" spans="1:23" s="129" customFormat="1" hidden="1">
      <c r="A455" s="195" t="s">
        <v>1276</v>
      </c>
      <c r="B455" s="195" t="s">
        <v>1102</v>
      </c>
      <c r="C455" s="239" t="s">
        <v>1844</v>
      </c>
      <c r="D455" s="237" t="s">
        <v>2207</v>
      </c>
      <c r="E455" s="128" t="s">
        <v>2638</v>
      </c>
      <c r="F455" s="128" t="s">
        <v>3255</v>
      </c>
      <c r="G455" s="238" t="s">
        <v>1911</v>
      </c>
      <c r="H455" s="238" t="s">
        <v>3089</v>
      </c>
      <c r="I455" s="236" t="s">
        <v>2150</v>
      </c>
      <c r="J455" s="128"/>
      <c r="K455" s="239" t="s">
        <v>1223</v>
      </c>
      <c r="L455" s="197"/>
      <c r="M455" s="237" t="s">
        <v>2206</v>
      </c>
      <c r="N455" s="197"/>
      <c r="O455" s="197"/>
      <c r="P455" s="197">
        <v>9403208000</v>
      </c>
      <c r="Q455" s="126">
        <v>316.09195402298855</v>
      </c>
      <c r="R455" s="277" t="s">
        <v>9</v>
      </c>
      <c r="T455" s="168">
        <v>1053.6398467432953</v>
      </c>
      <c r="U455" s="168">
        <v>632.18390804597709</v>
      </c>
      <c r="V455" s="168">
        <v>526.81992337164763</v>
      </c>
      <c r="W455" s="168">
        <v>421.45593869731812</v>
      </c>
    </row>
    <row r="456" spans="1:23" s="129" customFormat="1" hidden="1">
      <c r="A456" s="195" t="s">
        <v>1276</v>
      </c>
      <c r="B456" s="195" t="s">
        <v>1102</v>
      </c>
      <c r="C456" s="239" t="s">
        <v>1844</v>
      </c>
      <c r="D456" s="237" t="s">
        <v>2207</v>
      </c>
      <c r="E456" s="128" t="s">
        <v>2640</v>
      </c>
      <c r="F456" s="128" t="s">
        <v>3255</v>
      </c>
      <c r="G456" s="238" t="s">
        <v>1912</v>
      </c>
      <c r="H456" s="238" t="s">
        <v>3090</v>
      </c>
      <c r="I456" s="236" t="s">
        <v>2151</v>
      </c>
      <c r="J456" s="128"/>
      <c r="K456" s="239" t="s">
        <v>1223</v>
      </c>
      <c r="L456" s="197"/>
      <c r="M456" s="237" t="s">
        <v>2206</v>
      </c>
      <c r="N456" s="197"/>
      <c r="O456" s="197"/>
      <c r="P456" s="197">
        <v>9403208000</v>
      </c>
      <c r="Q456" s="126">
        <v>387.93103448275861</v>
      </c>
      <c r="R456" s="277" t="s">
        <v>9</v>
      </c>
      <c r="T456" s="168">
        <v>1293.1034482758621</v>
      </c>
      <c r="U456" s="168">
        <v>775.86206896551721</v>
      </c>
      <c r="V456" s="168">
        <v>646.55172413793105</v>
      </c>
      <c r="W456" s="168">
        <v>517.24137931034488</v>
      </c>
    </row>
    <row r="457" spans="1:23" s="129" customFormat="1" hidden="1">
      <c r="A457" s="195" t="s">
        <v>1276</v>
      </c>
      <c r="B457" s="195" t="s">
        <v>1102</v>
      </c>
      <c r="C457" s="239" t="s">
        <v>1844</v>
      </c>
      <c r="D457" s="237" t="s">
        <v>2207</v>
      </c>
      <c r="E457" s="128" t="s">
        <v>2641</v>
      </c>
      <c r="F457" s="128" t="s">
        <v>3255</v>
      </c>
      <c r="G457" s="238" t="s">
        <v>1913</v>
      </c>
      <c r="H457" s="238" t="s">
        <v>3091</v>
      </c>
      <c r="I457" s="236" t="s">
        <v>2152</v>
      </c>
      <c r="J457" s="128"/>
      <c r="K457" s="239" t="s">
        <v>1223</v>
      </c>
      <c r="L457" s="197"/>
      <c r="M457" s="237" t="s">
        <v>2206</v>
      </c>
      <c r="N457" s="197"/>
      <c r="O457" s="197"/>
      <c r="P457" s="197">
        <v>9403208000</v>
      </c>
      <c r="Q457" s="126">
        <v>416.66666666666674</v>
      </c>
      <c r="R457" s="277" t="s">
        <v>9</v>
      </c>
      <c r="T457" s="168">
        <v>1388.8888888888891</v>
      </c>
      <c r="U457" s="168">
        <v>833.33333333333348</v>
      </c>
      <c r="V457" s="168">
        <v>694.44444444444457</v>
      </c>
      <c r="W457" s="168">
        <v>555.55555555555566</v>
      </c>
    </row>
    <row r="458" spans="1:23" s="129" customFormat="1" hidden="1">
      <c r="A458" s="195" t="s">
        <v>1276</v>
      </c>
      <c r="B458" s="195" t="s">
        <v>1102</v>
      </c>
      <c r="C458" s="239" t="s">
        <v>1844</v>
      </c>
      <c r="D458" s="237" t="s">
        <v>2207</v>
      </c>
      <c r="E458" s="128" t="s">
        <v>2640</v>
      </c>
      <c r="F458" s="128" t="s">
        <v>3256</v>
      </c>
      <c r="G458" s="238" t="s">
        <v>1914</v>
      </c>
      <c r="H458" s="238" t="s">
        <v>3092</v>
      </c>
      <c r="I458" s="236" t="s">
        <v>2153</v>
      </c>
      <c r="J458" s="128"/>
      <c r="K458" s="239" t="s">
        <v>1223</v>
      </c>
      <c r="L458" s="197"/>
      <c r="M458" s="237" t="s">
        <v>2206</v>
      </c>
      <c r="N458" s="197"/>
      <c r="O458" s="197"/>
      <c r="P458" s="197">
        <v>9403208000</v>
      </c>
      <c r="Q458" s="126">
        <v>423.85057471264372</v>
      </c>
      <c r="R458" s="277" t="s">
        <v>9</v>
      </c>
      <c r="T458" s="168">
        <v>1412.8352490421457</v>
      </c>
      <c r="U458" s="168">
        <v>847.70114942528744</v>
      </c>
      <c r="V458" s="168">
        <v>706.41762452107287</v>
      </c>
      <c r="W458" s="168">
        <v>565.13409961685829</v>
      </c>
    </row>
    <row r="459" spans="1:23" s="129" customFormat="1" hidden="1">
      <c r="A459" s="195" t="s">
        <v>1276</v>
      </c>
      <c r="B459" s="195" t="s">
        <v>1102</v>
      </c>
      <c r="C459" s="239" t="s">
        <v>1844</v>
      </c>
      <c r="D459" s="237" t="s">
        <v>2207</v>
      </c>
      <c r="E459" s="128" t="s">
        <v>2636</v>
      </c>
      <c r="F459" s="128" t="s">
        <v>3261</v>
      </c>
      <c r="G459" s="238" t="s">
        <v>1915</v>
      </c>
      <c r="H459" s="238" t="s">
        <v>3093</v>
      </c>
      <c r="I459" s="236" t="s">
        <v>2154</v>
      </c>
      <c r="J459" s="128"/>
      <c r="K459" s="239" t="s">
        <v>1223</v>
      </c>
      <c r="L459" s="197"/>
      <c r="M459" s="237" t="s">
        <v>2206</v>
      </c>
      <c r="N459" s="197"/>
      <c r="O459" s="197"/>
      <c r="P459" s="197">
        <v>9403208000</v>
      </c>
      <c r="Q459" s="126">
        <v>294.5402298850575</v>
      </c>
      <c r="R459" s="277" t="s">
        <v>9</v>
      </c>
      <c r="T459" s="168">
        <v>981.80076628352504</v>
      </c>
      <c r="U459" s="168">
        <v>589.080459770115</v>
      </c>
      <c r="V459" s="168">
        <v>490.90038314176252</v>
      </c>
      <c r="W459" s="168">
        <v>392.72030651341004</v>
      </c>
    </row>
    <row r="460" spans="1:23" s="129" customFormat="1" hidden="1">
      <c r="A460" s="195" t="s">
        <v>1276</v>
      </c>
      <c r="B460" s="195" t="s">
        <v>1102</v>
      </c>
      <c r="C460" s="239" t="s">
        <v>1844</v>
      </c>
      <c r="D460" s="237" t="s">
        <v>2207</v>
      </c>
      <c r="E460" s="128" t="s">
        <v>2637</v>
      </c>
      <c r="F460" s="128" t="s">
        <v>3254</v>
      </c>
      <c r="G460" s="238" t="s">
        <v>1916</v>
      </c>
      <c r="H460" s="238" t="s">
        <v>3094</v>
      </c>
      <c r="I460" s="236" t="s">
        <v>2155</v>
      </c>
      <c r="J460" s="128"/>
      <c r="K460" s="239" t="s">
        <v>1223</v>
      </c>
      <c r="L460" s="197"/>
      <c r="M460" s="237" t="s">
        <v>2206</v>
      </c>
      <c r="N460" s="197"/>
      <c r="O460" s="197"/>
      <c r="P460" s="197">
        <v>9403208000</v>
      </c>
      <c r="Q460" s="126">
        <v>308.90804597701157</v>
      </c>
      <c r="R460" s="277" t="s">
        <v>9</v>
      </c>
      <c r="T460" s="168">
        <v>1029.6934865900387</v>
      </c>
      <c r="U460" s="168">
        <v>617.81609195402314</v>
      </c>
      <c r="V460" s="168">
        <v>514.84674329501934</v>
      </c>
      <c r="W460" s="168">
        <v>411.87739463601548</v>
      </c>
    </row>
    <row r="461" spans="1:23" s="129" customFormat="1" hidden="1">
      <c r="A461" s="195" t="s">
        <v>1276</v>
      </c>
      <c r="B461" s="195" t="s">
        <v>1102</v>
      </c>
      <c r="C461" s="239" t="s">
        <v>1844</v>
      </c>
      <c r="D461" s="237" t="s">
        <v>2207</v>
      </c>
      <c r="E461" s="128" t="s">
        <v>2638</v>
      </c>
      <c r="F461" s="128" t="s">
        <v>3254</v>
      </c>
      <c r="G461" s="238" t="s">
        <v>1917</v>
      </c>
      <c r="H461" s="238" t="s">
        <v>3095</v>
      </c>
      <c r="I461" s="236" t="s">
        <v>2156</v>
      </c>
      <c r="J461" s="128"/>
      <c r="K461" s="239" t="s">
        <v>1223</v>
      </c>
      <c r="L461" s="197"/>
      <c r="M461" s="237" t="s">
        <v>2206</v>
      </c>
      <c r="N461" s="197"/>
      <c r="O461" s="197"/>
      <c r="P461" s="197">
        <v>9403208000</v>
      </c>
      <c r="Q461" s="126">
        <v>323.27586206896552</v>
      </c>
      <c r="R461" s="277" t="s">
        <v>9</v>
      </c>
      <c r="T461" s="168">
        <v>1077.5862068965519</v>
      </c>
      <c r="U461" s="168">
        <v>646.55172413793105</v>
      </c>
      <c r="V461" s="168">
        <v>538.79310344827593</v>
      </c>
      <c r="W461" s="168">
        <v>431.03448275862075</v>
      </c>
    </row>
    <row r="462" spans="1:23" s="129" customFormat="1" hidden="1">
      <c r="A462" s="195" t="s">
        <v>1276</v>
      </c>
      <c r="B462" s="195" t="s">
        <v>1102</v>
      </c>
      <c r="C462" s="239" t="s">
        <v>1844</v>
      </c>
      <c r="D462" s="237" t="s">
        <v>2207</v>
      </c>
      <c r="E462" s="128" t="s">
        <v>2639</v>
      </c>
      <c r="F462" s="128" t="s">
        <v>3254</v>
      </c>
      <c r="G462" s="238" t="s">
        <v>1918</v>
      </c>
      <c r="H462" s="238" t="s">
        <v>3096</v>
      </c>
      <c r="I462" s="236" t="s">
        <v>2157</v>
      </c>
      <c r="J462" s="128"/>
      <c r="K462" s="239" t="s">
        <v>1223</v>
      </c>
      <c r="L462" s="197"/>
      <c r="M462" s="237" t="s">
        <v>2206</v>
      </c>
      <c r="N462" s="197"/>
      <c r="O462" s="197"/>
      <c r="P462" s="197">
        <v>9403208000</v>
      </c>
      <c r="Q462" s="126">
        <v>359.19540229885052</v>
      </c>
      <c r="R462" s="277" t="s">
        <v>9</v>
      </c>
      <c r="T462" s="168">
        <v>1197.318007662835</v>
      </c>
      <c r="U462" s="168">
        <v>718.39080459770105</v>
      </c>
      <c r="V462" s="168">
        <v>598.65900383141752</v>
      </c>
      <c r="W462" s="168">
        <v>478.92720306513405</v>
      </c>
    </row>
    <row r="463" spans="1:23" s="129" customFormat="1" hidden="1">
      <c r="A463" s="195" t="s">
        <v>1276</v>
      </c>
      <c r="B463" s="195" t="s">
        <v>1102</v>
      </c>
      <c r="C463" s="239" t="s">
        <v>1844</v>
      </c>
      <c r="D463" s="237" t="s">
        <v>2207</v>
      </c>
      <c r="E463" s="128" t="s">
        <v>2640</v>
      </c>
      <c r="F463" s="128" t="s">
        <v>3254</v>
      </c>
      <c r="G463" s="238" t="s">
        <v>1919</v>
      </c>
      <c r="H463" s="238" t="s">
        <v>3097</v>
      </c>
      <c r="I463" s="236" t="s">
        <v>2158</v>
      </c>
      <c r="J463" s="128"/>
      <c r="K463" s="239" t="s">
        <v>1223</v>
      </c>
      <c r="L463" s="197"/>
      <c r="M463" s="237" t="s">
        <v>2206</v>
      </c>
      <c r="N463" s="197"/>
      <c r="O463" s="197"/>
      <c r="P463" s="197">
        <v>9403208000</v>
      </c>
      <c r="Q463" s="126">
        <v>402.29885057471273</v>
      </c>
      <c r="R463" s="277" t="s">
        <v>9</v>
      </c>
      <c r="T463" s="168">
        <v>1340.9961685823757</v>
      </c>
      <c r="U463" s="168">
        <v>804.59770114942546</v>
      </c>
      <c r="V463" s="168">
        <v>670.49808429118787</v>
      </c>
      <c r="W463" s="168">
        <v>536.39846743295027</v>
      </c>
    </row>
    <row r="464" spans="1:23" s="129" customFormat="1" hidden="1">
      <c r="A464" s="195" t="s">
        <v>1276</v>
      </c>
      <c r="B464" s="195" t="s">
        <v>1102</v>
      </c>
      <c r="C464" s="239" t="s">
        <v>1844</v>
      </c>
      <c r="D464" s="237" t="s">
        <v>2207</v>
      </c>
      <c r="E464" s="128" t="s">
        <v>2636</v>
      </c>
      <c r="F464" s="128" t="s">
        <v>3255</v>
      </c>
      <c r="G464" s="238" t="s">
        <v>1920</v>
      </c>
      <c r="H464" s="238" t="s">
        <v>3098</v>
      </c>
      <c r="I464" s="236" t="s">
        <v>2159</v>
      </c>
      <c r="J464" s="128"/>
      <c r="K464" s="239" t="s">
        <v>1223</v>
      </c>
      <c r="L464" s="197"/>
      <c r="M464" s="237" t="s">
        <v>2206</v>
      </c>
      <c r="N464" s="197"/>
      <c r="O464" s="197"/>
      <c r="P464" s="197">
        <v>9403208000</v>
      </c>
      <c r="Q464" s="126">
        <v>316.09195402298855</v>
      </c>
      <c r="R464" s="277" t="s">
        <v>9</v>
      </c>
      <c r="T464" s="168">
        <v>1053.6398467432953</v>
      </c>
      <c r="U464" s="168">
        <v>632.18390804597709</v>
      </c>
      <c r="V464" s="168">
        <v>526.81992337164763</v>
      </c>
      <c r="W464" s="168">
        <v>421.45593869731812</v>
      </c>
    </row>
    <row r="465" spans="1:23" s="129" customFormat="1" hidden="1">
      <c r="A465" s="195" t="s">
        <v>1276</v>
      </c>
      <c r="B465" s="195" t="s">
        <v>1102</v>
      </c>
      <c r="C465" s="239" t="s">
        <v>1844</v>
      </c>
      <c r="D465" s="237" t="s">
        <v>2207</v>
      </c>
      <c r="E465" s="128" t="s">
        <v>2638</v>
      </c>
      <c r="F465" s="128" t="s">
        <v>3255</v>
      </c>
      <c r="G465" s="238" t="s">
        <v>1921</v>
      </c>
      <c r="H465" s="238" t="s">
        <v>3099</v>
      </c>
      <c r="I465" s="236" t="s">
        <v>2160</v>
      </c>
      <c r="J465" s="128"/>
      <c r="K465" s="239" t="s">
        <v>1223</v>
      </c>
      <c r="L465" s="197"/>
      <c r="M465" s="237" t="s">
        <v>2206</v>
      </c>
      <c r="N465" s="197"/>
      <c r="O465" s="197"/>
      <c r="P465" s="197">
        <v>9403208000</v>
      </c>
      <c r="Q465" s="126">
        <v>344.82758620689657</v>
      </c>
      <c r="R465" s="277" t="s">
        <v>9</v>
      </c>
      <c r="T465" s="168">
        <v>1149.4252873563219</v>
      </c>
      <c r="U465" s="168">
        <v>689.65517241379314</v>
      </c>
      <c r="V465" s="168">
        <v>574.71264367816093</v>
      </c>
      <c r="W465" s="168">
        <v>459.77011494252878</v>
      </c>
    </row>
    <row r="466" spans="1:23" s="129" customFormat="1" hidden="1">
      <c r="A466" s="195" t="s">
        <v>1276</v>
      </c>
      <c r="B466" s="195" t="s">
        <v>1102</v>
      </c>
      <c r="C466" s="239" t="s">
        <v>1844</v>
      </c>
      <c r="D466" s="237" t="s">
        <v>2207</v>
      </c>
      <c r="E466" s="128" t="s">
        <v>2640</v>
      </c>
      <c r="F466" s="128" t="s">
        <v>3255</v>
      </c>
      <c r="G466" s="238" t="s">
        <v>1922</v>
      </c>
      <c r="H466" s="238" t="s">
        <v>3100</v>
      </c>
      <c r="I466" s="236" t="s">
        <v>2161</v>
      </c>
      <c r="J466" s="128"/>
      <c r="K466" s="239" t="s">
        <v>1223</v>
      </c>
      <c r="L466" s="197"/>
      <c r="M466" s="237" t="s">
        <v>2206</v>
      </c>
      <c r="N466" s="197"/>
      <c r="O466" s="197"/>
      <c r="P466" s="197">
        <v>9403208000</v>
      </c>
      <c r="Q466" s="126">
        <v>438.21839080459773</v>
      </c>
      <c r="R466" s="277" t="s">
        <v>9</v>
      </c>
      <c r="T466" s="168">
        <v>1460.7279693486591</v>
      </c>
      <c r="U466" s="168">
        <v>876.43678160919546</v>
      </c>
      <c r="V466" s="168">
        <v>730.36398467432957</v>
      </c>
      <c r="W466" s="168">
        <v>584.29118773946368</v>
      </c>
    </row>
    <row r="467" spans="1:23" s="129" customFormat="1" hidden="1">
      <c r="A467" s="195" t="s">
        <v>1276</v>
      </c>
      <c r="B467" s="195" t="s">
        <v>1102</v>
      </c>
      <c r="C467" s="239" t="s">
        <v>1844</v>
      </c>
      <c r="D467" s="237" t="s">
        <v>2207</v>
      </c>
      <c r="E467" s="128" t="s">
        <v>2641</v>
      </c>
      <c r="F467" s="128" t="s">
        <v>3255</v>
      </c>
      <c r="G467" s="238" t="s">
        <v>1923</v>
      </c>
      <c r="H467" s="238" t="s">
        <v>3101</v>
      </c>
      <c r="I467" s="236" t="s">
        <v>2162</v>
      </c>
      <c r="J467" s="128"/>
      <c r="K467" s="239" t="s">
        <v>1223</v>
      </c>
      <c r="L467" s="197"/>
      <c r="M467" s="237" t="s">
        <v>2206</v>
      </c>
      <c r="N467" s="197"/>
      <c r="O467" s="197"/>
      <c r="P467" s="197">
        <v>9403208000</v>
      </c>
      <c r="Q467" s="126">
        <v>471.26436781609192</v>
      </c>
      <c r="R467" s="277" t="s">
        <v>9</v>
      </c>
      <c r="T467" s="168">
        <v>1570.8812260536397</v>
      </c>
      <c r="U467" s="168">
        <v>942.52873563218373</v>
      </c>
      <c r="V467" s="168">
        <v>785.44061302681985</v>
      </c>
      <c r="W467" s="168">
        <v>628.35249042145597</v>
      </c>
    </row>
    <row r="468" spans="1:23" s="129" customFormat="1" hidden="1">
      <c r="A468" s="195" t="s">
        <v>1276</v>
      </c>
      <c r="B468" s="195" t="s">
        <v>1102</v>
      </c>
      <c r="C468" s="239" t="s">
        <v>1844</v>
      </c>
      <c r="D468" s="237" t="s">
        <v>2207</v>
      </c>
      <c r="E468" s="128" t="s">
        <v>2640</v>
      </c>
      <c r="F468" s="128" t="s">
        <v>3256</v>
      </c>
      <c r="G468" s="238" t="s">
        <v>1924</v>
      </c>
      <c r="H468" s="238" t="s">
        <v>3102</v>
      </c>
      <c r="I468" s="236" t="s">
        <v>2163</v>
      </c>
      <c r="J468" s="128"/>
      <c r="K468" s="239" t="s">
        <v>1223</v>
      </c>
      <c r="L468" s="197"/>
      <c r="M468" s="237" t="s">
        <v>2206</v>
      </c>
      <c r="N468" s="197"/>
      <c r="O468" s="197"/>
      <c r="P468" s="197">
        <v>9403208000</v>
      </c>
      <c r="Q468" s="126">
        <v>478.44827586206901</v>
      </c>
      <c r="R468" s="277" t="s">
        <v>9</v>
      </c>
      <c r="T468" s="168">
        <v>1594.8275862068967</v>
      </c>
      <c r="U468" s="168">
        <v>956.89655172413802</v>
      </c>
      <c r="V468" s="168">
        <v>797.41379310344837</v>
      </c>
      <c r="W468" s="168">
        <v>637.93103448275872</v>
      </c>
    </row>
    <row r="469" spans="1:23" s="129" customFormat="1" hidden="1">
      <c r="A469" s="195" t="s">
        <v>1276</v>
      </c>
      <c r="B469" s="195" t="s">
        <v>1102</v>
      </c>
      <c r="C469" s="239" t="s">
        <v>1844</v>
      </c>
      <c r="D469" s="237" t="s">
        <v>2207</v>
      </c>
      <c r="E469" s="128" t="s">
        <v>2640</v>
      </c>
      <c r="F469" s="128" t="s">
        <v>3257</v>
      </c>
      <c r="G469" s="238" t="s">
        <v>1925</v>
      </c>
      <c r="H469" s="238" t="s">
        <v>3103</v>
      </c>
      <c r="I469" s="236" t="s">
        <v>2164</v>
      </c>
      <c r="J469" s="128"/>
      <c r="K469" s="239" t="s">
        <v>1223</v>
      </c>
      <c r="L469" s="197"/>
      <c r="M469" s="237" t="s">
        <v>2206</v>
      </c>
      <c r="N469" s="197"/>
      <c r="O469" s="197"/>
      <c r="P469" s="197">
        <v>9403208000</v>
      </c>
      <c r="Q469" s="126">
        <v>481.32183908045977</v>
      </c>
      <c r="R469" s="277" t="s">
        <v>9</v>
      </c>
      <c r="T469" s="168">
        <v>1604.4061302681994</v>
      </c>
      <c r="U469" s="168">
        <v>962.64367816091954</v>
      </c>
      <c r="V469" s="168">
        <v>802.20306513409969</v>
      </c>
      <c r="W469" s="168">
        <v>641.76245210727984</v>
      </c>
    </row>
    <row r="470" spans="1:23" s="129" customFormat="1" hidden="1">
      <c r="A470" s="195" t="s">
        <v>1276</v>
      </c>
      <c r="B470" s="195" t="s">
        <v>1102</v>
      </c>
      <c r="C470" s="239" t="s">
        <v>1844</v>
      </c>
      <c r="D470" s="237" t="s">
        <v>2207</v>
      </c>
      <c r="E470" s="128" t="s">
        <v>2639</v>
      </c>
      <c r="F470" s="128" t="s">
        <v>3258</v>
      </c>
      <c r="G470" s="238" t="s">
        <v>1926</v>
      </c>
      <c r="H470" s="238" t="s">
        <v>3104</v>
      </c>
      <c r="I470" s="236" t="s">
        <v>2165</v>
      </c>
      <c r="J470" s="128"/>
      <c r="K470" s="239" t="s">
        <v>1223</v>
      </c>
      <c r="L470" s="197"/>
      <c r="M470" s="237" t="s">
        <v>2206</v>
      </c>
      <c r="N470" s="197"/>
      <c r="O470" s="197"/>
      <c r="P470" s="197">
        <v>9403208000</v>
      </c>
      <c r="Q470" s="126">
        <v>459.77011494252878</v>
      </c>
      <c r="R470" s="277" t="s">
        <v>9</v>
      </c>
      <c r="T470" s="168">
        <v>1532.5670498084294</v>
      </c>
      <c r="U470" s="168">
        <v>919.54022988505756</v>
      </c>
      <c r="V470" s="168">
        <v>766.28352490421469</v>
      </c>
      <c r="W470" s="168">
        <v>613.02681992337182</v>
      </c>
    </row>
    <row r="471" spans="1:23" s="129" customFormat="1" hidden="1">
      <c r="A471" s="195" t="s">
        <v>1276</v>
      </c>
      <c r="B471" s="195" t="s">
        <v>1102</v>
      </c>
      <c r="C471" s="239" t="s">
        <v>1844</v>
      </c>
      <c r="D471" s="237" t="s">
        <v>2207</v>
      </c>
      <c r="E471" s="128" t="s">
        <v>2640</v>
      </c>
      <c r="F471" s="128" t="s">
        <v>3258</v>
      </c>
      <c r="G471" s="238" t="s">
        <v>1927</v>
      </c>
      <c r="H471" s="238" t="s">
        <v>3105</v>
      </c>
      <c r="I471" s="236" t="s">
        <v>2166</v>
      </c>
      <c r="J471" s="128"/>
      <c r="K471" s="239" t="s">
        <v>1223</v>
      </c>
      <c r="L471" s="197"/>
      <c r="M471" s="237" t="s">
        <v>2206</v>
      </c>
      <c r="N471" s="197"/>
      <c r="O471" s="197"/>
      <c r="P471" s="197">
        <v>9403208000</v>
      </c>
      <c r="Q471" s="126">
        <v>488.5057471264368</v>
      </c>
      <c r="R471" s="277" t="s">
        <v>9</v>
      </c>
      <c r="T471" s="168">
        <v>1628.352490421456</v>
      </c>
      <c r="U471" s="168">
        <v>977.01149425287349</v>
      </c>
      <c r="V471" s="168">
        <v>814.17624521072798</v>
      </c>
      <c r="W471" s="168">
        <v>651.34099616858248</v>
      </c>
    </row>
    <row r="472" spans="1:23" s="129" customFormat="1" hidden="1">
      <c r="A472" s="195" t="s">
        <v>1276</v>
      </c>
      <c r="B472" s="195" t="s">
        <v>1102</v>
      </c>
      <c r="C472" s="239" t="s">
        <v>1844</v>
      </c>
      <c r="D472" s="237" t="s">
        <v>2207</v>
      </c>
      <c r="E472" s="128" t="s">
        <v>2641</v>
      </c>
      <c r="F472" s="128" t="s">
        <v>3258</v>
      </c>
      <c r="G472" s="238" t="s">
        <v>1928</v>
      </c>
      <c r="H472" s="238" t="s">
        <v>3106</v>
      </c>
      <c r="I472" s="236" t="s">
        <v>2167</v>
      </c>
      <c r="J472" s="128"/>
      <c r="K472" s="239" t="s">
        <v>1223</v>
      </c>
      <c r="L472" s="197"/>
      <c r="M472" s="237" t="s">
        <v>2206</v>
      </c>
      <c r="N472" s="197"/>
      <c r="O472" s="197"/>
      <c r="P472" s="197">
        <v>9403208000</v>
      </c>
      <c r="Q472" s="126">
        <v>574.71264367816093</v>
      </c>
      <c r="R472" s="277" t="s">
        <v>9</v>
      </c>
      <c r="T472" s="168">
        <v>1915.7088122605364</v>
      </c>
      <c r="U472" s="168">
        <v>1149.4252873563219</v>
      </c>
      <c r="V472" s="168">
        <v>957.85440613026822</v>
      </c>
      <c r="W472" s="168">
        <v>766.28352490421457</v>
      </c>
    </row>
    <row r="473" spans="1:23" s="129" customFormat="1" hidden="1">
      <c r="A473" s="195" t="s">
        <v>1276</v>
      </c>
      <c r="B473" s="195" t="s">
        <v>1102</v>
      </c>
      <c r="C473" s="239" t="s">
        <v>1844</v>
      </c>
      <c r="D473" s="237" t="s">
        <v>2207</v>
      </c>
      <c r="E473" s="128" t="s">
        <v>2640</v>
      </c>
      <c r="F473" s="128" t="s">
        <v>3259</v>
      </c>
      <c r="G473" s="238" t="s">
        <v>1929</v>
      </c>
      <c r="H473" s="238" t="s">
        <v>3107</v>
      </c>
      <c r="I473" s="236" t="s">
        <v>2168</v>
      </c>
      <c r="J473" s="128"/>
      <c r="K473" s="239" t="s">
        <v>1223</v>
      </c>
      <c r="L473" s="197"/>
      <c r="M473" s="237" t="s">
        <v>2206</v>
      </c>
      <c r="N473" s="197"/>
      <c r="O473" s="197"/>
      <c r="P473" s="197">
        <v>9403208000</v>
      </c>
      <c r="Q473" s="126">
        <v>560.34482758620697</v>
      </c>
      <c r="R473" s="277" t="s">
        <v>9</v>
      </c>
      <c r="T473" s="168">
        <v>1867.8160919540232</v>
      </c>
      <c r="U473" s="168">
        <v>1120.6896551724139</v>
      </c>
      <c r="V473" s="168">
        <v>933.90804597701162</v>
      </c>
      <c r="W473" s="168">
        <v>747.1264367816093</v>
      </c>
    </row>
    <row r="474" spans="1:23" s="129" customFormat="1" hidden="1">
      <c r="A474" s="195" t="s">
        <v>1276</v>
      </c>
      <c r="B474" s="195" t="s">
        <v>1102</v>
      </c>
      <c r="C474" s="239" t="s">
        <v>1844</v>
      </c>
      <c r="D474" s="237" t="s">
        <v>2207</v>
      </c>
      <c r="E474" s="128" t="s">
        <v>2641</v>
      </c>
      <c r="F474" s="128" t="s">
        <v>3259</v>
      </c>
      <c r="G474" s="238" t="s">
        <v>1930</v>
      </c>
      <c r="H474" s="238" t="s">
        <v>3108</v>
      </c>
      <c r="I474" s="236" t="s">
        <v>2169</v>
      </c>
      <c r="J474" s="128"/>
      <c r="K474" s="239" t="s">
        <v>1223</v>
      </c>
      <c r="L474" s="197"/>
      <c r="M474" s="237" t="s">
        <v>2206</v>
      </c>
      <c r="N474" s="197"/>
      <c r="O474" s="197"/>
      <c r="P474" s="197">
        <v>9403208000</v>
      </c>
      <c r="Q474" s="126">
        <v>610.63218390804604</v>
      </c>
      <c r="R474" s="277" t="s">
        <v>9</v>
      </c>
      <c r="T474" s="168">
        <v>2035.4406130268203</v>
      </c>
      <c r="U474" s="168">
        <v>1221.2643678160921</v>
      </c>
      <c r="V474" s="168">
        <v>1017.7203065134102</v>
      </c>
      <c r="W474" s="168">
        <v>814.17624521072821</v>
      </c>
    </row>
    <row r="475" spans="1:23" s="129" customFormat="1" hidden="1">
      <c r="A475" s="195" t="s">
        <v>1276</v>
      </c>
      <c r="B475" s="195" t="s">
        <v>1102</v>
      </c>
      <c r="C475" s="239" t="s">
        <v>1844</v>
      </c>
      <c r="D475" s="237" t="s">
        <v>2207</v>
      </c>
      <c r="E475" s="128" t="s">
        <v>2640</v>
      </c>
      <c r="F475" s="128" t="s">
        <v>3260</v>
      </c>
      <c r="G475" s="238" t="s">
        <v>1931</v>
      </c>
      <c r="H475" s="238" t="s">
        <v>3109</v>
      </c>
      <c r="I475" s="236" t="s">
        <v>2170</v>
      </c>
      <c r="J475" s="128"/>
      <c r="K475" s="239" t="s">
        <v>1223</v>
      </c>
      <c r="L475" s="197"/>
      <c r="M475" s="237" t="s">
        <v>2206</v>
      </c>
      <c r="N475" s="197"/>
      <c r="O475" s="197"/>
      <c r="P475" s="197">
        <v>9403208000</v>
      </c>
      <c r="Q475" s="126">
        <v>619.25287356321849</v>
      </c>
      <c r="R475" s="277" t="s">
        <v>9</v>
      </c>
      <c r="T475" s="168">
        <v>2064.1762452107282</v>
      </c>
      <c r="U475" s="168">
        <v>1238.505747126437</v>
      </c>
      <c r="V475" s="168">
        <v>1032.0881226053641</v>
      </c>
      <c r="W475" s="168">
        <v>825.67049808429135</v>
      </c>
    </row>
    <row r="476" spans="1:23" s="129" customFormat="1" hidden="1">
      <c r="A476" s="195" t="s">
        <v>1276</v>
      </c>
      <c r="B476" s="195" t="s">
        <v>1102</v>
      </c>
      <c r="C476" s="239" t="s">
        <v>1844</v>
      </c>
      <c r="D476" s="237" t="s">
        <v>2207</v>
      </c>
      <c r="E476" s="128" t="s">
        <v>2641</v>
      </c>
      <c r="F476" s="128" t="s">
        <v>3260</v>
      </c>
      <c r="G476" s="238" t="s">
        <v>1932</v>
      </c>
      <c r="H476" s="238" t="s">
        <v>3110</v>
      </c>
      <c r="I476" s="236" t="s">
        <v>2171</v>
      </c>
      <c r="J476" s="128"/>
      <c r="K476" s="239" t="s">
        <v>1223</v>
      </c>
      <c r="L476" s="197"/>
      <c r="M476" s="237" t="s">
        <v>2206</v>
      </c>
      <c r="N476" s="197"/>
      <c r="O476" s="197"/>
      <c r="P476" s="197">
        <v>9403208000</v>
      </c>
      <c r="Q476" s="126">
        <v>682.47126436781616</v>
      </c>
      <c r="R476" s="277" t="s">
        <v>9</v>
      </c>
      <c r="T476" s="168">
        <v>2274.9042145593871</v>
      </c>
      <c r="U476" s="168">
        <v>1364.9425287356323</v>
      </c>
      <c r="V476" s="168">
        <v>1137.4521072796936</v>
      </c>
      <c r="W476" s="168">
        <v>909.96168582375492</v>
      </c>
    </row>
    <row r="477" spans="1:23" s="129" customFormat="1" hidden="1">
      <c r="A477" s="195" t="s">
        <v>1276</v>
      </c>
      <c r="B477" s="195" t="s">
        <v>1102</v>
      </c>
      <c r="C477" s="239" t="s">
        <v>1844</v>
      </c>
      <c r="D477" s="237" t="s">
        <v>2207</v>
      </c>
      <c r="E477" s="128" t="s">
        <v>2640</v>
      </c>
      <c r="F477" s="128" t="s">
        <v>3257</v>
      </c>
      <c r="G477" s="238" t="s">
        <v>1933</v>
      </c>
      <c r="H477" s="238" t="s">
        <v>3111</v>
      </c>
      <c r="I477" s="236" t="s">
        <v>2172</v>
      </c>
      <c r="J477" s="128"/>
      <c r="K477" s="239" t="s">
        <v>1223</v>
      </c>
      <c r="L477" s="197"/>
      <c r="M477" s="237" t="s">
        <v>2206</v>
      </c>
      <c r="N477" s="197"/>
      <c r="O477" s="197"/>
      <c r="P477" s="197">
        <v>9403208000</v>
      </c>
      <c r="Q477" s="126">
        <v>545.97701149425291</v>
      </c>
      <c r="R477" s="277" t="s">
        <v>9</v>
      </c>
      <c r="T477" s="168">
        <v>1819.9233716475098</v>
      </c>
      <c r="U477" s="168">
        <v>1091.9540229885058</v>
      </c>
      <c r="V477" s="168">
        <v>909.96168582375492</v>
      </c>
      <c r="W477" s="168">
        <v>727.96934865900403</v>
      </c>
    </row>
    <row r="478" spans="1:23" s="129" customFormat="1" hidden="1">
      <c r="A478" s="195" t="s">
        <v>1276</v>
      </c>
      <c r="B478" s="195" t="s">
        <v>1102</v>
      </c>
      <c r="C478" s="239" t="s">
        <v>1844</v>
      </c>
      <c r="D478" s="237" t="s">
        <v>2207</v>
      </c>
      <c r="E478" s="128" t="s">
        <v>2639</v>
      </c>
      <c r="F478" s="128" t="s">
        <v>3258</v>
      </c>
      <c r="G478" s="238" t="s">
        <v>1934</v>
      </c>
      <c r="H478" s="238" t="s">
        <v>3112</v>
      </c>
      <c r="I478" s="236" t="s">
        <v>2173</v>
      </c>
      <c r="J478" s="128"/>
      <c r="K478" s="239" t="s">
        <v>1223</v>
      </c>
      <c r="L478" s="197"/>
      <c r="M478" s="237" t="s">
        <v>2206</v>
      </c>
      <c r="N478" s="197"/>
      <c r="O478" s="197"/>
      <c r="P478" s="197">
        <v>9403208000</v>
      </c>
      <c r="Q478" s="126">
        <v>517.24137931034488</v>
      </c>
      <c r="R478" s="277" t="s">
        <v>9</v>
      </c>
      <c r="T478" s="168">
        <v>1724.137931034483</v>
      </c>
      <c r="U478" s="168">
        <v>1034.4827586206898</v>
      </c>
      <c r="V478" s="168">
        <v>862.06896551724151</v>
      </c>
      <c r="W478" s="168">
        <v>689.65517241379325</v>
      </c>
    </row>
    <row r="479" spans="1:23" s="129" customFormat="1" hidden="1">
      <c r="A479" s="195" t="s">
        <v>1276</v>
      </c>
      <c r="B479" s="195" t="s">
        <v>1102</v>
      </c>
      <c r="C479" s="239" t="s">
        <v>1844</v>
      </c>
      <c r="D479" s="237" t="s">
        <v>2207</v>
      </c>
      <c r="E479" s="128" t="s">
        <v>2640</v>
      </c>
      <c r="F479" s="128" t="s">
        <v>3258</v>
      </c>
      <c r="G479" s="238" t="s">
        <v>1935</v>
      </c>
      <c r="H479" s="238" t="s">
        <v>3113</v>
      </c>
      <c r="I479" s="236" t="s">
        <v>2174</v>
      </c>
      <c r="J479" s="128"/>
      <c r="K479" s="239" t="s">
        <v>1223</v>
      </c>
      <c r="L479" s="197"/>
      <c r="M479" s="237" t="s">
        <v>2206</v>
      </c>
      <c r="N479" s="197"/>
      <c r="O479" s="197"/>
      <c r="P479" s="197">
        <v>9403208000</v>
      </c>
      <c r="Q479" s="126">
        <v>545.97701149425291</v>
      </c>
      <c r="R479" s="277" t="s">
        <v>9</v>
      </c>
      <c r="T479" s="168">
        <v>1819.9233716475098</v>
      </c>
      <c r="U479" s="168">
        <v>1091.9540229885058</v>
      </c>
      <c r="V479" s="168">
        <v>909.96168582375492</v>
      </c>
      <c r="W479" s="168">
        <v>727.96934865900403</v>
      </c>
    </row>
    <row r="480" spans="1:23" s="129" customFormat="1" hidden="1">
      <c r="A480" s="195" t="s">
        <v>1276</v>
      </c>
      <c r="B480" s="195" t="s">
        <v>1102</v>
      </c>
      <c r="C480" s="239" t="s">
        <v>1844</v>
      </c>
      <c r="D480" s="237" t="s">
        <v>2207</v>
      </c>
      <c r="E480" s="128" t="s">
        <v>2641</v>
      </c>
      <c r="F480" s="128" t="s">
        <v>3258</v>
      </c>
      <c r="G480" s="238" t="s">
        <v>1936</v>
      </c>
      <c r="H480" s="238" t="s">
        <v>3114</v>
      </c>
      <c r="I480" s="236" t="s">
        <v>2175</v>
      </c>
      <c r="J480" s="128"/>
      <c r="K480" s="239" t="s">
        <v>1223</v>
      </c>
      <c r="L480" s="197"/>
      <c r="M480" s="237" t="s">
        <v>2206</v>
      </c>
      <c r="N480" s="197"/>
      <c r="O480" s="197"/>
      <c r="P480" s="197">
        <v>9403208000</v>
      </c>
      <c r="Q480" s="126">
        <v>653.73563218390814</v>
      </c>
      <c r="R480" s="277" t="s">
        <v>9</v>
      </c>
      <c r="T480" s="168">
        <v>2179.1187739463608</v>
      </c>
      <c r="U480" s="168">
        <v>1307.4712643678165</v>
      </c>
      <c r="V480" s="168">
        <v>1089.5593869731804</v>
      </c>
      <c r="W480" s="168">
        <v>871.64750957854437</v>
      </c>
    </row>
    <row r="481" spans="1:23" s="129" customFormat="1" hidden="1">
      <c r="A481" s="195" t="s">
        <v>1276</v>
      </c>
      <c r="B481" s="195" t="s">
        <v>1102</v>
      </c>
      <c r="C481" s="239" t="s">
        <v>1844</v>
      </c>
      <c r="D481" s="237" t="s">
        <v>2207</v>
      </c>
      <c r="E481" s="128" t="s">
        <v>2640</v>
      </c>
      <c r="F481" s="128" t="s">
        <v>3259</v>
      </c>
      <c r="G481" s="238" t="s">
        <v>1937</v>
      </c>
      <c r="H481" s="238" t="s">
        <v>3115</v>
      </c>
      <c r="I481" s="236" t="s">
        <v>2176</v>
      </c>
      <c r="J481" s="128"/>
      <c r="K481" s="239" t="s">
        <v>1223</v>
      </c>
      <c r="L481" s="197"/>
      <c r="M481" s="237" t="s">
        <v>2206</v>
      </c>
      <c r="N481" s="197"/>
      <c r="O481" s="197"/>
      <c r="P481" s="197">
        <v>9403208000</v>
      </c>
      <c r="Q481" s="126">
        <v>610.63218390804604</v>
      </c>
      <c r="R481" s="277" t="s">
        <v>9</v>
      </c>
      <c r="T481" s="168">
        <v>2035.4406130268203</v>
      </c>
      <c r="U481" s="168">
        <v>1221.2643678160921</v>
      </c>
      <c r="V481" s="168">
        <v>1017.7203065134102</v>
      </c>
      <c r="W481" s="168">
        <v>814.17624521072821</v>
      </c>
    </row>
    <row r="482" spans="1:23" s="129" customFormat="1" hidden="1">
      <c r="A482" s="195" t="s">
        <v>1276</v>
      </c>
      <c r="B482" s="195" t="s">
        <v>1102</v>
      </c>
      <c r="C482" s="239" t="s">
        <v>1844</v>
      </c>
      <c r="D482" s="237" t="s">
        <v>2207</v>
      </c>
      <c r="E482" s="128" t="s">
        <v>2641</v>
      </c>
      <c r="F482" s="128" t="s">
        <v>3259</v>
      </c>
      <c r="G482" s="238" t="s">
        <v>1938</v>
      </c>
      <c r="H482" s="238" t="s">
        <v>3116</v>
      </c>
      <c r="I482" s="236" t="s">
        <v>2177</v>
      </c>
      <c r="J482" s="128"/>
      <c r="K482" s="239" t="s">
        <v>1223</v>
      </c>
      <c r="L482" s="197"/>
      <c r="M482" s="237" t="s">
        <v>2206</v>
      </c>
      <c r="N482" s="197"/>
      <c r="O482" s="197"/>
      <c r="P482" s="197">
        <v>9403208000</v>
      </c>
      <c r="Q482" s="126">
        <v>668.10344827586209</v>
      </c>
      <c r="R482" s="277" t="s">
        <v>9</v>
      </c>
      <c r="T482" s="168">
        <v>2227.0114942528739</v>
      </c>
      <c r="U482" s="168">
        <v>1336.2068965517244</v>
      </c>
      <c r="V482" s="168">
        <v>1113.505747126437</v>
      </c>
      <c r="W482" s="168">
        <v>890.80459770114965</v>
      </c>
    </row>
    <row r="483" spans="1:23" s="129" customFormat="1" hidden="1">
      <c r="A483" s="195" t="s">
        <v>1276</v>
      </c>
      <c r="B483" s="195" t="s">
        <v>1102</v>
      </c>
      <c r="C483" s="239" t="s">
        <v>1844</v>
      </c>
      <c r="D483" s="237" t="s">
        <v>2207</v>
      </c>
      <c r="E483" s="128" t="s">
        <v>2640</v>
      </c>
      <c r="F483" s="128" t="s">
        <v>3260</v>
      </c>
      <c r="G483" s="238" t="s">
        <v>1939</v>
      </c>
      <c r="H483" s="238" t="s">
        <v>3117</v>
      </c>
      <c r="I483" s="236" t="s">
        <v>2178</v>
      </c>
      <c r="J483" s="128"/>
      <c r="K483" s="239" t="s">
        <v>1223</v>
      </c>
      <c r="L483" s="197"/>
      <c r="M483" s="237" t="s">
        <v>2206</v>
      </c>
      <c r="N483" s="197"/>
      <c r="O483" s="197"/>
      <c r="P483" s="197">
        <v>9403208000</v>
      </c>
      <c r="Q483" s="126">
        <v>675.28735632183918</v>
      </c>
      <c r="R483" s="277" t="s">
        <v>9</v>
      </c>
      <c r="T483" s="168">
        <v>2250.9578544061305</v>
      </c>
      <c r="U483" s="168">
        <v>1350.5747126436784</v>
      </c>
      <c r="V483" s="168">
        <v>1125.4789272030653</v>
      </c>
      <c r="W483" s="168">
        <v>900.38314176245228</v>
      </c>
    </row>
    <row r="484" spans="1:23" s="129" customFormat="1" hidden="1">
      <c r="A484" s="195" t="s">
        <v>1276</v>
      </c>
      <c r="B484" s="195" t="s">
        <v>1102</v>
      </c>
      <c r="C484" s="239" t="s">
        <v>1844</v>
      </c>
      <c r="D484" s="237" t="s">
        <v>2207</v>
      </c>
      <c r="E484" s="128" t="s">
        <v>2641</v>
      </c>
      <c r="F484" s="128" t="s">
        <v>3260</v>
      </c>
      <c r="G484" s="238" t="s">
        <v>1940</v>
      </c>
      <c r="H484" s="238" t="s">
        <v>3118</v>
      </c>
      <c r="I484" s="236" t="s">
        <v>2179</v>
      </c>
      <c r="J484" s="128"/>
      <c r="K484" s="239" t="s">
        <v>1223</v>
      </c>
      <c r="L484" s="197"/>
      <c r="M484" s="237" t="s">
        <v>2206</v>
      </c>
      <c r="N484" s="197"/>
      <c r="O484" s="197"/>
      <c r="P484" s="197">
        <v>9403208000</v>
      </c>
      <c r="Q484" s="126">
        <v>739.94252873563221</v>
      </c>
      <c r="R484" s="277" t="s">
        <v>9</v>
      </c>
      <c r="T484" s="168">
        <v>2466.4750957854408</v>
      </c>
      <c r="U484" s="168">
        <v>1479.8850574712644</v>
      </c>
      <c r="V484" s="168">
        <v>1233.2375478927204</v>
      </c>
      <c r="W484" s="168">
        <v>986.59003831417635</v>
      </c>
    </row>
    <row r="485" spans="1:23" s="129" customFormat="1" hidden="1">
      <c r="A485" s="195" t="s">
        <v>1276</v>
      </c>
      <c r="B485" s="195" t="s">
        <v>1102</v>
      </c>
      <c r="C485" s="239" t="s">
        <v>1844</v>
      </c>
      <c r="D485" s="237" t="s">
        <v>2208</v>
      </c>
      <c r="E485" s="128" t="s">
        <v>2640</v>
      </c>
      <c r="F485" s="128" t="s">
        <v>3258</v>
      </c>
      <c r="G485" s="238" t="s">
        <v>1941</v>
      </c>
      <c r="H485" s="238" t="s">
        <v>3119</v>
      </c>
      <c r="I485" s="236" t="s">
        <v>2180</v>
      </c>
      <c r="J485" s="128"/>
      <c r="K485" s="239" t="s">
        <v>1223</v>
      </c>
      <c r="L485" s="197"/>
      <c r="M485" s="237" t="s">
        <v>2206</v>
      </c>
      <c r="N485" s="197"/>
      <c r="O485" s="197"/>
      <c r="P485" s="197">
        <v>9403208000</v>
      </c>
      <c r="Q485" s="126">
        <v>605.21965044874833</v>
      </c>
      <c r="R485" s="277" t="s">
        <v>9</v>
      </c>
      <c r="T485" s="168">
        <v>2017.3988348291612</v>
      </c>
      <c r="U485" s="168">
        <v>1210.4393008974967</v>
      </c>
      <c r="V485" s="168">
        <v>1008.6994174145806</v>
      </c>
      <c r="W485" s="168">
        <v>806.95953393166451</v>
      </c>
    </row>
    <row r="486" spans="1:23" s="129" customFormat="1" hidden="1">
      <c r="A486" s="195" t="s">
        <v>1276</v>
      </c>
      <c r="B486" s="195" t="s">
        <v>1102</v>
      </c>
      <c r="C486" s="239" t="s">
        <v>1844</v>
      </c>
      <c r="D486" s="237" t="s">
        <v>2208</v>
      </c>
      <c r="E486" s="128" t="s">
        <v>2640</v>
      </c>
      <c r="F486" s="128" t="s">
        <v>3258</v>
      </c>
      <c r="G486" s="238" t="s">
        <v>1942</v>
      </c>
      <c r="H486" s="238" t="s">
        <v>3120</v>
      </c>
      <c r="I486" s="236" t="s">
        <v>2181</v>
      </c>
      <c r="J486" s="128"/>
      <c r="K486" s="239" t="s">
        <v>1223</v>
      </c>
      <c r="L486" s="197"/>
      <c r="M486" s="237" t="s">
        <v>2206</v>
      </c>
      <c r="N486" s="197"/>
      <c r="O486" s="197"/>
      <c r="P486" s="197">
        <v>9403208000</v>
      </c>
      <c r="Q486" s="126">
        <v>524.03164855928208</v>
      </c>
      <c r="R486" s="277" t="s">
        <v>9</v>
      </c>
      <c r="T486" s="168">
        <v>1746.7721618642736</v>
      </c>
      <c r="U486" s="168">
        <v>1048.0632971185642</v>
      </c>
      <c r="V486" s="168">
        <v>873.38608093213679</v>
      </c>
      <c r="W486" s="168">
        <v>698.70886474570943</v>
      </c>
    </row>
    <row r="487" spans="1:23" s="129" customFormat="1" hidden="1">
      <c r="A487" s="195" t="s">
        <v>1276</v>
      </c>
      <c r="B487" s="195" t="s">
        <v>1102</v>
      </c>
      <c r="C487" s="239" t="s">
        <v>1844</v>
      </c>
      <c r="D487" s="237" t="s">
        <v>2208</v>
      </c>
      <c r="E487" s="128" t="s">
        <v>2640</v>
      </c>
      <c r="F487" s="128" t="s">
        <v>3254</v>
      </c>
      <c r="G487" s="238" t="s">
        <v>1943</v>
      </c>
      <c r="H487" s="238" t="s">
        <v>3121</v>
      </c>
      <c r="I487" s="236" t="s">
        <v>2182</v>
      </c>
      <c r="J487" s="128"/>
      <c r="K487" s="239" t="s">
        <v>1223</v>
      </c>
      <c r="L487" s="197"/>
      <c r="M487" s="237" t="s">
        <v>2206</v>
      </c>
      <c r="N487" s="197"/>
      <c r="O487" s="197"/>
      <c r="P487" s="197">
        <v>9403208000</v>
      </c>
      <c r="Q487" s="126">
        <v>457.60510155880968</v>
      </c>
      <c r="R487" s="277" t="s">
        <v>9</v>
      </c>
      <c r="T487" s="168">
        <v>1525.3503385293657</v>
      </c>
      <c r="U487" s="168">
        <v>915.21020311761936</v>
      </c>
      <c r="V487" s="168">
        <v>762.67516926468284</v>
      </c>
      <c r="W487" s="168">
        <v>610.14013541174631</v>
      </c>
    </row>
    <row r="488" spans="1:23" s="129" customFormat="1" hidden="1">
      <c r="A488" s="195" t="s">
        <v>1276</v>
      </c>
      <c r="B488" s="195" t="s">
        <v>1102</v>
      </c>
      <c r="C488" s="239" t="s">
        <v>1844</v>
      </c>
      <c r="D488" s="237" t="s">
        <v>2208</v>
      </c>
      <c r="E488" s="128" t="s">
        <v>2640</v>
      </c>
      <c r="F488" s="128" t="s">
        <v>3254</v>
      </c>
      <c r="G488" s="238" t="s">
        <v>1944</v>
      </c>
      <c r="H488" s="238" t="s">
        <v>3122</v>
      </c>
      <c r="I488" s="236" t="s">
        <v>2183</v>
      </c>
      <c r="J488" s="128"/>
      <c r="K488" s="239" t="s">
        <v>1223</v>
      </c>
      <c r="L488" s="197"/>
      <c r="M488" s="237" t="s">
        <v>2206</v>
      </c>
      <c r="N488" s="197"/>
      <c r="O488" s="197"/>
      <c r="P488" s="197">
        <v>9403208000</v>
      </c>
      <c r="Q488" s="126">
        <v>376.41709966934343</v>
      </c>
      <c r="R488" s="277" t="s">
        <v>9</v>
      </c>
      <c r="T488" s="168">
        <v>1254.7236655644781</v>
      </c>
      <c r="U488" s="168">
        <v>752.83419933868686</v>
      </c>
      <c r="V488" s="168">
        <v>627.36183278223905</v>
      </c>
      <c r="W488" s="168">
        <v>501.88946622579124</v>
      </c>
    </row>
    <row r="489" spans="1:23" s="129" customFormat="1" hidden="1">
      <c r="A489" s="195" t="s">
        <v>1276</v>
      </c>
      <c r="B489" s="195" t="s">
        <v>1102</v>
      </c>
      <c r="C489" s="239" t="s">
        <v>1844</v>
      </c>
      <c r="D489" s="237" t="s">
        <v>2208</v>
      </c>
      <c r="E489" s="128" t="s">
        <v>2640</v>
      </c>
      <c r="F489" s="128" t="s">
        <v>3255</v>
      </c>
      <c r="G489" s="238" t="s">
        <v>1945</v>
      </c>
      <c r="H489" s="238" t="s">
        <v>3123</v>
      </c>
      <c r="I489" s="236" t="s">
        <v>2184</v>
      </c>
      <c r="J489" s="128"/>
      <c r="K489" s="239" t="s">
        <v>1223</v>
      </c>
      <c r="L489" s="197"/>
      <c r="M489" s="237" t="s">
        <v>2206</v>
      </c>
      <c r="N489" s="197"/>
      <c r="O489" s="197"/>
      <c r="P489" s="197">
        <v>9403208000</v>
      </c>
      <c r="Q489" s="126">
        <v>487.12801133679739</v>
      </c>
      <c r="R489" s="277" t="s">
        <v>9</v>
      </c>
      <c r="T489" s="168">
        <v>1623.7600377893248</v>
      </c>
      <c r="U489" s="168">
        <v>974.25602267359477</v>
      </c>
      <c r="V489" s="168">
        <v>811.88001889466238</v>
      </c>
      <c r="W489" s="168">
        <v>649.50401511573</v>
      </c>
    </row>
    <row r="490" spans="1:23" s="129" customFormat="1" hidden="1">
      <c r="A490" s="195" t="s">
        <v>1276</v>
      </c>
      <c r="B490" s="195" t="s">
        <v>1102</v>
      </c>
      <c r="C490" s="239" t="s">
        <v>1844</v>
      </c>
      <c r="D490" s="237" t="s">
        <v>2208</v>
      </c>
      <c r="E490" s="128" t="s">
        <v>2640</v>
      </c>
      <c r="F490" s="128" t="s">
        <v>3255</v>
      </c>
      <c r="G490" s="238" t="s">
        <v>1946</v>
      </c>
      <c r="H490" s="238" t="s">
        <v>3124</v>
      </c>
      <c r="I490" s="236" t="s">
        <v>2185</v>
      </c>
      <c r="J490" s="128"/>
      <c r="K490" s="239" t="s">
        <v>1223</v>
      </c>
      <c r="L490" s="197"/>
      <c r="M490" s="237" t="s">
        <v>2206</v>
      </c>
      <c r="N490" s="197"/>
      <c r="O490" s="197"/>
      <c r="P490" s="197">
        <v>9403208000</v>
      </c>
      <c r="Q490" s="126">
        <v>391.17855455833728</v>
      </c>
      <c r="R490" s="277" t="s">
        <v>9</v>
      </c>
      <c r="T490" s="168">
        <v>1303.9285151944578</v>
      </c>
      <c r="U490" s="168">
        <v>782.35710911667468</v>
      </c>
      <c r="V490" s="168">
        <v>651.96425759722888</v>
      </c>
      <c r="W490" s="168">
        <v>521.57140607778308</v>
      </c>
    </row>
    <row r="491" spans="1:23" s="129" customFormat="1" hidden="1">
      <c r="A491" s="195" t="s">
        <v>1276</v>
      </c>
      <c r="B491" s="195" t="s">
        <v>1102</v>
      </c>
      <c r="C491" s="239" t="s">
        <v>1844</v>
      </c>
      <c r="D491" s="237" t="s">
        <v>2208</v>
      </c>
      <c r="E491" s="128" t="s">
        <v>2640</v>
      </c>
      <c r="F491" s="128" t="s">
        <v>3259</v>
      </c>
      <c r="G491" s="238" t="s">
        <v>1947</v>
      </c>
      <c r="H491" s="238" t="s">
        <v>3125</v>
      </c>
      <c r="I491" s="236" t="s">
        <v>2186</v>
      </c>
      <c r="J491" s="128"/>
      <c r="K491" s="239" t="s">
        <v>1223</v>
      </c>
      <c r="L491" s="197"/>
      <c r="M491" s="237" t="s">
        <v>2206</v>
      </c>
      <c r="N491" s="197"/>
      <c r="O491" s="197"/>
      <c r="P491" s="197">
        <v>9403208000</v>
      </c>
      <c r="Q491" s="126">
        <v>656.88474256022687</v>
      </c>
      <c r="R491" s="277" t="s">
        <v>9</v>
      </c>
      <c r="T491" s="168">
        <v>2189.6158085340899</v>
      </c>
      <c r="U491" s="168">
        <v>1313.769485120454</v>
      </c>
      <c r="V491" s="168">
        <v>1094.8079042670449</v>
      </c>
      <c r="W491" s="168">
        <v>875.84632341363601</v>
      </c>
    </row>
    <row r="492" spans="1:23" s="129" customFormat="1" hidden="1">
      <c r="A492" s="195" t="s">
        <v>1276</v>
      </c>
      <c r="B492" s="195" t="s">
        <v>1102</v>
      </c>
      <c r="C492" s="239" t="s">
        <v>1844</v>
      </c>
      <c r="D492" s="237" t="s">
        <v>2208</v>
      </c>
      <c r="E492" s="128" t="s">
        <v>2640</v>
      </c>
      <c r="F492" s="128" t="s">
        <v>3259</v>
      </c>
      <c r="G492" s="238" t="s">
        <v>1948</v>
      </c>
      <c r="H492" s="238" t="s">
        <v>3126</v>
      </c>
      <c r="I492" s="236" t="s">
        <v>2187</v>
      </c>
      <c r="J492" s="128"/>
      <c r="K492" s="239" t="s">
        <v>1223</v>
      </c>
      <c r="L492" s="197"/>
      <c r="M492" s="237" t="s">
        <v>2206</v>
      </c>
      <c r="N492" s="197"/>
      <c r="O492" s="197"/>
      <c r="P492" s="197">
        <v>9403208000</v>
      </c>
      <c r="Q492" s="126">
        <v>546.17383089277291</v>
      </c>
      <c r="R492" s="277" t="s">
        <v>9</v>
      </c>
      <c r="T492" s="168">
        <v>1820.5794363092432</v>
      </c>
      <c r="U492" s="168">
        <v>1092.3476617855458</v>
      </c>
      <c r="V492" s="168">
        <v>910.2897181546216</v>
      </c>
      <c r="W492" s="168">
        <v>728.23177452369737</v>
      </c>
    </row>
    <row r="493" spans="1:23" s="129" customFormat="1" hidden="1">
      <c r="A493" s="195" t="s">
        <v>1276</v>
      </c>
      <c r="B493" s="195" t="s">
        <v>1102</v>
      </c>
      <c r="C493" s="239" t="s">
        <v>1844</v>
      </c>
      <c r="D493" s="237" t="s">
        <v>2208</v>
      </c>
      <c r="E493" s="128" t="s">
        <v>2641</v>
      </c>
      <c r="F493" s="128" t="s">
        <v>3258</v>
      </c>
      <c r="G493" s="238" t="s">
        <v>1949</v>
      </c>
      <c r="H493" s="238" t="s">
        <v>3127</v>
      </c>
      <c r="I493" s="236" t="s">
        <v>2188</v>
      </c>
      <c r="J493" s="128"/>
      <c r="K493" s="239" t="s">
        <v>1223</v>
      </c>
      <c r="L493" s="197"/>
      <c r="M493" s="237" t="s">
        <v>2206</v>
      </c>
      <c r="N493" s="197"/>
      <c r="O493" s="197"/>
      <c r="P493" s="197">
        <v>9403208000</v>
      </c>
      <c r="Q493" s="126">
        <v>664.26547000472374</v>
      </c>
      <c r="R493" s="277" t="s">
        <v>9</v>
      </c>
      <c r="T493" s="168">
        <v>2214.2182333490791</v>
      </c>
      <c r="U493" s="168">
        <v>1328.5309400094475</v>
      </c>
      <c r="V493" s="168">
        <v>1107.1091166745396</v>
      </c>
      <c r="W493" s="168">
        <v>885.68729333963165</v>
      </c>
    </row>
    <row r="494" spans="1:23" s="129" customFormat="1" hidden="1">
      <c r="A494" s="195" t="s">
        <v>1276</v>
      </c>
      <c r="B494" s="195" t="s">
        <v>1102</v>
      </c>
      <c r="C494" s="239" t="s">
        <v>1844</v>
      </c>
      <c r="D494" s="237" t="s">
        <v>2208</v>
      </c>
      <c r="E494" s="128" t="s">
        <v>2641</v>
      </c>
      <c r="F494" s="128" t="s">
        <v>3258</v>
      </c>
      <c r="G494" s="238" t="s">
        <v>1950</v>
      </c>
      <c r="H494" s="238" t="s">
        <v>3128</v>
      </c>
      <c r="I494" s="236" t="s">
        <v>2189</v>
      </c>
      <c r="J494" s="128"/>
      <c r="K494" s="239" t="s">
        <v>1223</v>
      </c>
      <c r="L494" s="197"/>
      <c r="M494" s="237" t="s">
        <v>2206</v>
      </c>
      <c r="N494" s="197"/>
      <c r="O494" s="197"/>
      <c r="P494" s="197">
        <v>9403208000</v>
      </c>
      <c r="Q494" s="126">
        <v>575.69674067076062</v>
      </c>
      <c r="R494" s="277" t="s">
        <v>9</v>
      </c>
      <c r="T494" s="168">
        <v>1918.9891355692021</v>
      </c>
      <c r="U494" s="168">
        <v>1151.3934813415212</v>
      </c>
      <c r="V494" s="168">
        <v>959.49456778460103</v>
      </c>
      <c r="W494" s="168">
        <v>767.59565422768082</v>
      </c>
    </row>
    <row r="495" spans="1:23" s="129" customFormat="1" hidden="1">
      <c r="A495" s="195" t="s">
        <v>1276</v>
      </c>
      <c r="B495" s="195" t="s">
        <v>1102</v>
      </c>
      <c r="C495" s="239" t="s">
        <v>1844</v>
      </c>
      <c r="D495" s="237" t="s">
        <v>2208</v>
      </c>
      <c r="E495" s="128" t="s">
        <v>2641</v>
      </c>
      <c r="F495" s="128" t="s">
        <v>3259</v>
      </c>
      <c r="G495" s="238" t="s">
        <v>1951</v>
      </c>
      <c r="H495" s="238" t="s">
        <v>3129</v>
      </c>
      <c r="I495" s="236" t="s">
        <v>2190</v>
      </c>
      <c r="J495" s="128"/>
      <c r="K495" s="239" t="s">
        <v>1223</v>
      </c>
      <c r="L495" s="197"/>
      <c r="M495" s="237" t="s">
        <v>2206</v>
      </c>
      <c r="N495" s="197"/>
      <c r="O495" s="197"/>
      <c r="P495" s="197">
        <v>9403208000</v>
      </c>
      <c r="Q495" s="126">
        <v>723.31128956069915</v>
      </c>
      <c r="R495" s="277" t="s">
        <v>9</v>
      </c>
      <c r="T495" s="168">
        <v>2411.0376318689973</v>
      </c>
      <c r="U495" s="168">
        <v>1446.6225791213983</v>
      </c>
      <c r="V495" s="168">
        <v>1205.5188159344987</v>
      </c>
      <c r="W495" s="168">
        <v>964.41505274759902</v>
      </c>
    </row>
    <row r="496" spans="1:23" s="129" customFormat="1" hidden="1">
      <c r="A496" s="195" t="s">
        <v>1276</v>
      </c>
      <c r="B496" s="195" t="s">
        <v>1102</v>
      </c>
      <c r="C496" s="239" t="s">
        <v>1844</v>
      </c>
      <c r="D496" s="237" t="s">
        <v>2208</v>
      </c>
      <c r="E496" s="128" t="s">
        <v>2641</v>
      </c>
      <c r="F496" s="128" t="s">
        <v>3259</v>
      </c>
      <c r="G496" s="238" t="s">
        <v>1952</v>
      </c>
      <c r="H496" s="238" t="s">
        <v>3130</v>
      </c>
      <c r="I496" s="236" t="s">
        <v>2191</v>
      </c>
      <c r="J496" s="128"/>
      <c r="K496" s="239" t="s">
        <v>1223</v>
      </c>
      <c r="L496" s="197"/>
      <c r="M496" s="237" t="s">
        <v>2206</v>
      </c>
      <c r="N496" s="197"/>
      <c r="O496" s="197"/>
      <c r="P496" s="197">
        <v>9403208000</v>
      </c>
      <c r="Q496" s="126">
        <v>612.6003778932452</v>
      </c>
      <c r="R496" s="277" t="s">
        <v>9</v>
      </c>
      <c r="T496" s="168">
        <v>2042.0012596441507</v>
      </c>
      <c r="U496" s="168">
        <v>1225.2007557864904</v>
      </c>
      <c r="V496" s="168">
        <v>1021.0006298220753</v>
      </c>
      <c r="W496" s="168">
        <v>816.80050385766026</v>
      </c>
    </row>
    <row r="497" spans="1:23" s="129" customFormat="1" hidden="1">
      <c r="A497" s="195" t="s">
        <v>1276</v>
      </c>
      <c r="B497" s="195" t="s">
        <v>1102</v>
      </c>
      <c r="C497" s="239" t="s">
        <v>2209</v>
      </c>
      <c r="D497" s="237" t="s">
        <v>2207</v>
      </c>
      <c r="E497" s="128" t="s">
        <v>2642</v>
      </c>
      <c r="F497" s="128"/>
      <c r="G497" s="238" t="s">
        <v>1953</v>
      </c>
      <c r="H497" s="238" t="s">
        <v>3131</v>
      </c>
      <c r="I497" s="236" t="s">
        <v>2192</v>
      </c>
      <c r="J497" s="128"/>
      <c r="K497" s="239" t="s">
        <v>1223</v>
      </c>
      <c r="L497" s="197"/>
      <c r="M497" s="237" t="s">
        <v>2206</v>
      </c>
      <c r="N497" s="197"/>
      <c r="O497" s="197"/>
      <c r="P497" s="197">
        <v>9403208000</v>
      </c>
      <c r="Q497" s="126">
        <v>111.68411330049261</v>
      </c>
      <c r="R497" s="277" t="s">
        <v>9</v>
      </c>
      <c r="T497" s="168">
        <v>372.28037766830874</v>
      </c>
      <c r="U497" s="168">
        <v>223.36822660098525</v>
      </c>
      <c r="V497" s="168">
        <v>186.14018883415437</v>
      </c>
      <c r="W497" s="168">
        <v>148.91215106732349</v>
      </c>
    </row>
    <row r="498" spans="1:23" s="129" customFormat="1" hidden="1">
      <c r="A498" s="195" t="s">
        <v>1276</v>
      </c>
      <c r="B498" s="195" t="s">
        <v>1102</v>
      </c>
      <c r="C498" s="239" t="s">
        <v>2209</v>
      </c>
      <c r="D498" s="237" t="s">
        <v>2207</v>
      </c>
      <c r="E498" s="128" t="s">
        <v>2643</v>
      </c>
      <c r="F498" s="128"/>
      <c r="G498" s="238" t="s">
        <v>1954</v>
      </c>
      <c r="H498" s="238" t="s">
        <v>3132</v>
      </c>
      <c r="I498" s="236" t="s">
        <v>2193</v>
      </c>
      <c r="J498" s="128"/>
      <c r="K498" s="239" t="s">
        <v>1223</v>
      </c>
      <c r="L498" s="197"/>
      <c r="M498" s="237" t="s">
        <v>2206</v>
      </c>
      <c r="N498" s="197"/>
      <c r="O498" s="197"/>
      <c r="P498" s="197">
        <v>9403208000</v>
      </c>
      <c r="Q498" s="126">
        <v>122.76785714285715</v>
      </c>
      <c r="R498" s="277" t="s">
        <v>9</v>
      </c>
      <c r="T498" s="168">
        <v>409.22619047619054</v>
      </c>
      <c r="U498" s="168">
        <v>245.53571428571431</v>
      </c>
      <c r="V498" s="168">
        <v>204.61309523809527</v>
      </c>
      <c r="W498" s="168">
        <v>163.69047619047623</v>
      </c>
    </row>
    <row r="499" spans="1:23" s="129" customFormat="1" hidden="1">
      <c r="A499" s="195" t="s">
        <v>1276</v>
      </c>
      <c r="B499" s="195" t="s">
        <v>1102</v>
      </c>
      <c r="C499" s="239" t="s">
        <v>2209</v>
      </c>
      <c r="D499" s="237" t="s">
        <v>2207</v>
      </c>
      <c r="E499" s="128" t="s">
        <v>2643</v>
      </c>
      <c r="F499" s="128"/>
      <c r="G499" s="238" t="s">
        <v>1955</v>
      </c>
      <c r="H499" s="238" t="s">
        <v>3133</v>
      </c>
      <c r="I499" s="236" t="s">
        <v>2194</v>
      </c>
      <c r="J499" s="128"/>
      <c r="K499" s="239" t="s">
        <v>1223</v>
      </c>
      <c r="L499" s="197"/>
      <c r="M499" s="237" t="s">
        <v>2206</v>
      </c>
      <c r="N499" s="197"/>
      <c r="O499" s="197"/>
      <c r="P499" s="197">
        <v>9403208000</v>
      </c>
      <c r="Q499" s="126">
        <v>125.07697044334978</v>
      </c>
      <c r="R499" s="277" t="s">
        <v>9</v>
      </c>
      <c r="T499" s="168">
        <v>416.92323481116597</v>
      </c>
      <c r="U499" s="168">
        <v>250.15394088669956</v>
      </c>
      <c r="V499" s="168">
        <v>208.46161740558298</v>
      </c>
      <c r="W499" s="168">
        <v>166.76929392446641</v>
      </c>
    </row>
    <row r="500" spans="1:23" s="129" customFormat="1" hidden="1">
      <c r="A500" s="195" t="s">
        <v>1276</v>
      </c>
      <c r="B500" s="195" t="s">
        <v>1102</v>
      </c>
      <c r="C500" s="239" t="s">
        <v>2209</v>
      </c>
      <c r="D500" s="237" t="s">
        <v>2207</v>
      </c>
      <c r="E500" s="128" t="s">
        <v>2643</v>
      </c>
      <c r="F500" s="128"/>
      <c r="G500" s="238" t="s">
        <v>1956</v>
      </c>
      <c r="H500" s="238" t="s">
        <v>3134</v>
      </c>
      <c r="I500" s="236" t="s">
        <v>2195</v>
      </c>
      <c r="J500" s="128"/>
      <c r="K500" s="239" t="s">
        <v>1223</v>
      </c>
      <c r="L500" s="197"/>
      <c r="M500" s="237" t="s">
        <v>2206</v>
      </c>
      <c r="N500" s="197"/>
      <c r="O500" s="197"/>
      <c r="P500" s="197">
        <v>9403208000</v>
      </c>
      <c r="Q500" s="126">
        <v>144.31958128078819</v>
      </c>
      <c r="R500" s="277" t="s">
        <v>9</v>
      </c>
      <c r="T500" s="168">
        <v>481.06527093596065</v>
      </c>
      <c r="U500" s="168">
        <v>288.63916256157637</v>
      </c>
      <c r="V500" s="168">
        <v>240.53263546798033</v>
      </c>
      <c r="W500" s="168">
        <v>192.42610837438428</v>
      </c>
    </row>
    <row r="501" spans="1:23" s="129" customFormat="1" hidden="1">
      <c r="A501" s="195" t="s">
        <v>1276</v>
      </c>
      <c r="B501" s="195" t="s">
        <v>1102</v>
      </c>
      <c r="C501" s="239" t="s">
        <v>2209</v>
      </c>
      <c r="D501" s="237" t="s">
        <v>2207</v>
      </c>
      <c r="E501" s="128" t="s">
        <v>2643</v>
      </c>
      <c r="F501" s="128"/>
      <c r="G501" s="238" t="s">
        <v>1957</v>
      </c>
      <c r="H501" s="238" t="s">
        <v>3135</v>
      </c>
      <c r="I501" s="236" t="s">
        <v>2196</v>
      </c>
      <c r="J501" s="128"/>
      <c r="K501" s="239" t="s">
        <v>1223</v>
      </c>
      <c r="L501" s="197"/>
      <c r="M501" s="237" t="s">
        <v>2206</v>
      </c>
      <c r="N501" s="197"/>
      <c r="O501" s="197"/>
      <c r="P501" s="197">
        <v>9403208000</v>
      </c>
      <c r="Q501" s="126">
        <v>32.481527093596064</v>
      </c>
      <c r="R501" s="277" t="s">
        <v>9</v>
      </c>
      <c r="T501" s="168">
        <v>108.27175697865356</v>
      </c>
      <c r="U501" s="168">
        <v>64.963054187192128</v>
      </c>
      <c r="V501" s="168">
        <v>54.135878489326778</v>
      </c>
      <c r="W501" s="168">
        <v>43.308702791461428</v>
      </c>
    </row>
    <row r="502" spans="1:23" s="129" customFormat="1" hidden="1">
      <c r="A502" s="195" t="s">
        <v>1276</v>
      </c>
      <c r="B502" s="195" t="s">
        <v>1102</v>
      </c>
      <c r="C502" s="239" t="s">
        <v>2209</v>
      </c>
      <c r="D502" s="237" t="s">
        <v>2207</v>
      </c>
      <c r="E502" s="128" t="s">
        <v>2643</v>
      </c>
      <c r="F502" s="128"/>
      <c r="G502" s="238" t="s">
        <v>1958</v>
      </c>
      <c r="H502" s="238" t="s">
        <v>3136</v>
      </c>
      <c r="I502" s="236" t="s">
        <v>2197</v>
      </c>
      <c r="J502" s="128"/>
      <c r="K502" s="239" t="s">
        <v>1223</v>
      </c>
      <c r="L502" s="197"/>
      <c r="M502" s="237" t="s">
        <v>2206</v>
      </c>
      <c r="N502" s="197"/>
      <c r="O502" s="197"/>
      <c r="P502" s="197">
        <v>9403208000</v>
      </c>
      <c r="Q502" s="126">
        <v>24.47660098522168</v>
      </c>
      <c r="R502" s="277" t="s">
        <v>9</v>
      </c>
      <c r="T502" s="168">
        <v>81.588669950738932</v>
      </c>
      <c r="U502" s="168">
        <v>48.953201970443359</v>
      </c>
      <c r="V502" s="168">
        <v>40.794334975369466</v>
      </c>
      <c r="W502" s="168">
        <v>32.635467980295573</v>
      </c>
    </row>
    <row r="503" spans="1:23" s="129" customFormat="1" hidden="1">
      <c r="A503" s="195" t="s">
        <v>1276</v>
      </c>
      <c r="B503" s="195" t="s">
        <v>1102</v>
      </c>
      <c r="C503" s="239" t="s">
        <v>2209</v>
      </c>
      <c r="D503" s="237" t="s">
        <v>2207</v>
      </c>
      <c r="E503" s="128" t="s">
        <v>2636</v>
      </c>
      <c r="F503" s="128"/>
      <c r="G503" s="238" t="s">
        <v>1959</v>
      </c>
      <c r="H503" s="238" t="s">
        <v>3137</v>
      </c>
      <c r="I503" s="236" t="s">
        <v>2198</v>
      </c>
      <c r="J503" s="128"/>
      <c r="K503" s="239" t="s">
        <v>1223</v>
      </c>
      <c r="L503" s="197"/>
      <c r="M503" s="237" t="s">
        <v>2206</v>
      </c>
      <c r="N503" s="197"/>
      <c r="O503" s="197"/>
      <c r="P503" s="197">
        <v>9403208000</v>
      </c>
      <c r="Q503" s="126">
        <v>142.65701970443351</v>
      </c>
      <c r="R503" s="277" t="s">
        <v>9</v>
      </c>
      <c r="T503" s="168">
        <v>475.52339901477836</v>
      </c>
      <c r="U503" s="168">
        <v>285.31403940886702</v>
      </c>
      <c r="V503" s="168">
        <v>237.76169950738918</v>
      </c>
      <c r="W503" s="168">
        <v>190.20935960591135</v>
      </c>
    </row>
    <row r="504" spans="1:23" s="129" customFormat="1" hidden="1">
      <c r="A504" s="195" t="s">
        <v>1276</v>
      </c>
      <c r="B504" s="195" t="s">
        <v>1102</v>
      </c>
      <c r="C504" s="239" t="s">
        <v>2209</v>
      </c>
      <c r="D504" s="237" t="s">
        <v>2207</v>
      </c>
      <c r="E504" s="128" t="s">
        <v>2636</v>
      </c>
      <c r="F504" s="128"/>
      <c r="G504" s="238" t="s">
        <v>1960</v>
      </c>
      <c r="H504" s="238" t="s">
        <v>3138</v>
      </c>
      <c r="I504" s="236" t="s">
        <v>2199</v>
      </c>
      <c r="J504" s="128"/>
      <c r="K504" s="239" t="s">
        <v>1223</v>
      </c>
      <c r="L504" s="197"/>
      <c r="M504" s="237" t="s">
        <v>2206</v>
      </c>
      <c r="N504" s="197"/>
      <c r="O504" s="197"/>
      <c r="P504" s="197">
        <v>9403208000</v>
      </c>
      <c r="Q504" s="126">
        <v>144.96613300492612</v>
      </c>
      <c r="R504" s="277" t="s">
        <v>9</v>
      </c>
      <c r="T504" s="168">
        <v>483.22044334975374</v>
      </c>
      <c r="U504" s="168">
        <v>289.93226600985224</v>
      </c>
      <c r="V504" s="168">
        <v>241.61022167487687</v>
      </c>
      <c r="W504" s="168">
        <v>193.28817733990149</v>
      </c>
    </row>
    <row r="505" spans="1:23" s="129" customFormat="1" hidden="1">
      <c r="A505" s="195" t="s">
        <v>1276</v>
      </c>
      <c r="B505" s="195" t="s">
        <v>1102</v>
      </c>
      <c r="C505" s="239" t="s">
        <v>2209</v>
      </c>
      <c r="D505" s="237" t="s">
        <v>2207</v>
      </c>
      <c r="E505" s="128" t="s">
        <v>2636</v>
      </c>
      <c r="F505" s="128"/>
      <c r="G505" s="238" t="s">
        <v>1961</v>
      </c>
      <c r="H505" s="238" t="s">
        <v>3139</v>
      </c>
      <c r="I505" s="236" t="s">
        <v>2200</v>
      </c>
      <c r="J505" s="128"/>
      <c r="K505" s="239" t="s">
        <v>1223</v>
      </c>
      <c r="L505" s="197"/>
      <c r="M505" s="237" t="s">
        <v>2206</v>
      </c>
      <c r="N505" s="197"/>
      <c r="O505" s="197"/>
      <c r="P505" s="197">
        <v>9403208000</v>
      </c>
      <c r="Q505" s="126">
        <v>161.63793103448279</v>
      </c>
      <c r="R505" s="277" t="s">
        <v>9</v>
      </c>
      <c r="T505" s="168">
        <v>538.79310344827604</v>
      </c>
      <c r="U505" s="168">
        <v>323.27586206896564</v>
      </c>
      <c r="V505" s="168">
        <v>269.39655172413802</v>
      </c>
      <c r="W505" s="168">
        <v>215.51724137931043</v>
      </c>
    </row>
    <row r="506" spans="1:23" s="129" customFormat="1" hidden="1">
      <c r="A506" s="195" t="s">
        <v>1276</v>
      </c>
      <c r="B506" s="195" t="s">
        <v>1102</v>
      </c>
      <c r="C506" s="239" t="s">
        <v>2209</v>
      </c>
      <c r="D506" s="237" t="s">
        <v>2207</v>
      </c>
      <c r="E506" s="128" t="s">
        <v>2636</v>
      </c>
      <c r="F506" s="128"/>
      <c r="G506" s="238" t="s">
        <v>1962</v>
      </c>
      <c r="H506" s="238" t="s">
        <v>3140</v>
      </c>
      <c r="I506" s="236" t="s">
        <v>2201</v>
      </c>
      <c r="J506" s="128"/>
      <c r="K506" s="239" t="s">
        <v>1223</v>
      </c>
      <c r="L506" s="197"/>
      <c r="M506" s="237" t="s">
        <v>2206</v>
      </c>
      <c r="N506" s="197"/>
      <c r="O506" s="197"/>
      <c r="P506" s="197">
        <v>9403208000</v>
      </c>
      <c r="Q506" s="126">
        <v>167.21059113300498</v>
      </c>
      <c r="R506" s="277" t="s">
        <v>9</v>
      </c>
      <c r="T506" s="168">
        <v>557.36863711001661</v>
      </c>
      <c r="U506" s="168">
        <v>334.42118226600996</v>
      </c>
      <c r="V506" s="168">
        <v>278.6843185550083</v>
      </c>
      <c r="W506" s="168">
        <v>222.94745484400664</v>
      </c>
    </row>
    <row r="507" spans="1:23" s="129" customFormat="1" hidden="1">
      <c r="A507" s="195" t="s">
        <v>1276</v>
      </c>
      <c r="B507" s="195" t="s">
        <v>1102</v>
      </c>
      <c r="C507" s="239" t="s">
        <v>2209</v>
      </c>
      <c r="D507" s="237" t="s">
        <v>2207</v>
      </c>
      <c r="E507" s="128" t="s">
        <v>2636</v>
      </c>
      <c r="F507" s="128"/>
      <c r="G507" s="238" t="s">
        <v>1963</v>
      </c>
      <c r="H507" s="238" t="s">
        <v>3141</v>
      </c>
      <c r="I507" s="236" t="s">
        <v>2202</v>
      </c>
      <c r="J507" s="128"/>
      <c r="K507" s="239" t="s">
        <v>1223</v>
      </c>
      <c r="L507" s="197"/>
      <c r="M507" s="237" t="s">
        <v>2206</v>
      </c>
      <c r="N507" s="197"/>
      <c r="O507" s="197"/>
      <c r="P507" s="197">
        <v>9403208000</v>
      </c>
      <c r="Q507" s="126">
        <v>169.33497536945816</v>
      </c>
      <c r="R507" s="277" t="s">
        <v>9</v>
      </c>
      <c r="T507" s="168">
        <v>564.44991789819392</v>
      </c>
      <c r="U507" s="168">
        <v>338.66995073891633</v>
      </c>
      <c r="V507" s="168">
        <v>282.22495894909696</v>
      </c>
      <c r="W507" s="168">
        <v>225.77996715927759</v>
      </c>
    </row>
    <row r="508" spans="1:23" s="129" customFormat="1" hidden="1">
      <c r="A508" s="195" t="s">
        <v>1276</v>
      </c>
      <c r="B508" s="195" t="s">
        <v>1102</v>
      </c>
      <c r="C508" s="239" t="s">
        <v>2209</v>
      </c>
      <c r="D508" s="237" t="s">
        <v>2207</v>
      </c>
      <c r="E508" s="128" t="s">
        <v>2636</v>
      </c>
      <c r="F508" s="128"/>
      <c r="G508" s="238" t="s">
        <v>1964</v>
      </c>
      <c r="H508" s="238" t="s">
        <v>3142</v>
      </c>
      <c r="I508" s="236" t="s">
        <v>2203</v>
      </c>
      <c r="J508" s="128"/>
      <c r="K508" s="239" t="s">
        <v>1223</v>
      </c>
      <c r="L508" s="197"/>
      <c r="M508" s="237" t="s">
        <v>2206</v>
      </c>
      <c r="N508" s="197"/>
      <c r="O508" s="197"/>
      <c r="P508" s="197">
        <v>9403208000</v>
      </c>
      <c r="Q508" s="126">
        <v>186.45320197044336</v>
      </c>
      <c r="R508" s="277" t="s">
        <v>9</v>
      </c>
      <c r="T508" s="168">
        <v>621.51067323481118</v>
      </c>
      <c r="U508" s="168">
        <v>372.90640394088672</v>
      </c>
      <c r="V508" s="168">
        <v>310.75533661740559</v>
      </c>
      <c r="W508" s="168">
        <v>248.60426929392449</v>
      </c>
    </row>
    <row r="509" spans="1:23" s="129" customFormat="1" hidden="1">
      <c r="A509" s="195" t="s">
        <v>1276</v>
      </c>
      <c r="B509" s="195" t="s">
        <v>1102</v>
      </c>
      <c r="C509" s="239" t="s">
        <v>2209</v>
      </c>
      <c r="D509" s="237" t="s">
        <v>2207</v>
      </c>
      <c r="E509" s="128" t="s">
        <v>2636</v>
      </c>
      <c r="F509" s="128"/>
      <c r="G509" s="238" t="s">
        <v>1965</v>
      </c>
      <c r="H509" s="238" t="s">
        <v>3143</v>
      </c>
      <c r="I509" s="236" t="s">
        <v>2204</v>
      </c>
      <c r="J509" s="128"/>
      <c r="K509" s="239" t="s">
        <v>1223</v>
      </c>
      <c r="L509" s="197"/>
      <c r="M509" s="237" t="s">
        <v>2206</v>
      </c>
      <c r="N509" s="197"/>
      <c r="O509" s="197"/>
      <c r="P509" s="197">
        <v>9403208000</v>
      </c>
      <c r="Q509" s="126">
        <v>34.944581280788185</v>
      </c>
      <c r="R509" s="277" t="s">
        <v>9</v>
      </c>
      <c r="T509" s="168">
        <v>116.48193760262728</v>
      </c>
      <c r="U509" s="168">
        <v>69.88916256157637</v>
      </c>
      <c r="V509" s="168">
        <v>58.240968801313642</v>
      </c>
      <c r="W509" s="168">
        <v>46.592775041050913</v>
      </c>
    </row>
    <row r="510" spans="1:23" s="129" customFormat="1" hidden="1">
      <c r="A510" s="195" t="s">
        <v>1276</v>
      </c>
      <c r="B510" s="195" t="s">
        <v>1102</v>
      </c>
      <c r="C510" s="239" t="s">
        <v>2209</v>
      </c>
      <c r="D510" s="237" t="s">
        <v>2207</v>
      </c>
      <c r="E510" s="128" t="s">
        <v>2636</v>
      </c>
      <c r="F510" s="128"/>
      <c r="G510" s="238" t="s">
        <v>1966</v>
      </c>
      <c r="H510" s="238" t="s">
        <v>3144</v>
      </c>
      <c r="I510" s="236" t="s">
        <v>2205</v>
      </c>
      <c r="J510" s="128"/>
      <c r="K510" s="239" t="s">
        <v>1223</v>
      </c>
      <c r="L510" s="197"/>
      <c r="M510" s="237" t="s">
        <v>2206</v>
      </c>
      <c r="N510" s="197"/>
      <c r="O510" s="197"/>
      <c r="P510" s="197">
        <v>9403208000</v>
      </c>
      <c r="Q510" s="126">
        <v>46.644088669950747</v>
      </c>
      <c r="R510" s="277" t="s">
        <v>9</v>
      </c>
      <c r="T510" s="168">
        <v>155.48029556650249</v>
      </c>
      <c r="U510" s="168">
        <v>93.288177339901495</v>
      </c>
      <c r="V510" s="168">
        <v>77.740147783251246</v>
      </c>
      <c r="W510" s="168">
        <v>62.192118226600996</v>
      </c>
    </row>
    <row r="511" spans="1:23" s="129" customFormat="1" ht="15" hidden="1">
      <c r="A511" s="195" t="s">
        <v>1276</v>
      </c>
      <c r="B511" s="195" t="s">
        <v>1102</v>
      </c>
      <c r="C511" s="239" t="s">
        <v>2209</v>
      </c>
      <c r="D511" s="237" t="s">
        <v>2445</v>
      </c>
      <c r="E511" s="128" t="s">
        <v>2644</v>
      </c>
      <c r="F511" s="128"/>
      <c r="G511" s="233" t="s">
        <v>2446</v>
      </c>
      <c r="H511" s="238"/>
      <c r="I511" s="236" t="s">
        <v>2685</v>
      </c>
      <c r="J511" s="128"/>
      <c r="K511" s="239" t="s">
        <v>1223</v>
      </c>
      <c r="L511" s="197"/>
      <c r="M511" s="237" t="s">
        <v>2206</v>
      </c>
      <c r="N511" s="197"/>
      <c r="O511" s="197"/>
      <c r="P511" s="197">
        <v>9403208000</v>
      </c>
      <c r="Q511" s="126">
        <v>157.69554247266612</v>
      </c>
      <c r="R511" s="277" t="s">
        <v>9</v>
      </c>
      <c r="T511" s="168">
        <v>525.65180824222045</v>
      </c>
      <c r="U511" s="168">
        <v>315.39108494533224</v>
      </c>
      <c r="V511" s="168">
        <v>262.82590412111023</v>
      </c>
      <c r="W511" s="168">
        <v>210.26072329688819</v>
      </c>
    </row>
    <row r="512" spans="1:23" s="129" customFormat="1" ht="15" hidden="1">
      <c r="A512" s="195" t="s">
        <v>1276</v>
      </c>
      <c r="B512" s="195" t="s">
        <v>1102</v>
      </c>
      <c r="C512" s="239" t="s">
        <v>2209</v>
      </c>
      <c r="D512" s="237" t="s">
        <v>2445</v>
      </c>
      <c r="E512" s="128" t="s">
        <v>2642</v>
      </c>
      <c r="F512" s="128"/>
      <c r="G512" s="233" t="s">
        <v>2447</v>
      </c>
      <c r="H512" s="238"/>
      <c r="I512" s="236" t="s">
        <v>2686</v>
      </c>
      <c r="J512" s="128"/>
      <c r="K512" s="239" t="s">
        <v>1223</v>
      </c>
      <c r="L512" s="197"/>
      <c r="M512" s="237" t="s">
        <v>2206</v>
      </c>
      <c r="N512" s="197"/>
      <c r="O512" s="197"/>
      <c r="P512" s="197">
        <v>9403208000</v>
      </c>
      <c r="Q512" s="126">
        <v>170.83683767872159</v>
      </c>
      <c r="R512" s="277" t="s">
        <v>9</v>
      </c>
      <c r="T512" s="168">
        <v>569.45612559573863</v>
      </c>
      <c r="U512" s="168">
        <v>341.67367535744319</v>
      </c>
      <c r="V512" s="168">
        <v>284.72806279786931</v>
      </c>
      <c r="W512" s="168">
        <v>227.78245023829547</v>
      </c>
    </row>
    <row r="513" spans="1:23" s="129" customFormat="1" ht="15" hidden="1">
      <c r="A513" s="195" t="s">
        <v>1276</v>
      </c>
      <c r="B513" s="195" t="s">
        <v>1102</v>
      </c>
      <c r="C513" s="239" t="s">
        <v>2209</v>
      </c>
      <c r="D513" s="237" t="s">
        <v>2445</v>
      </c>
      <c r="E513" s="128" t="s">
        <v>2643</v>
      </c>
      <c r="F513" s="128"/>
      <c r="G513" s="233" t="s">
        <v>2448</v>
      </c>
      <c r="H513" s="238"/>
      <c r="I513" s="236" t="s">
        <v>2687</v>
      </c>
      <c r="J513" s="128"/>
      <c r="K513" s="239" t="s">
        <v>1223</v>
      </c>
      <c r="L513" s="197"/>
      <c r="M513" s="237" t="s">
        <v>2206</v>
      </c>
      <c r="N513" s="197"/>
      <c r="O513" s="197"/>
      <c r="P513" s="197">
        <v>9403208000</v>
      </c>
      <c r="Q513" s="126">
        <v>183.97813288477715</v>
      </c>
      <c r="R513" s="277" t="s">
        <v>9</v>
      </c>
      <c r="T513" s="168">
        <v>613.26044294925725</v>
      </c>
      <c r="U513" s="168">
        <v>367.95626576955436</v>
      </c>
      <c r="V513" s="168">
        <v>306.63022147462863</v>
      </c>
      <c r="W513" s="168">
        <v>245.30417717970292</v>
      </c>
    </row>
    <row r="514" spans="1:23" s="129" customFormat="1" ht="15" hidden="1">
      <c r="A514" s="195" t="s">
        <v>1276</v>
      </c>
      <c r="B514" s="195" t="s">
        <v>1102</v>
      </c>
      <c r="C514" s="239" t="s">
        <v>2209</v>
      </c>
      <c r="D514" s="237" t="s">
        <v>2445</v>
      </c>
      <c r="E514" s="128" t="s">
        <v>2645</v>
      </c>
      <c r="F514" s="128"/>
      <c r="G514" s="233" t="s">
        <v>2449</v>
      </c>
      <c r="H514" s="238"/>
      <c r="I514" s="236" t="s">
        <v>2688</v>
      </c>
      <c r="J514" s="128"/>
      <c r="K514" s="239" t="s">
        <v>1223</v>
      </c>
      <c r="L514" s="197"/>
      <c r="M514" s="237" t="s">
        <v>2206</v>
      </c>
      <c r="N514" s="197"/>
      <c r="O514" s="197"/>
      <c r="P514" s="197">
        <v>9403208000</v>
      </c>
      <c r="Q514" s="126">
        <v>210.26072329688813</v>
      </c>
      <c r="R514" s="277" t="s">
        <v>9</v>
      </c>
      <c r="T514" s="168">
        <v>700.86907765629383</v>
      </c>
      <c r="U514" s="168">
        <v>420.52144659377626</v>
      </c>
      <c r="V514" s="168">
        <v>350.43453882814691</v>
      </c>
      <c r="W514" s="168">
        <v>280.34763106251756</v>
      </c>
    </row>
    <row r="515" spans="1:23" s="129" customFormat="1" ht="15" hidden="1">
      <c r="A515" s="195" t="s">
        <v>1276</v>
      </c>
      <c r="B515" s="195" t="s">
        <v>1102</v>
      </c>
      <c r="C515" s="239" t="s">
        <v>2209</v>
      </c>
      <c r="D515" s="237" t="s">
        <v>2445</v>
      </c>
      <c r="E515" s="128" t="s">
        <v>2646</v>
      </c>
      <c r="F515" s="128"/>
      <c r="G515" s="233" t="s">
        <v>2450</v>
      </c>
      <c r="H515" s="238"/>
      <c r="I515" s="236" t="s">
        <v>2689</v>
      </c>
      <c r="J515" s="128"/>
      <c r="K515" s="239" t="s">
        <v>1223</v>
      </c>
      <c r="L515" s="197"/>
      <c r="M515" s="237" t="s">
        <v>2206</v>
      </c>
      <c r="N515" s="197"/>
      <c r="O515" s="197"/>
      <c r="P515" s="197">
        <v>9403208000</v>
      </c>
      <c r="Q515" s="126">
        <v>223.40201850294366</v>
      </c>
      <c r="R515" s="277" t="s">
        <v>9</v>
      </c>
      <c r="T515" s="168">
        <v>744.67339500981222</v>
      </c>
      <c r="U515" s="168">
        <v>446.80403700588732</v>
      </c>
      <c r="V515" s="168">
        <v>372.33669750490611</v>
      </c>
      <c r="W515" s="168">
        <v>297.8693580039249</v>
      </c>
    </row>
    <row r="516" spans="1:23" s="129" customFormat="1" ht="15" hidden="1">
      <c r="A516" s="195" t="s">
        <v>1276</v>
      </c>
      <c r="B516" s="195" t="s">
        <v>1102</v>
      </c>
      <c r="C516" s="239" t="s">
        <v>2209</v>
      </c>
      <c r="D516" s="237" t="s">
        <v>2445</v>
      </c>
      <c r="E516" s="128" t="s">
        <v>2647</v>
      </c>
      <c r="F516" s="128"/>
      <c r="G516" s="233" t="s">
        <v>2451</v>
      </c>
      <c r="H516" s="238"/>
      <c r="I516" s="236" t="s">
        <v>2690</v>
      </c>
      <c r="J516" s="128"/>
      <c r="K516" s="239" t="s">
        <v>1223</v>
      </c>
      <c r="L516" s="197"/>
      <c r="M516" s="237" t="s">
        <v>2206</v>
      </c>
      <c r="N516" s="197"/>
      <c r="O516" s="197"/>
      <c r="P516" s="197">
        <v>9403208000</v>
      </c>
      <c r="Q516" s="126">
        <v>236.54331370899916</v>
      </c>
      <c r="R516" s="277" t="s">
        <v>9</v>
      </c>
      <c r="T516" s="168">
        <v>788.47771236333062</v>
      </c>
      <c r="U516" s="168">
        <v>473.08662741799833</v>
      </c>
      <c r="V516" s="168">
        <v>394.23885618166531</v>
      </c>
      <c r="W516" s="168">
        <v>315.3910849453323</v>
      </c>
    </row>
    <row r="517" spans="1:23" s="129" customFormat="1" ht="15" hidden="1">
      <c r="A517" s="195" t="s">
        <v>1276</v>
      </c>
      <c r="B517" s="195" t="s">
        <v>1102</v>
      </c>
      <c r="C517" s="239" t="s">
        <v>2209</v>
      </c>
      <c r="D517" s="237" t="s">
        <v>2445</v>
      </c>
      <c r="E517" s="128" t="s">
        <v>2636</v>
      </c>
      <c r="F517" s="128"/>
      <c r="G517" s="233" t="s">
        <v>2452</v>
      </c>
      <c r="H517" s="238"/>
      <c r="I517" s="236" t="s">
        <v>2691</v>
      </c>
      <c r="J517" s="128"/>
      <c r="K517" s="239" t="s">
        <v>1223</v>
      </c>
      <c r="L517" s="197"/>
      <c r="M517" s="237" t="s">
        <v>2206</v>
      </c>
      <c r="N517" s="197"/>
      <c r="O517" s="197"/>
      <c r="P517" s="197">
        <v>9403208000</v>
      </c>
      <c r="Q517" s="126">
        <v>262.82590412111017</v>
      </c>
      <c r="R517" s="277" t="s">
        <v>9</v>
      </c>
      <c r="T517" s="168">
        <v>876.08634707036731</v>
      </c>
      <c r="U517" s="168">
        <v>525.65180824222034</v>
      </c>
      <c r="V517" s="168">
        <v>438.04317353518366</v>
      </c>
      <c r="W517" s="168">
        <v>350.43453882814697</v>
      </c>
    </row>
    <row r="518" spans="1:23" s="129" customFormat="1" ht="15" hidden="1">
      <c r="A518" s="195" t="s">
        <v>1276</v>
      </c>
      <c r="B518" s="195" t="s">
        <v>1102</v>
      </c>
      <c r="C518" s="239" t="s">
        <v>2209</v>
      </c>
      <c r="D518" s="237" t="s">
        <v>2207</v>
      </c>
      <c r="E518" s="128" t="s">
        <v>2648</v>
      </c>
      <c r="F518" s="128"/>
      <c r="G518" s="233" t="s">
        <v>2481</v>
      </c>
      <c r="H518" s="238"/>
      <c r="I518" s="236" t="s">
        <v>2748</v>
      </c>
      <c r="J518" s="128"/>
      <c r="K518" s="239" t="s">
        <v>1223</v>
      </c>
      <c r="L518" s="197"/>
      <c r="M518" s="237" t="s">
        <v>2206</v>
      </c>
      <c r="N518" s="197"/>
      <c r="O518" s="197"/>
      <c r="P518" s="197">
        <v>9403208000</v>
      </c>
      <c r="Q518" s="126">
        <v>75.983642793987627</v>
      </c>
      <c r="R518" s="277" t="s">
        <v>9</v>
      </c>
      <c r="T518" s="168">
        <v>253.2788093132921</v>
      </c>
      <c r="U518" s="168">
        <v>151.96728558797525</v>
      </c>
      <c r="V518" s="168">
        <v>126.63940465664605</v>
      </c>
      <c r="W518" s="168">
        <v>101.31152372531685</v>
      </c>
    </row>
    <row r="519" spans="1:23" s="129" customFormat="1" ht="15" hidden="1">
      <c r="A519" s="195" t="s">
        <v>1276</v>
      </c>
      <c r="B519" s="195" t="s">
        <v>1102</v>
      </c>
      <c r="C519" s="239" t="s">
        <v>2209</v>
      </c>
      <c r="D519" s="237" t="s">
        <v>2207</v>
      </c>
      <c r="E519" s="128" t="s">
        <v>2642</v>
      </c>
      <c r="F519" s="128"/>
      <c r="G519" s="233" t="s">
        <v>2482</v>
      </c>
      <c r="H519" s="238"/>
      <c r="I519" s="236" t="s">
        <v>2755</v>
      </c>
      <c r="J519" s="128"/>
      <c r="K519" s="239" t="s">
        <v>1223</v>
      </c>
      <c r="L519" s="197"/>
      <c r="M519" s="237" t="s">
        <v>2206</v>
      </c>
      <c r="N519" s="197"/>
      <c r="O519" s="197"/>
      <c r="P519" s="197">
        <v>9403208000</v>
      </c>
      <c r="Q519" s="126">
        <v>82.891246684350136</v>
      </c>
      <c r="R519" s="277" t="s">
        <v>9</v>
      </c>
      <c r="T519" s="168">
        <v>276.30415561450047</v>
      </c>
      <c r="U519" s="168">
        <v>165.78249336870027</v>
      </c>
      <c r="V519" s="168">
        <v>138.15207780725024</v>
      </c>
      <c r="W519" s="168">
        <v>110.5216622458002</v>
      </c>
    </row>
    <row r="520" spans="1:23" s="129" customFormat="1" ht="15" hidden="1">
      <c r="A520" s="195" t="s">
        <v>1276</v>
      </c>
      <c r="B520" s="195" t="s">
        <v>1102</v>
      </c>
      <c r="C520" s="239" t="s">
        <v>2209</v>
      </c>
      <c r="D520" s="237" t="s">
        <v>2207</v>
      </c>
      <c r="E520" s="128" t="s">
        <v>2643</v>
      </c>
      <c r="F520" s="128"/>
      <c r="G520" s="233" t="s">
        <v>2483</v>
      </c>
      <c r="H520" s="238"/>
      <c r="I520" s="236" t="s">
        <v>2756</v>
      </c>
      <c r="J520" s="128"/>
      <c r="K520" s="239" t="s">
        <v>1223</v>
      </c>
      <c r="L520" s="197"/>
      <c r="M520" s="237" t="s">
        <v>2206</v>
      </c>
      <c r="N520" s="197"/>
      <c r="O520" s="197"/>
      <c r="P520" s="197">
        <v>9403208000</v>
      </c>
      <c r="Q520" s="126">
        <v>89.798850574712631</v>
      </c>
      <c r="R520" s="277" t="s">
        <v>9</v>
      </c>
      <c r="T520" s="168">
        <v>299.32950191570876</v>
      </c>
      <c r="U520" s="168">
        <v>179.59770114942526</v>
      </c>
      <c r="V520" s="168">
        <v>149.66475095785438</v>
      </c>
      <c r="W520" s="168">
        <v>119.73180076628351</v>
      </c>
    </row>
    <row r="521" spans="1:23" s="129" customFormat="1" ht="15" hidden="1">
      <c r="A521" s="195" t="s">
        <v>1276</v>
      </c>
      <c r="B521" s="195" t="s">
        <v>1102</v>
      </c>
      <c r="C521" s="239" t="s">
        <v>2209</v>
      </c>
      <c r="D521" s="237" t="s">
        <v>2207</v>
      </c>
      <c r="E521" s="128" t="s">
        <v>2649</v>
      </c>
      <c r="F521" s="128"/>
      <c r="G521" s="233" t="s">
        <v>2484</v>
      </c>
      <c r="H521" s="238"/>
      <c r="I521" s="236" t="s">
        <v>2757</v>
      </c>
      <c r="J521" s="128"/>
      <c r="K521" s="239" t="s">
        <v>1223</v>
      </c>
      <c r="L521" s="197"/>
      <c r="M521" s="237" t="s">
        <v>2206</v>
      </c>
      <c r="N521" s="197"/>
      <c r="O521" s="197"/>
      <c r="P521" s="197">
        <v>9403208000</v>
      </c>
      <c r="Q521" s="126">
        <v>103.61405835543768</v>
      </c>
      <c r="R521" s="277" t="s">
        <v>9</v>
      </c>
      <c r="T521" s="168">
        <v>345.38019451812562</v>
      </c>
      <c r="U521" s="168">
        <v>207.22811671087536</v>
      </c>
      <c r="V521" s="168">
        <v>172.69009725906281</v>
      </c>
      <c r="W521" s="168">
        <v>138.15207780725027</v>
      </c>
    </row>
    <row r="522" spans="1:23" s="129" customFormat="1" ht="15" hidden="1">
      <c r="A522" s="195" t="s">
        <v>1276</v>
      </c>
      <c r="B522" s="195" t="s">
        <v>1102</v>
      </c>
      <c r="C522" s="239" t="s">
        <v>2209</v>
      </c>
      <c r="D522" s="237" t="s">
        <v>2207</v>
      </c>
      <c r="E522" s="128" t="s">
        <v>2646</v>
      </c>
      <c r="F522" s="128"/>
      <c r="G522" s="233" t="s">
        <v>2485</v>
      </c>
      <c r="H522" s="238"/>
      <c r="I522" s="236" t="s">
        <v>2758</v>
      </c>
      <c r="J522" s="128"/>
      <c r="K522" s="239" t="s">
        <v>1223</v>
      </c>
      <c r="L522" s="197"/>
      <c r="M522" s="237" t="s">
        <v>2206</v>
      </c>
      <c r="N522" s="197"/>
      <c r="O522" s="197"/>
      <c r="P522" s="197">
        <v>9403208000</v>
      </c>
      <c r="Q522" s="126">
        <v>110.52166224580017</v>
      </c>
      <c r="R522" s="277" t="s">
        <v>9</v>
      </c>
      <c r="T522" s="168">
        <v>368.40554081933391</v>
      </c>
      <c r="U522" s="168">
        <v>221.04332449160034</v>
      </c>
      <c r="V522" s="168">
        <v>184.20277040966695</v>
      </c>
      <c r="W522" s="168">
        <v>147.36221632773356</v>
      </c>
    </row>
    <row r="523" spans="1:23" s="129" customFormat="1" ht="15" hidden="1">
      <c r="A523" s="195" t="s">
        <v>1276</v>
      </c>
      <c r="B523" s="195" t="s">
        <v>1102</v>
      </c>
      <c r="C523" s="239" t="s">
        <v>2209</v>
      </c>
      <c r="D523" s="237" t="s">
        <v>2207</v>
      </c>
      <c r="E523" s="128" t="s">
        <v>2636</v>
      </c>
      <c r="F523" s="128"/>
      <c r="G523" s="233" t="s">
        <v>2486</v>
      </c>
      <c r="H523" s="238"/>
      <c r="I523" s="236" t="s">
        <v>2759</v>
      </c>
      <c r="J523" s="128"/>
      <c r="K523" s="239" t="s">
        <v>1223</v>
      </c>
      <c r="L523" s="197"/>
      <c r="M523" s="237" t="s">
        <v>2206</v>
      </c>
      <c r="N523" s="197"/>
      <c r="O523" s="197"/>
      <c r="P523" s="197">
        <v>9403208000</v>
      </c>
      <c r="Q523" s="126">
        <v>124.3368700265252</v>
      </c>
      <c r="R523" s="277" t="s">
        <v>9</v>
      </c>
      <c r="T523" s="168">
        <v>414.45623342175071</v>
      </c>
      <c r="U523" s="168">
        <v>248.67374005305041</v>
      </c>
      <c r="V523" s="168">
        <v>207.22811671087536</v>
      </c>
      <c r="W523" s="168">
        <v>165.7824933687003</v>
      </c>
    </row>
    <row r="524" spans="1:23" s="129" customFormat="1" ht="15" hidden="1">
      <c r="A524" s="195" t="s">
        <v>1276</v>
      </c>
      <c r="B524" s="195" t="s">
        <v>1102</v>
      </c>
      <c r="C524" s="239" t="s">
        <v>2209</v>
      </c>
      <c r="D524" s="237" t="s">
        <v>2207</v>
      </c>
      <c r="E524" s="128" t="s">
        <v>2648</v>
      </c>
      <c r="F524" s="128"/>
      <c r="G524" s="233" t="s">
        <v>2487</v>
      </c>
      <c r="H524" s="238"/>
      <c r="I524" s="236" t="s">
        <v>2766</v>
      </c>
      <c r="J524" s="128"/>
      <c r="K524" s="239" t="s">
        <v>1223</v>
      </c>
      <c r="L524" s="197"/>
      <c r="M524" s="237" t="s">
        <v>2206</v>
      </c>
      <c r="N524" s="197"/>
      <c r="O524" s="197"/>
      <c r="P524" s="197">
        <v>9403208000</v>
      </c>
      <c r="Q524" s="126">
        <v>82.891246684350136</v>
      </c>
      <c r="R524" s="277" t="s">
        <v>9</v>
      </c>
      <c r="T524" s="168">
        <v>276.30415561450047</v>
      </c>
      <c r="U524" s="168">
        <v>165.78249336870027</v>
      </c>
      <c r="V524" s="168">
        <v>138.15207780725024</v>
      </c>
      <c r="W524" s="168">
        <v>110.5216622458002</v>
      </c>
    </row>
    <row r="525" spans="1:23" s="129" customFormat="1" ht="15" hidden="1">
      <c r="A525" s="195" t="s">
        <v>1276</v>
      </c>
      <c r="B525" s="195" t="s">
        <v>1102</v>
      </c>
      <c r="C525" s="239" t="s">
        <v>2209</v>
      </c>
      <c r="D525" s="237" t="s">
        <v>2207</v>
      </c>
      <c r="E525" s="128" t="s">
        <v>2642</v>
      </c>
      <c r="F525" s="128"/>
      <c r="G525" s="233" t="s">
        <v>2488</v>
      </c>
      <c r="H525" s="238"/>
      <c r="I525" s="236" t="s">
        <v>2767</v>
      </c>
      <c r="J525" s="128"/>
      <c r="K525" s="239" t="s">
        <v>1223</v>
      </c>
      <c r="L525" s="197"/>
      <c r="M525" s="237" t="s">
        <v>2206</v>
      </c>
      <c r="N525" s="197"/>
      <c r="O525" s="197"/>
      <c r="P525" s="197">
        <v>9403208000</v>
      </c>
      <c r="Q525" s="126">
        <v>89.798850574712631</v>
      </c>
      <c r="R525" s="277" t="s">
        <v>9</v>
      </c>
      <c r="T525" s="168">
        <v>299.32950191570876</v>
      </c>
      <c r="U525" s="168">
        <v>179.59770114942526</v>
      </c>
      <c r="V525" s="168">
        <v>149.66475095785438</v>
      </c>
      <c r="W525" s="168">
        <v>119.73180076628351</v>
      </c>
    </row>
    <row r="526" spans="1:23" s="129" customFormat="1" ht="15" hidden="1">
      <c r="A526" s="195" t="s">
        <v>1276</v>
      </c>
      <c r="B526" s="195" t="s">
        <v>1102</v>
      </c>
      <c r="C526" s="239" t="s">
        <v>2209</v>
      </c>
      <c r="D526" s="237" t="s">
        <v>2207</v>
      </c>
      <c r="E526" s="128" t="s">
        <v>2643</v>
      </c>
      <c r="F526" s="128"/>
      <c r="G526" s="233" t="s">
        <v>2489</v>
      </c>
      <c r="H526" s="238"/>
      <c r="I526" s="236" t="s">
        <v>2768</v>
      </c>
      <c r="J526" s="128"/>
      <c r="K526" s="239" t="s">
        <v>1223</v>
      </c>
      <c r="L526" s="197"/>
      <c r="M526" s="237" t="s">
        <v>2206</v>
      </c>
      <c r="N526" s="197"/>
      <c r="O526" s="197"/>
      <c r="P526" s="197">
        <v>9403208000</v>
      </c>
      <c r="Q526" s="126">
        <v>99.469496021220166</v>
      </c>
      <c r="R526" s="277" t="s">
        <v>9</v>
      </c>
      <c r="T526" s="168">
        <v>331.56498673740055</v>
      </c>
      <c r="U526" s="168">
        <v>198.93899204244033</v>
      </c>
      <c r="V526" s="168">
        <v>165.78249336870027</v>
      </c>
      <c r="W526" s="168">
        <v>132.62599469496021</v>
      </c>
    </row>
    <row r="527" spans="1:23" s="129" customFormat="1" ht="15" hidden="1">
      <c r="A527" s="195" t="s">
        <v>1276</v>
      </c>
      <c r="B527" s="195" t="s">
        <v>1102</v>
      </c>
      <c r="C527" s="239" t="s">
        <v>2209</v>
      </c>
      <c r="D527" s="237" t="s">
        <v>2207</v>
      </c>
      <c r="E527" s="128" t="s">
        <v>2649</v>
      </c>
      <c r="F527" s="128"/>
      <c r="G527" s="233" t="s">
        <v>2490</v>
      </c>
      <c r="H527" s="238"/>
      <c r="I527" s="236" t="s">
        <v>2769</v>
      </c>
      <c r="J527" s="128"/>
      <c r="K527" s="239" t="s">
        <v>1223</v>
      </c>
      <c r="L527" s="197"/>
      <c r="M527" s="237" t="s">
        <v>2206</v>
      </c>
      <c r="N527" s="197"/>
      <c r="O527" s="197"/>
      <c r="P527" s="197">
        <v>9403208000</v>
      </c>
      <c r="Q527" s="126">
        <v>110.52166224580017</v>
      </c>
      <c r="R527" s="277" t="s">
        <v>9</v>
      </c>
      <c r="T527" s="168">
        <v>368.40554081933391</v>
      </c>
      <c r="U527" s="168">
        <v>221.04332449160034</v>
      </c>
      <c r="V527" s="168">
        <v>184.20277040966695</v>
      </c>
      <c r="W527" s="168">
        <v>147.36221632773356</v>
      </c>
    </row>
    <row r="528" spans="1:23" s="129" customFormat="1" ht="15" hidden="1">
      <c r="A528" s="195" t="s">
        <v>1276</v>
      </c>
      <c r="B528" s="195" t="s">
        <v>1102</v>
      </c>
      <c r="C528" s="239" t="s">
        <v>2209</v>
      </c>
      <c r="D528" s="237" t="s">
        <v>2207</v>
      </c>
      <c r="E528" s="128" t="s">
        <v>2646</v>
      </c>
      <c r="F528" s="128"/>
      <c r="G528" s="233" t="s">
        <v>2491</v>
      </c>
      <c r="H528" s="238"/>
      <c r="I528" s="236" t="s">
        <v>2770</v>
      </c>
      <c r="J528" s="128"/>
      <c r="K528" s="239" t="s">
        <v>1223</v>
      </c>
      <c r="L528" s="197"/>
      <c r="M528" s="237" t="s">
        <v>2206</v>
      </c>
      <c r="N528" s="197"/>
      <c r="O528" s="197"/>
      <c r="P528" s="197">
        <v>9403208000</v>
      </c>
      <c r="Q528" s="126">
        <v>124.3368700265252</v>
      </c>
      <c r="R528" s="277" t="s">
        <v>9</v>
      </c>
      <c r="T528" s="168">
        <v>414.45623342175071</v>
      </c>
      <c r="U528" s="168">
        <v>248.67374005305041</v>
      </c>
      <c r="V528" s="168">
        <v>207.22811671087536</v>
      </c>
      <c r="W528" s="168">
        <v>165.7824933687003</v>
      </c>
    </row>
    <row r="529" spans="1:23" s="129" customFormat="1" ht="15" hidden="1">
      <c r="A529" s="195" t="s">
        <v>1276</v>
      </c>
      <c r="B529" s="195" t="s">
        <v>1102</v>
      </c>
      <c r="C529" s="239" t="s">
        <v>2209</v>
      </c>
      <c r="D529" s="237" t="s">
        <v>2207</v>
      </c>
      <c r="E529" s="128" t="s">
        <v>2636</v>
      </c>
      <c r="F529" s="128"/>
      <c r="G529" s="233" t="s">
        <v>2492</v>
      </c>
      <c r="H529" s="238"/>
      <c r="I529" s="236" t="s">
        <v>2771</v>
      </c>
      <c r="J529" s="128"/>
      <c r="K529" s="239" t="s">
        <v>1223</v>
      </c>
      <c r="L529" s="197"/>
      <c r="M529" s="237" t="s">
        <v>2206</v>
      </c>
      <c r="N529" s="197"/>
      <c r="O529" s="197"/>
      <c r="P529" s="197">
        <v>9403208000</v>
      </c>
      <c r="Q529" s="126">
        <v>138.15207780725021</v>
      </c>
      <c r="R529" s="277" t="s">
        <v>9</v>
      </c>
      <c r="T529" s="168">
        <v>460.5069260241674</v>
      </c>
      <c r="U529" s="168">
        <v>276.30415561450042</v>
      </c>
      <c r="V529" s="168">
        <v>230.2534630120837</v>
      </c>
      <c r="W529" s="168">
        <v>184.20277040966698</v>
      </c>
    </row>
    <row r="530" spans="1:23" s="129" customFormat="1" ht="15" hidden="1">
      <c r="A530" s="195" t="s">
        <v>1276</v>
      </c>
      <c r="B530" s="195" t="s">
        <v>1102</v>
      </c>
      <c r="C530" s="239" t="s">
        <v>2792</v>
      </c>
      <c r="D530" s="237" t="s">
        <v>2793</v>
      </c>
      <c r="E530" s="128"/>
      <c r="F530" s="128" t="s">
        <v>3258</v>
      </c>
      <c r="G530" s="233" t="s">
        <v>2772</v>
      </c>
      <c r="H530" s="238"/>
      <c r="I530" s="236" t="s">
        <v>2773</v>
      </c>
      <c r="J530" s="128"/>
      <c r="K530" s="239" t="s">
        <v>1223</v>
      </c>
      <c r="L530" s="197"/>
      <c r="M530" s="237" t="s">
        <v>2206</v>
      </c>
      <c r="N530" s="197"/>
      <c r="O530" s="197"/>
      <c r="P530" s="197">
        <v>9403208000</v>
      </c>
      <c r="Q530" s="126">
        <v>134.95484400656815</v>
      </c>
      <c r="R530" s="277" t="s">
        <v>9</v>
      </c>
      <c r="T530" s="168">
        <v>449.84948002189384</v>
      </c>
      <c r="U530" s="168">
        <v>269.9096880131363</v>
      </c>
      <c r="V530" s="168">
        <v>224.92474001094692</v>
      </c>
      <c r="W530" s="168">
        <v>179.93979200875754</v>
      </c>
    </row>
    <row r="531" spans="1:23" s="129" customFormat="1" ht="15" hidden="1">
      <c r="A531" s="195" t="s">
        <v>1276</v>
      </c>
      <c r="B531" s="195" t="s">
        <v>1102</v>
      </c>
      <c r="C531" s="239" t="s">
        <v>2792</v>
      </c>
      <c r="D531" s="237" t="s">
        <v>2793</v>
      </c>
      <c r="E531" s="128"/>
      <c r="F531" s="128" t="s">
        <v>3258</v>
      </c>
      <c r="G531" s="233" t="s">
        <v>2774</v>
      </c>
      <c r="H531" s="238"/>
      <c r="I531" s="236" t="s">
        <v>2775</v>
      </c>
      <c r="J531" s="128"/>
      <c r="K531" s="239" t="s">
        <v>1223</v>
      </c>
      <c r="L531" s="197"/>
      <c r="M531" s="237" t="s">
        <v>2206</v>
      </c>
      <c r="N531" s="197"/>
      <c r="O531" s="197"/>
      <c r="P531" s="197">
        <v>9403208000</v>
      </c>
      <c r="Q531" s="126">
        <v>144.02025177887248</v>
      </c>
      <c r="R531" s="277" t="s">
        <v>9</v>
      </c>
      <c r="T531" s="168">
        <v>480.06750592957496</v>
      </c>
      <c r="U531" s="168">
        <v>288.04050355774496</v>
      </c>
      <c r="V531" s="168">
        <v>240.03375296478748</v>
      </c>
      <c r="W531" s="168">
        <v>192.02700237183001</v>
      </c>
    </row>
    <row r="532" spans="1:23" s="129" customFormat="1" ht="15" hidden="1">
      <c r="A532" s="195" t="s">
        <v>1276</v>
      </c>
      <c r="B532" s="195" t="s">
        <v>1102</v>
      </c>
      <c r="C532" s="239" t="s">
        <v>2792</v>
      </c>
      <c r="D532" s="237" t="s">
        <v>2793</v>
      </c>
      <c r="E532" s="128"/>
      <c r="F532" s="128" t="s">
        <v>3259</v>
      </c>
      <c r="G532" s="233" t="s">
        <v>2776</v>
      </c>
      <c r="H532" s="238"/>
      <c r="I532" s="236" t="s">
        <v>2777</v>
      </c>
      <c r="J532" s="128"/>
      <c r="K532" s="239" t="s">
        <v>1223</v>
      </c>
      <c r="L532" s="197"/>
      <c r="M532" s="237" t="s">
        <v>2206</v>
      </c>
      <c r="N532" s="197"/>
      <c r="O532" s="197"/>
      <c r="P532" s="197">
        <v>9403208000</v>
      </c>
      <c r="Q532" s="126">
        <v>149.83579638752053</v>
      </c>
      <c r="R532" s="277" t="s">
        <v>9</v>
      </c>
      <c r="T532" s="168">
        <v>499.45265462506848</v>
      </c>
      <c r="U532" s="168">
        <v>299.67159277504106</v>
      </c>
      <c r="V532" s="168">
        <v>249.72632731253424</v>
      </c>
      <c r="W532" s="168">
        <v>199.78106185002741</v>
      </c>
    </row>
    <row r="533" spans="1:23" s="129" customFormat="1" ht="15" hidden="1">
      <c r="A533" s="195" t="s">
        <v>1276</v>
      </c>
      <c r="B533" s="195" t="s">
        <v>1102</v>
      </c>
      <c r="C533" s="239" t="s">
        <v>2792</v>
      </c>
      <c r="D533" s="237" t="s">
        <v>2793</v>
      </c>
      <c r="E533" s="128"/>
      <c r="F533" s="128" t="s">
        <v>3259</v>
      </c>
      <c r="G533" s="233" t="s">
        <v>2778</v>
      </c>
      <c r="H533" s="238"/>
      <c r="I533" s="236" t="s">
        <v>2779</v>
      </c>
      <c r="J533" s="128"/>
      <c r="K533" s="239" t="s">
        <v>1223</v>
      </c>
      <c r="L533" s="197"/>
      <c r="M533" s="237" t="s">
        <v>2206</v>
      </c>
      <c r="N533" s="197"/>
      <c r="O533" s="197"/>
      <c r="P533" s="197">
        <v>9403208000</v>
      </c>
      <c r="Q533" s="126">
        <v>158.90120415982486</v>
      </c>
      <c r="R533" s="277" t="s">
        <v>9</v>
      </c>
      <c r="T533" s="168">
        <v>529.67068053274954</v>
      </c>
      <c r="U533" s="168">
        <v>317.80240831964971</v>
      </c>
      <c r="V533" s="168">
        <v>264.83534026637477</v>
      </c>
      <c r="W533" s="168">
        <v>211.86827221309983</v>
      </c>
    </row>
    <row r="534" spans="1:23" s="129" customFormat="1" ht="15" hidden="1">
      <c r="A534" s="195" t="s">
        <v>1276</v>
      </c>
      <c r="B534" s="195" t="s">
        <v>1102</v>
      </c>
      <c r="C534" s="239" t="s">
        <v>2792</v>
      </c>
      <c r="D534" s="237" t="s">
        <v>2793</v>
      </c>
      <c r="E534" s="128"/>
      <c r="F534" s="128" t="s">
        <v>3254</v>
      </c>
      <c r="G534" s="233" t="s">
        <v>2780</v>
      </c>
      <c r="H534" s="238"/>
      <c r="I534" s="236" t="s">
        <v>2781</v>
      </c>
      <c r="J534" s="128"/>
      <c r="K534" s="239" t="s">
        <v>1223</v>
      </c>
      <c r="L534" s="197"/>
      <c r="M534" s="237" t="s">
        <v>2206</v>
      </c>
      <c r="N534" s="197"/>
      <c r="O534" s="197"/>
      <c r="P534" s="197">
        <v>9403208000</v>
      </c>
      <c r="Q534" s="126">
        <v>111.86371100164205</v>
      </c>
      <c r="R534" s="277" t="s">
        <v>9</v>
      </c>
      <c r="T534" s="168">
        <v>372.87903667214016</v>
      </c>
      <c r="U534" s="168">
        <v>223.72742200328409</v>
      </c>
      <c r="V534" s="168">
        <v>186.43951833607008</v>
      </c>
      <c r="W534" s="168">
        <v>149.15161466885607</v>
      </c>
    </row>
    <row r="535" spans="1:23" s="129" customFormat="1" ht="15" hidden="1">
      <c r="A535" s="195" t="s">
        <v>1276</v>
      </c>
      <c r="B535" s="195" t="s">
        <v>1102</v>
      </c>
      <c r="C535" s="239" t="s">
        <v>2792</v>
      </c>
      <c r="D535" s="237" t="s">
        <v>2793</v>
      </c>
      <c r="E535" s="128"/>
      <c r="F535" s="128" t="s">
        <v>3254</v>
      </c>
      <c r="G535" s="233" t="s">
        <v>2782</v>
      </c>
      <c r="H535" s="238"/>
      <c r="I535" s="236" t="s">
        <v>2783</v>
      </c>
      <c r="J535" s="128"/>
      <c r="K535" s="239" t="s">
        <v>1223</v>
      </c>
      <c r="L535" s="197"/>
      <c r="M535" s="237" t="s">
        <v>2206</v>
      </c>
      <c r="N535" s="197"/>
      <c r="O535" s="197"/>
      <c r="P535" s="197">
        <v>9403208000</v>
      </c>
      <c r="Q535" s="126">
        <v>120.92911877394639</v>
      </c>
      <c r="R535" s="277" t="s">
        <v>9</v>
      </c>
      <c r="T535" s="168">
        <v>403.09706257982128</v>
      </c>
      <c r="U535" s="168">
        <v>241.85823754789277</v>
      </c>
      <c r="V535" s="168">
        <v>201.54853128991064</v>
      </c>
      <c r="W535" s="168">
        <v>161.23882503192851</v>
      </c>
    </row>
    <row r="536" spans="1:23" s="129" customFormat="1" ht="15" hidden="1">
      <c r="A536" s="195" t="s">
        <v>1276</v>
      </c>
      <c r="B536" s="195" t="s">
        <v>1102</v>
      </c>
      <c r="C536" s="239" t="s">
        <v>2792</v>
      </c>
      <c r="D536" s="237" t="s">
        <v>2793</v>
      </c>
      <c r="E536" s="128"/>
      <c r="F536" s="128" t="s">
        <v>3255</v>
      </c>
      <c r="G536" s="233" t="s">
        <v>2784</v>
      </c>
      <c r="H536" s="238"/>
      <c r="I536" s="236" t="s">
        <v>2785</v>
      </c>
      <c r="J536" s="128"/>
      <c r="K536" s="239" t="s">
        <v>1223</v>
      </c>
      <c r="L536" s="197"/>
      <c r="M536" s="237" t="s">
        <v>2206</v>
      </c>
      <c r="N536" s="197"/>
      <c r="O536" s="197"/>
      <c r="P536" s="197">
        <v>9403208000</v>
      </c>
      <c r="Q536" s="126">
        <v>123.32375478927203</v>
      </c>
      <c r="R536" s="277" t="s">
        <v>9</v>
      </c>
      <c r="T536" s="168">
        <v>411.07918263090676</v>
      </c>
      <c r="U536" s="168">
        <v>246.64750957854403</v>
      </c>
      <c r="V536" s="168">
        <v>205.53959131545338</v>
      </c>
      <c r="W536" s="168">
        <v>164.43167305236273</v>
      </c>
    </row>
    <row r="537" spans="1:23" s="129" customFormat="1" ht="15" hidden="1">
      <c r="A537" s="195" t="s">
        <v>1276</v>
      </c>
      <c r="B537" s="195" t="s">
        <v>1102</v>
      </c>
      <c r="C537" s="239" t="s">
        <v>2792</v>
      </c>
      <c r="D537" s="237" t="s">
        <v>2793</v>
      </c>
      <c r="E537" s="128"/>
      <c r="F537" s="128" t="s">
        <v>3255</v>
      </c>
      <c r="G537" s="233" t="s">
        <v>2786</v>
      </c>
      <c r="H537" s="238"/>
      <c r="I537" s="236" t="s">
        <v>2787</v>
      </c>
      <c r="J537" s="128"/>
      <c r="K537" s="239" t="s">
        <v>1223</v>
      </c>
      <c r="L537" s="197"/>
      <c r="M537" s="237" t="s">
        <v>2206</v>
      </c>
      <c r="N537" s="197"/>
      <c r="O537" s="197"/>
      <c r="P537" s="197">
        <v>9403208000</v>
      </c>
      <c r="Q537" s="126">
        <v>132.21811713191025</v>
      </c>
      <c r="R537" s="277" t="s">
        <v>9</v>
      </c>
      <c r="T537" s="168">
        <v>440.72705710636751</v>
      </c>
      <c r="U537" s="168">
        <v>264.4362342638205</v>
      </c>
      <c r="V537" s="168">
        <v>220.36352855318376</v>
      </c>
      <c r="W537" s="168">
        <v>176.29082284254702</v>
      </c>
    </row>
    <row r="538" spans="1:23" s="129" customFormat="1" ht="15" hidden="1">
      <c r="A538" s="195" t="s">
        <v>1276</v>
      </c>
      <c r="B538" s="195" t="s">
        <v>1102</v>
      </c>
      <c r="C538" s="239" t="s">
        <v>2792</v>
      </c>
      <c r="D538" s="237" t="s">
        <v>2793</v>
      </c>
      <c r="E538" s="128"/>
      <c r="F538" s="128" t="s">
        <v>3256</v>
      </c>
      <c r="G538" s="233" t="s">
        <v>2788</v>
      </c>
      <c r="H538" s="238"/>
      <c r="I538" s="236" t="s">
        <v>2789</v>
      </c>
      <c r="J538" s="128"/>
      <c r="K538" s="239" t="s">
        <v>1223</v>
      </c>
      <c r="L538" s="197"/>
      <c r="M538" s="237" t="s">
        <v>2206</v>
      </c>
      <c r="N538" s="197"/>
      <c r="O538" s="197"/>
      <c r="P538" s="197">
        <v>9403208000</v>
      </c>
      <c r="Q538" s="126">
        <v>135.81007115489876</v>
      </c>
      <c r="R538" s="277" t="s">
        <v>9</v>
      </c>
      <c r="T538" s="168">
        <v>452.70023718299592</v>
      </c>
      <c r="U538" s="168">
        <v>271.62014230979753</v>
      </c>
      <c r="V538" s="168">
        <v>226.35011859149796</v>
      </c>
      <c r="W538" s="168">
        <v>181.08009487319839</v>
      </c>
    </row>
    <row r="539" spans="1:23" s="129" customFormat="1" ht="15" hidden="1">
      <c r="A539" s="195" t="s">
        <v>1276</v>
      </c>
      <c r="B539" s="195" t="s">
        <v>1102</v>
      </c>
      <c r="C539" s="239" t="s">
        <v>2792</v>
      </c>
      <c r="D539" s="237" t="s">
        <v>2793</v>
      </c>
      <c r="E539" s="128"/>
      <c r="F539" s="128" t="s">
        <v>3262</v>
      </c>
      <c r="G539" s="233" t="s">
        <v>2790</v>
      </c>
      <c r="H539" s="238"/>
      <c r="I539" s="236" t="s">
        <v>2791</v>
      </c>
      <c r="J539" s="128"/>
      <c r="K539" s="239" t="s">
        <v>1223</v>
      </c>
      <c r="L539" s="197"/>
      <c r="M539" s="237" t="s">
        <v>2206</v>
      </c>
      <c r="N539" s="197"/>
      <c r="O539" s="197"/>
      <c r="P539" s="197">
        <v>9403208000</v>
      </c>
      <c r="Q539" s="126">
        <v>145.04652435686921</v>
      </c>
      <c r="R539" s="277" t="s">
        <v>9</v>
      </c>
      <c r="T539" s="168">
        <v>483.48841452289741</v>
      </c>
      <c r="U539" s="168">
        <v>290.09304871373843</v>
      </c>
      <c r="V539" s="168">
        <v>241.74420726144871</v>
      </c>
      <c r="W539" s="168">
        <v>193.39536580915899</v>
      </c>
    </row>
    <row r="540" spans="1:23" ht="15" hidden="1">
      <c r="A540" s="195" t="s">
        <v>1276</v>
      </c>
      <c r="B540" s="195" t="s">
        <v>1102</v>
      </c>
      <c r="C540" s="239" t="s">
        <v>2792</v>
      </c>
      <c r="D540" s="237" t="s">
        <v>2793</v>
      </c>
      <c r="E540" s="128"/>
      <c r="F540" s="128"/>
      <c r="G540" s="233" t="s">
        <v>3171</v>
      </c>
      <c r="H540" s="238"/>
      <c r="I540" s="236" t="s">
        <v>3251</v>
      </c>
      <c r="J540" s="128"/>
      <c r="K540" s="239" t="s">
        <v>1223</v>
      </c>
      <c r="L540" s="197"/>
      <c r="M540" s="237" t="s">
        <v>2206</v>
      </c>
      <c r="N540" s="197"/>
      <c r="O540" s="197"/>
      <c r="P540" s="197">
        <v>9403208000</v>
      </c>
      <c r="Q540" s="126">
        <v>42.761357416529833</v>
      </c>
      <c r="R540" s="277" t="s">
        <v>9</v>
      </c>
      <c r="T540" s="168">
        <v>142.53785805509946</v>
      </c>
      <c r="U540" s="168">
        <v>85.52271483305968</v>
      </c>
      <c r="V540" s="168">
        <v>71.268929027549731</v>
      </c>
      <c r="W540" s="168">
        <v>57.015143222039789</v>
      </c>
    </row>
    <row r="541" spans="1:23" ht="15" hidden="1">
      <c r="A541" s="195" t="s">
        <v>1276</v>
      </c>
      <c r="B541" s="195" t="s">
        <v>1102</v>
      </c>
      <c r="C541" s="239" t="s">
        <v>2792</v>
      </c>
      <c r="D541" s="237" t="s">
        <v>2793</v>
      </c>
      <c r="E541" s="128"/>
      <c r="F541" s="128"/>
      <c r="G541" s="233" t="s">
        <v>3172</v>
      </c>
      <c r="H541" s="238"/>
      <c r="I541" s="236" t="s">
        <v>3252</v>
      </c>
      <c r="J541" s="128"/>
      <c r="K541" s="239" t="s">
        <v>1223</v>
      </c>
      <c r="L541" s="197"/>
      <c r="M541" s="237" t="s">
        <v>2206</v>
      </c>
      <c r="N541" s="197"/>
      <c r="O541" s="197"/>
      <c r="P541" s="197">
        <v>9403208000</v>
      </c>
      <c r="Q541" s="126">
        <v>68.418171866447736</v>
      </c>
      <c r="R541" s="277" t="s">
        <v>9</v>
      </c>
      <c r="T541" s="168">
        <v>228.06057288815913</v>
      </c>
      <c r="U541" s="168">
        <v>136.83634373289547</v>
      </c>
      <c r="V541" s="168">
        <v>114.03028644407956</v>
      </c>
      <c r="W541" s="168">
        <v>91.224229155263657</v>
      </c>
    </row>
    <row r="542" spans="1:23" ht="15" hidden="1">
      <c r="A542" s="195" t="s">
        <v>1276</v>
      </c>
      <c r="B542" s="195" t="s">
        <v>1102</v>
      </c>
      <c r="C542" s="237" t="s">
        <v>1103</v>
      </c>
      <c r="D542" s="237" t="s">
        <v>1103</v>
      </c>
      <c r="E542" s="128"/>
      <c r="F542" s="128"/>
      <c r="G542" s="233" t="s">
        <v>3173</v>
      </c>
      <c r="H542" s="238"/>
      <c r="I542" s="195" t="s">
        <v>3225</v>
      </c>
      <c r="J542" s="128"/>
      <c r="K542" s="239" t="s">
        <v>1223</v>
      </c>
      <c r="L542" s="197"/>
      <c r="M542" s="237" t="s">
        <v>2206</v>
      </c>
      <c r="N542" s="128" t="s">
        <v>3237</v>
      </c>
      <c r="O542" s="197"/>
      <c r="P542" s="197">
        <v>9403208000</v>
      </c>
      <c r="Q542" s="126">
        <v>13.084975369458132</v>
      </c>
      <c r="R542" s="277" t="s">
        <v>9</v>
      </c>
      <c r="T542" s="168">
        <v>43.616584564860439</v>
      </c>
      <c r="U542" s="168">
        <v>26.169950738916263</v>
      </c>
      <c r="V542" s="168">
        <v>21.808292282430219</v>
      </c>
      <c r="W542" s="168">
        <v>17.446633825944176</v>
      </c>
    </row>
    <row r="543" spans="1:23" ht="15" hidden="1">
      <c r="A543" s="195" t="s">
        <v>1276</v>
      </c>
      <c r="B543" s="195" t="s">
        <v>1102</v>
      </c>
      <c r="C543" s="237" t="s">
        <v>1103</v>
      </c>
      <c r="D543" s="237" t="s">
        <v>1103</v>
      </c>
      <c r="E543" s="128"/>
      <c r="F543" s="128"/>
      <c r="G543" s="233" t="s">
        <v>3174</v>
      </c>
      <c r="H543" s="238"/>
      <c r="I543" s="195" t="s">
        <v>3226</v>
      </c>
      <c r="J543" s="128"/>
      <c r="K543" s="239" t="s">
        <v>1223</v>
      </c>
      <c r="L543" s="197"/>
      <c r="M543" s="237" t="s">
        <v>2206</v>
      </c>
      <c r="N543" s="128" t="s">
        <v>3237</v>
      </c>
      <c r="O543" s="197"/>
      <c r="P543" s="197">
        <v>9403208000</v>
      </c>
      <c r="Q543" s="126">
        <v>15.39408866995074</v>
      </c>
      <c r="R543" s="277" t="s">
        <v>9</v>
      </c>
      <c r="T543" s="168">
        <v>51.313628899835805</v>
      </c>
      <c r="U543" s="168">
        <v>30.78817733990148</v>
      </c>
      <c r="V543" s="168">
        <v>25.656814449917903</v>
      </c>
      <c r="W543" s="168">
        <v>20.525451559934325</v>
      </c>
    </row>
    <row r="544" spans="1:23" ht="15" hidden="1">
      <c r="A544" s="195" t="s">
        <v>1276</v>
      </c>
      <c r="B544" s="195" t="s">
        <v>1102</v>
      </c>
      <c r="C544" s="237" t="s">
        <v>1103</v>
      </c>
      <c r="D544" s="237" t="s">
        <v>1103</v>
      </c>
      <c r="E544" s="128"/>
      <c r="F544" s="128"/>
      <c r="G544" s="233" t="s">
        <v>3175</v>
      </c>
      <c r="H544" s="238"/>
      <c r="I544" s="195" t="s">
        <v>3227</v>
      </c>
      <c r="J544" s="128"/>
      <c r="K544" s="239" t="s">
        <v>1223</v>
      </c>
      <c r="L544" s="197"/>
      <c r="M544" s="237" t="s">
        <v>2206</v>
      </c>
      <c r="N544" s="128" t="s">
        <v>3237</v>
      </c>
      <c r="O544" s="197"/>
      <c r="P544" s="197">
        <v>9403208000</v>
      </c>
      <c r="Q544" s="126">
        <v>17.959770114942529</v>
      </c>
      <c r="R544" s="277" t="s">
        <v>9</v>
      </c>
      <c r="T544" s="168">
        <v>59.865900383141764</v>
      </c>
      <c r="U544" s="168">
        <v>35.919540229885058</v>
      </c>
      <c r="V544" s="168">
        <v>29.932950191570882</v>
      </c>
      <c r="W544" s="168">
        <v>23.946360153256705</v>
      </c>
    </row>
    <row r="545" spans="1:23" ht="15" hidden="1">
      <c r="A545" s="195" t="s">
        <v>1276</v>
      </c>
      <c r="B545" s="195" t="s">
        <v>1102</v>
      </c>
      <c r="C545" s="237" t="s">
        <v>1103</v>
      </c>
      <c r="D545" s="237" t="s">
        <v>1103</v>
      </c>
      <c r="E545" s="128"/>
      <c r="F545" s="128"/>
      <c r="G545" s="233" t="s">
        <v>3176</v>
      </c>
      <c r="H545" s="238"/>
      <c r="I545" s="195" t="s">
        <v>3228</v>
      </c>
      <c r="J545" s="128"/>
      <c r="K545" s="239" t="s">
        <v>1223</v>
      </c>
      <c r="L545" s="197"/>
      <c r="M545" s="237" t="s">
        <v>2206</v>
      </c>
      <c r="N545" s="128" t="s">
        <v>3237</v>
      </c>
      <c r="O545" s="197"/>
      <c r="P545" s="197">
        <v>9403208000</v>
      </c>
      <c r="Q545" s="126">
        <v>18.814997263273128</v>
      </c>
      <c r="R545" s="277" t="s">
        <v>9</v>
      </c>
      <c r="T545" s="168">
        <v>62.716657544243759</v>
      </c>
      <c r="U545" s="168">
        <v>37.629994526546255</v>
      </c>
      <c r="V545" s="168">
        <v>31.35832877212188</v>
      </c>
      <c r="W545" s="168">
        <v>25.086663017697504</v>
      </c>
    </row>
    <row r="546" spans="1:23" ht="15" hidden="1">
      <c r="A546" s="195" t="s">
        <v>1276</v>
      </c>
      <c r="B546" s="195" t="s">
        <v>1102</v>
      </c>
      <c r="C546" s="237" t="s">
        <v>1103</v>
      </c>
      <c r="D546" s="237" t="s">
        <v>1103</v>
      </c>
      <c r="E546" s="128"/>
      <c r="F546" s="128"/>
      <c r="G546" s="233" t="s">
        <v>3177</v>
      </c>
      <c r="H546" s="238"/>
      <c r="I546" s="195" t="s">
        <v>3230</v>
      </c>
      <c r="J546" s="128"/>
      <c r="K546" s="239" t="s">
        <v>1223</v>
      </c>
      <c r="L546" s="197"/>
      <c r="M546" s="237" t="s">
        <v>2206</v>
      </c>
      <c r="N546" s="128" t="s">
        <v>3237</v>
      </c>
      <c r="O546" s="197"/>
      <c r="P546" s="197">
        <v>9403208000</v>
      </c>
      <c r="Q546" s="126">
        <v>28.222495894909688</v>
      </c>
      <c r="R546" s="277" t="s">
        <v>9</v>
      </c>
      <c r="T546" s="168">
        <v>94.074986316365624</v>
      </c>
      <c r="U546" s="168">
        <v>56.444991789819376</v>
      </c>
      <c r="V546" s="168">
        <v>47.037493158182812</v>
      </c>
      <c r="W546" s="168">
        <v>37.629994526546248</v>
      </c>
    </row>
    <row r="547" spans="1:23" ht="15" hidden="1">
      <c r="A547" s="195" t="s">
        <v>1276</v>
      </c>
      <c r="B547" s="195" t="s">
        <v>1102</v>
      </c>
      <c r="C547" s="237" t="s">
        <v>1103</v>
      </c>
      <c r="D547" s="237" t="s">
        <v>1103</v>
      </c>
      <c r="E547" s="128"/>
      <c r="F547" s="128"/>
      <c r="G547" s="233" t="s">
        <v>3178</v>
      </c>
      <c r="H547" s="238"/>
      <c r="I547" s="195" t="s">
        <v>3229</v>
      </c>
      <c r="J547" s="128"/>
      <c r="K547" s="239" t="s">
        <v>1223</v>
      </c>
      <c r="L547" s="197"/>
      <c r="M547" s="237" t="s">
        <v>2206</v>
      </c>
      <c r="N547" s="128" t="s">
        <v>3237</v>
      </c>
      <c r="O547" s="197"/>
      <c r="P547" s="197">
        <v>9403208000</v>
      </c>
      <c r="Q547" s="126">
        <v>23.51874657909141</v>
      </c>
      <c r="R547" s="277" t="s">
        <v>9</v>
      </c>
      <c r="T547" s="168">
        <v>78.395821930304706</v>
      </c>
      <c r="U547" s="168">
        <v>47.037493158182819</v>
      </c>
      <c r="V547" s="168">
        <v>39.197910965152353</v>
      </c>
      <c r="W547" s="168">
        <v>31.358328772121883</v>
      </c>
    </row>
    <row r="548" spans="1:23" ht="15" hidden="1">
      <c r="A548" s="195" t="s">
        <v>1276</v>
      </c>
      <c r="B548" s="195" t="s">
        <v>1102</v>
      </c>
      <c r="C548" s="237" t="s">
        <v>1103</v>
      </c>
      <c r="D548" s="237" t="s">
        <v>1103</v>
      </c>
      <c r="E548" s="128"/>
      <c r="F548" s="128"/>
      <c r="G548" s="233" t="s">
        <v>3179</v>
      </c>
      <c r="H548" s="238"/>
      <c r="I548" s="195" t="s">
        <v>3231</v>
      </c>
      <c r="J548" s="128"/>
      <c r="K548" s="239" t="s">
        <v>1223</v>
      </c>
      <c r="L548" s="197"/>
      <c r="M548" s="237" t="s">
        <v>2206</v>
      </c>
      <c r="N548" s="128" t="s">
        <v>3237</v>
      </c>
      <c r="O548" s="197"/>
      <c r="P548" s="197">
        <v>9403208000</v>
      </c>
      <c r="Q548" s="126">
        <v>25.656814449917899</v>
      </c>
      <c r="R548" s="277" t="s">
        <v>9</v>
      </c>
      <c r="T548" s="168">
        <v>85.522714833059666</v>
      </c>
      <c r="U548" s="168">
        <v>51.313628899835798</v>
      </c>
      <c r="V548" s="168">
        <v>42.761357416529833</v>
      </c>
      <c r="W548" s="168">
        <v>34.209085933223868</v>
      </c>
    </row>
    <row r="549" spans="1:23" ht="15" hidden="1">
      <c r="A549" s="195" t="s">
        <v>1276</v>
      </c>
      <c r="B549" s="195" t="s">
        <v>1102</v>
      </c>
      <c r="C549" s="237" t="s">
        <v>1103</v>
      </c>
      <c r="D549" s="237" t="s">
        <v>1103</v>
      </c>
      <c r="E549" s="128"/>
      <c r="F549" s="128"/>
      <c r="G549" s="233" t="s">
        <v>3180</v>
      </c>
      <c r="H549" s="238"/>
      <c r="I549" s="195" t="s">
        <v>3232</v>
      </c>
      <c r="J549" s="128"/>
      <c r="K549" s="239" t="s">
        <v>1223</v>
      </c>
      <c r="L549" s="197"/>
      <c r="M549" s="237" t="s">
        <v>2206</v>
      </c>
      <c r="N549" s="128" t="s">
        <v>3237</v>
      </c>
      <c r="O549" s="197"/>
      <c r="P549" s="197">
        <v>9403208000</v>
      </c>
      <c r="Q549" s="126">
        <v>30.78817733990148</v>
      </c>
      <c r="R549" s="277" t="s">
        <v>9</v>
      </c>
      <c r="T549" s="168">
        <v>102.62725779967161</v>
      </c>
      <c r="U549" s="168">
        <v>61.576354679802961</v>
      </c>
      <c r="V549" s="168">
        <v>51.313628899835805</v>
      </c>
      <c r="W549" s="168">
        <v>41.05090311986865</v>
      </c>
    </row>
    <row r="550" spans="1:23" ht="15" hidden="1">
      <c r="A550" s="195" t="s">
        <v>1276</v>
      </c>
      <c r="B550" s="195" t="s">
        <v>1102</v>
      </c>
      <c r="C550" s="239" t="s">
        <v>2792</v>
      </c>
      <c r="D550" s="237" t="s">
        <v>2793</v>
      </c>
      <c r="E550" s="128"/>
      <c r="F550" s="128"/>
      <c r="G550" s="233" t="s">
        <v>3181</v>
      </c>
      <c r="H550" s="238"/>
      <c r="I550" s="236" t="s">
        <v>3238</v>
      </c>
      <c r="J550" s="128"/>
      <c r="K550" s="239" t="s">
        <v>1223</v>
      </c>
      <c r="L550" s="197"/>
      <c r="M550" s="237" t="s">
        <v>2206</v>
      </c>
      <c r="N550" s="197"/>
      <c r="O550" s="197"/>
      <c r="P550" s="197">
        <v>9403208000</v>
      </c>
      <c r="Q550" s="126">
        <v>25.656814449917899</v>
      </c>
      <c r="R550" s="277" t="s">
        <v>9</v>
      </c>
      <c r="T550" s="168">
        <v>85.522714833059666</v>
      </c>
      <c r="U550" s="168">
        <v>51.313628899835798</v>
      </c>
      <c r="V550" s="168">
        <v>42.761357416529833</v>
      </c>
      <c r="W550" s="168">
        <v>34.209085933223868</v>
      </c>
    </row>
    <row r="551" spans="1:23" ht="15" hidden="1">
      <c r="A551" s="195" t="s">
        <v>1276</v>
      </c>
      <c r="B551" s="195" t="s">
        <v>1102</v>
      </c>
      <c r="C551" s="239" t="s">
        <v>2792</v>
      </c>
      <c r="D551" s="237" t="s">
        <v>2793</v>
      </c>
      <c r="E551" s="128"/>
      <c r="F551" s="128"/>
      <c r="G551" s="233" t="s">
        <v>3182</v>
      </c>
      <c r="H551" s="238"/>
      <c r="I551" s="236" t="s">
        <v>3250</v>
      </c>
      <c r="J551" s="128"/>
      <c r="K551" s="239" t="s">
        <v>1223</v>
      </c>
      <c r="L551" s="197"/>
      <c r="M551" s="237" t="s">
        <v>2206</v>
      </c>
      <c r="N551" s="197"/>
      <c r="O551" s="197"/>
      <c r="P551" s="197">
        <v>9403208000</v>
      </c>
      <c r="Q551" s="126">
        <v>10.00615763546798</v>
      </c>
      <c r="R551" s="277" t="s">
        <v>9</v>
      </c>
      <c r="T551" s="168">
        <v>33.353858784893269</v>
      </c>
      <c r="U551" s="168">
        <v>20.012315270935961</v>
      </c>
      <c r="V551" s="168">
        <v>16.676929392446635</v>
      </c>
      <c r="W551" s="168">
        <v>13.341543513957308</v>
      </c>
    </row>
    <row r="552" spans="1:23" ht="15" hidden="1">
      <c r="A552" s="195" t="s">
        <v>1276</v>
      </c>
      <c r="B552" s="195" t="s">
        <v>1102</v>
      </c>
      <c r="C552" s="239" t="s">
        <v>2792</v>
      </c>
      <c r="D552" s="237" t="s">
        <v>2793</v>
      </c>
      <c r="E552" s="128"/>
      <c r="F552" s="128"/>
      <c r="G552" s="233" t="s">
        <v>3183</v>
      </c>
      <c r="H552" s="238"/>
      <c r="I552" s="236" t="s">
        <v>3249</v>
      </c>
      <c r="J552" s="128"/>
      <c r="K552" s="239" t="s">
        <v>1223</v>
      </c>
      <c r="L552" s="197"/>
      <c r="M552" s="237" t="s">
        <v>2206</v>
      </c>
      <c r="N552" s="197"/>
      <c r="O552" s="197"/>
      <c r="P552" s="197">
        <v>9403208000</v>
      </c>
      <c r="Q552" s="126">
        <v>2.7367268746579092</v>
      </c>
      <c r="R552" s="277" t="s">
        <v>9</v>
      </c>
      <c r="T552" s="168">
        <v>9.1224229155263643</v>
      </c>
      <c r="U552" s="168">
        <v>5.4734537493158184</v>
      </c>
      <c r="V552" s="168">
        <v>4.5612114577631822</v>
      </c>
      <c r="W552" s="168">
        <v>3.6489691662105459</v>
      </c>
    </row>
    <row r="553" spans="1:23" ht="15" hidden="1">
      <c r="A553" s="195" t="s">
        <v>1276</v>
      </c>
      <c r="B553" s="195" t="s">
        <v>1102</v>
      </c>
      <c r="C553" s="239" t="s">
        <v>2792</v>
      </c>
      <c r="D553" s="237" t="s">
        <v>2793</v>
      </c>
      <c r="E553" s="128"/>
      <c r="F553" s="128"/>
      <c r="G553" s="233" t="s">
        <v>3184</v>
      </c>
      <c r="H553" s="238"/>
      <c r="I553" s="236" t="s">
        <v>3248</v>
      </c>
      <c r="J553" s="128"/>
      <c r="K553" s="239" t="s">
        <v>1223</v>
      </c>
      <c r="L553" s="197"/>
      <c r="M553" s="237" t="s">
        <v>2206</v>
      </c>
      <c r="N553" s="197"/>
      <c r="O553" s="197"/>
      <c r="P553" s="197">
        <v>9403208000</v>
      </c>
      <c r="Q553" s="126">
        <v>7.6970443349753701</v>
      </c>
      <c r="R553" s="277" t="s">
        <v>9</v>
      </c>
      <c r="T553" s="168">
        <v>25.656814449917903</v>
      </c>
      <c r="U553" s="168">
        <v>15.39408866995074</v>
      </c>
      <c r="V553" s="168">
        <v>12.828407224958951</v>
      </c>
      <c r="W553" s="168">
        <v>10.262725779967163</v>
      </c>
    </row>
    <row r="554" spans="1:23" ht="15" hidden="1">
      <c r="A554" s="195" t="s">
        <v>1276</v>
      </c>
      <c r="B554" s="195" t="s">
        <v>1102</v>
      </c>
      <c r="C554" s="237" t="s">
        <v>1103</v>
      </c>
      <c r="D554" s="237" t="s">
        <v>1103</v>
      </c>
      <c r="E554" s="128"/>
      <c r="F554" s="128"/>
      <c r="G554" s="233" t="s">
        <v>3185</v>
      </c>
      <c r="H554" s="238"/>
      <c r="I554" s="236" t="s">
        <v>3233</v>
      </c>
      <c r="J554" s="128"/>
      <c r="K554" s="239" t="s">
        <v>1223</v>
      </c>
      <c r="L554" s="197"/>
      <c r="M554" s="237" t="s">
        <v>2206</v>
      </c>
      <c r="N554" s="128" t="s">
        <v>3237</v>
      </c>
      <c r="O554" s="197"/>
      <c r="P554" s="197">
        <v>9403208000</v>
      </c>
      <c r="Q554" s="126">
        <v>3.4209085933223866</v>
      </c>
      <c r="R554" s="277" t="s">
        <v>9</v>
      </c>
      <c r="T554" s="168">
        <v>11.403028644407955</v>
      </c>
      <c r="U554" s="168">
        <v>6.8418171866447732</v>
      </c>
      <c r="V554" s="168">
        <v>5.7015143222039777</v>
      </c>
      <c r="W554" s="168">
        <v>4.5612114577631822</v>
      </c>
    </row>
    <row r="555" spans="1:23" ht="15" hidden="1">
      <c r="A555" s="195" t="s">
        <v>1276</v>
      </c>
      <c r="B555" s="195" t="s">
        <v>1102</v>
      </c>
      <c r="C555" s="237" t="s">
        <v>1103</v>
      </c>
      <c r="D555" s="237" t="s">
        <v>1103</v>
      </c>
      <c r="E555" s="128"/>
      <c r="F555" s="128"/>
      <c r="G555" s="233" t="s">
        <v>3186</v>
      </c>
      <c r="H555" s="238"/>
      <c r="I555" s="236" t="s">
        <v>3234</v>
      </c>
      <c r="J555" s="128"/>
      <c r="K555" s="239" t="s">
        <v>1223</v>
      </c>
      <c r="L555" s="197"/>
      <c r="M555" s="237" t="s">
        <v>2206</v>
      </c>
      <c r="N555" s="128" t="s">
        <v>3237</v>
      </c>
      <c r="O555" s="197"/>
      <c r="P555" s="197">
        <v>9403208000</v>
      </c>
      <c r="Q555" s="126">
        <v>4.2761357416529835</v>
      </c>
      <c r="R555" s="277" t="s">
        <v>9</v>
      </c>
      <c r="T555" s="168">
        <v>14.253785805509946</v>
      </c>
      <c r="U555" s="168">
        <v>8.552271483305967</v>
      </c>
      <c r="V555" s="168">
        <v>7.1268929027549728</v>
      </c>
      <c r="W555" s="168">
        <v>5.7015143222039786</v>
      </c>
    </row>
    <row r="556" spans="1:23" ht="15" hidden="1">
      <c r="A556" s="195" t="s">
        <v>1276</v>
      </c>
      <c r="B556" s="195" t="s">
        <v>1102</v>
      </c>
      <c r="C556" s="237" t="s">
        <v>1103</v>
      </c>
      <c r="D556" s="237" t="s">
        <v>1103</v>
      </c>
      <c r="E556" s="128"/>
      <c r="F556" s="128"/>
      <c r="G556" s="233" t="s">
        <v>3187</v>
      </c>
      <c r="H556" s="238"/>
      <c r="I556" s="236" t="s">
        <v>3235</v>
      </c>
      <c r="J556" s="128"/>
      <c r="K556" s="239" t="s">
        <v>1223</v>
      </c>
      <c r="L556" s="197"/>
      <c r="M556" s="237" t="s">
        <v>2206</v>
      </c>
      <c r="N556" s="128" t="s">
        <v>3237</v>
      </c>
      <c r="O556" s="197"/>
      <c r="P556" s="197">
        <v>9403208000</v>
      </c>
      <c r="Q556" s="126">
        <v>5.1313628899835795</v>
      </c>
      <c r="R556" s="277" t="s">
        <v>9</v>
      </c>
      <c r="T556" s="168">
        <v>17.104542966611934</v>
      </c>
      <c r="U556" s="168">
        <v>10.262725779967161</v>
      </c>
      <c r="V556" s="168">
        <v>8.552271483305967</v>
      </c>
      <c r="W556" s="168">
        <v>6.8418171866447741</v>
      </c>
    </row>
    <row r="557" spans="1:23" ht="15" hidden="1">
      <c r="A557" s="195" t="s">
        <v>1276</v>
      </c>
      <c r="B557" s="195" t="s">
        <v>1102</v>
      </c>
      <c r="C557" s="237" t="s">
        <v>1103</v>
      </c>
      <c r="D557" s="237" t="s">
        <v>1103</v>
      </c>
      <c r="E557" s="128"/>
      <c r="F557" s="128"/>
      <c r="G557" s="233" t="s">
        <v>3188</v>
      </c>
      <c r="H557" s="238"/>
      <c r="I557" s="236" t="s">
        <v>3236</v>
      </c>
      <c r="J557" s="128"/>
      <c r="K557" s="239" t="s">
        <v>1223</v>
      </c>
      <c r="L557" s="197"/>
      <c r="M557" s="237" t="s">
        <v>2206</v>
      </c>
      <c r="N557" s="128" t="s">
        <v>3237</v>
      </c>
      <c r="O557" s="197"/>
      <c r="P557" s="197">
        <v>9403208000</v>
      </c>
      <c r="Q557" s="126">
        <v>7.0128626163108922</v>
      </c>
      <c r="R557" s="277" t="s">
        <v>9</v>
      </c>
      <c r="T557" s="168">
        <v>23.37620872103631</v>
      </c>
      <c r="U557" s="168">
        <v>14.025725232621786</v>
      </c>
      <c r="V557" s="168">
        <v>11.688104360518155</v>
      </c>
      <c r="W557" s="168">
        <v>9.3504834884145236</v>
      </c>
    </row>
    <row r="558" spans="1:23" ht="15" hidden="1">
      <c r="A558" s="195" t="s">
        <v>1276</v>
      </c>
      <c r="B558" s="195" t="s">
        <v>1102</v>
      </c>
      <c r="C558" s="239" t="s">
        <v>2792</v>
      </c>
      <c r="D558" s="237" t="s">
        <v>2793</v>
      </c>
      <c r="E558" s="128"/>
      <c r="F558" s="128" t="s">
        <v>3254</v>
      </c>
      <c r="G558" s="233" t="s">
        <v>3189</v>
      </c>
      <c r="H558" s="238"/>
      <c r="I558" s="236" t="s">
        <v>3240</v>
      </c>
      <c r="J558" s="128"/>
      <c r="K558" s="239" t="s">
        <v>1223</v>
      </c>
      <c r="L558" s="197"/>
      <c r="M558" s="237" t="s">
        <v>2206</v>
      </c>
      <c r="N558" s="197"/>
      <c r="O558" s="197"/>
      <c r="P558" s="197">
        <v>9403208000</v>
      </c>
      <c r="Q558" s="126">
        <v>54.734537493158186</v>
      </c>
      <c r="R558" s="277" t="s">
        <v>9</v>
      </c>
      <c r="T558" s="168">
        <v>182.44845831052729</v>
      </c>
      <c r="U558" s="168">
        <v>109.46907498631637</v>
      </c>
      <c r="V558" s="168">
        <v>91.224229155263643</v>
      </c>
      <c r="W558" s="168">
        <v>72.979383324210914</v>
      </c>
    </row>
    <row r="559" spans="1:23" ht="15" hidden="1">
      <c r="A559" s="195" t="s">
        <v>1276</v>
      </c>
      <c r="B559" s="195" t="s">
        <v>1102</v>
      </c>
      <c r="C559" s="239" t="s">
        <v>2792</v>
      </c>
      <c r="D559" s="237" t="s">
        <v>2793</v>
      </c>
      <c r="E559" s="128"/>
      <c r="F559" s="128" t="s">
        <v>3255</v>
      </c>
      <c r="G559" s="233" t="s">
        <v>3190</v>
      </c>
      <c r="H559" s="238"/>
      <c r="I559" s="236" t="s">
        <v>3242</v>
      </c>
      <c r="J559" s="128"/>
      <c r="K559" s="239" t="s">
        <v>1223</v>
      </c>
      <c r="L559" s="197"/>
      <c r="M559" s="237" t="s">
        <v>2206</v>
      </c>
      <c r="N559" s="197"/>
      <c r="O559" s="197"/>
      <c r="P559" s="197">
        <v>9403208000</v>
      </c>
      <c r="Q559" s="126">
        <v>59.865900383141771</v>
      </c>
      <c r="R559" s="277" t="s">
        <v>9</v>
      </c>
      <c r="T559" s="168">
        <v>199.55300127713923</v>
      </c>
      <c r="U559" s="168">
        <v>119.73180076628353</v>
      </c>
      <c r="V559" s="168">
        <v>99.776500638569615</v>
      </c>
      <c r="W559" s="168">
        <v>79.821200510855704</v>
      </c>
    </row>
    <row r="560" spans="1:23" ht="15" hidden="1">
      <c r="A560" s="195" t="s">
        <v>1276</v>
      </c>
      <c r="B560" s="195" t="s">
        <v>1102</v>
      </c>
      <c r="C560" s="239" t="s">
        <v>2792</v>
      </c>
      <c r="D560" s="237" t="s">
        <v>2793</v>
      </c>
      <c r="E560" s="128"/>
      <c r="F560" s="128" t="s">
        <v>3257</v>
      </c>
      <c r="G560" s="233" t="s">
        <v>3191</v>
      </c>
      <c r="H560" s="238"/>
      <c r="I560" s="236" t="s">
        <v>3243</v>
      </c>
      <c r="J560" s="128"/>
      <c r="K560" s="239" t="s">
        <v>1223</v>
      </c>
      <c r="L560" s="197"/>
      <c r="M560" s="237" t="s">
        <v>2206</v>
      </c>
      <c r="N560" s="197"/>
      <c r="O560" s="197"/>
      <c r="P560" s="197">
        <v>9403208000</v>
      </c>
      <c r="Q560" s="126">
        <v>59.865900383141771</v>
      </c>
      <c r="R560" s="277" t="s">
        <v>9</v>
      </c>
      <c r="T560" s="168">
        <v>199.55300127713923</v>
      </c>
      <c r="U560" s="168">
        <v>119.73180076628353</v>
      </c>
      <c r="V560" s="168">
        <v>99.776500638569615</v>
      </c>
      <c r="W560" s="168">
        <v>79.821200510855704</v>
      </c>
    </row>
    <row r="561" spans="1:23" ht="15" hidden="1">
      <c r="A561" s="195" t="s">
        <v>1276</v>
      </c>
      <c r="B561" s="195" t="s">
        <v>1102</v>
      </c>
      <c r="C561" s="239" t="s">
        <v>2792</v>
      </c>
      <c r="D561" s="237" t="s">
        <v>2793</v>
      </c>
      <c r="E561" s="128"/>
      <c r="F561" s="128" t="s">
        <v>3258</v>
      </c>
      <c r="G561" s="233" t="s">
        <v>3192</v>
      </c>
      <c r="H561" s="238"/>
      <c r="I561" s="236" t="s">
        <v>3241</v>
      </c>
      <c r="J561" s="128"/>
      <c r="K561" s="239" t="s">
        <v>1223</v>
      </c>
      <c r="L561" s="197"/>
      <c r="M561" s="237" t="s">
        <v>2206</v>
      </c>
      <c r="N561" s="197"/>
      <c r="O561" s="197"/>
      <c r="P561" s="197">
        <v>9403208000</v>
      </c>
      <c r="Q561" s="126">
        <v>68.418171866447736</v>
      </c>
      <c r="R561" s="277" t="s">
        <v>9</v>
      </c>
      <c r="T561" s="168">
        <v>228.06057288815913</v>
      </c>
      <c r="U561" s="168">
        <v>136.83634373289547</v>
      </c>
      <c r="V561" s="168">
        <v>114.03028644407956</v>
      </c>
      <c r="W561" s="168">
        <v>91.224229155263657</v>
      </c>
    </row>
    <row r="562" spans="1:23" ht="15" hidden="1">
      <c r="A562" s="195" t="s">
        <v>1276</v>
      </c>
      <c r="B562" s="195" t="s">
        <v>1102</v>
      </c>
      <c r="C562" s="239" t="s">
        <v>2792</v>
      </c>
      <c r="D562" s="237" t="s">
        <v>2793</v>
      </c>
      <c r="E562" s="128"/>
      <c r="F562" s="128" t="s">
        <v>3256</v>
      </c>
      <c r="G562" s="233" t="s">
        <v>3193</v>
      </c>
      <c r="H562" s="238"/>
      <c r="I562" s="236" t="s">
        <v>3244</v>
      </c>
      <c r="J562" s="128"/>
      <c r="K562" s="239" t="s">
        <v>1223</v>
      </c>
      <c r="L562" s="197"/>
      <c r="M562" s="237" t="s">
        <v>2206</v>
      </c>
      <c r="N562" s="197"/>
      <c r="O562" s="197"/>
      <c r="P562" s="197">
        <v>9403208000</v>
      </c>
      <c r="Q562" s="126">
        <v>59.865900383141771</v>
      </c>
      <c r="R562" s="277" t="s">
        <v>9</v>
      </c>
      <c r="T562" s="168">
        <v>199.55300127713923</v>
      </c>
      <c r="U562" s="168">
        <v>119.73180076628353</v>
      </c>
      <c r="V562" s="168">
        <v>99.776500638569615</v>
      </c>
      <c r="W562" s="168">
        <v>79.821200510855704</v>
      </c>
    </row>
    <row r="563" spans="1:23" ht="15" hidden="1">
      <c r="A563" s="195" t="s">
        <v>1276</v>
      </c>
      <c r="B563" s="195" t="s">
        <v>1102</v>
      </c>
      <c r="C563" s="239" t="s">
        <v>2792</v>
      </c>
      <c r="D563" s="237" t="s">
        <v>2793</v>
      </c>
      <c r="E563" s="128"/>
      <c r="F563" s="128" t="s">
        <v>3259</v>
      </c>
      <c r="G563" s="233" t="s">
        <v>3194</v>
      </c>
      <c r="H563" s="238"/>
      <c r="I563" s="236" t="s">
        <v>3245</v>
      </c>
      <c r="J563" s="128"/>
      <c r="K563" s="239" t="s">
        <v>1223</v>
      </c>
      <c r="L563" s="197"/>
      <c r="M563" s="237" t="s">
        <v>2206</v>
      </c>
      <c r="N563" s="197"/>
      <c r="O563" s="197"/>
      <c r="P563" s="197">
        <v>9403208000</v>
      </c>
      <c r="Q563" s="126">
        <v>76.970443349753708</v>
      </c>
      <c r="R563" s="277" t="s">
        <v>9</v>
      </c>
      <c r="T563" s="168">
        <v>256.56814449917903</v>
      </c>
      <c r="U563" s="168">
        <v>153.94088669950742</v>
      </c>
      <c r="V563" s="168">
        <v>128.28407224958951</v>
      </c>
      <c r="W563" s="168">
        <v>102.62725779967161</v>
      </c>
    </row>
    <row r="564" spans="1:23" ht="15" hidden="1">
      <c r="A564" s="195" t="s">
        <v>1276</v>
      </c>
      <c r="B564" s="195" t="s">
        <v>1102</v>
      </c>
      <c r="C564" s="239" t="s">
        <v>2792</v>
      </c>
      <c r="D564" s="237" t="s">
        <v>2793</v>
      </c>
      <c r="E564" s="128"/>
      <c r="F564" s="128" t="s">
        <v>3260</v>
      </c>
      <c r="G564" s="233" t="s">
        <v>3195</v>
      </c>
      <c r="H564" s="238"/>
      <c r="I564" s="236" t="s">
        <v>3246</v>
      </c>
      <c r="J564" s="128"/>
      <c r="K564" s="239" t="s">
        <v>1223</v>
      </c>
      <c r="L564" s="197"/>
      <c r="M564" s="237" t="s">
        <v>2206</v>
      </c>
      <c r="N564" s="197"/>
      <c r="O564" s="197"/>
      <c r="P564" s="197">
        <v>9403208000</v>
      </c>
      <c r="Q564" s="126">
        <v>85.522714833059666</v>
      </c>
      <c r="R564" s="277" t="s">
        <v>9</v>
      </c>
      <c r="T564" s="168">
        <v>285.07571611019893</v>
      </c>
      <c r="U564" s="168">
        <v>171.04542966611936</v>
      </c>
      <c r="V564" s="168">
        <v>142.53785805509946</v>
      </c>
      <c r="W564" s="168">
        <v>114.03028644407958</v>
      </c>
    </row>
    <row r="565" spans="1:23" ht="15" hidden="1">
      <c r="A565" s="195" t="s">
        <v>1276</v>
      </c>
      <c r="B565" s="195" t="s">
        <v>1102</v>
      </c>
      <c r="C565" s="239" t="s">
        <v>2792</v>
      </c>
      <c r="D565" s="237" t="s">
        <v>2793</v>
      </c>
      <c r="E565" s="128"/>
      <c r="F565" s="128"/>
      <c r="G565" s="233" t="s">
        <v>3196</v>
      </c>
      <c r="H565" s="238"/>
      <c r="I565" s="236" t="s">
        <v>3247</v>
      </c>
      <c r="J565" s="128"/>
      <c r="K565" s="239" t="s">
        <v>1223</v>
      </c>
      <c r="L565" s="197"/>
      <c r="M565" s="237" t="s">
        <v>2206</v>
      </c>
      <c r="N565" s="197"/>
      <c r="O565" s="197"/>
      <c r="P565" s="197">
        <v>9403208000</v>
      </c>
      <c r="Q565" s="126">
        <v>31.899972632731256</v>
      </c>
      <c r="R565" s="277" t="s">
        <v>9</v>
      </c>
      <c r="T565" s="168">
        <v>106.33324210910419</v>
      </c>
      <c r="U565" s="168">
        <v>63.799945265462512</v>
      </c>
      <c r="V565" s="168">
        <v>53.166621054552095</v>
      </c>
      <c r="W565" s="168">
        <v>42.533296843641679</v>
      </c>
    </row>
    <row r="566" spans="1:23" ht="15" hidden="1">
      <c r="A566" s="195" t="s">
        <v>1276</v>
      </c>
      <c r="B566" s="195" t="s">
        <v>1102</v>
      </c>
      <c r="C566" s="239" t="s">
        <v>2792</v>
      </c>
      <c r="D566" s="237" t="s">
        <v>2793</v>
      </c>
      <c r="E566" s="128"/>
      <c r="F566" s="128"/>
      <c r="G566" s="233" t="s">
        <v>3197</v>
      </c>
      <c r="H566" s="238"/>
      <c r="I566" s="236" t="s">
        <v>3239</v>
      </c>
      <c r="J566" s="128"/>
      <c r="K566" s="239" t="s">
        <v>1223</v>
      </c>
      <c r="L566" s="197"/>
      <c r="M566" s="237" t="s">
        <v>2206</v>
      </c>
      <c r="N566" s="197"/>
      <c r="O566" s="197"/>
      <c r="P566" s="197">
        <v>9403208000</v>
      </c>
      <c r="Q566" s="126">
        <v>4.7037493158182819</v>
      </c>
      <c r="R566" s="277" t="s">
        <v>9</v>
      </c>
      <c r="T566" s="168">
        <v>15.67916438606094</v>
      </c>
      <c r="U566" s="168">
        <v>9.4074986316365639</v>
      </c>
      <c r="V566" s="168">
        <v>7.8395821930304699</v>
      </c>
      <c r="W566" s="168">
        <v>6.2716657544243759</v>
      </c>
    </row>
    <row r="567" spans="1:23">
      <c r="K567" s="258"/>
      <c r="L567" s="170"/>
      <c r="M567" s="130"/>
      <c r="N567" s="170"/>
      <c r="O567" s="170"/>
      <c r="P567" s="170"/>
      <c r="Q567" s="265"/>
      <c r="R567" s="271"/>
    </row>
    <row r="568" spans="1:23">
      <c r="K568" s="258"/>
      <c r="L568" s="170"/>
      <c r="M568" s="130"/>
      <c r="N568" s="170"/>
      <c r="O568" s="170"/>
      <c r="P568" s="170"/>
      <c r="Q568" s="265"/>
      <c r="R568" s="271"/>
    </row>
    <row r="569" spans="1:23">
      <c r="K569" s="258"/>
      <c r="L569" s="170"/>
      <c r="M569" s="130"/>
      <c r="N569" s="170"/>
      <c r="O569" s="170"/>
      <c r="P569" s="170"/>
      <c r="Q569" s="265"/>
      <c r="R569" s="271"/>
    </row>
    <row r="570" spans="1:23">
      <c r="K570" s="258"/>
      <c r="L570" s="170"/>
      <c r="M570" s="130"/>
      <c r="N570" s="170"/>
      <c r="O570" s="170"/>
      <c r="P570" s="170"/>
      <c r="Q570" s="265"/>
      <c r="R570" s="271"/>
    </row>
    <row r="571" spans="1:23">
      <c r="K571" s="258"/>
      <c r="L571" s="170"/>
      <c r="M571" s="130"/>
      <c r="N571" s="170"/>
      <c r="O571" s="170"/>
      <c r="P571" s="170"/>
      <c r="Q571" s="265"/>
      <c r="R571" s="271"/>
    </row>
    <row r="572" spans="1:23">
      <c r="K572" s="258"/>
      <c r="L572" s="170"/>
      <c r="M572" s="130"/>
      <c r="N572" s="170"/>
      <c r="O572" s="170"/>
      <c r="P572" s="170"/>
      <c r="Q572" s="265"/>
      <c r="R572" s="271"/>
    </row>
    <row r="573" spans="1:23" s="54" customFormat="1">
      <c r="A573" s="1"/>
      <c r="B573" s="1"/>
      <c r="C573" s="1"/>
      <c r="D573" s="4"/>
      <c r="E573" s="6"/>
      <c r="F573" s="6"/>
      <c r="G573" s="104"/>
      <c r="H573" s="104"/>
      <c r="I573" s="4"/>
      <c r="J573" s="6"/>
      <c r="K573" s="258"/>
      <c r="L573" s="170"/>
      <c r="M573" s="130"/>
      <c r="N573" s="170"/>
      <c r="O573" s="170"/>
      <c r="P573" s="170"/>
      <c r="Q573" s="265"/>
      <c r="R573" s="271"/>
      <c r="S573" s="1"/>
      <c r="T573" s="6"/>
      <c r="U573" s="6"/>
      <c r="V573" s="6"/>
      <c r="W573" s="6"/>
    </row>
    <row r="574" spans="1:23" s="54" customFormat="1">
      <c r="A574" s="1"/>
      <c r="B574" s="1"/>
      <c r="C574" s="1"/>
      <c r="D574" s="4"/>
      <c r="E574" s="6"/>
      <c r="F574" s="6"/>
      <c r="G574" s="104"/>
      <c r="H574" s="104"/>
      <c r="I574" s="4"/>
      <c r="J574" s="6"/>
      <c r="K574" s="258"/>
      <c r="L574" s="170"/>
      <c r="M574" s="130"/>
      <c r="N574" s="170"/>
      <c r="O574" s="170"/>
      <c r="P574" s="170"/>
      <c r="Q574" s="265"/>
      <c r="R574" s="271"/>
      <c r="S574" s="1"/>
      <c r="T574" s="6"/>
      <c r="U574" s="6"/>
      <c r="V574" s="6"/>
      <c r="W574" s="6"/>
    </row>
    <row r="575" spans="1:23" s="54" customFormat="1">
      <c r="A575" s="1"/>
      <c r="B575" s="1"/>
      <c r="C575" s="1"/>
      <c r="D575" s="4"/>
      <c r="E575" s="6"/>
      <c r="F575" s="6"/>
      <c r="G575" s="104"/>
      <c r="H575" s="104"/>
      <c r="I575" s="4"/>
      <c r="J575" s="6"/>
      <c r="K575" s="258"/>
      <c r="L575" s="170"/>
      <c r="M575" s="130"/>
      <c r="N575" s="170"/>
      <c r="O575" s="170"/>
      <c r="P575" s="170"/>
      <c r="Q575" s="265"/>
      <c r="R575" s="271"/>
      <c r="S575" s="1"/>
      <c r="T575" s="6"/>
      <c r="U575" s="6"/>
      <c r="V575" s="6"/>
      <c r="W575" s="6"/>
    </row>
    <row r="576" spans="1:23" s="54" customFormat="1">
      <c r="A576" s="1"/>
      <c r="B576" s="1"/>
      <c r="C576" s="1"/>
      <c r="D576" s="4"/>
      <c r="E576" s="6"/>
      <c r="F576" s="6"/>
      <c r="G576" s="104"/>
      <c r="H576" s="104"/>
      <c r="I576" s="4"/>
      <c r="J576" s="6"/>
      <c r="K576" s="258"/>
      <c r="L576" s="170"/>
      <c r="M576" s="130"/>
      <c r="N576" s="170"/>
      <c r="O576" s="170"/>
      <c r="P576" s="170"/>
      <c r="Q576" s="265"/>
      <c r="R576" s="271"/>
      <c r="S576" s="1"/>
      <c r="T576" s="6"/>
      <c r="U576" s="6"/>
      <c r="V576" s="6"/>
      <c r="W576" s="6"/>
    </row>
    <row r="577" spans="1:23" s="54" customFormat="1">
      <c r="A577" s="1"/>
      <c r="B577" s="1"/>
      <c r="C577" s="1"/>
      <c r="D577" s="4"/>
      <c r="E577" s="6"/>
      <c r="F577" s="6"/>
      <c r="G577" s="104"/>
      <c r="H577" s="104"/>
      <c r="I577" s="4"/>
      <c r="J577" s="6"/>
      <c r="K577" s="258"/>
      <c r="L577" s="170"/>
      <c r="M577" s="130"/>
      <c r="N577" s="170"/>
      <c r="O577" s="170"/>
      <c r="P577" s="170"/>
      <c r="Q577" s="265"/>
      <c r="R577" s="271"/>
      <c r="S577" s="1"/>
      <c r="T577" s="6"/>
      <c r="U577" s="6"/>
      <c r="V577" s="6"/>
      <c r="W577" s="6"/>
    </row>
    <row r="578" spans="1:23" s="54" customFormat="1">
      <c r="A578" s="1"/>
      <c r="B578" s="1"/>
      <c r="C578" s="1"/>
      <c r="D578" s="4"/>
      <c r="E578" s="6"/>
      <c r="F578" s="6"/>
      <c r="G578" s="104"/>
      <c r="H578" s="104"/>
      <c r="I578" s="4"/>
      <c r="J578" s="6"/>
      <c r="K578" s="258"/>
      <c r="L578" s="170"/>
      <c r="M578" s="130"/>
      <c r="N578" s="170"/>
      <c r="O578" s="170"/>
      <c r="P578" s="170"/>
      <c r="Q578" s="265"/>
      <c r="R578" s="271"/>
      <c r="S578" s="1"/>
      <c r="T578" s="6"/>
      <c r="U578" s="6"/>
      <c r="V578" s="6"/>
      <c r="W578" s="6"/>
    </row>
    <row r="579" spans="1:23" s="54" customFormat="1">
      <c r="A579" s="1"/>
      <c r="B579" s="1"/>
      <c r="C579" s="1"/>
      <c r="D579" s="4"/>
      <c r="E579" s="6"/>
      <c r="F579" s="6"/>
      <c r="G579" s="104"/>
      <c r="H579" s="104"/>
      <c r="I579" s="4"/>
      <c r="J579" s="6"/>
      <c r="K579" s="258"/>
      <c r="L579" s="170"/>
      <c r="M579" s="130"/>
      <c r="N579" s="170"/>
      <c r="O579" s="170"/>
      <c r="P579" s="170"/>
      <c r="Q579" s="265"/>
      <c r="R579" s="271"/>
      <c r="S579" s="1"/>
      <c r="T579" s="6"/>
      <c r="U579" s="6"/>
      <c r="V579" s="6"/>
      <c r="W579" s="6"/>
    </row>
    <row r="580" spans="1:23" s="54" customFormat="1">
      <c r="A580" s="1"/>
      <c r="B580" s="1"/>
      <c r="C580" s="1"/>
      <c r="D580" s="4"/>
      <c r="E580" s="6"/>
      <c r="F580" s="6"/>
      <c r="G580" s="104"/>
      <c r="H580" s="104"/>
      <c r="I580" s="4"/>
      <c r="J580" s="6"/>
      <c r="K580" s="258"/>
      <c r="L580" s="170"/>
      <c r="M580" s="130"/>
      <c r="N580" s="170"/>
      <c r="O580" s="170"/>
      <c r="P580" s="170"/>
      <c r="Q580" s="265"/>
      <c r="R580" s="271"/>
      <c r="S580" s="1"/>
      <c r="T580" s="6"/>
      <c r="U580" s="6"/>
      <c r="V580" s="6"/>
      <c r="W580" s="6"/>
    </row>
    <row r="581" spans="1:23" s="54" customFormat="1">
      <c r="A581" s="1"/>
      <c r="B581" s="1"/>
      <c r="C581" s="1"/>
      <c r="D581" s="4"/>
      <c r="E581" s="6"/>
      <c r="F581" s="6"/>
      <c r="G581" s="104"/>
      <c r="H581" s="104"/>
      <c r="I581" s="4"/>
      <c r="J581" s="6"/>
      <c r="K581" s="258"/>
      <c r="L581" s="170"/>
      <c r="M581" s="130"/>
      <c r="N581" s="170"/>
      <c r="O581" s="170"/>
      <c r="P581" s="170"/>
      <c r="Q581" s="265"/>
      <c r="R581" s="271"/>
      <c r="S581" s="1"/>
      <c r="T581" s="6"/>
      <c r="U581" s="6"/>
      <c r="V581" s="6"/>
      <c r="W581" s="6"/>
    </row>
    <row r="582" spans="1:23" s="54" customFormat="1">
      <c r="A582" s="1"/>
      <c r="B582" s="1"/>
      <c r="C582" s="1"/>
      <c r="D582" s="4"/>
      <c r="E582" s="6"/>
      <c r="F582" s="6"/>
      <c r="G582" s="104"/>
      <c r="H582" s="104"/>
      <c r="I582" s="4"/>
      <c r="J582" s="6"/>
      <c r="K582" s="258"/>
      <c r="L582" s="170"/>
      <c r="M582" s="130"/>
      <c r="N582" s="170"/>
      <c r="O582" s="170"/>
      <c r="P582" s="170"/>
      <c r="Q582" s="265"/>
      <c r="R582" s="271"/>
      <c r="S582" s="1"/>
      <c r="T582" s="6"/>
      <c r="U582" s="6"/>
      <c r="V582" s="6"/>
      <c r="W582" s="6"/>
    </row>
    <row r="583" spans="1:23" s="54" customFormat="1">
      <c r="A583" s="1"/>
      <c r="B583" s="1"/>
      <c r="C583" s="1"/>
      <c r="D583" s="4"/>
      <c r="E583" s="6"/>
      <c r="F583" s="6"/>
      <c r="G583" s="104"/>
      <c r="H583" s="104"/>
      <c r="I583" s="4"/>
      <c r="J583" s="6"/>
      <c r="K583" s="258"/>
      <c r="L583" s="170"/>
      <c r="M583" s="130"/>
      <c r="N583" s="170"/>
      <c r="O583" s="170"/>
      <c r="P583" s="170"/>
      <c r="Q583" s="265"/>
      <c r="R583" s="271"/>
      <c r="S583" s="1"/>
      <c r="T583" s="6"/>
      <c r="U583" s="6"/>
      <c r="V583" s="6"/>
      <c r="W583" s="6"/>
    </row>
    <row r="584" spans="1:23" s="54" customFormat="1">
      <c r="A584" s="1"/>
      <c r="B584" s="1"/>
      <c r="C584" s="1"/>
      <c r="D584" s="4"/>
      <c r="E584" s="6"/>
      <c r="F584" s="6"/>
      <c r="G584" s="104"/>
      <c r="H584" s="104"/>
      <c r="I584" s="4"/>
      <c r="J584" s="6"/>
      <c r="K584" s="258"/>
      <c r="L584" s="170"/>
      <c r="M584" s="130"/>
      <c r="N584" s="170"/>
      <c r="O584" s="170"/>
      <c r="P584" s="170"/>
      <c r="Q584" s="265"/>
      <c r="R584" s="271"/>
      <c r="S584" s="1"/>
      <c r="T584" s="6"/>
      <c r="U584" s="6"/>
      <c r="V584" s="6"/>
      <c r="W584" s="6"/>
    </row>
    <row r="585" spans="1:23" s="54" customFormat="1">
      <c r="A585" s="1"/>
      <c r="B585" s="1"/>
      <c r="C585" s="1"/>
      <c r="D585" s="4"/>
      <c r="E585" s="6"/>
      <c r="F585" s="6"/>
      <c r="G585" s="104"/>
      <c r="H585" s="104"/>
      <c r="I585" s="4"/>
      <c r="J585" s="6"/>
      <c r="K585" s="258"/>
      <c r="L585" s="170"/>
      <c r="M585" s="130"/>
      <c r="N585" s="170"/>
      <c r="O585" s="170"/>
      <c r="P585" s="170"/>
      <c r="Q585" s="265"/>
      <c r="R585" s="271"/>
      <c r="S585" s="1"/>
      <c r="T585" s="6"/>
      <c r="U585" s="6"/>
      <c r="V585" s="6"/>
      <c r="W585" s="6"/>
    </row>
    <row r="586" spans="1:23" s="54" customFormat="1">
      <c r="A586" s="1"/>
      <c r="B586" s="1"/>
      <c r="C586" s="1"/>
      <c r="D586" s="4"/>
      <c r="E586" s="6"/>
      <c r="F586" s="6"/>
      <c r="G586" s="104"/>
      <c r="H586" s="104"/>
      <c r="I586" s="4"/>
      <c r="J586" s="6"/>
      <c r="K586" s="258"/>
      <c r="L586" s="170"/>
      <c r="M586" s="130"/>
      <c r="N586" s="170"/>
      <c r="O586" s="170"/>
      <c r="P586" s="170"/>
      <c r="Q586" s="265"/>
      <c r="R586" s="271"/>
      <c r="S586" s="1"/>
      <c r="T586" s="6"/>
      <c r="U586" s="6"/>
      <c r="V586" s="6"/>
      <c r="W586" s="6"/>
    </row>
    <row r="587" spans="1:23" s="54" customFormat="1">
      <c r="A587" s="1"/>
      <c r="B587" s="1"/>
      <c r="C587" s="1"/>
      <c r="D587" s="4"/>
      <c r="E587" s="6"/>
      <c r="F587" s="6"/>
      <c r="G587" s="104"/>
      <c r="H587" s="104"/>
      <c r="I587" s="4"/>
      <c r="J587" s="6"/>
      <c r="K587" s="258"/>
      <c r="L587" s="170"/>
      <c r="M587" s="130"/>
      <c r="N587" s="170"/>
      <c r="O587" s="170"/>
      <c r="P587" s="170"/>
      <c r="Q587" s="265"/>
      <c r="R587" s="271"/>
      <c r="S587" s="1"/>
      <c r="T587" s="6"/>
      <c r="U587" s="6"/>
      <c r="V587" s="6"/>
      <c r="W587" s="6"/>
    </row>
    <row r="588" spans="1:23" s="54" customFormat="1">
      <c r="A588" s="1"/>
      <c r="B588" s="1"/>
      <c r="C588" s="1"/>
      <c r="D588" s="4"/>
      <c r="E588" s="6"/>
      <c r="F588" s="6"/>
      <c r="G588" s="104"/>
      <c r="H588" s="104"/>
      <c r="I588" s="4"/>
      <c r="J588" s="6"/>
      <c r="K588" s="258"/>
      <c r="L588" s="170"/>
      <c r="M588" s="130"/>
      <c r="N588" s="170"/>
      <c r="O588" s="170"/>
      <c r="P588" s="170"/>
      <c r="Q588" s="265"/>
      <c r="R588" s="271"/>
      <c r="S588" s="1"/>
      <c r="T588" s="6"/>
      <c r="U588" s="6"/>
      <c r="V588" s="6"/>
      <c r="W588" s="6"/>
    </row>
    <row r="589" spans="1:23" s="54" customFormat="1">
      <c r="A589" s="1"/>
      <c r="B589" s="1"/>
      <c r="C589" s="1"/>
      <c r="D589" s="4"/>
      <c r="E589" s="6"/>
      <c r="F589" s="6"/>
      <c r="G589" s="104"/>
      <c r="H589" s="104"/>
      <c r="I589" s="4"/>
      <c r="J589" s="6"/>
      <c r="K589" s="258"/>
      <c r="L589" s="170"/>
      <c r="M589" s="130"/>
      <c r="N589" s="170"/>
      <c r="O589" s="170"/>
      <c r="P589" s="170"/>
      <c r="Q589" s="265"/>
      <c r="R589" s="271"/>
      <c r="S589" s="1"/>
      <c r="T589" s="6"/>
      <c r="U589" s="6"/>
      <c r="V589" s="6"/>
      <c r="W589" s="6"/>
    </row>
    <row r="590" spans="1:23" s="54" customFormat="1">
      <c r="A590" s="1"/>
      <c r="B590" s="1"/>
      <c r="C590" s="1"/>
      <c r="D590" s="4"/>
      <c r="E590" s="6"/>
      <c r="F590" s="6"/>
      <c r="G590" s="104"/>
      <c r="H590" s="104"/>
      <c r="I590" s="4"/>
      <c r="J590" s="6"/>
      <c r="K590" s="258"/>
      <c r="L590" s="170"/>
      <c r="M590" s="130"/>
      <c r="N590" s="170"/>
      <c r="O590" s="170"/>
      <c r="P590" s="170"/>
      <c r="Q590" s="265"/>
      <c r="R590" s="271"/>
      <c r="S590" s="1"/>
      <c r="T590" s="6"/>
      <c r="U590" s="6"/>
      <c r="V590" s="6"/>
      <c r="W590" s="6"/>
    </row>
    <row r="591" spans="1:23" s="54" customFormat="1">
      <c r="A591" s="1"/>
      <c r="B591" s="1"/>
      <c r="C591" s="1"/>
      <c r="D591" s="4"/>
      <c r="E591" s="6"/>
      <c r="F591" s="6"/>
      <c r="G591" s="104"/>
      <c r="H591" s="104"/>
      <c r="I591" s="4"/>
      <c r="J591" s="6"/>
      <c r="K591" s="258"/>
      <c r="L591" s="170"/>
      <c r="M591" s="130"/>
      <c r="N591" s="170"/>
      <c r="O591" s="170"/>
      <c r="P591" s="170"/>
      <c r="Q591" s="265"/>
      <c r="R591" s="271"/>
      <c r="S591" s="1"/>
      <c r="T591" s="6"/>
      <c r="U591" s="6"/>
      <c r="V591" s="6"/>
      <c r="W591" s="6"/>
    </row>
    <row r="592" spans="1:23" s="54" customFormat="1">
      <c r="A592" s="1"/>
      <c r="B592" s="1"/>
      <c r="C592" s="1"/>
      <c r="D592" s="4"/>
      <c r="E592" s="6"/>
      <c r="F592" s="6"/>
      <c r="G592" s="104"/>
      <c r="H592" s="104"/>
      <c r="I592" s="4"/>
      <c r="J592" s="6"/>
      <c r="K592" s="258"/>
      <c r="L592" s="170"/>
      <c r="M592" s="130"/>
      <c r="N592" s="170"/>
      <c r="O592" s="170"/>
      <c r="P592" s="170"/>
      <c r="Q592" s="265"/>
      <c r="R592" s="271"/>
      <c r="S592" s="1"/>
      <c r="T592" s="6"/>
      <c r="U592" s="6"/>
      <c r="V592" s="6"/>
      <c r="W592" s="6"/>
    </row>
    <row r="593" spans="1:23" s="54" customFormat="1">
      <c r="A593" s="1"/>
      <c r="B593" s="1"/>
      <c r="C593" s="1"/>
      <c r="D593" s="4"/>
      <c r="E593" s="6"/>
      <c r="F593" s="6"/>
      <c r="G593" s="104"/>
      <c r="H593" s="104"/>
      <c r="I593" s="4"/>
      <c r="J593" s="6"/>
      <c r="K593" s="258"/>
      <c r="L593" s="170"/>
      <c r="M593" s="130"/>
      <c r="N593" s="170"/>
      <c r="O593" s="170"/>
      <c r="P593" s="170"/>
      <c r="Q593" s="265"/>
      <c r="R593" s="271"/>
      <c r="S593" s="1"/>
      <c r="T593" s="6"/>
      <c r="U593" s="6"/>
      <c r="V593" s="6"/>
      <c r="W593" s="6"/>
    </row>
    <row r="594" spans="1:23" s="54" customFormat="1">
      <c r="A594" s="1"/>
      <c r="B594" s="1"/>
      <c r="C594" s="1"/>
      <c r="D594" s="4"/>
      <c r="E594" s="6"/>
      <c r="F594" s="6"/>
      <c r="G594" s="104"/>
      <c r="H594" s="104"/>
      <c r="I594" s="4"/>
      <c r="J594" s="6"/>
      <c r="K594" s="258"/>
      <c r="L594" s="170"/>
      <c r="M594" s="130"/>
      <c r="N594" s="170"/>
      <c r="O594" s="170"/>
      <c r="P594" s="170"/>
      <c r="Q594" s="265"/>
      <c r="R594" s="271"/>
      <c r="S594" s="1"/>
      <c r="T594" s="6"/>
      <c r="U594" s="6"/>
      <c r="V594" s="6"/>
      <c r="W594" s="6"/>
    </row>
    <row r="595" spans="1:23" s="54" customFormat="1">
      <c r="A595" s="1"/>
      <c r="B595" s="1"/>
      <c r="C595" s="1"/>
      <c r="D595" s="4"/>
      <c r="E595" s="6"/>
      <c r="F595" s="6"/>
      <c r="G595" s="104"/>
      <c r="H595" s="104"/>
      <c r="I595" s="4"/>
      <c r="J595" s="6"/>
      <c r="K595" s="258"/>
      <c r="L595" s="170"/>
      <c r="M595" s="130"/>
      <c r="N595" s="170"/>
      <c r="O595" s="170"/>
      <c r="P595" s="170"/>
      <c r="Q595" s="265"/>
      <c r="R595" s="271"/>
      <c r="S595" s="1"/>
      <c r="T595" s="6"/>
      <c r="U595" s="6"/>
      <c r="V595" s="6"/>
      <c r="W595" s="6"/>
    </row>
    <row r="596" spans="1:23" s="54" customFormat="1">
      <c r="A596" s="1"/>
      <c r="B596" s="1"/>
      <c r="C596" s="1"/>
      <c r="D596" s="4"/>
      <c r="E596" s="6"/>
      <c r="F596" s="6"/>
      <c r="G596" s="104"/>
      <c r="H596" s="104"/>
      <c r="I596" s="4"/>
      <c r="J596" s="6"/>
      <c r="K596" s="258"/>
      <c r="L596" s="170"/>
      <c r="M596" s="130"/>
      <c r="N596" s="170"/>
      <c r="O596" s="170"/>
      <c r="P596" s="170"/>
      <c r="Q596" s="265"/>
      <c r="R596" s="271"/>
      <c r="S596" s="1"/>
      <c r="T596" s="6"/>
      <c r="U596" s="6"/>
      <c r="V596" s="6"/>
      <c r="W596" s="6"/>
    </row>
    <row r="597" spans="1:23" s="54" customFormat="1">
      <c r="A597" s="1"/>
      <c r="B597" s="1"/>
      <c r="C597" s="1"/>
      <c r="D597" s="4"/>
      <c r="E597" s="6"/>
      <c r="F597" s="6"/>
      <c r="G597" s="104"/>
      <c r="H597" s="104"/>
      <c r="I597" s="4"/>
      <c r="J597" s="6"/>
      <c r="K597" s="258"/>
      <c r="L597" s="170"/>
      <c r="M597" s="130"/>
      <c r="N597" s="170"/>
      <c r="O597" s="170"/>
      <c r="P597" s="170"/>
      <c r="Q597" s="265"/>
      <c r="R597" s="271"/>
      <c r="S597" s="1"/>
      <c r="T597" s="6"/>
      <c r="U597" s="6"/>
      <c r="V597" s="6"/>
      <c r="W597" s="6"/>
    </row>
    <row r="598" spans="1:23" s="54" customFormat="1">
      <c r="A598" s="1"/>
      <c r="B598" s="1"/>
      <c r="C598" s="1"/>
      <c r="D598" s="4"/>
      <c r="E598" s="6"/>
      <c r="F598" s="6"/>
      <c r="G598" s="104"/>
      <c r="H598" s="104"/>
      <c r="I598" s="4"/>
      <c r="J598" s="6"/>
      <c r="K598" s="258"/>
      <c r="L598" s="170"/>
      <c r="M598" s="130"/>
      <c r="N598" s="170"/>
      <c r="O598" s="170"/>
      <c r="P598" s="170"/>
      <c r="Q598" s="265"/>
      <c r="R598" s="271"/>
      <c r="S598" s="1"/>
      <c r="T598" s="6"/>
      <c r="U598" s="6"/>
      <c r="V598" s="6"/>
      <c r="W598" s="6"/>
    </row>
    <row r="599" spans="1:23" s="54" customFormat="1">
      <c r="A599" s="1"/>
      <c r="B599" s="1"/>
      <c r="C599" s="1"/>
      <c r="D599" s="4"/>
      <c r="E599" s="6"/>
      <c r="F599" s="6"/>
      <c r="G599" s="104"/>
      <c r="H599" s="104"/>
      <c r="I599" s="4"/>
      <c r="J599" s="6"/>
      <c r="K599" s="258"/>
      <c r="L599" s="170"/>
      <c r="M599" s="130"/>
      <c r="N599" s="170"/>
      <c r="O599" s="170"/>
      <c r="P599" s="170"/>
      <c r="Q599" s="265"/>
      <c r="R599" s="271"/>
      <c r="S599" s="1"/>
      <c r="T599" s="6"/>
      <c r="U599" s="6"/>
      <c r="V599" s="6"/>
      <c r="W599" s="6"/>
    </row>
    <row r="600" spans="1:23" s="54" customFormat="1">
      <c r="A600" s="1"/>
      <c r="B600" s="1"/>
      <c r="C600" s="1"/>
      <c r="D600" s="4"/>
      <c r="E600" s="6"/>
      <c r="F600" s="6"/>
      <c r="G600" s="104"/>
      <c r="H600" s="104"/>
      <c r="I600" s="4"/>
      <c r="J600" s="6"/>
      <c r="K600" s="258"/>
      <c r="L600" s="170"/>
      <c r="M600" s="130"/>
      <c r="N600" s="170"/>
      <c r="O600" s="170"/>
      <c r="P600" s="170"/>
      <c r="Q600" s="265"/>
      <c r="R600" s="271"/>
      <c r="S600" s="1"/>
      <c r="T600" s="6"/>
      <c r="U600" s="6"/>
      <c r="V600" s="6"/>
      <c r="W600" s="6"/>
    </row>
    <row r="601" spans="1:23" s="54" customFormat="1">
      <c r="A601" s="1"/>
      <c r="B601" s="1"/>
      <c r="C601" s="1"/>
      <c r="D601" s="4"/>
      <c r="E601" s="6"/>
      <c r="F601" s="6"/>
      <c r="G601" s="104"/>
      <c r="H601" s="104"/>
      <c r="I601" s="4"/>
      <c r="J601" s="6"/>
      <c r="K601" s="258"/>
      <c r="L601" s="170"/>
      <c r="M601" s="130"/>
      <c r="N601" s="170"/>
      <c r="O601" s="170"/>
      <c r="P601" s="170"/>
      <c r="Q601" s="265"/>
      <c r="R601" s="271"/>
      <c r="S601" s="1"/>
      <c r="T601" s="6"/>
      <c r="U601" s="6"/>
      <c r="V601" s="6"/>
      <c r="W601" s="6"/>
    </row>
    <row r="602" spans="1:23" s="54" customFormat="1">
      <c r="A602" s="1"/>
      <c r="B602" s="1"/>
      <c r="C602" s="1"/>
      <c r="D602" s="4"/>
      <c r="E602" s="6"/>
      <c r="F602" s="6"/>
      <c r="G602" s="104"/>
      <c r="H602" s="104"/>
      <c r="I602" s="4"/>
      <c r="J602" s="6"/>
      <c r="K602" s="258"/>
      <c r="L602" s="170"/>
      <c r="M602" s="130"/>
      <c r="N602" s="170"/>
      <c r="O602" s="170"/>
      <c r="P602" s="170"/>
      <c r="Q602" s="265"/>
      <c r="R602" s="271"/>
      <c r="S602" s="1"/>
      <c r="T602" s="6"/>
      <c r="U602" s="6"/>
      <c r="V602" s="6"/>
      <c r="W602" s="6"/>
    </row>
    <row r="603" spans="1:23" s="54" customFormat="1">
      <c r="A603" s="1"/>
      <c r="B603" s="1"/>
      <c r="C603" s="1"/>
      <c r="D603" s="4"/>
      <c r="E603" s="6"/>
      <c r="F603" s="6"/>
      <c r="G603" s="104"/>
      <c r="H603" s="104"/>
      <c r="I603" s="4"/>
      <c r="J603" s="6"/>
      <c r="K603" s="258"/>
      <c r="L603" s="170"/>
      <c r="M603" s="130"/>
      <c r="N603" s="170"/>
      <c r="O603" s="170"/>
      <c r="P603" s="170"/>
      <c r="Q603" s="265"/>
      <c r="R603" s="271"/>
      <c r="S603" s="1"/>
      <c r="T603" s="6"/>
      <c r="U603" s="6"/>
      <c r="V603" s="6"/>
      <c r="W603" s="6"/>
    </row>
    <row r="604" spans="1:23" s="54" customFormat="1">
      <c r="A604" s="1"/>
      <c r="B604" s="1"/>
      <c r="C604" s="1"/>
      <c r="D604" s="4"/>
      <c r="E604" s="6"/>
      <c r="F604" s="6"/>
      <c r="G604" s="104"/>
      <c r="H604" s="104"/>
      <c r="I604" s="4"/>
      <c r="J604" s="6"/>
      <c r="K604" s="258"/>
      <c r="L604" s="170"/>
      <c r="M604" s="130"/>
      <c r="N604" s="170"/>
      <c r="O604" s="170"/>
      <c r="P604" s="170"/>
      <c r="Q604" s="265"/>
      <c r="R604" s="271"/>
      <c r="S604" s="1"/>
      <c r="T604" s="6"/>
      <c r="U604" s="6"/>
      <c r="V604" s="6"/>
      <c r="W604" s="6"/>
    </row>
    <row r="605" spans="1:23" s="54" customFormat="1">
      <c r="A605" s="1"/>
      <c r="B605" s="1"/>
      <c r="C605" s="1"/>
      <c r="D605" s="4"/>
      <c r="E605" s="6"/>
      <c r="F605" s="6"/>
      <c r="G605" s="104"/>
      <c r="H605" s="104"/>
      <c r="I605" s="4"/>
      <c r="J605" s="6"/>
      <c r="K605" s="258"/>
      <c r="L605" s="170"/>
      <c r="M605" s="130"/>
      <c r="N605" s="170"/>
      <c r="O605" s="170"/>
      <c r="P605" s="170"/>
      <c r="Q605" s="265"/>
      <c r="R605" s="271"/>
      <c r="S605" s="1"/>
      <c r="T605" s="6"/>
      <c r="U605" s="6"/>
      <c r="V605" s="6"/>
      <c r="W605" s="6"/>
    </row>
    <row r="606" spans="1:23" s="54" customFormat="1">
      <c r="A606" s="1"/>
      <c r="B606" s="1"/>
      <c r="C606" s="1"/>
      <c r="D606" s="4"/>
      <c r="E606" s="6"/>
      <c r="F606" s="6"/>
      <c r="G606" s="104"/>
      <c r="H606" s="104"/>
      <c r="I606" s="4"/>
      <c r="J606" s="6"/>
      <c r="K606" s="258"/>
      <c r="L606" s="170"/>
      <c r="M606" s="130"/>
      <c r="N606" s="170"/>
      <c r="O606" s="170"/>
      <c r="P606" s="170"/>
      <c r="Q606" s="265"/>
      <c r="R606" s="271"/>
      <c r="S606" s="1"/>
      <c r="T606" s="6"/>
      <c r="U606" s="6"/>
      <c r="V606" s="6"/>
      <c r="W606" s="6"/>
    </row>
    <row r="607" spans="1:23" s="54" customFormat="1">
      <c r="A607" s="1"/>
      <c r="B607" s="1"/>
      <c r="C607" s="1"/>
      <c r="D607" s="4"/>
      <c r="E607" s="6"/>
      <c r="F607" s="6"/>
      <c r="G607" s="104"/>
      <c r="H607" s="104"/>
      <c r="I607" s="4"/>
      <c r="J607" s="6"/>
      <c r="K607" s="258"/>
      <c r="L607" s="170"/>
      <c r="M607" s="130"/>
      <c r="N607" s="170"/>
      <c r="O607" s="170"/>
      <c r="P607" s="170"/>
      <c r="Q607" s="265"/>
      <c r="R607" s="271"/>
      <c r="S607" s="1"/>
      <c r="T607" s="6"/>
      <c r="U607" s="6"/>
      <c r="V607" s="6"/>
      <c r="W607" s="6"/>
    </row>
    <row r="608" spans="1:23" s="54" customFormat="1">
      <c r="A608" s="1"/>
      <c r="B608" s="1"/>
      <c r="C608" s="1"/>
      <c r="D608" s="4"/>
      <c r="E608" s="6"/>
      <c r="F608" s="6"/>
      <c r="G608" s="104"/>
      <c r="H608" s="104"/>
      <c r="I608" s="4"/>
      <c r="J608" s="6"/>
      <c r="K608" s="258"/>
      <c r="L608" s="170"/>
      <c r="M608" s="130"/>
      <c r="N608" s="170"/>
      <c r="O608" s="170"/>
      <c r="P608" s="170"/>
      <c r="Q608" s="265"/>
      <c r="R608" s="271"/>
      <c r="S608" s="1"/>
      <c r="T608" s="6"/>
      <c r="U608" s="6"/>
      <c r="V608" s="6"/>
      <c r="W608" s="6"/>
    </row>
    <row r="609" spans="1:23" s="54" customFormat="1">
      <c r="A609" s="1"/>
      <c r="B609" s="1"/>
      <c r="C609" s="1"/>
      <c r="D609" s="4"/>
      <c r="E609" s="6"/>
      <c r="F609" s="6"/>
      <c r="G609" s="104"/>
      <c r="H609" s="104"/>
      <c r="I609" s="4"/>
      <c r="J609" s="6"/>
      <c r="K609" s="258"/>
      <c r="L609" s="170"/>
      <c r="M609" s="130"/>
      <c r="N609" s="170"/>
      <c r="O609" s="170"/>
      <c r="P609" s="170"/>
      <c r="Q609" s="265"/>
      <c r="R609" s="271"/>
      <c r="S609" s="1"/>
      <c r="T609" s="6"/>
      <c r="U609" s="6"/>
      <c r="V609" s="6"/>
      <c r="W609" s="6"/>
    </row>
    <row r="610" spans="1:23" s="54" customFormat="1">
      <c r="A610" s="1"/>
      <c r="B610" s="1"/>
      <c r="C610" s="1"/>
      <c r="D610" s="4"/>
      <c r="E610" s="6"/>
      <c r="F610" s="6"/>
      <c r="G610" s="104"/>
      <c r="H610" s="104"/>
      <c r="I610" s="4"/>
      <c r="J610" s="6"/>
      <c r="K610" s="258"/>
      <c r="L610" s="170"/>
      <c r="M610" s="130"/>
      <c r="N610" s="170"/>
      <c r="O610" s="170"/>
      <c r="P610" s="170"/>
      <c r="Q610" s="265"/>
      <c r="R610" s="271"/>
      <c r="S610" s="1"/>
      <c r="T610" s="6"/>
      <c r="U610" s="6"/>
      <c r="V610" s="6"/>
      <c r="W610" s="6"/>
    </row>
    <row r="611" spans="1:23" s="54" customFormat="1">
      <c r="A611" s="1"/>
      <c r="B611" s="1"/>
      <c r="C611" s="1"/>
      <c r="D611" s="4"/>
      <c r="E611" s="6"/>
      <c r="F611" s="6"/>
      <c r="G611" s="104"/>
      <c r="H611" s="104"/>
      <c r="I611" s="4"/>
      <c r="J611" s="6"/>
      <c r="K611" s="258"/>
      <c r="L611" s="170"/>
      <c r="M611" s="130"/>
      <c r="N611" s="170"/>
      <c r="O611" s="170"/>
      <c r="P611" s="170"/>
      <c r="Q611" s="265"/>
      <c r="R611" s="271"/>
      <c r="S611" s="1"/>
      <c r="T611" s="6"/>
      <c r="U611" s="6"/>
      <c r="V611" s="6"/>
      <c r="W611" s="6"/>
    </row>
    <row r="612" spans="1:23" s="54" customFormat="1">
      <c r="A612" s="1"/>
      <c r="B612" s="1"/>
      <c r="C612" s="1"/>
      <c r="D612" s="4"/>
      <c r="E612" s="6"/>
      <c r="F612" s="6"/>
      <c r="G612" s="104"/>
      <c r="H612" s="104"/>
      <c r="I612" s="4"/>
      <c r="J612" s="6"/>
      <c r="K612" s="258"/>
      <c r="L612" s="170"/>
      <c r="M612" s="130"/>
      <c r="N612" s="170"/>
      <c r="O612" s="170"/>
      <c r="P612" s="170"/>
      <c r="Q612" s="265"/>
      <c r="R612" s="271"/>
      <c r="S612" s="1"/>
      <c r="T612" s="6"/>
      <c r="U612" s="6"/>
      <c r="V612" s="6"/>
      <c r="W612" s="6"/>
    </row>
    <row r="613" spans="1:23" s="54" customFormat="1">
      <c r="A613" s="1"/>
      <c r="B613" s="1"/>
      <c r="C613" s="1"/>
      <c r="D613" s="4"/>
      <c r="E613" s="6"/>
      <c r="F613" s="6"/>
      <c r="G613" s="104"/>
      <c r="H613" s="104"/>
      <c r="I613" s="4"/>
      <c r="J613" s="6"/>
      <c r="K613" s="258"/>
      <c r="L613" s="170"/>
      <c r="M613" s="130"/>
      <c r="N613" s="170"/>
      <c r="O613" s="170"/>
      <c r="P613" s="170"/>
      <c r="Q613" s="265"/>
      <c r="R613" s="271"/>
      <c r="S613" s="1"/>
      <c r="T613" s="6"/>
      <c r="U613" s="6"/>
      <c r="V613" s="6"/>
      <c r="W613" s="6"/>
    </row>
    <row r="614" spans="1:23" s="54" customFormat="1">
      <c r="A614" s="1"/>
      <c r="B614" s="1"/>
      <c r="C614" s="1"/>
      <c r="D614" s="4"/>
      <c r="E614" s="6"/>
      <c r="F614" s="6"/>
      <c r="G614" s="104"/>
      <c r="H614" s="104"/>
      <c r="I614" s="4"/>
      <c r="J614" s="6"/>
      <c r="K614" s="258"/>
      <c r="L614" s="170"/>
      <c r="M614" s="130"/>
      <c r="N614" s="170"/>
      <c r="O614" s="170"/>
      <c r="P614" s="170"/>
      <c r="Q614" s="265"/>
      <c r="R614" s="271"/>
      <c r="S614" s="1"/>
      <c r="T614" s="6"/>
      <c r="U614" s="6"/>
      <c r="V614" s="6"/>
      <c r="W614" s="6"/>
    </row>
    <row r="615" spans="1:23" s="54" customFormat="1">
      <c r="A615" s="1"/>
      <c r="B615" s="1"/>
      <c r="C615" s="1"/>
      <c r="D615" s="4"/>
      <c r="E615" s="6"/>
      <c r="F615" s="6"/>
      <c r="G615" s="104"/>
      <c r="H615" s="104"/>
      <c r="I615" s="4"/>
      <c r="J615" s="6"/>
      <c r="K615" s="258"/>
      <c r="L615" s="170"/>
      <c r="M615" s="130"/>
      <c r="N615" s="170"/>
      <c r="O615" s="170"/>
      <c r="P615" s="170"/>
      <c r="Q615" s="265"/>
      <c r="R615" s="271"/>
      <c r="S615" s="1"/>
      <c r="T615" s="6"/>
      <c r="U615" s="6"/>
      <c r="V615" s="6"/>
      <c r="W615" s="6"/>
    </row>
    <row r="616" spans="1:23" s="54" customFormat="1">
      <c r="A616" s="1"/>
      <c r="B616" s="1"/>
      <c r="C616" s="1"/>
      <c r="D616" s="4"/>
      <c r="E616" s="6"/>
      <c r="F616" s="6"/>
      <c r="G616" s="104"/>
      <c r="H616" s="104"/>
      <c r="I616" s="4"/>
      <c r="J616" s="6"/>
      <c r="K616" s="258"/>
      <c r="L616" s="170"/>
      <c r="M616" s="130"/>
      <c r="N616" s="170"/>
      <c r="O616" s="170"/>
      <c r="P616" s="170"/>
      <c r="Q616" s="265"/>
      <c r="R616" s="271"/>
      <c r="S616" s="1"/>
      <c r="T616" s="6"/>
      <c r="U616" s="6"/>
      <c r="V616" s="6"/>
      <c r="W616" s="6"/>
    </row>
    <row r="617" spans="1:23" s="54" customFormat="1">
      <c r="A617" s="1"/>
      <c r="B617" s="1"/>
      <c r="C617" s="1"/>
      <c r="D617" s="4"/>
      <c r="E617" s="6"/>
      <c r="F617" s="6"/>
      <c r="G617" s="104"/>
      <c r="H617" s="104"/>
      <c r="I617" s="4"/>
      <c r="J617" s="6"/>
      <c r="K617" s="258"/>
      <c r="L617" s="170"/>
      <c r="M617" s="130"/>
      <c r="N617" s="170"/>
      <c r="O617" s="170"/>
      <c r="P617" s="170"/>
      <c r="Q617" s="265"/>
      <c r="R617" s="271"/>
      <c r="S617" s="1"/>
      <c r="T617" s="6"/>
      <c r="U617" s="6"/>
      <c r="V617" s="6"/>
      <c r="W617" s="6"/>
    </row>
    <row r="618" spans="1:23" s="54" customFormat="1">
      <c r="A618" s="1"/>
      <c r="B618" s="1"/>
      <c r="C618" s="1"/>
      <c r="D618" s="4"/>
      <c r="E618" s="6"/>
      <c r="F618" s="6"/>
      <c r="G618" s="104"/>
      <c r="H618" s="104"/>
      <c r="I618" s="4"/>
      <c r="J618" s="6"/>
      <c r="K618" s="258"/>
      <c r="L618" s="170"/>
      <c r="M618" s="130"/>
      <c r="N618" s="170"/>
      <c r="O618" s="170"/>
      <c r="P618" s="170"/>
      <c r="Q618" s="265"/>
      <c r="R618" s="271"/>
      <c r="S618" s="1"/>
      <c r="T618" s="6"/>
      <c r="U618" s="6"/>
      <c r="V618" s="6"/>
      <c r="W618" s="6"/>
    </row>
    <row r="619" spans="1:23" s="54" customFormat="1">
      <c r="A619" s="1"/>
      <c r="B619" s="1"/>
      <c r="C619" s="1"/>
      <c r="D619" s="4"/>
      <c r="E619" s="6"/>
      <c r="F619" s="6"/>
      <c r="G619" s="104"/>
      <c r="H619" s="104"/>
      <c r="I619" s="4"/>
      <c r="J619" s="6"/>
      <c r="K619" s="258"/>
      <c r="L619" s="170"/>
      <c r="M619" s="130"/>
      <c r="N619" s="170"/>
      <c r="O619" s="170"/>
      <c r="P619" s="170"/>
      <c r="Q619" s="265"/>
      <c r="R619" s="271"/>
      <c r="S619" s="1"/>
      <c r="T619" s="6"/>
      <c r="U619" s="6"/>
      <c r="V619" s="6"/>
      <c r="W619" s="6"/>
    </row>
    <row r="620" spans="1:23" s="54" customFormat="1">
      <c r="A620" s="1"/>
      <c r="B620" s="1"/>
      <c r="C620" s="1"/>
      <c r="D620" s="4"/>
      <c r="E620" s="6"/>
      <c r="F620" s="6"/>
      <c r="G620" s="104"/>
      <c r="H620" s="104"/>
      <c r="I620" s="4"/>
      <c r="J620" s="6"/>
      <c r="K620" s="258"/>
      <c r="L620" s="170"/>
      <c r="M620" s="130"/>
      <c r="N620" s="170"/>
      <c r="O620" s="170"/>
      <c r="P620" s="170"/>
      <c r="Q620" s="265"/>
      <c r="R620" s="271"/>
      <c r="S620" s="1"/>
      <c r="T620" s="6"/>
      <c r="U620" s="6"/>
      <c r="V620" s="6"/>
      <c r="W620" s="6"/>
    </row>
    <row r="621" spans="1:23" s="54" customFormat="1">
      <c r="A621" s="1"/>
      <c r="B621" s="1"/>
      <c r="C621" s="1"/>
      <c r="D621" s="4"/>
      <c r="E621" s="6"/>
      <c r="F621" s="6"/>
      <c r="G621" s="104"/>
      <c r="H621" s="104"/>
      <c r="I621" s="4"/>
      <c r="J621" s="6"/>
      <c r="K621" s="258"/>
      <c r="L621" s="170"/>
      <c r="M621" s="130"/>
      <c r="N621" s="170"/>
      <c r="O621" s="170"/>
      <c r="P621" s="170"/>
      <c r="Q621" s="265"/>
      <c r="R621" s="271"/>
      <c r="S621" s="1"/>
      <c r="T621" s="6"/>
      <c r="U621" s="6"/>
      <c r="V621" s="6"/>
      <c r="W621" s="6"/>
    </row>
    <row r="622" spans="1:23" s="54" customFormat="1">
      <c r="A622" s="1"/>
      <c r="B622" s="1"/>
      <c r="C622" s="1"/>
      <c r="D622" s="4"/>
      <c r="E622" s="6"/>
      <c r="F622" s="6"/>
      <c r="G622" s="104"/>
      <c r="H622" s="104"/>
      <c r="I622" s="4"/>
      <c r="J622" s="6"/>
      <c r="K622" s="258"/>
      <c r="L622" s="170"/>
      <c r="M622" s="130"/>
      <c r="N622" s="170"/>
      <c r="O622" s="170"/>
      <c r="P622" s="170"/>
      <c r="Q622" s="265"/>
      <c r="R622" s="271"/>
      <c r="S622" s="1"/>
      <c r="T622" s="6"/>
      <c r="U622" s="6"/>
      <c r="V622" s="6"/>
      <c r="W622" s="6"/>
    </row>
    <row r="623" spans="1:23" s="54" customFormat="1">
      <c r="A623" s="1"/>
      <c r="B623" s="1"/>
      <c r="C623" s="1"/>
      <c r="D623" s="4"/>
      <c r="E623" s="6"/>
      <c r="F623" s="6"/>
      <c r="G623" s="104"/>
      <c r="H623" s="104"/>
      <c r="I623" s="4"/>
      <c r="J623" s="6"/>
      <c r="K623" s="258"/>
      <c r="L623" s="170"/>
      <c r="M623" s="130"/>
      <c r="N623" s="170"/>
      <c r="O623" s="170"/>
      <c r="P623" s="170"/>
      <c r="Q623" s="265"/>
      <c r="R623" s="271"/>
      <c r="S623" s="1"/>
      <c r="T623" s="6"/>
      <c r="U623" s="6"/>
      <c r="V623" s="6"/>
      <c r="W623" s="6"/>
    </row>
    <row r="624" spans="1:23" s="54" customFormat="1">
      <c r="A624" s="1"/>
      <c r="B624" s="1"/>
      <c r="C624" s="1"/>
      <c r="D624" s="4"/>
      <c r="E624" s="6"/>
      <c r="F624" s="6"/>
      <c r="G624" s="104"/>
      <c r="H624" s="104"/>
      <c r="I624" s="4"/>
      <c r="J624" s="6"/>
      <c r="K624" s="258"/>
      <c r="L624" s="170"/>
      <c r="M624" s="130"/>
      <c r="N624" s="170"/>
      <c r="O624" s="170"/>
      <c r="P624" s="170"/>
      <c r="Q624" s="265"/>
      <c r="R624" s="271"/>
      <c r="S624" s="1"/>
      <c r="T624" s="6"/>
      <c r="U624" s="6"/>
      <c r="V624" s="6"/>
      <c r="W624" s="6"/>
    </row>
    <row r="625" spans="1:23" s="54" customFormat="1">
      <c r="A625" s="1"/>
      <c r="B625" s="1"/>
      <c r="C625" s="1"/>
      <c r="D625" s="4"/>
      <c r="E625" s="6"/>
      <c r="F625" s="6"/>
      <c r="G625" s="104"/>
      <c r="H625" s="104"/>
      <c r="I625" s="4"/>
      <c r="J625" s="6"/>
      <c r="K625" s="258"/>
      <c r="L625" s="170"/>
      <c r="M625" s="130"/>
      <c r="N625" s="170"/>
      <c r="O625" s="170"/>
      <c r="P625" s="170"/>
      <c r="Q625" s="265"/>
      <c r="R625" s="271"/>
      <c r="S625" s="1"/>
      <c r="T625" s="6"/>
      <c r="U625" s="6"/>
      <c r="V625" s="6"/>
      <c r="W625" s="6"/>
    </row>
    <row r="626" spans="1:23" s="54" customFormat="1">
      <c r="A626" s="1"/>
      <c r="B626" s="1"/>
      <c r="C626" s="1"/>
      <c r="D626" s="4"/>
      <c r="E626" s="6"/>
      <c r="F626" s="6"/>
      <c r="G626" s="104"/>
      <c r="H626" s="104"/>
      <c r="I626" s="4"/>
      <c r="J626" s="6"/>
      <c r="K626" s="258"/>
      <c r="L626" s="170"/>
      <c r="M626" s="130"/>
      <c r="N626" s="170"/>
      <c r="O626" s="170"/>
      <c r="P626" s="170"/>
      <c r="Q626" s="265"/>
      <c r="R626" s="271"/>
      <c r="S626" s="1"/>
      <c r="T626" s="6"/>
      <c r="U626" s="6"/>
      <c r="V626" s="6"/>
      <c r="W626" s="6"/>
    </row>
    <row r="627" spans="1:23" s="54" customFormat="1">
      <c r="A627" s="1"/>
      <c r="B627" s="1"/>
      <c r="C627" s="1"/>
      <c r="D627" s="4"/>
      <c r="E627" s="6"/>
      <c r="F627" s="6"/>
      <c r="G627" s="104"/>
      <c r="H627" s="104"/>
      <c r="I627" s="4"/>
      <c r="J627" s="6"/>
      <c r="K627" s="258"/>
      <c r="L627" s="170"/>
      <c r="M627" s="130"/>
      <c r="N627" s="170"/>
      <c r="O627" s="170"/>
      <c r="P627" s="170"/>
      <c r="Q627" s="265"/>
      <c r="R627" s="271"/>
      <c r="S627" s="1"/>
      <c r="T627" s="6"/>
      <c r="U627" s="6"/>
      <c r="V627" s="6"/>
      <c r="W627" s="6"/>
    </row>
    <row r="628" spans="1:23" s="54" customFormat="1">
      <c r="A628" s="1"/>
      <c r="B628" s="1"/>
      <c r="C628" s="1"/>
      <c r="D628" s="4"/>
      <c r="E628" s="6"/>
      <c r="F628" s="6"/>
      <c r="G628" s="104"/>
      <c r="H628" s="104"/>
      <c r="I628" s="4"/>
      <c r="J628" s="6"/>
      <c r="K628" s="258"/>
      <c r="L628" s="170"/>
      <c r="M628" s="130"/>
      <c r="N628" s="170"/>
      <c r="O628" s="170"/>
      <c r="P628" s="170"/>
      <c r="Q628" s="265"/>
      <c r="R628" s="271"/>
      <c r="S628" s="1"/>
      <c r="T628" s="6"/>
      <c r="U628" s="6"/>
      <c r="V628" s="6"/>
      <c r="W628" s="6"/>
    </row>
    <row r="629" spans="1:23" s="54" customFormat="1">
      <c r="A629" s="1"/>
      <c r="B629" s="1"/>
      <c r="C629" s="1"/>
      <c r="D629" s="4"/>
      <c r="E629" s="6"/>
      <c r="F629" s="6"/>
      <c r="G629" s="104"/>
      <c r="H629" s="104"/>
      <c r="I629" s="4"/>
      <c r="J629" s="6"/>
      <c r="K629" s="258"/>
      <c r="L629" s="170"/>
      <c r="M629" s="130"/>
      <c r="N629" s="170"/>
      <c r="O629" s="170"/>
      <c r="P629" s="170"/>
      <c r="Q629" s="265"/>
      <c r="R629" s="271"/>
      <c r="S629" s="1"/>
      <c r="T629" s="6"/>
      <c r="U629" s="6"/>
      <c r="V629" s="6"/>
      <c r="W629" s="6"/>
    </row>
    <row r="630" spans="1:23" s="54" customFormat="1">
      <c r="A630" s="1"/>
      <c r="B630" s="1"/>
      <c r="C630" s="1"/>
      <c r="D630" s="4"/>
      <c r="E630" s="6"/>
      <c r="F630" s="6"/>
      <c r="G630" s="104"/>
      <c r="H630" s="104"/>
      <c r="I630" s="4"/>
      <c r="J630" s="6"/>
      <c r="K630" s="258"/>
      <c r="L630" s="170"/>
      <c r="M630" s="130"/>
      <c r="N630" s="170"/>
      <c r="O630" s="170"/>
      <c r="P630" s="170"/>
      <c r="Q630" s="265"/>
      <c r="R630" s="271"/>
      <c r="S630" s="1"/>
      <c r="T630" s="6"/>
      <c r="U630" s="6"/>
      <c r="V630" s="6"/>
      <c r="W630" s="6"/>
    </row>
    <row r="631" spans="1:23" s="54" customFormat="1">
      <c r="A631" s="1"/>
      <c r="B631" s="1"/>
      <c r="C631" s="1"/>
      <c r="D631" s="4"/>
      <c r="E631" s="6"/>
      <c r="F631" s="6"/>
      <c r="G631" s="104"/>
      <c r="H631" s="104"/>
      <c r="I631" s="4"/>
      <c r="J631" s="6"/>
      <c r="K631" s="258"/>
      <c r="L631" s="170"/>
      <c r="M631" s="130"/>
      <c r="N631" s="170"/>
      <c r="O631" s="170"/>
      <c r="P631" s="170"/>
      <c r="Q631" s="265"/>
      <c r="R631" s="271"/>
      <c r="S631" s="1"/>
      <c r="T631" s="6"/>
      <c r="U631" s="6"/>
      <c r="V631" s="6"/>
      <c r="W631" s="6"/>
    </row>
    <row r="632" spans="1:23" s="54" customFormat="1">
      <c r="A632" s="1"/>
      <c r="B632" s="1"/>
      <c r="C632" s="1"/>
      <c r="D632" s="4"/>
      <c r="E632" s="6"/>
      <c r="F632" s="6"/>
      <c r="G632" s="104"/>
      <c r="H632" s="104"/>
      <c r="I632" s="4"/>
      <c r="J632" s="6"/>
      <c r="K632" s="258"/>
      <c r="L632" s="170"/>
      <c r="M632" s="130"/>
      <c r="N632" s="170"/>
      <c r="O632" s="170"/>
      <c r="P632" s="170"/>
      <c r="Q632" s="265"/>
      <c r="R632" s="271"/>
      <c r="S632" s="1"/>
      <c r="T632" s="6"/>
      <c r="U632" s="6"/>
      <c r="V632" s="6"/>
      <c r="W632" s="6"/>
    </row>
    <row r="633" spans="1:23" s="54" customFormat="1">
      <c r="A633" s="1"/>
      <c r="B633" s="1"/>
      <c r="C633" s="1"/>
      <c r="D633" s="4"/>
      <c r="E633" s="6"/>
      <c r="F633" s="6"/>
      <c r="G633" s="104"/>
      <c r="H633" s="104"/>
      <c r="I633" s="4"/>
      <c r="J633" s="6"/>
      <c r="K633" s="258"/>
      <c r="L633" s="170"/>
      <c r="M633" s="130"/>
      <c r="N633" s="170"/>
      <c r="O633" s="170"/>
      <c r="P633" s="170"/>
      <c r="Q633" s="265"/>
      <c r="R633" s="271"/>
      <c r="S633" s="1"/>
      <c r="T633" s="6"/>
      <c r="U633" s="6"/>
      <c r="V633" s="6"/>
      <c r="W633" s="6"/>
    </row>
    <row r="634" spans="1:23" s="54" customFormat="1">
      <c r="A634" s="1"/>
      <c r="B634" s="1"/>
      <c r="C634" s="1"/>
      <c r="D634" s="4"/>
      <c r="E634" s="6"/>
      <c r="F634" s="6"/>
      <c r="G634" s="104"/>
      <c r="H634" s="104"/>
      <c r="I634" s="4"/>
      <c r="J634" s="6"/>
      <c r="K634" s="258"/>
      <c r="L634" s="170"/>
      <c r="M634" s="130"/>
      <c r="N634" s="170"/>
      <c r="O634" s="170"/>
      <c r="P634" s="170"/>
      <c r="Q634" s="265"/>
      <c r="R634" s="271"/>
      <c r="S634" s="1"/>
      <c r="T634" s="6"/>
      <c r="U634" s="6"/>
      <c r="V634" s="6"/>
      <c r="W634" s="6"/>
    </row>
    <row r="635" spans="1:23" s="54" customFormat="1">
      <c r="A635" s="1"/>
      <c r="B635" s="1"/>
      <c r="C635" s="1"/>
      <c r="D635" s="4"/>
      <c r="E635" s="6"/>
      <c r="F635" s="6"/>
      <c r="G635" s="104"/>
      <c r="H635" s="104"/>
      <c r="I635" s="4"/>
      <c r="J635" s="6"/>
      <c r="K635" s="258"/>
      <c r="L635" s="170"/>
      <c r="M635" s="130"/>
      <c r="N635" s="170"/>
      <c r="O635" s="170"/>
      <c r="P635" s="170"/>
      <c r="Q635" s="265"/>
      <c r="R635" s="271"/>
      <c r="S635" s="1"/>
      <c r="T635" s="6"/>
      <c r="U635" s="6"/>
      <c r="V635" s="6"/>
      <c r="W635" s="6"/>
    </row>
    <row r="636" spans="1:23" s="54" customFormat="1">
      <c r="A636" s="1"/>
      <c r="B636" s="1"/>
      <c r="C636" s="1"/>
      <c r="D636" s="4"/>
      <c r="E636" s="6"/>
      <c r="F636" s="6"/>
      <c r="G636" s="104"/>
      <c r="H636" s="104"/>
      <c r="I636" s="4"/>
      <c r="J636" s="6"/>
      <c r="K636" s="258"/>
      <c r="L636" s="170"/>
      <c r="M636" s="130"/>
      <c r="N636" s="170"/>
      <c r="O636" s="170"/>
      <c r="P636" s="170"/>
      <c r="Q636" s="265"/>
      <c r="R636" s="271"/>
      <c r="S636" s="1"/>
      <c r="T636" s="6"/>
      <c r="U636" s="6"/>
      <c r="V636" s="6"/>
      <c r="W636" s="6"/>
    </row>
    <row r="637" spans="1:23" s="54" customFormat="1">
      <c r="A637" s="1"/>
      <c r="B637" s="1"/>
      <c r="C637" s="1"/>
      <c r="D637" s="4"/>
      <c r="E637" s="6"/>
      <c r="F637" s="6"/>
      <c r="G637" s="104"/>
      <c r="H637" s="104"/>
      <c r="I637" s="4"/>
      <c r="J637" s="6"/>
      <c r="K637" s="258"/>
      <c r="L637" s="170"/>
      <c r="M637" s="130"/>
      <c r="N637" s="170"/>
      <c r="O637" s="170"/>
      <c r="P637" s="170"/>
      <c r="Q637" s="265"/>
      <c r="R637" s="271"/>
      <c r="S637" s="1"/>
      <c r="T637" s="6"/>
      <c r="U637" s="6"/>
      <c r="V637" s="6"/>
      <c r="W637" s="6"/>
    </row>
    <row r="638" spans="1:23" s="54" customFormat="1">
      <c r="A638" s="1"/>
      <c r="B638" s="1"/>
      <c r="C638" s="1"/>
      <c r="D638" s="4"/>
      <c r="E638" s="6"/>
      <c r="F638" s="6"/>
      <c r="G638" s="104"/>
      <c r="H638" s="104"/>
      <c r="I638" s="4"/>
      <c r="J638" s="6"/>
      <c r="K638" s="258"/>
      <c r="L638" s="170"/>
      <c r="M638" s="130"/>
      <c r="N638" s="170"/>
      <c r="O638" s="170"/>
      <c r="P638" s="170"/>
      <c r="Q638" s="265"/>
      <c r="R638" s="271"/>
      <c r="S638" s="1"/>
      <c r="T638" s="6"/>
      <c r="U638" s="6"/>
      <c r="V638" s="6"/>
      <c r="W638" s="6"/>
    </row>
    <row r="639" spans="1:23" s="54" customFormat="1">
      <c r="A639" s="1"/>
      <c r="B639" s="1"/>
      <c r="C639" s="1"/>
      <c r="D639" s="4"/>
      <c r="E639" s="6"/>
      <c r="F639" s="6"/>
      <c r="G639" s="104"/>
      <c r="H639" s="104"/>
      <c r="I639" s="4"/>
      <c r="J639" s="6"/>
      <c r="K639" s="258"/>
      <c r="L639" s="170"/>
      <c r="M639" s="130"/>
      <c r="N639" s="170"/>
      <c r="O639" s="170"/>
      <c r="P639" s="170"/>
      <c r="Q639" s="265"/>
      <c r="R639" s="271"/>
      <c r="S639" s="1"/>
      <c r="T639" s="6"/>
      <c r="U639" s="6"/>
      <c r="V639" s="6"/>
      <c r="W639" s="6"/>
    </row>
    <row r="640" spans="1:23" s="54" customFormat="1">
      <c r="A640" s="1"/>
      <c r="B640" s="1"/>
      <c r="C640" s="1"/>
      <c r="D640" s="4"/>
      <c r="E640" s="6"/>
      <c r="F640" s="6"/>
      <c r="G640" s="104"/>
      <c r="H640" s="104"/>
      <c r="I640" s="4"/>
      <c r="J640" s="6"/>
      <c r="K640" s="258"/>
      <c r="L640" s="170"/>
      <c r="M640" s="130"/>
      <c r="N640" s="170"/>
      <c r="O640" s="170"/>
      <c r="P640" s="170"/>
      <c r="Q640" s="265"/>
      <c r="R640" s="271"/>
      <c r="S640" s="1"/>
      <c r="T640" s="6"/>
      <c r="U640" s="6"/>
      <c r="V640" s="6"/>
      <c r="W640" s="6"/>
    </row>
    <row r="641" spans="1:23" s="54" customFormat="1">
      <c r="A641" s="1"/>
      <c r="B641" s="1"/>
      <c r="C641" s="1"/>
      <c r="D641" s="4"/>
      <c r="E641" s="6"/>
      <c r="F641" s="6"/>
      <c r="G641" s="104"/>
      <c r="H641" s="104"/>
      <c r="I641" s="4"/>
      <c r="J641" s="6"/>
      <c r="K641" s="258"/>
      <c r="L641" s="170"/>
      <c r="M641" s="130"/>
      <c r="N641" s="170"/>
      <c r="O641" s="170"/>
      <c r="P641" s="170"/>
      <c r="Q641" s="265"/>
      <c r="R641" s="271"/>
      <c r="S641" s="1"/>
      <c r="T641" s="6"/>
      <c r="U641" s="6"/>
      <c r="V641" s="6"/>
      <c r="W641" s="6"/>
    </row>
    <row r="642" spans="1:23" s="54" customFormat="1">
      <c r="A642" s="1"/>
      <c r="B642" s="1"/>
      <c r="C642" s="1"/>
      <c r="D642" s="4"/>
      <c r="E642" s="6"/>
      <c r="F642" s="6"/>
      <c r="G642" s="104"/>
      <c r="H642" s="104"/>
      <c r="I642" s="4"/>
      <c r="J642" s="6"/>
      <c r="K642" s="258"/>
      <c r="L642" s="170"/>
      <c r="M642" s="130"/>
      <c r="N642" s="170"/>
      <c r="O642" s="170"/>
      <c r="P642" s="170"/>
      <c r="Q642" s="265"/>
      <c r="R642" s="271"/>
      <c r="S642" s="1"/>
      <c r="T642" s="6"/>
      <c r="U642" s="6"/>
      <c r="V642" s="6"/>
      <c r="W642" s="6"/>
    </row>
    <row r="643" spans="1:23" s="54" customFormat="1">
      <c r="A643" s="1"/>
      <c r="B643" s="1"/>
      <c r="C643" s="1"/>
      <c r="D643" s="4"/>
      <c r="E643" s="6"/>
      <c r="F643" s="6"/>
      <c r="G643" s="104"/>
      <c r="H643" s="104"/>
      <c r="I643" s="4"/>
      <c r="J643" s="6"/>
      <c r="K643" s="258"/>
      <c r="L643" s="170"/>
      <c r="M643" s="130"/>
      <c r="N643" s="170"/>
      <c r="O643" s="170"/>
      <c r="P643" s="170"/>
      <c r="Q643" s="265"/>
      <c r="R643" s="271"/>
      <c r="S643" s="1"/>
      <c r="T643" s="6"/>
      <c r="U643" s="6"/>
      <c r="V643" s="6"/>
      <c r="W643" s="6"/>
    </row>
    <row r="644" spans="1:23" s="54" customFormat="1">
      <c r="A644" s="1"/>
      <c r="B644" s="1"/>
      <c r="C644" s="1"/>
      <c r="D644" s="4"/>
      <c r="E644" s="6"/>
      <c r="F644" s="6"/>
      <c r="G644" s="104"/>
      <c r="H644" s="104"/>
      <c r="I644" s="4"/>
      <c r="J644" s="6"/>
      <c r="K644" s="258"/>
      <c r="L644" s="170"/>
      <c r="M644" s="130"/>
      <c r="N644" s="170"/>
      <c r="O644" s="170"/>
      <c r="P644" s="170"/>
      <c r="Q644" s="265"/>
      <c r="R644" s="271"/>
      <c r="S644" s="1"/>
      <c r="T644" s="6"/>
      <c r="U644" s="6"/>
      <c r="V644" s="6"/>
      <c r="W644" s="6"/>
    </row>
    <row r="645" spans="1:23" s="54" customFormat="1">
      <c r="A645" s="1"/>
      <c r="B645" s="1"/>
      <c r="C645" s="1"/>
      <c r="D645" s="4"/>
      <c r="E645" s="6"/>
      <c r="F645" s="6"/>
      <c r="G645" s="104"/>
      <c r="H645" s="104"/>
      <c r="I645" s="4"/>
      <c r="J645" s="6"/>
      <c r="K645" s="258"/>
      <c r="L645" s="170"/>
      <c r="M645" s="130"/>
      <c r="N645" s="170"/>
      <c r="O645" s="170"/>
      <c r="P645" s="170"/>
      <c r="Q645" s="265"/>
      <c r="R645" s="271"/>
      <c r="S645" s="1"/>
      <c r="T645" s="6"/>
      <c r="U645" s="6"/>
      <c r="V645" s="6"/>
      <c r="W645" s="6"/>
    </row>
    <row r="646" spans="1:23" s="54" customFormat="1">
      <c r="A646" s="1"/>
      <c r="B646" s="1"/>
      <c r="C646" s="1"/>
      <c r="D646" s="4"/>
      <c r="E646" s="6"/>
      <c r="F646" s="6"/>
      <c r="G646" s="104"/>
      <c r="H646" s="104"/>
      <c r="I646" s="4"/>
      <c r="J646" s="6"/>
      <c r="K646" s="258"/>
      <c r="L646" s="170"/>
      <c r="M646" s="130"/>
      <c r="N646" s="170"/>
      <c r="O646" s="170"/>
      <c r="P646" s="170"/>
      <c r="Q646" s="265"/>
      <c r="R646" s="271"/>
      <c r="S646" s="1"/>
      <c r="T646" s="6"/>
      <c r="U646" s="6"/>
      <c r="V646" s="6"/>
      <c r="W646" s="6"/>
    </row>
    <row r="647" spans="1:23" s="54" customFormat="1">
      <c r="A647" s="1"/>
      <c r="B647" s="1"/>
      <c r="C647" s="1"/>
      <c r="D647" s="4"/>
      <c r="E647" s="6"/>
      <c r="F647" s="6"/>
      <c r="G647" s="104"/>
      <c r="H647" s="104"/>
      <c r="I647" s="4"/>
      <c r="J647" s="6"/>
      <c r="K647" s="258"/>
      <c r="L647" s="170"/>
      <c r="M647" s="130"/>
      <c r="N647" s="170"/>
      <c r="O647" s="170"/>
      <c r="P647" s="170"/>
      <c r="Q647" s="265"/>
      <c r="R647" s="271"/>
      <c r="S647" s="1"/>
      <c r="T647" s="6"/>
      <c r="U647" s="6"/>
      <c r="V647" s="6"/>
      <c r="W647" s="6"/>
    </row>
    <row r="648" spans="1:23" s="54" customFormat="1">
      <c r="A648" s="1"/>
      <c r="B648" s="1"/>
      <c r="C648" s="1"/>
      <c r="D648" s="4"/>
      <c r="E648" s="6"/>
      <c r="F648" s="6"/>
      <c r="G648" s="104"/>
      <c r="H648" s="104"/>
      <c r="I648" s="4"/>
      <c r="J648" s="6"/>
      <c r="K648" s="258"/>
      <c r="L648" s="170"/>
      <c r="M648" s="130"/>
      <c r="N648" s="170"/>
      <c r="O648" s="170"/>
      <c r="P648" s="170"/>
      <c r="Q648" s="265"/>
      <c r="R648" s="271"/>
      <c r="S648" s="1"/>
      <c r="T648" s="6"/>
      <c r="U648" s="6"/>
      <c r="V648" s="6"/>
      <c r="W648" s="6"/>
    </row>
    <row r="649" spans="1:23" s="54" customFormat="1">
      <c r="A649" s="1"/>
      <c r="B649" s="1"/>
      <c r="C649" s="1"/>
      <c r="D649" s="4"/>
      <c r="E649" s="6"/>
      <c r="F649" s="6"/>
      <c r="G649" s="104"/>
      <c r="H649" s="104"/>
      <c r="I649" s="4"/>
      <c r="J649" s="6"/>
      <c r="K649" s="4"/>
      <c r="L649" s="6"/>
      <c r="M649" s="1"/>
      <c r="N649" s="6"/>
      <c r="O649" s="6"/>
      <c r="P649" s="7"/>
      <c r="Q649" s="6"/>
      <c r="R649" s="6"/>
      <c r="S649" s="1"/>
      <c r="T649" s="6"/>
      <c r="U649" s="6"/>
      <c r="V649" s="6"/>
      <c r="W649" s="6"/>
    </row>
    <row r="650" spans="1:23" s="54" customFormat="1">
      <c r="A650" s="1"/>
      <c r="B650" s="1"/>
      <c r="C650" s="1"/>
      <c r="D650" s="4"/>
      <c r="E650" s="6"/>
      <c r="F650" s="6"/>
      <c r="G650" s="104"/>
      <c r="H650" s="104"/>
      <c r="I650" s="4"/>
      <c r="J650" s="6"/>
      <c r="K650" s="4"/>
      <c r="L650" s="6"/>
      <c r="M650" s="1"/>
      <c r="N650" s="6"/>
      <c r="O650" s="6"/>
      <c r="P650" s="7"/>
      <c r="Q650" s="6"/>
      <c r="R650" s="6"/>
      <c r="S650" s="1"/>
      <c r="T650" s="6"/>
      <c r="U650" s="6"/>
      <c r="V650" s="6"/>
      <c r="W650" s="6"/>
    </row>
  </sheetData>
  <autoFilter ref="A10:W566" xr:uid="{00000000-0001-0000-0000-000000000000}">
    <filterColumn colId="6">
      <filters>
        <filter val="KCFF6A4PZHDBL5"/>
        <filter val="KCFF6A8PZHDBL5"/>
      </filters>
    </filterColumn>
  </autoFilter>
  <mergeCells count="2">
    <mergeCell ref="N377:N390"/>
    <mergeCell ref="O377:O390"/>
  </mergeCells>
  <phoneticPr fontId="2" type="noConversion"/>
  <conditionalFormatting sqref="XDD90">
    <cfRule type="containsText" dxfId="1" priority="1" operator="containsText" text="No">
      <formula>NOT(ISERROR(SEARCH("No",XDD90)))</formula>
    </cfRule>
  </conditionalFormatting>
  <conditionalFormatting sqref="XDG314">
    <cfRule type="containsText" dxfId="0" priority="2" operator="containsText" text="No">
      <formula>NOT(ISERROR(SEARCH("No",XDG314)))</formula>
    </cfRule>
  </conditionalFormatting>
  <pageMargins left="0.70866141732283472" right="0.70866141732283472" top="0.74803149606299213" bottom="0.74803149606299213" header="0.31496062992125984" footer="0.31496062992125984"/>
  <pageSetup paperSize="9" scale="23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C590D6670B46B394B0B20BFCA2F5" ma:contentTypeVersion="13" ma:contentTypeDescription="Create a new document." ma:contentTypeScope="" ma:versionID="e37331a057ee0a5a9dd6547076a1eb6d">
  <xsd:schema xmlns:xsd="http://www.w3.org/2001/XMLSchema" xmlns:xs="http://www.w3.org/2001/XMLSchema" xmlns:p="http://schemas.microsoft.com/office/2006/metadata/properties" xmlns:ns2="3fc676b9-f308-4a3a-a96e-67809d3f5e2f" xmlns:ns3="13f770f0-9450-4655-9bd0-4bbda5435d4e" targetNamespace="http://schemas.microsoft.com/office/2006/metadata/properties" ma:root="true" ma:fieldsID="2083e1cea1e9dbaee31fec228d269d7c" ns2:_="" ns3:_="">
    <xsd:import namespace="3fc676b9-f308-4a3a-a96e-67809d3f5e2f"/>
    <xsd:import namespace="13f770f0-9450-4655-9bd0-4bbda5435d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76b9-f308-4a3a-a96e-67809d3f5e2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770f0-9450-4655-9bd0-4bbda5435d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a725e1f-f39c-4928-b8ca-a153e256ffb6}" ma:internalName="TaxCatchAll" ma:showField="CatchAllData" ma:web="13f770f0-9450-4655-9bd0-4bbda5435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c676b9-f308-4a3a-a96e-67809d3f5e2f">
      <Terms xmlns="http://schemas.microsoft.com/office/infopath/2007/PartnerControls"/>
    </lcf76f155ced4ddcb4097134ff3c332f>
    <TaxCatchAll xmlns="13f770f0-9450-4655-9bd0-4bbda5435d4e" xsi:nil="true"/>
  </documentManagement>
</p:properties>
</file>

<file path=customXml/itemProps1.xml><?xml version="1.0" encoding="utf-8"?>
<ds:datastoreItem xmlns:ds="http://schemas.openxmlformats.org/officeDocument/2006/customXml" ds:itemID="{2CFAE5A3-2BE6-46E6-82C8-81AE8A561F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c676b9-f308-4a3a-a96e-67809d3f5e2f"/>
    <ds:schemaRef ds:uri="13f770f0-9450-4655-9bd0-4bbda5435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BB6178-D601-4047-9AEF-76343E3321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0E862F-16F4-4186-8823-52521794489A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3fc676b9-f308-4a3a-a96e-67809d3f5e2f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3f770f0-9450-4655-9bd0-4bbda5435d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PO &amp; SC Dec 2026</vt:lpstr>
      <vt:lpstr>Info.</vt:lpstr>
      <vt:lpstr>SC FRANCE Q1 2025</vt:lpstr>
      <vt:lpstr>SC FRANCE Q1 2025 v2</vt:lpstr>
      <vt:lpstr>ARBORESCENCE FRANCAISE</vt:lpstr>
      <vt:lpstr>SC FRANCE Q3&amp;Q4 2025 v1</vt:lpstr>
      <vt:lpstr>SC FRANCE Q3&amp;Q4 2025 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Carina</dc:creator>
  <cp:keywords/>
  <dc:description/>
  <cp:lastModifiedBy>Olivier Parizot | Syskern</cp:lastModifiedBy>
  <cp:revision/>
  <cp:lastPrinted>2025-03-05T11:44:37Z</cp:lastPrinted>
  <dcterms:created xsi:type="dcterms:W3CDTF">2015-06-05T18:17:20Z</dcterms:created>
  <dcterms:modified xsi:type="dcterms:W3CDTF">2026-01-30T08:30:42Z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0x0101006514C590D6670B46B394B0B20BFCA2F5</vt:lpwstr>
  </property>
  <property fmtid="{D5CDD505-2E9C-101B-9397-08002B2CF9AE}" pid="3" name="MediaServiceImageTags">
    <vt:lpwstr/>
  </property>
</Properties>
</file>